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Daniel\Documents\Daniel\Work\Data Science Compfest\"/>
    </mc:Choice>
  </mc:AlternateContent>
  <xr:revisionPtr revIDLastSave="0" documentId="13_ncr:1_{D30B6FF1-BE50-4D31-B69A-906CE7940C5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 Jakarta" sheetId="1" r:id="rId1"/>
    <sheet name="Data Indonesia dan Jakarta" sheetId="2" r:id="rId2"/>
    <sheet name="Data Suspek dll (Jakarta)" sheetId="3" r:id="rId3"/>
    <sheet name="RDT Ab" sheetId="4" r:id="rId4"/>
    <sheet name="RDT Ag" sheetId="5" r:id="rId5"/>
    <sheet name="Hasil Lab" sheetId="6" r:id="rId6"/>
    <sheet name="Sheet1" sheetId="11" r:id="rId7"/>
    <sheet name="Regresi" sheetId="12" r:id="rId8"/>
    <sheet name="Vaksinasi" sheetId="7" r:id="rId9"/>
    <sheet name="Pemakaman" sheetId="8" r:id="rId10"/>
    <sheet name="Vaksinasi Wilayah" sheetId="9" r:id="rId11"/>
    <sheet name="Daily Vaksinasi Wilayah" sheetId="10" r:id="rId12"/>
  </sheets>
  <definedNames>
    <definedName name="Z_0188C7FA_630B_4202_9327_98C030FB5DD7_.wvu.FilterData" localSheetId="10" hidden="1">'Vaksinasi Wilayah'!$J$12</definedName>
    <definedName name="Z_0506C9EF_F972_40D7_8BEA_76E654FC2070_.wvu.FilterData" localSheetId="10" hidden="1">'Vaksinasi Wilayah'!$A$1:$AI$46</definedName>
    <definedName name="Z_0B3C611D_C8ED_4390_A159_FED589EABE22_.wvu.FilterData" localSheetId="10" hidden="1">'Vaksinasi Wilayah'!$A$1:$BJ$46</definedName>
    <definedName name="Z_0C626147_B584_405E_8B62_063628F20D91_.wvu.FilterData" localSheetId="10" hidden="1">'Vaksinasi Wilayah'!$A$2:$T$46</definedName>
    <definedName name="Z_102BE67D_35FF_46C7_AC69_1BF956126564_.wvu.FilterData" localSheetId="10" hidden="1">'Vaksinasi Wilayah'!$A$1:$BY$46</definedName>
    <definedName name="Z_135565BF_01B7_46BC_978A_6E8DE491CEBB_.wvu.FilterData" localSheetId="10" hidden="1">'Vaksinasi Wilayah'!$A$1:$BP$46</definedName>
    <definedName name="Z_15C37883_3B02_4AB3_9614_451EF5B6B3D4_.wvu.FilterData" localSheetId="10" hidden="1">'Vaksinasi Wilayah'!$A$1:$BY$46</definedName>
    <definedName name="Z_1EFDBA91_BDB7_407E_983A_A3A020F6E5CE_.wvu.FilterData" localSheetId="10" hidden="1">'Vaksinasi Wilayah'!$A$1:$BV$46</definedName>
    <definedName name="Z_21F8734D_F373_4610_B76E_38BA8B9164EF_.wvu.FilterData" localSheetId="10" hidden="1">'Vaksinasi Wilayah'!$AU$3:$AU$46</definedName>
    <definedName name="Z_2619FBBE_D70C_44F0_921E_381CF3AE3296_.wvu.FilterData" localSheetId="10" hidden="1">'Vaksinasi Wilayah'!$BP$12</definedName>
    <definedName name="Z_2AC4F97A_AAC4_4D59_8E9E_0F82BB132218_.wvu.FilterData" localSheetId="10" hidden="1">'Vaksinasi Wilayah'!$A$1:$DC$46</definedName>
    <definedName name="Z_3872812F_42F8_43C7_918C_030D8E15D0A3_.wvu.FilterData" localSheetId="10" hidden="1">'Vaksinasi Wilayah'!$BB$3:$BB$46</definedName>
    <definedName name="Z_3B2B727D_6CE4_48E5_95D9_95DD0E9FF48A_.wvu.FilterData" localSheetId="10" hidden="1">'Vaksinasi Wilayah'!$A$1:$CK$46</definedName>
    <definedName name="Z_3B2C3F85_422F_4D00_883F_CC5481DC1A44_.wvu.FilterData" localSheetId="10" hidden="1">'Vaksinasi Wilayah'!$BP$12</definedName>
    <definedName name="Z_3D4C743E_364D_4013_81A5_DD1AE98A05CF_.wvu.FilterData" localSheetId="10" hidden="1">'Vaksinasi Wilayah'!$J$12</definedName>
    <definedName name="Z_3F0289A1_7A10_4C39_9904_EB46E7F052D3_.wvu.FilterData" localSheetId="10" hidden="1">'Vaksinasi Wilayah'!$O$3:$O$46</definedName>
    <definedName name="Z_3F3717AC_4FBF_4503_A10F_C6C7B44BBDE8_.wvu.FilterData" localSheetId="10" hidden="1">'Vaksinasi Wilayah'!$A$1:$Z$46</definedName>
    <definedName name="Z_3F5B5BB7_8233_43FB_A0CD_8EADF2E7BDB4_.wvu.FilterData" localSheetId="10" hidden="1">'Vaksinasi Wilayah'!$A$1:$CK$46</definedName>
    <definedName name="Z_4AA298B7_3454_4A80_8CC0_5C3E7639506A_.wvu.FilterData" localSheetId="10" hidden="1">'Vaksinasi Wilayah'!$A$1:$AO$46</definedName>
    <definedName name="Z_4C0A6829_C4B3_41FE_86B2_DAE77D13A002_.wvu.FilterData" localSheetId="10" hidden="1">'Vaksinasi Wilayah'!$BB$3:$BB$46</definedName>
    <definedName name="Z_57A171F3_22B9_4996_8C6D_D7F0838F449C_.wvu.FilterData" localSheetId="10" hidden="1">'Vaksinasi Wilayah'!$A$1:$BS$46</definedName>
    <definedName name="Z_5B544D45_8C00_492E_AEB5_536B070AE5DC_.wvu.FilterData" localSheetId="10" hidden="1">'Vaksinasi Wilayah'!$A$1:$CN$46</definedName>
    <definedName name="Z_5F4390A4_7991_4792_8998_3D689E63ED32_.wvu.FilterData" localSheetId="10" hidden="1">'Vaksinasi Wilayah'!$A$1:$BY$46</definedName>
    <definedName name="Z_62F3DB7F_3DDA_49FB_8E3C_9395EA200E9B_.wvu.FilterData" localSheetId="10" hidden="1">'Vaksinasi Wilayah'!$A$2:$AO$46</definedName>
    <definedName name="Z_6796EAF1_782C_4D2E_AC42_52FD14B493A5_.wvu.FilterData" localSheetId="10" hidden="1">'Vaksinasi Wilayah'!$BT$3:$BT$46</definedName>
    <definedName name="Z_67ABAE90_F161_4028_AF39_29FA8AE538E5_.wvu.FilterData" localSheetId="10" hidden="1">'Vaksinasi Wilayah'!$J$5</definedName>
    <definedName name="Z_6C32A1BB_D02B_49D1_AF75_2CC5D563B8BB_.wvu.FilterData" localSheetId="10" hidden="1">'Vaksinasi Wilayah'!$BP$12</definedName>
    <definedName name="Z_7252AE9A_53FC_424A_B12E_9945E1506D1F_.wvu.FilterData" localSheetId="10" hidden="1">'Vaksinasi Wilayah'!$A$1:$BD$46</definedName>
    <definedName name="Z_78C94DBE_A5F5_4A3A_AE00_0175A64ABF23_.wvu.FilterData" localSheetId="10" hidden="1">'Vaksinasi Wilayah'!$BO$11</definedName>
    <definedName name="Z_801D144F_91BF_44A1_B2B8_C39BFF21C4CC_.wvu.FilterData" localSheetId="10" hidden="1">'Vaksinasi Wilayah'!$A$1:$BV$46</definedName>
    <definedName name="Z_8206B31A_669B_40AF_8BD9_97293907CE54_.wvu.FilterData" localSheetId="10" hidden="1">'Vaksinasi Wilayah'!$AU$3:$AU$46</definedName>
    <definedName name="Z_8506F3B5_894D_41C8_BAF2_5ADFC12BCB8E_.wvu.FilterData" localSheetId="10" hidden="1">'Vaksinasi Wilayah'!$A$1:$BD$46</definedName>
    <definedName name="Z_89E19BCA_529A_4195_9D0C_A409C148828E_.wvu.FilterData" localSheetId="10" hidden="1">'Vaksinasi Wilayah'!$A$1:$CZ$46</definedName>
    <definedName name="Z_8E1D468E_E40C_4C89_B404_71DF90B6550A_.wvu.FilterData" localSheetId="10" hidden="1">'Vaksinasi Wilayah'!$C$1:$W$46</definedName>
    <definedName name="Z_8E76A816_8A70_4D5F_82BB_3CACC96F8E9D_.wvu.FilterData" localSheetId="10" hidden="1">'Vaksinasi Wilayah'!$BO$11</definedName>
    <definedName name="Z_976F67B2_DEBA_4BE6_A2DA_343B90515F99_.wvu.FilterData" localSheetId="10" hidden="1">'Vaksinasi Wilayah'!$A$1:$CB$46</definedName>
    <definedName name="Z_97A8FD5F_2D8D_4865_8972_7947B45CFEE6_.wvu.FilterData" localSheetId="10" hidden="1">'Vaksinasi Wilayah'!$BP$12</definedName>
    <definedName name="Z_99BDB61B_514D_4468_A8E6_F3C813BF50C3_.wvu.FilterData" localSheetId="10" hidden="1">'Vaksinasi Wilayah'!$A$1:$CW$46</definedName>
    <definedName name="Z_9A681C69_B1FB_4F69_85B0_C95357E2691C_.wvu.FilterData" localSheetId="10" hidden="1">'Vaksinasi Wilayah'!$A$1:$BY$46</definedName>
    <definedName name="Z_9BA0A42B_29A5_4E66_AD0C_2D4200B2A11F_.wvu.FilterData" localSheetId="10" hidden="1">'Vaksinasi Wilayah'!$A$1:$AO$46</definedName>
    <definedName name="Z_9C48381A_CEEE_4CBF_8C41_8A3F70C254AB_.wvu.FilterData" localSheetId="10" hidden="1">'Vaksinasi Wilayah'!$BP$12</definedName>
    <definedName name="Z_9E6320E4_A46A_4891_9D59_6EB8C0C19AD7_.wvu.FilterData" localSheetId="10" hidden="1">'Vaksinasi Wilayah'!$A$1:$AX$46</definedName>
    <definedName name="Z_A112F862_CC11_48FB_9D5D_3FE00F420529_.wvu.FilterData" localSheetId="10" hidden="1">'Vaksinasi Wilayah'!$BP$12</definedName>
    <definedName name="Z_A393A34D_6B58_460B_B58C_C63B0757657C_.wvu.FilterData" localSheetId="10" hidden="1">'Vaksinasi Wilayah'!$A$1:$AI$46</definedName>
    <definedName name="Z_A5940F59_1F0B_4798_A441_6FE08BA5878F_.wvu.FilterData" localSheetId="10" hidden="1">'Vaksinasi Wilayah'!$A$1:$Z$46</definedName>
    <definedName name="Z_A825F63B_1AF7_45D0_B651_ABFF1ED12347_.wvu.FilterData" localSheetId="10" hidden="1">'Vaksinasi Wilayah'!$BO$11</definedName>
    <definedName name="Z_A96479AC_B304_4C2D_9668_0686D039C0E8_.wvu.FilterData" localSheetId="10" hidden="1">'Vaksinasi Wilayah'!$A$1:$AX$46</definedName>
    <definedName name="Z_AD4E29B1_2820_4B72_91EF_F6A9747277E2_.wvu.FilterData" localSheetId="10" hidden="1">'Vaksinasi Wilayah'!$A$1:$CT$46</definedName>
    <definedName name="Z_AFA30EC9_07E7_4593_BEE0_B32D09FBB0EC_.wvu.FilterData" localSheetId="10" hidden="1">'Vaksinasi Wilayah'!$A$1:$CE$46</definedName>
    <definedName name="Z_B1B549FC_25B9_42EC_B22F_9E03EA833CCC_.wvu.FilterData" localSheetId="10" hidden="1">'Vaksinasi Wilayah'!$A$1:$CH$46</definedName>
    <definedName name="Z_B7BCE191_AB07_4A78_B7DB_539466BF0EDF_.wvu.FilterData" localSheetId="10" hidden="1">'Vaksinasi Wilayah'!$J$10</definedName>
    <definedName name="Z_C07145BD_67E6_472B_AD07_A2390BB15C00_.wvu.FilterData" localSheetId="10" hidden="1">'Vaksinasi Wilayah'!$A$2:$AJ$46</definedName>
    <definedName name="Z_C5E833E1_09AD_42F6_9CF3_66673C28DF28_.wvu.FilterData" localSheetId="10" hidden="1">'Vaksinasi Wilayah'!$A$1:$AX$46</definedName>
    <definedName name="Z_C6DA3175_0D08_411B_BF29_FECDC6B6BD3D_.wvu.FilterData" localSheetId="10" hidden="1">'Vaksinasi Wilayah'!$BP$12</definedName>
    <definedName name="Z_C7F658C4_A04E_4346_B9FE_A7FC1CCBCF37_.wvu.FilterData" localSheetId="10" hidden="1">'Vaksinasi Wilayah'!$A$1:$BJ$46</definedName>
    <definedName name="Z_C8CF70B6_B0EA_4C11_8066_E0A85CD8EFD0_.wvu.FilterData" localSheetId="10" hidden="1">'Vaksinasi Wilayah'!$A$1:$CH$46</definedName>
    <definedName name="Z_CA4DFDE8_F1A2_46F5_B8AD_4C366A20E25B_.wvu.FilterData" localSheetId="10" hidden="1">'Vaksinasi Wilayah'!$K$19</definedName>
    <definedName name="Z_CC17480C_F1E6_4844_B715_8AEFD61FE101_.wvu.FilterData" localSheetId="10" hidden="1">'Vaksinasi Wilayah'!$BO$11</definedName>
    <definedName name="Z_CCDAAEC9_5E52_41C0_BA93_8179434B2BF0_.wvu.FilterData" localSheetId="10" hidden="1">'Vaksinasi Wilayah'!$J$12</definedName>
    <definedName name="Z_CEB85751_9D48_4051_972D_458DDE2B0EB2_.wvu.FilterData" localSheetId="10" hidden="1">'Vaksinasi Wilayah'!$A$1:$AF$46</definedName>
    <definedName name="Z_CF865A52_EA58_43D7_ACC8_985931722A21_.wvu.FilterData" localSheetId="10" hidden="1">'Vaksinasi Wilayah'!$A$1:$CQ$46</definedName>
    <definedName name="Z_CFF1A436_1D7E_47C3_B2E2_D7879188D137_.wvu.FilterData" localSheetId="10" hidden="1">'Vaksinasi Wilayah'!$K$19</definedName>
    <definedName name="Z_D3B11E4F_CD4C_4C5F_9622_F224E0435E17_.wvu.FilterData" localSheetId="10" hidden="1">'Vaksinasi Wilayah'!$A$1:$BV$46</definedName>
    <definedName name="Z_E34C1E98_BF8F_48F0_8592_B0F842BF3F1B_.wvu.FilterData" localSheetId="10" hidden="1">'Vaksinasi Wilayah'!$J$12</definedName>
    <definedName name="Z_E3EA2A34_C7C0_421F_AD88_9822E0769090_.wvu.FilterData" localSheetId="10" hidden="1">'Vaksinasi Wilayah'!$AU$3:$AU$46</definedName>
    <definedName name="Z_E879D1B0_9442_469D_9A75_67C3BCECFC40_.wvu.FilterData" localSheetId="10" hidden="1">'Vaksinasi Wilayah'!$A$1:$DF$46</definedName>
    <definedName name="Z_E9CCC74A_931B_494E_A521_906DDBDAAE84_.wvu.FilterData" localSheetId="10" hidden="1">'Vaksinasi Wilayah'!$A$1:$BM$46</definedName>
    <definedName name="Z_EEFB568C_53CA_404B_AE5E_7256446CA9AA_.wvu.FilterData" localSheetId="10" hidden="1">'Vaksinasi Wilayah'!$AV$12</definedName>
    <definedName name="Z_F1EEAED2_AAFE_4B19_923C_1B30AE00A06B_.wvu.FilterData" localSheetId="10" hidden="1">'Vaksinasi Wilayah'!$BO$11</definedName>
    <definedName name="Z_F266F009_6E59_4F00_8FD6_E5509E5EF82C_.wvu.FilterData" localSheetId="10" hidden="1">'Vaksinasi Wilayah'!$J$12</definedName>
    <definedName name="Z_F4AE4F6B_42BC_4140_864D_5F5FCB0663C2_.wvu.FilterData" localSheetId="10" hidden="1">'Vaksinasi Wilayah'!$A$1:$CE$46</definedName>
    <definedName name="Z_F87CDE8B_AF4A_4B91_9B5C_89993FC9E2EE_.wvu.FilterData" localSheetId="10" hidden="1">'Vaksinasi Wilayah'!$O$3:$O$46</definedName>
    <definedName name="Z_FBC2F625_1544_488C_9B13_C5EF29B7918B_.wvu.FilterData" localSheetId="10" hidden="1">'Vaksinasi Wilayah'!$A$1:$BS$46</definedName>
    <definedName name="Z_FC248515_DDC5_484D_86B0_261FEE361B86_.wvu.FilterData" localSheetId="10" hidden="1">'Vaksinasi Wilayah'!$C$1:$C$909</definedName>
    <definedName name="Z_FEEF08F3_8B0B_477E_8DF7_464878AC0AEE_.wvu.FilterData" localSheetId="10" hidden="1">'Vaksinasi Wilayah'!$A$1:$AX$46</definedName>
  </definedNames>
  <calcPr calcId="191029"/>
  <customWorkbookViews>
    <customWorkbookView name="Filter 1" guid="{0C626147-B584-405E-8B62-063628F20D91}" maximized="1" windowWidth="0" windowHeight="0" activeSheetId="0"/>
    <customWorkbookView name="Filter 3" guid="{FC248515-DDC5-484D-86B0-261FEE361B86}" maximized="1" windowWidth="0" windowHeight="0" activeSheetId="0"/>
    <customWorkbookView name="Filter 2" guid="{C07145BD-67E6-472B-AD07-A2390BB15C00}" maximized="1" windowWidth="0" windowHeight="0" activeSheetId="0"/>
    <customWorkbookView name="Filter 5" guid="{A5940F59-1F0B-4798-A441-6FE08BA5878F}" maximized="1" windowWidth="0" windowHeight="0" activeSheetId="0"/>
    <customWorkbookView name="Filter 4" guid="{8E1D468E-E40C-4C89-B404-71DF90B6550A}" maximized="1" windowWidth="0" windowHeight="0" activeSheetId="0"/>
    <customWorkbookView name="Filter 7" guid="{CEB85751-9D48-4051-972D-458DDE2B0EB2}" maximized="1" windowWidth="0" windowHeight="0" activeSheetId="0"/>
    <customWorkbookView name="Filter 6" guid="{3F3717AC-4FBF-4503-A10F-C6C7B44BBDE8}" maximized="1" windowWidth="0" windowHeight="0" activeSheetId="0"/>
    <customWorkbookView name="Filter 43" guid="{97A8FD5F-2D8D-4865-8972-7947B45CFEE6}" maximized="1" windowWidth="0" windowHeight="0" activeSheetId="0"/>
    <customWorkbookView name="Filter 9" guid="{0506C9EF-F972-40D7-8BEA-76E654FC2070}" maximized="1" windowWidth="0" windowHeight="0" activeSheetId="0"/>
    <customWorkbookView name="Filter 42" guid="{A112F862-CC11-48FB-9D5D-3FE00F420529}" maximized="1" windowWidth="0" windowHeight="0" activeSheetId="0"/>
    <customWorkbookView name="Filter 8" guid="{A393A34D-6B58-460B-B58C-C63B0757657C}" maximized="1" windowWidth="0" windowHeight="0" activeSheetId="0"/>
    <customWorkbookView name="Filter 41" guid="{6C32A1BB-D02B-49D1-AF75-2CC5D563B8BB}" maximized="1" windowWidth="0" windowHeight="0" activeSheetId="0"/>
    <customWorkbookView name="Filter 40" guid="{3B2C3F85-422F-4D00-883F-CC5481DC1A44}" maximized="1" windowWidth="0" windowHeight="0" activeSheetId="0"/>
    <customWorkbookView name="Filter 49" guid="{F1EEAED2-AAFE-4B19-923C-1B30AE00A06B}" maximized="1" windowWidth="0" windowHeight="0" activeSheetId="0"/>
    <customWorkbookView name="Filter 48" guid="{78C94DBE-A5F5-4A3A-AE00-0175A64ABF23}" maximized="1" windowWidth="0" windowHeight="0" activeSheetId="0"/>
    <customWorkbookView name="Filter 47" guid="{CC17480C-F1E6-4844-B715-8AEFD61FE101}" maximized="1" windowWidth="0" windowHeight="0" activeSheetId="0"/>
    <customWorkbookView name="Filter 46" guid="{8E76A816-8A70-4D5F-82BB-3CACC96F8E9D}" maximized="1" windowWidth="0" windowHeight="0" activeSheetId="0"/>
    <customWorkbookView name="Filter 45" guid="{57A171F3-22B9-4996-8C6D-D7F0838F449C}" maximized="1" windowWidth="0" windowHeight="0" activeSheetId="0"/>
    <customWorkbookView name="Filter 44" guid="{2619FBBE-D70C-44F0-921E-381CF3AE3296}" maximized="1" windowWidth="0" windowHeight="0" activeSheetId="0"/>
    <customWorkbookView name="Filter 19" guid="{CA4DFDE8-F1A2-46F5-B8AD-4C366A20E25B}" maximized="1" windowWidth="0" windowHeight="0" activeSheetId="0"/>
    <customWorkbookView name="Filter 10" guid="{4AA298B7-3454-4A80-8CC0-5C3E7639506A}" maximized="1" windowWidth="0" windowHeight="0" activeSheetId="0"/>
    <customWorkbookView name="Filter 54" guid="{D3B11E4F-CD4C-4C5F-9622-F224E0435E17}" maximized="1" windowWidth="0" windowHeight="0" activeSheetId="0"/>
    <customWorkbookView name="Filter 53" guid="{F87CDE8B-AF4A-4B91-9B5C-89993FC9E2EE}" maximized="1" windowWidth="0" windowHeight="0" activeSheetId="0"/>
    <customWorkbookView name="Filter 52" guid="{3F0289A1-7A10-4C39-9904-EB46E7F052D3}" maximized="1" windowWidth="0" windowHeight="0" activeSheetId="0"/>
    <customWorkbookView name="Filter 51" guid="{FBC2F625-1544-488C-9B13-C5EF29B7918B}" maximized="1" windowWidth="0" windowHeight="0" activeSheetId="0"/>
    <customWorkbookView name="Filter 50" guid="{A825F63B-1AF7-45D0-B651-ABFF1ED12347}" maximized="1" windowWidth="0" windowHeight="0" activeSheetId="0"/>
    <customWorkbookView name="Filter 18" guid="{67ABAE90-F161-4028-AF39-29FA8AE538E5}" maximized="1" windowWidth="0" windowHeight="0" activeSheetId="0"/>
    <customWorkbookView name="Filter 17" guid="{B7BCE191-AB07-4A78-B7DB-539466BF0EDF}" maximized="1" windowWidth="0" windowHeight="0" activeSheetId="0"/>
    <customWorkbookView name="Filter 16" guid="{0188C7FA-630B-4202-9327-98C030FB5DD7}" maximized="1" windowWidth="0" windowHeight="0" activeSheetId="0"/>
    <customWorkbookView name="Filter 15" guid="{E34C1E98-BF8F-48F0-8592-B0F842BF3F1B}" maximized="1" windowWidth="0" windowHeight="0" activeSheetId="0"/>
    <customWorkbookView name="Filter 59" guid="{102BE67D-35FF-46C7-AC69-1BF956126564}" maximized="1" windowWidth="0" windowHeight="0" activeSheetId="0"/>
    <customWorkbookView name="Filter 14" guid="{CCDAAEC9-5E52-41C0-BA93-8179434B2BF0}" maximized="1" windowWidth="0" windowHeight="0" activeSheetId="0"/>
    <customWorkbookView name="Filter 58" guid="{9A681C69-B1FB-4F69-85B0-C95357E2691C}" maximized="1" windowWidth="0" windowHeight="0" activeSheetId="0"/>
    <customWorkbookView name="Filter 13" guid="{3D4C743E-364D-4013-81A5-DD1AE98A05CF}" maximized="1" windowWidth="0" windowHeight="0" activeSheetId="0"/>
    <customWorkbookView name="Filter 57" guid="{6796EAF1-782C-4D2E-AC42-52FD14B493A5}" maximized="1" windowWidth="0" windowHeight="0" activeSheetId="0"/>
    <customWorkbookView name="Filter 12" guid="{F266F009-6E59-4F00-8FD6-E5509E5EF82C}" maximized="1" windowWidth="0" windowHeight="0" activeSheetId="0"/>
    <customWorkbookView name="Filter 56" guid="{801D144F-91BF-44A1-B2B8-C39BFF21C4CC}" maximized="1" windowWidth="0" windowHeight="0" activeSheetId="0"/>
    <customWorkbookView name="Filter 11" guid="{9BA0A42B-29A5-4E66-AD0C-2D4200B2A11F}" maximized="1" windowWidth="0" windowHeight="0" activeSheetId="0"/>
    <customWorkbookView name="Filter 55" guid="{1EFDBA91-BDB7-407E-983A-A3A020F6E5CE}" maximized="1" windowWidth="0" windowHeight="0" activeSheetId="0"/>
    <customWorkbookView name="Filter 21" guid="{62F3DB7F-3DDA-49FB-8E3C-9395EA200E9B}" maximized="1" windowWidth="0" windowHeight="0" activeSheetId="0"/>
    <customWorkbookView name="Filter 65" guid="{C8CF70B6-B0EA-4C11-8066-E0A85CD8EFD0}" maximized="1" windowWidth="0" windowHeight="0" activeSheetId="0"/>
    <customWorkbookView name="Filter 20" guid="{CFF1A436-1D7E-47C3-B2E2-D7879188D137}" maximized="1" windowWidth="0" windowHeight="0" activeSheetId="0"/>
    <customWorkbookView name="Filter 64" guid="{AFA30EC9-07E7-4593-BEE0-B32D09FBB0EC}" maximized="1" windowWidth="0" windowHeight="0" activeSheetId="0"/>
    <customWorkbookView name="Filter 63" guid="{F4AE4F6B-42BC-4140-864D-5F5FCB0663C2}" maximized="1" windowWidth="0" windowHeight="0" activeSheetId="0"/>
    <customWorkbookView name="Filter 62" guid="{976F67B2-DEBA-4BE6-A2DA-343B90515F99}" maximized="1" windowWidth="0" windowHeight="0" activeSheetId="0"/>
    <customWorkbookView name="Filter 61" guid="{5F4390A4-7991-4792-8998-3D689E63ED32}" maximized="1" windowWidth="0" windowHeight="0" activeSheetId="0"/>
    <customWorkbookView name="Filter 60" guid="{15C37883-3B02-4AB3-9614-451EF5B6B3D4}" maximized="1" windowWidth="0" windowHeight="0" activeSheetId="0"/>
    <customWorkbookView name="Filter 29" guid="{A96479AC-B304-4C2D-9668-0686D039C0E8}" maximized="1" windowWidth="0" windowHeight="0" activeSheetId="0"/>
    <customWorkbookView name="Filter 28" guid="{FEEF08F3-8B0B-477E-8DF7-464878AC0AEE}" maximized="1" windowWidth="0" windowHeight="0" activeSheetId="0"/>
    <customWorkbookView name="Filter 27" guid="{E3EA2A34-C7C0-421F-AD88-9822E0769090}" maximized="1" windowWidth="0" windowHeight="0" activeSheetId="0"/>
    <customWorkbookView name="Filter 26" guid="{21F8734D-F373-4610-B76E-38BA8B9164EF}" maximized="1" windowWidth="0" windowHeight="0" activeSheetId="0"/>
    <customWorkbookView name="Filter 25" guid="{8206B31A-669B-40AF-8BD9-97293907CE54}" maximized="1" windowWidth="0" windowHeight="0" activeSheetId="0"/>
    <customWorkbookView name="Filter 69" guid="{5B544D45-8C00-492E-AEB5-536B070AE5DC}" maximized="1" windowWidth="0" windowHeight="0" activeSheetId="0"/>
    <customWorkbookView name="Filter 24" guid="{9E6320E4-A46A-4891-9D59-6EB8C0C19AD7}" maximized="1" windowWidth="0" windowHeight="0" activeSheetId="0"/>
    <customWorkbookView name="Filter 68" guid="{3B2B727D-6CE4-48E5-95D9-95DD0E9FF48A}" maximized="1" windowWidth="0" windowHeight="0" activeSheetId="0"/>
    <customWorkbookView name="Filter 23" guid="{EEFB568C-53CA-404B-AE5E-7256446CA9AA}" maximized="1" windowWidth="0" windowHeight="0" activeSheetId="0"/>
    <customWorkbookView name="Filter 67" guid="{3F5B5BB7-8233-43FB-A0CD-8EADF2E7BDB4}" maximized="1" windowWidth="0" windowHeight="0" activeSheetId="0"/>
    <customWorkbookView name="Filter 22" guid="{C5E833E1-09AD-42F6-9CF3-66673C28DF28}" maximized="1" windowWidth="0" windowHeight="0" activeSheetId="0"/>
    <customWorkbookView name="Filter 66" guid="{B1B549FC-25B9-42EC-B22F-9E03EA833CCC}" maximized="1" windowWidth="0" windowHeight="0" activeSheetId="0"/>
    <customWorkbookView name="Filter 32" guid="{4C0A6829-C4B3-41FE-86B2-DAE77D13A002}" maximized="1" windowWidth="0" windowHeight="0" activeSheetId="0"/>
    <customWorkbookView name="Filter 31" guid="{3872812F-42F8-43C7-918C-030D8E15D0A3}" maximized="1" windowWidth="0" windowHeight="0" activeSheetId="0"/>
    <customWorkbookView name="Filter 75" guid="{E879D1B0-9442-469D-9A75-67C3BCECFC40}" maximized="1" windowWidth="0" windowHeight="0" activeSheetId="0"/>
    <customWorkbookView name="Filter 30" guid="{7252AE9A-53FC-424A-B12E-9945E1506D1F}" maximized="1" windowWidth="0" windowHeight="0" activeSheetId="0"/>
    <customWorkbookView name="Filter 74" guid="{2AC4F97A-AAC4-4D59-8E9E-0F82BB132218}" maximized="1" windowWidth="0" windowHeight="0" activeSheetId="0"/>
    <customWorkbookView name="Filter 73" guid="{89E19BCA-529A-4195-9D0C-A409C148828E}" maximized="1" windowWidth="0" windowHeight="0" activeSheetId="0"/>
    <customWorkbookView name="Filter 72" guid="{99BDB61B-514D-4468-A8E6-F3C813BF50C3}" maximized="1" windowWidth="0" windowHeight="0" activeSheetId="0"/>
    <customWorkbookView name="Filter 71" guid="{AD4E29B1-2820-4B72-91EF-F6A9747277E2}" maximized="1" windowWidth="0" windowHeight="0" activeSheetId="0"/>
    <customWorkbookView name="Filter 70" guid="{CF865A52-EA58-43D7-ACC8-985931722A21}" maximized="1" windowWidth="0" windowHeight="0" activeSheetId="0"/>
    <customWorkbookView name="Filter 39" guid="{C6DA3175-0D08-411B-BF29-FECDC6B6BD3D}" maximized="1" windowWidth="0" windowHeight="0" activeSheetId="0"/>
    <customWorkbookView name="Filter 38" guid="{9C48381A-CEEE-4CBF-8C41-8A3F70C254AB}" maximized="1" windowWidth="0" windowHeight="0" activeSheetId="0"/>
    <customWorkbookView name="Filter 37" guid="{135565BF-01B7-46BC-978A-6E8DE491CEBB}" maximized="1" windowWidth="0" windowHeight="0" activeSheetId="0"/>
    <customWorkbookView name="Filter 36" guid="{E9CCC74A-931B-494E-A521-906DDBDAAE84}" maximized="1" windowWidth="0" windowHeight="0" activeSheetId="0"/>
    <customWorkbookView name="Filter 35" guid="{0B3C611D-C8ED-4390-A159-FED589EABE22}" maximized="1" windowWidth="0" windowHeight="0" activeSheetId="0"/>
    <customWorkbookView name="Filter 34" guid="{C7F658C4-A04E-4346-B9FE-A7FC1CCBCF37}" maximized="1" windowWidth="0" windowHeight="0" activeSheetId="0"/>
    <customWorkbookView name="Filter 33" guid="{8506F3B5-894D-41C8-BAF2-5ADFC12BCB8E}" maximized="1" windowWidth="0" windowHeight="0" activeSheetId="0"/>
  </customWorkbookViews>
</workbook>
</file>

<file path=xl/calcChain.xml><?xml version="1.0" encoding="utf-8"?>
<calcChain xmlns="http://schemas.openxmlformats.org/spreadsheetml/2006/main">
  <c r="D36" i="10" l="1"/>
  <c r="C36" i="10"/>
  <c r="B36" i="10"/>
  <c r="D35" i="10"/>
  <c r="C35" i="10"/>
  <c r="B35" i="10"/>
  <c r="D34" i="10"/>
  <c r="C34" i="10"/>
  <c r="B34" i="10"/>
  <c r="D33" i="10"/>
  <c r="C33" i="10"/>
  <c r="B33" i="10"/>
  <c r="D32" i="10"/>
  <c r="D31" i="10"/>
  <c r="D30" i="10"/>
  <c r="D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DE46" i="9"/>
  <c r="DB46" i="9"/>
  <c r="CY46" i="9"/>
  <c r="CV46" i="9"/>
  <c r="CS46" i="9"/>
  <c r="CP46" i="9"/>
  <c r="CM46" i="9"/>
  <c r="CJ46" i="9"/>
  <c r="CG46" i="9"/>
  <c r="CD46" i="9"/>
  <c r="CA46" i="9"/>
  <c r="BX46" i="9"/>
  <c r="BU46" i="9"/>
  <c r="BR46" i="9"/>
  <c r="BO46" i="9"/>
  <c r="BL46" i="9"/>
  <c r="BI46" i="9"/>
  <c r="BF46" i="9"/>
  <c r="BC46" i="9"/>
  <c r="AZ46" i="9"/>
  <c r="AW46" i="9"/>
  <c r="AT46" i="9"/>
  <c r="AQ46" i="9"/>
  <c r="AN46" i="9"/>
  <c r="AK46" i="9"/>
  <c r="AH46" i="9"/>
  <c r="AE46" i="9"/>
  <c r="AB46" i="9"/>
  <c r="Y46" i="9"/>
  <c r="V46" i="9"/>
  <c r="S46" i="9"/>
  <c r="P46" i="9"/>
  <c r="M46" i="9"/>
  <c r="J46" i="9"/>
  <c r="DE45" i="9"/>
  <c r="DB45" i="9"/>
  <c r="CY45" i="9"/>
  <c r="CV45" i="9"/>
  <c r="CS45" i="9"/>
  <c r="CP45" i="9"/>
  <c r="CM45" i="9"/>
  <c r="CJ45" i="9"/>
  <c r="CG45" i="9"/>
  <c r="CD45" i="9"/>
  <c r="CA45" i="9"/>
  <c r="BX45" i="9"/>
  <c r="BU45" i="9"/>
  <c r="BR45" i="9"/>
  <c r="BO45" i="9"/>
  <c r="BL45" i="9"/>
  <c r="BI45" i="9"/>
  <c r="BF45" i="9"/>
  <c r="BC45" i="9"/>
  <c r="AZ45" i="9"/>
  <c r="AW45" i="9"/>
  <c r="AT45" i="9"/>
  <c r="AQ45" i="9"/>
  <c r="AN45" i="9"/>
  <c r="AK45" i="9"/>
  <c r="AH45" i="9"/>
  <c r="AE45" i="9"/>
  <c r="AB45" i="9"/>
  <c r="Y45" i="9"/>
  <c r="V45" i="9"/>
  <c r="S45" i="9"/>
  <c r="P45" i="9"/>
  <c r="M45" i="9"/>
  <c r="J45" i="9"/>
  <c r="DE44" i="9"/>
  <c r="DB44" i="9"/>
  <c r="CY44" i="9"/>
  <c r="CV44" i="9"/>
  <c r="CS44" i="9"/>
  <c r="CP44" i="9"/>
  <c r="CM44" i="9"/>
  <c r="CJ44" i="9"/>
  <c r="CG44" i="9"/>
  <c r="CD44" i="9"/>
  <c r="CA44" i="9"/>
  <c r="BX44" i="9"/>
  <c r="BU44" i="9"/>
  <c r="BR44" i="9"/>
  <c r="BO44" i="9"/>
  <c r="BL44" i="9"/>
  <c r="BI44" i="9"/>
  <c r="BF44" i="9"/>
  <c r="BC44" i="9"/>
  <c r="AZ44" i="9"/>
  <c r="AW44" i="9"/>
  <c r="AT44" i="9"/>
  <c r="AQ44" i="9"/>
  <c r="AN44" i="9"/>
  <c r="AK44" i="9"/>
  <c r="AH44" i="9"/>
  <c r="AE44" i="9"/>
  <c r="AB44" i="9"/>
  <c r="Y44" i="9"/>
  <c r="V44" i="9"/>
  <c r="S44" i="9"/>
  <c r="P44" i="9"/>
  <c r="M44" i="9"/>
  <c r="J44" i="9"/>
  <c r="DE43" i="9"/>
  <c r="DB43" i="9"/>
  <c r="CY43" i="9"/>
  <c r="CV43" i="9"/>
  <c r="CS43" i="9"/>
  <c r="CP43" i="9"/>
  <c r="CM43" i="9"/>
  <c r="CJ43" i="9"/>
  <c r="CG43" i="9"/>
  <c r="CD43" i="9"/>
  <c r="CA43" i="9"/>
  <c r="BX43" i="9"/>
  <c r="BU43" i="9"/>
  <c r="BR43" i="9"/>
  <c r="BO43" i="9"/>
  <c r="BL43" i="9"/>
  <c r="BI43" i="9"/>
  <c r="BF43" i="9"/>
  <c r="BC43" i="9"/>
  <c r="AZ43" i="9"/>
  <c r="AW43" i="9"/>
  <c r="AT43" i="9"/>
  <c r="AQ43" i="9"/>
  <c r="AN43" i="9"/>
  <c r="AK43" i="9"/>
  <c r="AH43" i="9"/>
  <c r="AE43" i="9"/>
  <c r="AB43" i="9"/>
  <c r="Y43" i="9"/>
  <c r="V43" i="9"/>
  <c r="S43" i="9"/>
  <c r="P43" i="9"/>
  <c r="M43" i="9"/>
  <c r="J43" i="9"/>
  <c r="DE42" i="9"/>
  <c r="DB42" i="9"/>
  <c r="CY42" i="9"/>
  <c r="CV42" i="9"/>
  <c r="CS42" i="9"/>
  <c r="CP42" i="9"/>
  <c r="CM42" i="9"/>
  <c r="CJ42" i="9"/>
  <c r="CG42" i="9"/>
  <c r="CD42" i="9"/>
  <c r="CA42" i="9"/>
  <c r="BX42" i="9"/>
  <c r="BU42" i="9"/>
  <c r="BR42" i="9"/>
  <c r="BO42" i="9"/>
  <c r="BL42" i="9"/>
  <c r="BI42" i="9"/>
  <c r="BF42" i="9"/>
  <c r="BC42" i="9"/>
  <c r="AZ42" i="9"/>
  <c r="AW42" i="9"/>
  <c r="AT42" i="9"/>
  <c r="AQ42" i="9"/>
  <c r="AN42" i="9"/>
  <c r="AK42" i="9"/>
  <c r="AH42" i="9"/>
  <c r="AE42" i="9"/>
  <c r="AB42" i="9"/>
  <c r="Y42" i="9"/>
  <c r="V42" i="9"/>
  <c r="S42" i="9"/>
  <c r="P42" i="9"/>
  <c r="M42" i="9"/>
  <c r="J42" i="9"/>
  <c r="DE41" i="9"/>
  <c r="DB41" i="9"/>
  <c r="CY41" i="9"/>
  <c r="CV41" i="9"/>
  <c r="CS41" i="9"/>
  <c r="CP41" i="9"/>
  <c r="CM41" i="9"/>
  <c r="CJ41" i="9"/>
  <c r="CG41" i="9"/>
  <c r="CD41" i="9"/>
  <c r="CA41" i="9"/>
  <c r="BX41" i="9"/>
  <c r="BU41" i="9"/>
  <c r="BR41" i="9"/>
  <c r="BO41" i="9"/>
  <c r="BL41" i="9"/>
  <c r="BI41" i="9"/>
  <c r="BF41" i="9"/>
  <c r="BC41" i="9"/>
  <c r="AZ41" i="9"/>
  <c r="AW41" i="9"/>
  <c r="AT41" i="9"/>
  <c r="AQ41" i="9"/>
  <c r="AN41" i="9"/>
  <c r="AK41" i="9"/>
  <c r="AH41" i="9"/>
  <c r="AE41" i="9"/>
  <c r="AB41" i="9"/>
  <c r="Y41" i="9"/>
  <c r="V41" i="9"/>
  <c r="S41" i="9"/>
  <c r="P41" i="9"/>
  <c r="M41" i="9"/>
  <c r="J41" i="9"/>
  <c r="DE40" i="9"/>
  <c r="DB40" i="9"/>
  <c r="CY40" i="9"/>
  <c r="CV40" i="9"/>
  <c r="CS40" i="9"/>
  <c r="CP40" i="9"/>
  <c r="CM40" i="9"/>
  <c r="CJ40" i="9"/>
  <c r="CG40" i="9"/>
  <c r="CD40" i="9"/>
  <c r="CA40" i="9"/>
  <c r="BX40" i="9"/>
  <c r="BU40" i="9"/>
  <c r="BR40" i="9"/>
  <c r="BO40" i="9"/>
  <c r="BL40" i="9"/>
  <c r="BI40" i="9"/>
  <c r="BF40" i="9"/>
  <c r="BC40" i="9"/>
  <c r="AZ40" i="9"/>
  <c r="AW40" i="9"/>
  <c r="AT40" i="9"/>
  <c r="AQ40" i="9"/>
  <c r="AN40" i="9"/>
  <c r="AK40" i="9"/>
  <c r="AH40" i="9"/>
  <c r="AE40" i="9"/>
  <c r="AB40" i="9"/>
  <c r="Y40" i="9"/>
  <c r="V40" i="9"/>
  <c r="S40" i="9"/>
  <c r="P40" i="9"/>
  <c r="M40" i="9"/>
  <c r="J40" i="9"/>
  <c r="DE39" i="9"/>
  <c r="DB39" i="9"/>
  <c r="CY39" i="9"/>
  <c r="CV39" i="9"/>
  <c r="CS39" i="9"/>
  <c r="CP39" i="9"/>
  <c r="CM39" i="9"/>
  <c r="CJ39" i="9"/>
  <c r="CG39" i="9"/>
  <c r="CD39" i="9"/>
  <c r="CA39" i="9"/>
  <c r="BX39" i="9"/>
  <c r="BU39" i="9"/>
  <c r="BR39" i="9"/>
  <c r="BO39" i="9"/>
  <c r="BL39" i="9"/>
  <c r="BI39" i="9"/>
  <c r="BF39" i="9"/>
  <c r="BC39" i="9"/>
  <c r="AZ39" i="9"/>
  <c r="AW39" i="9"/>
  <c r="AT39" i="9"/>
  <c r="AQ39" i="9"/>
  <c r="AN39" i="9"/>
  <c r="AK39" i="9"/>
  <c r="AH39" i="9"/>
  <c r="AE39" i="9"/>
  <c r="AB39" i="9"/>
  <c r="Y39" i="9"/>
  <c r="V39" i="9"/>
  <c r="S39" i="9"/>
  <c r="P39" i="9"/>
  <c r="M39" i="9"/>
  <c r="J39" i="9"/>
  <c r="DE38" i="9"/>
  <c r="DB38" i="9"/>
  <c r="CY38" i="9"/>
  <c r="CV38" i="9"/>
  <c r="CS38" i="9"/>
  <c r="CP38" i="9"/>
  <c r="CM38" i="9"/>
  <c r="CJ38" i="9"/>
  <c r="CG38" i="9"/>
  <c r="CD38" i="9"/>
  <c r="CA38" i="9"/>
  <c r="BX38" i="9"/>
  <c r="BU38" i="9"/>
  <c r="BR38" i="9"/>
  <c r="BO38" i="9"/>
  <c r="BL38" i="9"/>
  <c r="BI38" i="9"/>
  <c r="BF38" i="9"/>
  <c r="BC38" i="9"/>
  <c r="AZ38" i="9"/>
  <c r="AW38" i="9"/>
  <c r="AT38" i="9"/>
  <c r="AQ38" i="9"/>
  <c r="AN38" i="9"/>
  <c r="AK38" i="9"/>
  <c r="AH38" i="9"/>
  <c r="AE38" i="9"/>
  <c r="AB38" i="9"/>
  <c r="Y38" i="9"/>
  <c r="V38" i="9"/>
  <c r="S38" i="9"/>
  <c r="P38" i="9"/>
  <c r="M38" i="9"/>
  <c r="J38" i="9"/>
  <c r="DE37" i="9"/>
  <c r="DB37" i="9"/>
  <c r="CY37" i="9"/>
  <c r="CV37" i="9"/>
  <c r="CS37" i="9"/>
  <c r="CP37" i="9"/>
  <c r="CM37" i="9"/>
  <c r="CJ37" i="9"/>
  <c r="CG37" i="9"/>
  <c r="CD37" i="9"/>
  <c r="CA37" i="9"/>
  <c r="BX37" i="9"/>
  <c r="BU37" i="9"/>
  <c r="BR37" i="9"/>
  <c r="BO37" i="9"/>
  <c r="BL37" i="9"/>
  <c r="BI37" i="9"/>
  <c r="BF37" i="9"/>
  <c r="BC37" i="9"/>
  <c r="AZ37" i="9"/>
  <c r="AW37" i="9"/>
  <c r="AT37" i="9"/>
  <c r="AQ37" i="9"/>
  <c r="AN37" i="9"/>
  <c r="AK37" i="9"/>
  <c r="AH37" i="9"/>
  <c r="AE37" i="9"/>
  <c r="AB37" i="9"/>
  <c r="Y37" i="9"/>
  <c r="V37" i="9"/>
  <c r="S37" i="9"/>
  <c r="P37" i="9"/>
  <c r="M37" i="9"/>
  <c r="J37" i="9"/>
  <c r="DE36" i="9"/>
  <c r="DB36" i="9"/>
  <c r="CY36" i="9"/>
  <c r="CV36" i="9"/>
  <c r="CS36" i="9"/>
  <c r="CP36" i="9"/>
  <c r="CM36" i="9"/>
  <c r="CJ36" i="9"/>
  <c r="CG36" i="9"/>
  <c r="CD36" i="9"/>
  <c r="CA36" i="9"/>
  <c r="BX36" i="9"/>
  <c r="BU36" i="9"/>
  <c r="BR36" i="9"/>
  <c r="BO36" i="9"/>
  <c r="BL36" i="9"/>
  <c r="BI36" i="9"/>
  <c r="BF36" i="9"/>
  <c r="BC36" i="9"/>
  <c r="AZ36" i="9"/>
  <c r="AW36" i="9"/>
  <c r="AT36" i="9"/>
  <c r="AQ36" i="9"/>
  <c r="AN36" i="9"/>
  <c r="AK36" i="9"/>
  <c r="AH36" i="9"/>
  <c r="AE36" i="9"/>
  <c r="AB36" i="9"/>
  <c r="Y36" i="9"/>
  <c r="V36" i="9"/>
  <c r="S36" i="9"/>
  <c r="P36" i="9"/>
  <c r="M36" i="9"/>
  <c r="J36" i="9"/>
  <c r="DE35" i="9"/>
  <c r="DB35" i="9"/>
  <c r="CY35" i="9"/>
  <c r="CV35" i="9"/>
  <c r="CS35" i="9"/>
  <c r="CP35" i="9"/>
  <c r="CM35" i="9"/>
  <c r="CJ35" i="9"/>
  <c r="CG35" i="9"/>
  <c r="CD35" i="9"/>
  <c r="CA35" i="9"/>
  <c r="BX35" i="9"/>
  <c r="BU35" i="9"/>
  <c r="BR35" i="9"/>
  <c r="BO35" i="9"/>
  <c r="BL35" i="9"/>
  <c r="BI35" i="9"/>
  <c r="BF35" i="9"/>
  <c r="BC35" i="9"/>
  <c r="AZ35" i="9"/>
  <c r="AW35" i="9"/>
  <c r="AT35" i="9"/>
  <c r="AQ35" i="9"/>
  <c r="AN35" i="9"/>
  <c r="AK35" i="9"/>
  <c r="AH35" i="9"/>
  <c r="AE35" i="9"/>
  <c r="AB35" i="9"/>
  <c r="Y35" i="9"/>
  <c r="V35" i="9"/>
  <c r="S35" i="9"/>
  <c r="P35" i="9"/>
  <c r="M35" i="9"/>
  <c r="J35" i="9"/>
  <c r="DE34" i="9"/>
  <c r="DB34" i="9"/>
  <c r="CY34" i="9"/>
  <c r="CV34" i="9"/>
  <c r="CS34" i="9"/>
  <c r="CP34" i="9"/>
  <c r="CM34" i="9"/>
  <c r="CJ34" i="9"/>
  <c r="CG34" i="9"/>
  <c r="CD34" i="9"/>
  <c r="CA34" i="9"/>
  <c r="BX34" i="9"/>
  <c r="BU34" i="9"/>
  <c r="BR34" i="9"/>
  <c r="BO34" i="9"/>
  <c r="BL34" i="9"/>
  <c r="BI34" i="9"/>
  <c r="BF34" i="9"/>
  <c r="BC34" i="9"/>
  <c r="AZ34" i="9"/>
  <c r="AW34" i="9"/>
  <c r="AT34" i="9"/>
  <c r="AQ34" i="9"/>
  <c r="AN34" i="9"/>
  <c r="AK34" i="9"/>
  <c r="AH34" i="9"/>
  <c r="AE34" i="9"/>
  <c r="AB34" i="9"/>
  <c r="Y34" i="9"/>
  <c r="V34" i="9"/>
  <c r="S34" i="9"/>
  <c r="P34" i="9"/>
  <c r="M34" i="9"/>
  <c r="J34" i="9"/>
  <c r="DE33" i="9"/>
  <c r="DB33" i="9"/>
  <c r="CY33" i="9"/>
  <c r="CV33" i="9"/>
  <c r="CS33" i="9"/>
  <c r="CP33" i="9"/>
  <c r="CM33" i="9"/>
  <c r="CJ33" i="9"/>
  <c r="CG33" i="9"/>
  <c r="CD33" i="9"/>
  <c r="CA33" i="9"/>
  <c r="BX33" i="9"/>
  <c r="BU33" i="9"/>
  <c r="BR33" i="9"/>
  <c r="BO33" i="9"/>
  <c r="BL33" i="9"/>
  <c r="BI33" i="9"/>
  <c r="BF33" i="9"/>
  <c r="BC33" i="9"/>
  <c r="AZ33" i="9"/>
  <c r="AW33" i="9"/>
  <c r="AT33" i="9"/>
  <c r="AQ33" i="9"/>
  <c r="AN33" i="9"/>
  <c r="AK33" i="9"/>
  <c r="AH33" i="9"/>
  <c r="AE33" i="9"/>
  <c r="AB33" i="9"/>
  <c r="Y33" i="9"/>
  <c r="V33" i="9"/>
  <c r="S33" i="9"/>
  <c r="P33" i="9"/>
  <c r="M33" i="9"/>
  <c r="J33" i="9"/>
  <c r="DE32" i="9"/>
  <c r="DB32" i="9"/>
  <c r="CY32" i="9"/>
  <c r="CV32" i="9"/>
  <c r="CS32" i="9"/>
  <c r="CP32" i="9"/>
  <c r="CM32" i="9"/>
  <c r="CJ32" i="9"/>
  <c r="CG32" i="9"/>
  <c r="CD32" i="9"/>
  <c r="CA32" i="9"/>
  <c r="BX32" i="9"/>
  <c r="BU32" i="9"/>
  <c r="BR32" i="9"/>
  <c r="BO32" i="9"/>
  <c r="BL32" i="9"/>
  <c r="BI32" i="9"/>
  <c r="BF32" i="9"/>
  <c r="BC32" i="9"/>
  <c r="AZ32" i="9"/>
  <c r="AW32" i="9"/>
  <c r="AT32" i="9"/>
  <c r="AQ32" i="9"/>
  <c r="AN32" i="9"/>
  <c r="AK32" i="9"/>
  <c r="AH32" i="9"/>
  <c r="AE32" i="9"/>
  <c r="AB32" i="9"/>
  <c r="Y32" i="9"/>
  <c r="V32" i="9"/>
  <c r="S32" i="9"/>
  <c r="P32" i="9"/>
  <c r="M32" i="9"/>
  <c r="J32" i="9"/>
  <c r="DE31" i="9"/>
  <c r="DB31" i="9"/>
  <c r="CY31" i="9"/>
  <c r="CV31" i="9"/>
  <c r="CS31" i="9"/>
  <c r="CP31" i="9"/>
  <c r="CM31" i="9"/>
  <c r="CJ31" i="9"/>
  <c r="CG31" i="9"/>
  <c r="CD31" i="9"/>
  <c r="CA31" i="9"/>
  <c r="BX31" i="9"/>
  <c r="BU31" i="9"/>
  <c r="BR31" i="9"/>
  <c r="BO31" i="9"/>
  <c r="BL31" i="9"/>
  <c r="BI31" i="9"/>
  <c r="BF31" i="9"/>
  <c r="BC31" i="9"/>
  <c r="AZ31" i="9"/>
  <c r="AW31" i="9"/>
  <c r="AT31" i="9"/>
  <c r="AQ31" i="9"/>
  <c r="AN31" i="9"/>
  <c r="AK31" i="9"/>
  <c r="AH31" i="9"/>
  <c r="AE31" i="9"/>
  <c r="AB31" i="9"/>
  <c r="Y31" i="9"/>
  <c r="V31" i="9"/>
  <c r="S31" i="9"/>
  <c r="P31" i="9"/>
  <c r="M31" i="9"/>
  <c r="J31" i="9"/>
  <c r="DE30" i="9"/>
  <c r="DB30" i="9"/>
  <c r="CY30" i="9"/>
  <c r="CV30" i="9"/>
  <c r="CS30" i="9"/>
  <c r="CP30" i="9"/>
  <c r="CM30" i="9"/>
  <c r="CJ30" i="9"/>
  <c r="CG30" i="9"/>
  <c r="CD30" i="9"/>
  <c r="CA30" i="9"/>
  <c r="BX30" i="9"/>
  <c r="BU30" i="9"/>
  <c r="BR30" i="9"/>
  <c r="BO30" i="9"/>
  <c r="BL30" i="9"/>
  <c r="BI30" i="9"/>
  <c r="BF30" i="9"/>
  <c r="BC30" i="9"/>
  <c r="AZ30" i="9"/>
  <c r="AW30" i="9"/>
  <c r="AT30" i="9"/>
  <c r="AQ30" i="9"/>
  <c r="AN30" i="9"/>
  <c r="AK30" i="9"/>
  <c r="AH30" i="9"/>
  <c r="AE30" i="9"/>
  <c r="AB30" i="9"/>
  <c r="Y30" i="9"/>
  <c r="V30" i="9"/>
  <c r="S30" i="9"/>
  <c r="P30" i="9"/>
  <c r="M30" i="9"/>
  <c r="J30" i="9"/>
  <c r="DE29" i="9"/>
  <c r="DB29" i="9"/>
  <c r="CY29" i="9"/>
  <c r="CV29" i="9"/>
  <c r="CS29" i="9"/>
  <c r="CP29" i="9"/>
  <c r="CM29" i="9"/>
  <c r="CJ29" i="9"/>
  <c r="CG29" i="9"/>
  <c r="CD29" i="9"/>
  <c r="CA29" i="9"/>
  <c r="BX29" i="9"/>
  <c r="BU29" i="9"/>
  <c r="BR29" i="9"/>
  <c r="BO29" i="9"/>
  <c r="BL29" i="9"/>
  <c r="BI29" i="9"/>
  <c r="BF29" i="9"/>
  <c r="BC29" i="9"/>
  <c r="AZ29" i="9"/>
  <c r="AW29" i="9"/>
  <c r="AT29" i="9"/>
  <c r="AQ29" i="9"/>
  <c r="AN29" i="9"/>
  <c r="AK29" i="9"/>
  <c r="AH29" i="9"/>
  <c r="AE29" i="9"/>
  <c r="AB29" i="9"/>
  <c r="Y29" i="9"/>
  <c r="V29" i="9"/>
  <c r="S29" i="9"/>
  <c r="P29" i="9"/>
  <c r="M29" i="9"/>
  <c r="J29" i="9"/>
  <c r="DE28" i="9"/>
  <c r="DB28" i="9"/>
  <c r="CY28" i="9"/>
  <c r="CV28" i="9"/>
  <c r="CS28" i="9"/>
  <c r="CP28" i="9"/>
  <c r="CM28" i="9"/>
  <c r="CJ28" i="9"/>
  <c r="CG28" i="9"/>
  <c r="CD28" i="9"/>
  <c r="CA28" i="9"/>
  <c r="BX28" i="9"/>
  <c r="BU28" i="9"/>
  <c r="BR28" i="9"/>
  <c r="BO28" i="9"/>
  <c r="BL28" i="9"/>
  <c r="BI28" i="9"/>
  <c r="BF28" i="9"/>
  <c r="BC28" i="9"/>
  <c r="AZ28" i="9"/>
  <c r="AW28" i="9"/>
  <c r="AT28" i="9"/>
  <c r="AQ28" i="9"/>
  <c r="AN28" i="9"/>
  <c r="AK28" i="9"/>
  <c r="AH28" i="9"/>
  <c r="AE28" i="9"/>
  <c r="AB28" i="9"/>
  <c r="Y28" i="9"/>
  <c r="V28" i="9"/>
  <c r="S28" i="9"/>
  <c r="P28" i="9"/>
  <c r="M28" i="9"/>
  <c r="J28" i="9"/>
  <c r="DE27" i="9"/>
  <c r="DB27" i="9"/>
  <c r="CY27" i="9"/>
  <c r="CV27" i="9"/>
  <c r="CS27" i="9"/>
  <c r="CP27" i="9"/>
  <c r="CM27" i="9"/>
  <c r="CJ27" i="9"/>
  <c r="CG27" i="9"/>
  <c r="CD27" i="9"/>
  <c r="CA27" i="9"/>
  <c r="BX27" i="9"/>
  <c r="BU27" i="9"/>
  <c r="BR27" i="9"/>
  <c r="BO27" i="9"/>
  <c r="BL27" i="9"/>
  <c r="BI27" i="9"/>
  <c r="BF27" i="9"/>
  <c r="BC27" i="9"/>
  <c r="AZ27" i="9"/>
  <c r="AW27" i="9"/>
  <c r="AT27" i="9"/>
  <c r="AQ27" i="9"/>
  <c r="AN27" i="9"/>
  <c r="AK27" i="9"/>
  <c r="AH27" i="9"/>
  <c r="AE27" i="9"/>
  <c r="AB27" i="9"/>
  <c r="Y27" i="9"/>
  <c r="V27" i="9"/>
  <c r="S27" i="9"/>
  <c r="P27" i="9"/>
  <c r="M27" i="9"/>
  <c r="J27" i="9"/>
  <c r="DE26" i="9"/>
  <c r="DB26" i="9"/>
  <c r="CY26" i="9"/>
  <c r="CV26" i="9"/>
  <c r="CS26" i="9"/>
  <c r="CP26" i="9"/>
  <c r="CM26" i="9"/>
  <c r="CJ26" i="9"/>
  <c r="CG26" i="9"/>
  <c r="CD26" i="9"/>
  <c r="CA26" i="9"/>
  <c r="BX26" i="9"/>
  <c r="BU26" i="9"/>
  <c r="BR26" i="9"/>
  <c r="BO26" i="9"/>
  <c r="BL26" i="9"/>
  <c r="BI26" i="9"/>
  <c r="BF26" i="9"/>
  <c r="BC26" i="9"/>
  <c r="AZ26" i="9"/>
  <c r="AW26" i="9"/>
  <c r="AT26" i="9"/>
  <c r="AQ26" i="9"/>
  <c r="AN26" i="9"/>
  <c r="AK26" i="9"/>
  <c r="AH26" i="9"/>
  <c r="AE26" i="9"/>
  <c r="AB26" i="9"/>
  <c r="Y26" i="9"/>
  <c r="V26" i="9"/>
  <c r="S26" i="9"/>
  <c r="P26" i="9"/>
  <c r="M26" i="9"/>
  <c r="J26" i="9"/>
  <c r="DE25" i="9"/>
  <c r="DB25" i="9"/>
  <c r="CY25" i="9"/>
  <c r="CV25" i="9"/>
  <c r="CS25" i="9"/>
  <c r="CP25" i="9"/>
  <c r="CM25" i="9"/>
  <c r="CJ25" i="9"/>
  <c r="CG25" i="9"/>
  <c r="CD25" i="9"/>
  <c r="CA25" i="9"/>
  <c r="BX25" i="9"/>
  <c r="BU25" i="9"/>
  <c r="BR25" i="9"/>
  <c r="BO25" i="9"/>
  <c r="BL25" i="9"/>
  <c r="BI25" i="9"/>
  <c r="BF25" i="9"/>
  <c r="BC25" i="9"/>
  <c r="AZ25" i="9"/>
  <c r="AW25" i="9"/>
  <c r="AT25" i="9"/>
  <c r="AQ25" i="9"/>
  <c r="AN25" i="9"/>
  <c r="AK25" i="9"/>
  <c r="AH25" i="9"/>
  <c r="AE25" i="9"/>
  <c r="AB25" i="9"/>
  <c r="Y25" i="9"/>
  <c r="V25" i="9"/>
  <c r="S25" i="9"/>
  <c r="P25" i="9"/>
  <c r="M25" i="9"/>
  <c r="J25" i="9"/>
  <c r="DE24" i="9"/>
  <c r="DB24" i="9"/>
  <c r="CY24" i="9"/>
  <c r="CV24" i="9"/>
  <c r="CS24" i="9"/>
  <c r="CP24" i="9"/>
  <c r="CM24" i="9"/>
  <c r="CJ24" i="9"/>
  <c r="CG24" i="9"/>
  <c r="CD24" i="9"/>
  <c r="CA24" i="9"/>
  <c r="BX24" i="9"/>
  <c r="BU24" i="9"/>
  <c r="BR24" i="9"/>
  <c r="BO24" i="9"/>
  <c r="BL24" i="9"/>
  <c r="BI24" i="9"/>
  <c r="BF24" i="9"/>
  <c r="BC24" i="9"/>
  <c r="AZ24" i="9"/>
  <c r="AW24" i="9"/>
  <c r="AT24" i="9"/>
  <c r="AQ24" i="9"/>
  <c r="AN24" i="9"/>
  <c r="AK24" i="9"/>
  <c r="AH24" i="9"/>
  <c r="AE24" i="9"/>
  <c r="AB24" i="9"/>
  <c r="Y24" i="9"/>
  <c r="V24" i="9"/>
  <c r="S24" i="9"/>
  <c r="P24" i="9"/>
  <c r="M24" i="9"/>
  <c r="J24" i="9"/>
  <c r="DE23" i="9"/>
  <c r="DB23" i="9"/>
  <c r="CY23" i="9"/>
  <c r="CV23" i="9"/>
  <c r="CS23" i="9"/>
  <c r="CP23" i="9"/>
  <c r="CM23" i="9"/>
  <c r="CJ23" i="9"/>
  <c r="CG23" i="9"/>
  <c r="CD23" i="9"/>
  <c r="CA23" i="9"/>
  <c r="BX23" i="9"/>
  <c r="BU23" i="9"/>
  <c r="BR23" i="9"/>
  <c r="BO23" i="9"/>
  <c r="BL23" i="9"/>
  <c r="BI23" i="9"/>
  <c r="BF23" i="9"/>
  <c r="BC23" i="9"/>
  <c r="AZ23" i="9"/>
  <c r="AW23" i="9"/>
  <c r="AT23" i="9"/>
  <c r="AQ23" i="9"/>
  <c r="AN23" i="9"/>
  <c r="AK23" i="9"/>
  <c r="AH23" i="9"/>
  <c r="AE23" i="9"/>
  <c r="AB23" i="9"/>
  <c r="Y23" i="9"/>
  <c r="V23" i="9"/>
  <c r="S23" i="9"/>
  <c r="P23" i="9"/>
  <c r="M23" i="9"/>
  <c r="J23" i="9"/>
  <c r="DE22" i="9"/>
  <c r="DB22" i="9"/>
  <c r="CY22" i="9"/>
  <c r="CV22" i="9"/>
  <c r="CS22" i="9"/>
  <c r="CP22" i="9"/>
  <c r="CM22" i="9"/>
  <c r="CJ22" i="9"/>
  <c r="CG22" i="9"/>
  <c r="CD22" i="9"/>
  <c r="CA22" i="9"/>
  <c r="BX22" i="9"/>
  <c r="BU22" i="9"/>
  <c r="BR22" i="9"/>
  <c r="BO22" i="9"/>
  <c r="BL22" i="9"/>
  <c r="BI22" i="9"/>
  <c r="BF22" i="9"/>
  <c r="BC22" i="9"/>
  <c r="AZ22" i="9"/>
  <c r="AW22" i="9"/>
  <c r="AT22" i="9"/>
  <c r="AQ22" i="9"/>
  <c r="AN22" i="9"/>
  <c r="AK22" i="9"/>
  <c r="AH22" i="9"/>
  <c r="AE22" i="9"/>
  <c r="AB22" i="9"/>
  <c r="Y22" i="9"/>
  <c r="V22" i="9"/>
  <c r="S22" i="9"/>
  <c r="P22" i="9"/>
  <c r="M22" i="9"/>
  <c r="J22" i="9"/>
  <c r="DE21" i="9"/>
  <c r="DB21" i="9"/>
  <c r="CY21" i="9"/>
  <c r="CV21" i="9"/>
  <c r="CS21" i="9"/>
  <c r="CP21" i="9"/>
  <c r="CM21" i="9"/>
  <c r="CJ21" i="9"/>
  <c r="CG21" i="9"/>
  <c r="CD21" i="9"/>
  <c r="CA21" i="9"/>
  <c r="BX21" i="9"/>
  <c r="BU21" i="9"/>
  <c r="BR21" i="9"/>
  <c r="BO21" i="9"/>
  <c r="BL21" i="9"/>
  <c r="BI21" i="9"/>
  <c r="BF21" i="9"/>
  <c r="BC21" i="9"/>
  <c r="AZ21" i="9"/>
  <c r="AW21" i="9"/>
  <c r="AT21" i="9"/>
  <c r="AQ21" i="9"/>
  <c r="AN21" i="9"/>
  <c r="AK21" i="9"/>
  <c r="AH21" i="9"/>
  <c r="AE21" i="9"/>
  <c r="AB21" i="9"/>
  <c r="Y21" i="9"/>
  <c r="V21" i="9"/>
  <c r="S21" i="9"/>
  <c r="P21" i="9"/>
  <c r="M21" i="9"/>
  <c r="J21" i="9"/>
  <c r="DE20" i="9"/>
  <c r="DB20" i="9"/>
  <c r="CY20" i="9"/>
  <c r="CV20" i="9"/>
  <c r="CS20" i="9"/>
  <c r="CP20" i="9"/>
  <c r="CM20" i="9"/>
  <c r="CJ20" i="9"/>
  <c r="CG20" i="9"/>
  <c r="CD20" i="9"/>
  <c r="CA20" i="9"/>
  <c r="BX20" i="9"/>
  <c r="BU20" i="9"/>
  <c r="BR20" i="9"/>
  <c r="BO20" i="9"/>
  <c r="BL20" i="9"/>
  <c r="BI20" i="9"/>
  <c r="BF20" i="9"/>
  <c r="BC20" i="9"/>
  <c r="AZ20" i="9"/>
  <c r="AW20" i="9"/>
  <c r="AT20" i="9"/>
  <c r="AQ20" i="9"/>
  <c r="AN20" i="9"/>
  <c r="AK20" i="9"/>
  <c r="AH20" i="9"/>
  <c r="AE20" i="9"/>
  <c r="AB20" i="9"/>
  <c r="Y20" i="9"/>
  <c r="V20" i="9"/>
  <c r="S20" i="9"/>
  <c r="P20" i="9"/>
  <c r="M20" i="9"/>
  <c r="J20" i="9"/>
  <c r="DE19" i="9"/>
  <c r="DB19" i="9"/>
  <c r="CY19" i="9"/>
  <c r="CV19" i="9"/>
  <c r="CS19" i="9"/>
  <c r="CP19" i="9"/>
  <c r="CM19" i="9"/>
  <c r="CJ19" i="9"/>
  <c r="CG19" i="9"/>
  <c r="CD19" i="9"/>
  <c r="CA19" i="9"/>
  <c r="BX19" i="9"/>
  <c r="BU19" i="9"/>
  <c r="BR19" i="9"/>
  <c r="BO19" i="9"/>
  <c r="BL19" i="9"/>
  <c r="BI19" i="9"/>
  <c r="BF19" i="9"/>
  <c r="BC19" i="9"/>
  <c r="AZ19" i="9"/>
  <c r="AW19" i="9"/>
  <c r="AT19" i="9"/>
  <c r="AQ19" i="9"/>
  <c r="AN19" i="9"/>
  <c r="AK19" i="9"/>
  <c r="AH19" i="9"/>
  <c r="AE19" i="9"/>
  <c r="AB19" i="9"/>
  <c r="Y19" i="9"/>
  <c r="V19" i="9"/>
  <c r="S19" i="9"/>
  <c r="P19" i="9"/>
  <c r="M19" i="9"/>
  <c r="J19" i="9"/>
  <c r="DE18" i="9"/>
  <c r="DB18" i="9"/>
  <c r="CY18" i="9"/>
  <c r="CV18" i="9"/>
  <c r="CS18" i="9"/>
  <c r="CP18" i="9"/>
  <c r="CM18" i="9"/>
  <c r="CJ18" i="9"/>
  <c r="CG18" i="9"/>
  <c r="CD18" i="9"/>
  <c r="CA18" i="9"/>
  <c r="BX18" i="9"/>
  <c r="BU18" i="9"/>
  <c r="BR18" i="9"/>
  <c r="BO18" i="9"/>
  <c r="BL18" i="9"/>
  <c r="BI18" i="9"/>
  <c r="BF18" i="9"/>
  <c r="BC18" i="9"/>
  <c r="AZ18" i="9"/>
  <c r="AW18" i="9"/>
  <c r="AT18" i="9"/>
  <c r="AQ18" i="9"/>
  <c r="AN18" i="9"/>
  <c r="AK18" i="9"/>
  <c r="AH18" i="9"/>
  <c r="AE18" i="9"/>
  <c r="AB18" i="9"/>
  <c r="Y18" i="9"/>
  <c r="V18" i="9"/>
  <c r="S18" i="9"/>
  <c r="P18" i="9"/>
  <c r="M18" i="9"/>
  <c r="J18" i="9"/>
  <c r="DE17" i="9"/>
  <c r="DB17" i="9"/>
  <c r="CY17" i="9"/>
  <c r="CV17" i="9"/>
  <c r="CS17" i="9"/>
  <c r="CP17" i="9"/>
  <c r="CM17" i="9"/>
  <c r="CJ17" i="9"/>
  <c r="CG17" i="9"/>
  <c r="CD17" i="9"/>
  <c r="CA17" i="9"/>
  <c r="BX17" i="9"/>
  <c r="BU17" i="9"/>
  <c r="BR17" i="9"/>
  <c r="BO17" i="9"/>
  <c r="BL17" i="9"/>
  <c r="BI17" i="9"/>
  <c r="BF17" i="9"/>
  <c r="BC17" i="9"/>
  <c r="AZ17" i="9"/>
  <c r="AW17" i="9"/>
  <c r="AT17" i="9"/>
  <c r="AQ17" i="9"/>
  <c r="AN17" i="9"/>
  <c r="AK17" i="9"/>
  <c r="AH17" i="9"/>
  <c r="AE17" i="9"/>
  <c r="AB17" i="9"/>
  <c r="Y17" i="9"/>
  <c r="V17" i="9"/>
  <c r="S17" i="9"/>
  <c r="P17" i="9"/>
  <c r="M17" i="9"/>
  <c r="J17" i="9"/>
  <c r="DE16" i="9"/>
  <c r="DB16" i="9"/>
  <c r="CY16" i="9"/>
  <c r="CV16" i="9"/>
  <c r="CS16" i="9"/>
  <c r="CP16" i="9"/>
  <c r="CM16" i="9"/>
  <c r="CJ16" i="9"/>
  <c r="CG16" i="9"/>
  <c r="CD16" i="9"/>
  <c r="CA16" i="9"/>
  <c r="BX16" i="9"/>
  <c r="BU16" i="9"/>
  <c r="BR16" i="9"/>
  <c r="BO16" i="9"/>
  <c r="BL16" i="9"/>
  <c r="BI16" i="9"/>
  <c r="BF16" i="9"/>
  <c r="BC16" i="9"/>
  <c r="AZ16" i="9"/>
  <c r="AW16" i="9"/>
  <c r="AT16" i="9"/>
  <c r="AQ16" i="9"/>
  <c r="AN16" i="9"/>
  <c r="AK16" i="9"/>
  <c r="AH16" i="9"/>
  <c r="AE16" i="9"/>
  <c r="AB16" i="9"/>
  <c r="Y16" i="9"/>
  <c r="V16" i="9"/>
  <c r="S16" i="9"/>
  <c r="P16" i="9"/>
  <c r="M16" i="9"/>
  <c r="J16" i="9"/>
  <c r="DE15" i="9"/>
  <c r="DB15" i="9"/>
  <c r="CY15" i="9"/>
  <c r="CV15" i="9"/>
  <c r="CS15" i="9"/>
  <c r="CP15" i="9"/>
  <c r="CM15" i="9"/>
  <c r="CJ15" i="9"/>
  <c r="CG15" i="9"/>
  <c r="CD15" i="9"/>
  <c r="CA15" i="9"/>
  <c r="BX15" i="9"/>
  <c r="BU15" i="9"/>
  <c r="BR15" i="9"/>
  <c r="BO15" i="9"/>
  <c r="BL15" i="9"/>
  <c r="BI15" i="9"/>
  <c r="BF15" i="9"/>
  <c r="BC15" i="9"/>
  <c r="AZ15" i="9"/>
  <c r="AW15" i="9"/>
  <c r="AT15" i="9"/>
  <c r="AQ15" i="9"/>
  <c r="AN15" i="9"/>
  <c r="AK15" i="9"/>
  <c r="AH15" i="9"/>
  <c r="AE15" i="9"/>
  <c r="AB15" i="9"/>
  <c r="Y15" i="9"/>
  <c r="V15" i="9"/>
  <c r="S15" i="9"/>
  <c r="P15" i="9"/>
  <c r="M15" i="9"/>
  <c r="J15" i="9"/>
  <c r="DE14" i="9"/>
  <c r="DB14" i="9"/>
  <c r="CY14" i="9"/>
  <c r="CV14" i="9"/>
  <c r="CS14" i="9"/>
  <c r="CP14" i="9"/>
  <c r="CM14" i="9"/>
  <c r="CJ14" i="9"/>
  <c r="CG14" i="9"/>
  <c r="CD14" i="9"/>
  <c r="CA14" i="9"/>
  <c r="BX14" i="9"/>
  <c r="BU14" i="9"/>
  <c r="BR14" i="9"/>
  <c r="BO14" i="9"/>
  <c r="BL14" i="9"/>
  <c r="BI14" i="9"/>
  <c r="BF14" i="9"/>
  <c r="BC14" i="9"/>
  <c r="AZ14" i="9"/>
  <c r="AW14" i="9"/>
  <c r="AT14" i="9"/>
  <c r="AQ14" i="9"/>
  <c r="AN14" i="9"/>
  <c r="AK14" i="9"/>
  <c r="AH14" i="9"/>
  <c r="AE14" i="9"/>
  <c r="AB14" i="9"/>
  <c r="Y14" i="9"/>
  <c r="V14" i="9"/>
  <c r="S14" i="9"/>
  <c r="P14" i="9"/>
  <c r="M14" i="9"/>
  <c r="J14" i="9"/>
  <c r="DE13" i="9"/>
  <c r="DB13" i="9"/>
  <c r="CY13" i="9"/>
  <c r="CV13" i="9"/>
  <c r="CS13" i="9"/>
  <c r="CP13" i="9"/>
  <c r="CM13" i="9"/>
  <c r="CJ13" i="9"/>
  <c r="CG13" i="9"/>
  <c r="CD13" i="9"/>
  <c r="CA13" i="9"/>
  <c r="BX13" i="9"/>
  <c r="BU13" i="9"/>
  <c r="BR13" i="9"/>
  <c r="BO13" i="9"/>
  <c r="BL13" i="9"/>
  <c r="BI13" i="9"/>
  <c r="BF13" i="9"/>
  <c r="BC13" i="9"/>
  <c r="AZ13" i="9"/>
  <c r="AW13" i="9"/>
  <c r="AT13" i="9"/>
  <c r="AQ13" i="9"/>
  <c r="AN13" i="9"/>
  <c r="AK13" i="9"/>
  <c r="AH13" i="9"/>
  <c r="AE13" i="9"/>
  <c r="AB13" i="9"/>
  <c r="Y13" i="9"/>
  <c r="V13" i="9"/>
  <c r="S13" i="9"/>
  <c r="P13" i="9"/>
  <c r="M13" i="9"/>
  <c r="J13" i="9"/>
  <c r="DE12" i="9"/>
  <c r="DB12" i="9"/>
  <c r="CY12" i="9"/>
  <c r="CV12" i="9"/>
  <c r="CS12" i="9"/>
  <c r="CP12" i="9"/>
  <c r="CM12" i="9"/>
  <c r="CJ12" i="9"/>
  <c r="CG12" i="9"/>
  <c r="CD12" i="9"/>
  <c r="CA12" i="9"/>
  <c r="BX12" i="9"/>
  <c r="BU12" i="9"/>
  <c r="BR12" i="9"/>
  <c r="BO12" i="9"/>
  <c r="BL12" i="9"/>
  <c r="BI12" i="9"/>
  <c r="BF12" i="9"/>
  <c r="BC12" i="9"/>
  <c r="AZ12" i="9"/>
  <c r="AW12" i="9"/>
  <c r="AT12" i="9"/>
  <c r="AQ12" i="9"/>
  <c r="AN12" i="9"/>
  <c r="AK12" i="9"/>
  <c r="AH12" i="9"/>
  <c r="AE12" i="9"/>
  <c r="AB12" i="9"/>
  <c r="Y12" i="9"/>
  <c r="V12" i="9"/>
  <c r="S12" i="9"/>
  <c r="P12" i="9"/>
  <c r="M12" i="9"/>
  <c r="J12" i="9"/>
  <c r="DE11" i="9"/>
  <c r="DB11" i="9"/>
  <c r="CY11" i="9"/>
  <c r="CV11" i="9"/>
  <c r="CS11" i="9"/>
  <c r="CP11" i="9"/>
  <c r="CM11" i="9"/>
  <c r="CJ11" i="9"/>
  <c r="CG11" i="9"/>
  <c r="CD11" i="9"/>
  <c r="CA11" i="9"/>
  <c r="BX11" i="9"/>
  <c r="BU11" i="9"/>
  <c r="BR11" i="9"/>
  <c r="BO11" i="9"/>
  <c r="BL11" i="9"/>
  <c r="BI11" i="9"/>
  <c r="BF11" i="9"/>
  <c r="BC11" i="9"/>
  <c r="AZ11" i="9"/>
  <c r="AW11" i="9"/>
  <c r="AT11" i="9"/>
  <c r="AQ11" i="9"/>
  <c r="AN11" i="9"/>
  <c r="AK11" i="9"/>
  <c r="AH11" i="9"/>
  <c r="AE11" i="9"/>
  <c r="AB11" i="9"/>
  <c r="Y11" i="9"/>
  <c r="V11" i="9"/>
  <c r="S11" i="9"/>
  <c r="P11" i="9"/>
  <c r="M11" i="9"/>
  <c r="J11" i="9"/>
  <c r="DE10" i="9"/>
  <c r="DB10" i="9"/>
  <c r="CY10" i="9"/>
  <c r="CV10" i="9"/>
  <c r="CS10" i="9"/>
  <c r="CP10" i="9"/>
  <c r="CM10" i="9"/>
  <c r="CJ10" i="9"/>
  <c r="CG10" i="9"/>
  <c r="CD10" i="9"/>
  <c r="CA10" i="9"/>
  <c r="BX10" i="9"/>
  <c r="BU10" i="9"/>
  <c r="BR10" i="9"/>
  <c r="BO10" i="9"/>
  <c r="BL10" i="9"/>
  <c r="BI10" i="9"/>
  <c r="BF10" i="9"/>
  <c r="BC10" i="9"/>
  <c r="AZ10" i="9"/>
  <c r="AW10" i="9"/>
  <c r="AT10" i="9"/>
  <c r="AQ10" i="9"/>
  <c r="AN10" i="9"/>
  <c r="AK10" i="9"/>
  <c r="AH10" i="9"/>
  <c r="AE10" i="9"/>
  <c r="AB10" i="9"/>
  <c r="Y10" i="9"/>
  <c r="V10" i="9"/>
  <c r="S10" i="9"/>
  <c r="P10" i="9"/>
  <c r="M10" i="9"/>
  <c r="J10" i="9"/>
  <c r="DE9" i="9"/>
  <c r="DB9" i="9"/>
  <c r="CY9" i="9"/>
  <c r="CV9" i="9"/>
  <c r="CS9" i="9"/>
  <c r="CP9" i="9"/>
  <c r="CM9" i="9"/>
  <c r="CJ9" i="9"/>
  <c r="CG9" i="9"/>
  <c r="CD9" i="9"/>
  <c r="CA9" i="9"/>
  <c r="BX9" i="9"/>
  <c r="BU9" i="9"/>
  <c r="BR9" i="9"/>
  <c r="BO9" i="9"/>
  <c r="BL9" i="9"/>
  <c r="BI9" i="9"/>
  <c r="BF9" i="9"/>
  <c r="BC9" i="9"/>
  <c r="AZ9" i="9"/>
  <c r="AW9" i="9"/>
  <c r="AT9" i="9"/>
  <c r="AQ9" i="9"/>
  <c r="AN9" i="9"/>
  <c r="AK9" i="9"/>
  <c r="AH9" i="9"/>
  <c r="AE9" i="9"/>
  <c r="AB9" i="9"/>
  <c r="Y9" i="9"/>
  <c r="V9" i="9"/>
  <c r="S9" i="9"/>
  <c r="P9" i="9"/>
  <c r="M9" i="9"/>
  <c r="J9" i="9"/>
  <c r="DE8" i="9"/>
  <c r="DB8" i="9"/>
  <c r="CY8" i="9"/>
  <c r="CV8" i="9"/>
  <c r="CS8" i="9"/>
  <c r="CP8" i="9"/>
  <c r="CM8" i="9"/>
  <c r="CJ8" i="9"/>
  <c r="CG8" i="9"/>
  <c r="CD8" i="9"/>
  <c r="CA8" i="9"/>
  <c r="BX8" i="9"/>
  <c r="BU8" i="9"/>
  <c r="BR8" i="9"/>
  <c r="BO8" i="9"/>
  <c r="BL8" i="9"/>
  <c r="BI8" i="9"/>
  <c r="BF8" i="9"/>
  <c r="BC8" i="9"/>
  <c r="AZ8" i="9"/>
  <c r="AW8" i="9"/>
  <c r="AT8" i="9"/>
  <c r="AQ8" i="9"/>
  <c r="AN8" i="9"/>
  <c r="AK8" i="9"/>
  <c r="AH8" i="9"/>
  <c r="AE8" i="9"/>
  <c r="AB8" i="9"/>
  <c r="Y8" i="9"/>
  <c r="V8" i="9"/>
  <c r="S8" i="9"/>
  <c r="P8" i="9"/>
  <c r="M8" i="9"/>
  <c r="J8" i="9"/>
  <c r="DE7" i="9"/>
  <c r="DB7" i="9"/>
  <c r="CY7" i="9"/>
  <c r="CV7" i="9"/>
  <c r="CS7" i="9"/>
  <c r="CP7" i="9"/>
  <c r="CM7" i="9"/>
  <c r="CJ7" i="9"/>
  <c r="CG7" i="9"/>
  <c r="CD7" i="9"/>
  <c r="CA7" i="9"/>
  <c r="BX7" i="9"/>
  <c r="BU7" i="9"/>
  <c r="BR7" i="9"/>
  <c r="BO7" i="9"/>
  <c r="BL7" i="9"/>
  <c r="BI7" i="9"/>
  <c r="BF7" i="9"/>
  <c r="BC7" i="9"/>
  <c r="AZ7" i="9"/>
  <c r="AW7" i="9"/>
  <c r="AT7" i="9"/>
  <c r="AQ7" i="9"/>
  <c r="AN7" i="9"/>
  <c r="AK7" i="9"/>
  <c r="AH7" i="9"/>
  <c r="AE7" i="9"/>
  <c r="AB7" i="9"/>
  <c r="Y7" i="9"/>
  <c r="V7" i="9"/>
  <c r="S7" i="9"/>
  <c r="P7" i="9"/>
  <c r="M7" i="9"/>
  <c r="J7" i="9"/>
  <c r="DE6" i="9"/>
  <c r="DB6" i="9"/>
  <c r="CY6" i="9"/>
  <c r="CV6" i="9"/>
  <c r="CS6" i="9"/>
  <c r="CP6" i="9"/>
  <c r="CM6" i="9"/>
  <c r="CJ6" i="9"/>
  <c r="CG6" i="9"/>
  <c r="CD6" i="9"/>
  <c r="CA6" i="9"/>
  <c r="BX6" i="9"/>
  <c r="BU6" i="9"/>
  <c r="BR6" i="9"/>
  <c r="BO6" i="9"/>
  <c r="BL6" i="9"/>
  <c r="BI6" i="9"/>
  <c r="BF6" i="9"/>
  <c r="BC6" i="9"/>
  <c r="AZ6" i="9"/>
  <c r="AW6" i="9"/>
  <c r="AT6" i="9"/>
  <c r="AQ6" i="9"/>
  <c r="AN6" i="9"/>
  <c r="AK6" i="9"/>
  <c r="AH6" i="9"/>
  <c r="AE6" i="9"/>
  <c r="AB6" i="9"/>
  <c r="Y6" i="9"/>
  <c r="V6" i="9"/>
  <c r="S6" i="9"/>
  <c r="P6" i="9"/>
  <c r="M6" i="9"/>
  <c r="J6" i="9"/>
  <c r="DE5" i="9"/>
  <c r="DB5" i="9"/>
  <c r="CY5" i="9"/>
  <c r="CV5" i="9"/>
  <c r="CS5" i="9"/>
  <c r="CP5" i="9"/>
  <c r="CM5" i="9"/>
  <c r="CJ5" i="9"/>
  <c r="CG5" i="9"/>
  <c r="CD5" i="9"/>
  <c r="CA5" i="9"/>
  <c r="BX5" i="9"/>
  <c r="BU5" i="9"/>
  <c r="BR5" i="9"/>
  <c r="BO5" i="9"/>
  <c r="BL5" i="9"/>
  <c r="BI5" i="9"/>
  <c r="BF5" i="9"/>
  <c r="BC5" i="9"/>
  <c r="AZ5" i="9"/>
  <c r="AW5" i="9"/>
  <c r="AT5" i="9"/>
  <c r="AQ5" i="9"/>
  <c r="AN5" i="9"/>
  <c r="AK5" i="9"/>
  <c r="AH5" i="9"/>
  <c r="AE5" i="9"/>
  <c r="AB5" i="9"/>
  <c r="Y5" i="9"/>
  <c r="V5" i="9"/>
  <c r="S5" i="9"/>
  <c r="P5" i="9"/>
  <c r="M5" i="9"/>
  <c r="J5" i="9"/>
  <c r="DE4" i="9"/>
  <c r="DB4" i="9"/>
  <c r="CY4" i="9"/>
  <c r="CV4" i="9"/>
  <c r="CS4" i="9"/>
  <c r="CP4" i="9"/>
  <c r="CM4" i="9"/>
  <c r="CJ4" i="9"/>
  <c r="CG4" i="9"/>
  <c r="CD4" i="9"/>
  <c r="CA4" i="9"/>
  <c r="BX4" i="9"/>
  <c r="BU4" i="9"/>
  <c r="BR4" i="9"/>
  <c r="BO4" i="9"/>
  <c r="BL4" i="9"/>
  <c r="BI4" i="9"/>
  <c r="BF4" i="9"/>
  <c r="BC4" i="9"/>
  <c r="AZ4" i="9"/>
  <c r="AW4" i="9"/>
  <c r="AT4" i="9"/>
  <c r="AQ4" i="9"/>
  <c r="AN4" i="9"/>
  <c r="AK4" i="9"/>
  <c r="AH4" i="9"/>
  <c r="AE4" i="9"/>
  <c r="AB4" i="9"/>
  <c r="Y4" i="9"/>
  <c r="V4" i="9"/>
  <c r="S4" i="9"/>
  <c r="P4" i="9"/>
  <c r="M4" i="9"/>
  <c r="J4" i="9"/>
  <c r="DE3" i="9"/>
  <c r="DB3" i="9"/>
  <c r="CY3" i="9"/>
  <c r="CV3" i="9"/>
  <c r="CS3" i="9"/>
  <c r="CP3" i="9"/>
  <c r="CM3" i="9"/>
  <c r="CJ3" i="9"/>
  <c r="CG3" i="9"/>
  <c r="CD3" i="9"/>
  <c r="CA3" i="9"/>
  <c r="BX3" i="9"/>
  <c r="BU3" i="9"/>
  <c r="BR3" i="9"/>
  <c r="BO3" i="9"/>
  <c r="BL3" i="9"/>
  <c r="BI3" i="9"/>
  <c r="BF3" i="9"/>
  <c r="BC3" i="9"/>
  <c r="AZ3" i="9"/>
  <c r="AW3" i="9"/>
  <c r="AT3" i="9"/>
  <c r="AQ3" i="9"/>
  <c r="AN3" i="9"/>
  <c r="AK3" i="9"/>
  <c r="AH3" i="9"/>
  <c r="AE3" i="9"/>
  <c r="AB3" i="9"/>
  <c r="Y3" i="9"/>
  <c r="V3" i="9"/>
  <c r="S3" i="9"/>
  <c r="P3" i="9"/>
  <c r="M3" i="9"/>
  <c r="J3" i="9"/>
  <c r="E504" i="8"/>
  <c r="D504" i="8"/>
  <c r="C504" i="8"/>
  <c r="B504" i="8"/>
  <c r="A504" i="8"/>
  <c r="E503" i="8"/>
  <c r="D503" i="8"/>
  <c r="C503" i="8"/>
  <c r="B503" i="8"/>
  <c r="A503" i="8"/>
  <c r="E502" i="8"/>
  <c r="D502" i="8"/>
  <c r="C502" i="8"/>
  <c r="B502" i="8"/>
  <c r="A502" i="8"/>
  <c r="E501" i="8"/>
  <c r="D501" i="8"/>
  <c r="C501" i="8"/>
  <c r="B501" i="8"/>
  <c r="A501" i="8"/>
  <c r="E500" i="8"/>
  <c r="D500" i="8"/>
  <c r="C500" i="8"/>
  <c r="B500" i="8"/>
  <c r="A500" i="8"/>
  <c r="E499" i="8"/>
  <c r="D499" i="8"/>
  <c r="C499" i="8"/>
  <c r="B499" i="8"/>
  <c r="A499" i="8"/>
  <c r="E498" i="8"/>
  <c r="D498" i="8"/>
  <c r="C498" i="8"/>
  <c r="B498" i="8"/>
  <c r="A498" i="8"/>
  <c r="E497" i="8"/>
  <c r="D497" i="8"/>
  <c r="C497" i="8"/>
  <c r="B497" i="8"/>
  <c r="A497" i="8"/>
  <c r="E496" i="8"/>
  <c r="D496" i="8"/>
  <c r="C496" i="8"/>
  <c r="B496" i="8"/>
  <c r="A496" i="8"/>
  <c r="E495" i="8"/>
  <c r="D495" i="8"/>
  <c r="C495" i="8"/>
  <c r="B495" i="8"/>
  <c r="A495" i="8"/>
  <c r="E494" i="8"/>
  <c r="D494" i="8"/>
  <c r="C494" i="8"/>
  <c r="B494" i="8"/>
  <c r="A494" i="8"/>
  <c r="E493" i="8"/>
  <c r="D493" i="8"/>
  <c r="C493" i="8"/>
  <c r="B493" i="8"/>
  <c r="A493" i="8"/>
  <c r="E492" i="8"/>
  <c r="D492" i="8"/>
  <c r="C492" i="8"/>
  <c r="B492" i="8"/>
  <c r="A492" i="8"/>
  <c r="E491" i="8"/>
  <c r="D491" i="8"/>
  <c r="C491" i="8"/>
  <c r="B491" i="8"/>
  <c r="A491" i="8"/>
  <c r="E490" i="8"/>
  <c r="D490" i="8"/>
  <c r="C490" i="8"/>
  <c r="B490" i="8"/>
  <c r="A490" i="8"/>
  <c r="E489" i="8"/>
  <c r="D489" i="8"/>
  <c r="C489" i="8"/>
  <c r="B489" i="8"/>
  <c r="A489" i="8"/>
  <c r="E488" i="8"/>
  <c r="D488" i="8"/>
  <c r="C488" i="8"/>
  <c r="B488" i="8"/>
  <c r="A488" i="8"/>
  <c r="E487" i="8"/>
  <c r="D487" i="8"/>
  <c r="C487" i="8"/>
  <c r="B487" i="8"/>
  <c r="A487" i="8"/>
  <c r="E486" i="8"/>
  <c r="D486" i="8"/>
  <c r="C486" i="8"/>
  <c r="B486" i="8"/>
  <c r="A486" i="8"/>
  <c r="E485" i="8"/>
  <c r="D485" i="8"/>
  <c r="C485" i="8"/>
  <c r="B485" i="8"/>
  <c r="A485" i="8"/>
  <c r="E484" i="8"/>
  <c r="D484" i="8"/>
  <c r="C484" i="8"/>
  <c r="B484" i="8"/>
  <c r="A484" i="8"/>
  <c r="E483" i="8"/>
  <c r="D483" i="8"/>
  <c r="C483" i="8"/>
  <c r="B483" i="8"/>
  <c r="A483" i="8"/>
  <c r="E482" i="8"/>
  <c r="D482" i="8"/>
  <c r="C482" i="8"/>
  <c r="B482" i="8"/>
  <c r="A482" i="8"/>
  <c r="E481" i="8"/>
  <c r="D481" i="8"/>
  <c r="C481" i="8"/>
  <c r="B481" i="8"/>
  <c r="A481" i="8"/>
  <c r="E480" i="8"/>
  <c r="D480" i="8"/>
  <c r="C480" i="8"/>
  <c r="B480" i="8"/>
  <c r="A480" i="8"/>
  <c r="E479" i="8"/>
  <c r="D479" i="8"/>
  <c r="C479" i="8"/>
  <c r="B479" i="8"/>
  <c r="A479" i="8"/>
  <c r="E478" i="8"/>
  <c r="D478" i="8"/>
  <c r="C478" i="8"/>
  <c r="B478" i="8"/>
  <c r="A478" i="8"/>
  <c r="E477" i="8"/>
  <c r="D477" i="8"/>
  <c r="C477" i="8"/>
  <c r="B477" i="8"/>
  <c r="A477" i="8"/>
  <c r="E476" i="8"/>
  <c r="D476" i="8"/>
  <c r="C476" i="8"/>
  <c r="B476" i="8"/>
  <c r="A476" i="8"/>
  <c r="E475" i="8"/>
  <c r="D475" i="8"/>
  <c r="C475" i="8"/>
  <c r="B475" i="8"/>
  <c r="A475" i="8"/>
  <c r="E474" i="8"/>
  <c r="D474" i="8"/>
  <c r="C474" i="8"/>
  <c r="B474" i="8"/>
  <c r="A474" i="8"/>
  <c r="E473" i="8"/>
  <c r="D473" i="8"/>
  <c r="C473" i="8"/>
  <c r="B473" i="8"/>
  <c r="A473" i="8"/>
  <c r="E472" i="8"/>
  <c r="D472" i="8"/>
  <c r="C472" i="8"/>
  <c r="B472" i="8"/>
  <c r="A472" i="8"/>
  <c r="E471" i="8"/>
  <c r="D471" i="8"/>
  <c r="C471" i="8"/>
  <c r="B471" i="8"/>
  <c r="A471" i="8"/>
  <c r="E470" i="8"/>
  <c r="D470" i="8"/>
  <c r="C470" i="8"/>
  <c r="B470" i="8"/>
  <c r="A470" i="8"/>
  <c r="E469" i="8"/>
  <c r="D469" i="8"/>
  <c r="C469" i="8"/>
  <c r="B469" i="8"/>
  <c r="A469" i="8"/>
  <c r="E468" i="8"/>
  <c r="D468" i="8"/>
  <c r="C468" i="8"/>
  <c r="B468" i="8"/>
  <c r="A468" i="8"/>
  <c r="E467" i="8"/>
  <c r="D467" i="8"/>
  <c r="C467" i="8"/>
  <c r="B467" i="8"/>
  <c r="A467" i="8"/>
  <c r="E466" i="8"/>
  <c r="D466" i="8"/>
  <c r="C466" i="8"/>
  <c r="B466" i="8"/>
  <c r="A466" i="8"/>
  <c r="E465" i="8"/>
  <c r="D465" i="8"/>
  <c r="C465" i="8"/>
  <c r="B465" i="8"/>
  <c r="A465" i="8"/>
  <c r="E464" i="8"/>
  <c r="D464" i="8"/>
  <c r="C464" i="8"/>
  <c r="B464" i="8"/>
  <c r="A464" i="8"/>
  <c r="E463" i="8"/>
  <c r="D463" i="8"/>
  <c r="C463" i="8"/>
  <c r="B463" i="8"/>
  <c r="A463" i="8"/>
  <c r="E462" i="8"/>
  <c r="D462" i="8"/>
  <c r="C462" i="8"/>
  <c r="B462" i="8"/>
  <c r="A462" i="8"/>
  <c r="E461" i="8"/>
  <c r="D461" i="8"/>
  <c r="C461" i="8"/>
  <c r="B461" i="8"/>
  <c r="A461" i="8"/>
  <c r="E460" i="8"/>
  <c r="D460" i="8"/>
  <c r="C460" i="8"/>
  <c r="B460" i="8"/>
  <c r="A460" i="8"/>
  <c r="E459" i="8"/>
  <c r="D459" i="8"/>
  <c r="C459" i="8"/>
  <c r="B459" i="8"/>
  <c r="A459" i="8"/>
  <c r="E458" i="8"/>
  <c r="D458" i="8"/>
  <c r="C458" i="8"/>
  <c r="B458" i="8"/>
  <c r="A458" i="8"/>
  <c r="E457" i="8"/>
  <c r="D457" i="8"/>
  <c r="C457" i="8"/>
  <c r="B457" i="8"/>
  <c r="A457" i="8"/>
  <c r="E456" i="8"/>
  <c r="D456" i="8"/>
  <c r="C456" i="8"/>
  <c r="B456" i="8"/>
  <c r="A456" i="8"/>
  <c r="E455" i="8"/>
  <c r="D455" i="8"/>
  <c r="C455" i="8"/>
  <c r="B455" i="8"/>
  <c r="A455" i="8"/>
  <c r="E454" i="8"/>
  <c r="D454" i="8"/>
  <c r="C454" i="8"/>
  <c r="B454" i="8"/>
  <c r="A454" i="8"/>
  <c r="E453" i="8"/>
  <c r="D453" i="8"/>
  <c r="C453" i="8"/>
  <c r="B453" i="8"/>
  <c r="A453" i="8"/>
  <c r="E452" i="8"/>
  <c r="D452" i="8"/>
  <c r="C452" i="8"/>
  <c r="B452" i="8"/>
  <c r="A452" i="8"/>
  <c r="E451" i="8"/>
  <c r="D451" i="8"/>
  <c r="C451" i="8"/>
  <c r="B451" i="8"/>
  <c r="A451" i="8"/>
  <c r="E450" i="8"/>
  <c r="D450" i="8"/>
  <c r="C450" i="8"/>
  <c r="B450" i="8"/>
  <c r="A450" i="8"/>
  <c r="E449" i="8"/>
  <c r="D449" i="8"/>
  <c r="C449" i="8"/>
  <c r="B449" i="8"/>
  <c r="A449" i="8"/>
  <c r="E448" i="8"/>
  <c r="D448" i="8"/>
  <c r="C448" i="8"/>
  <c r="B448" i="8"/>
  <c r="A448" i="8"/>
  <c r="E447" i="8"/>
  <c r="D447" i="8"/>
  <c r="C447" i="8"/>
  <c r="B447" i="8"/>
  <c r="A447" i="8"/>
  <c r="E446" i="8"/>
  <c r="D446" i="8"/>
  <c r="C446" i="8"/>
  <c r="B446" i="8"/>
  <c r="A446" i="8"/>
  <c r="E445" i="8"/>
  <c r="D445" i="8"/>
  <c r="C445" i="8"/>
  <c r="B445" i="8"/>
  <c r="A445" i="8"/>
  <c r="E444" i="8"/>
  <c r="D444" i="8"/>
  <c r="C444" i="8"/>
  <c r="B444" i="8"/>
  <c r="A444" i="8"/>
  <c r="E443" i="8"/>
  <c r="D443" i="8"/>
  <c r="C443" i="8"/>
  <c r="B443" i="8"/>
  <c r="A443" i="8"/>
  <c r="E442" i="8"/>
  <c r="D442" i="8"/>
  <c r="C442" i="8"/>
  <c r="B442" i="8"/>
  <c r="A442" i="8"/>
  <c r="E441" i="8"/>
  <c r="D441" i="8"/>
  <c r="C441" i="8"/>
  <c r="B441" i="8"/>
  <c r="A441" i="8"/>
  <c r="E440" i="8"/>
  <c r="D440" i="8"/>
  <c r="C440" i="8"/>
  <c r="B440" i="8"/>
  <c r="A440" i="8"/>
  <c r="E439" i="8"/>
  <c r="D439" i="8"/>
  <c r="C439" i="8"/>
  <c r="B439" i="8"/>
  <c r="A439" i="8"/>
  <c r="E438" i="8"/>
  <c r="D438" i="8"/>
  <c r="C438" i="8"/>
  <c r="B438" i="8"/>
  <c r="A438" i="8"/>
  <c r="E437" i="8"/>
  <c r="D437" i="8"/>
  <c r="C437" i="8"/>
  <c r="B437" i="8"/>
  <c r="A437" i="8"/>
  <c r="E436" i="8"/>
  <c r="D436" i="8"/>
  <c r="C436" i="8"/>
  <c r="B436" i="8"/>
  <c r="A436" i="8"/>
  <c r="E435" i="8"/>
  <c r="D435" i="8"/>
  <c r="C435" i="8"/>
  <c r="B435" i="8"/>
  <c r="A435" i="8"/>
  <c r="E434" i="8"/>
  <c r="D434" i="8"/>
  <c r="C434" i="8"/>
  <c r="B434" i="8"/>
  <c r="A434" i="8"/>
  <c r="E433" i="8"/>
  <c r="D433" i="8"/>
  <c r="C433" i="8"/>
  <c r="B433" i="8"/>
  <c r="A433" i="8"/>
  <c r="E432" i="8"/>
  <c r="D432" i="8"/>
  <c r="C432" i="8"/>
  <c r="B432" i="8"/>
  <c r="A432" i="8"/>
  <c r="E431" i="8"/>
  <c r="D431" i="8"/>
  <c r="C431" i="8"/>
  <c r="B431" i="8"/>
  <c r="A431" i="8"/>
  <c r="E430" i="8"/>
  <c r="D430" i="8"/>
  <c r="C430" i="8"/>
  <c r="B430" i="8"/>
  <c r="A430" i="8"/>
  <c r="E429" i="8"/>
  <c r="D429" i="8"/>
  <c r="C429" i="8"/>
  <c r="B429" i="8"/>
  <c r="A429" i="8"/>
  <c r="E428" i="8"/>
  <c r="D428" i="8"/>
  <c r="C428" i="8"/>
  <c r="B428" i="8"/>
  <c r="A428" i="8"/>
  <c r="E427" i="8"/>
  <c r="D427" i="8"/>
  <c r="C427" i="8"/>
  <c r="B427" i="8"/>
  <c r="A427" i="8"/>
  <c r="E426" i="8"/>
  <c r="D426" i="8"/>
  <c r="C426" i="8"/>
  <c r="B426" i="8"/>
  <c r="A426" i="8"/>
  <c r="E425" i="8"/>
  <c r="D425" i="8"/>
  <c r="C425" i="8"/>
  <c r="B425" i="8"/>
  <c r="A425" i="8"/>
  <c r="E424" i="8"/>
  <c r="D424" i="8"/>
  <c r="C424" i="8"/>
  <c r="B424" i="8"/>
  <c r="A424" i="8"/>
  <c r="E423" i="8"/>
  <c r="D423" i="8"/>
  <c r="C423" i="8"/>
  <c r="B423" i="8"/>
  <c r="A423" i="8"/>
  <c r="E422" i="8"/>
  <c r="D422" i="8"/>
  <c r="C422" i="8"/>
  <c r="B422" i="8"/>
  <c r="A422" i="8"/>
  <c r="E421" i="8"/>
  <c r="D421" i="8"/>
  <c r="C421" i="8"/>
  <c r="B421" i="8"/>
  <c r="A421" i="8"/>
  <c r="E420" i="8"/>
  <c r="D420" i="8"/>
  <c r="C420" i="8"/>
  <c r="B420" i="8"/>
  <c r="A420" i="8"/>
  <c r="E419" i="8"/>
  <c r="D419" i="8"/>
  <c r="C419" i="8"/>
  <c r="B419" i="8"/>
  <c r="A419" i="8"/>
  <c r="E418" i="8"/>
  <c r="D418" i="8"/>
  <c r="C418" i="8"/>
  <c r="B418" i="8"/>
  <c r="A418" i="8"/>
  <c r="E417" i="8"/>
  <c r="D417" i="8"/>
  <c r="C417" i="8"/>
  <c r="B417" i="8"/>
  <c r="A417" i="8"/>
  <c r="E416" i="8"/>
  <c r="D416" i="8"/>
  <c r="C416" i="8"/>
  <c r="B416" i="8"/>
  <c r="A416" i="8"/>
  <c r="E415" i="8"/>
  <c r="D415" i="8"/>
  <c r="C415" i="8"/>
  <c r="B415" i="8"/>
  <c r="A415" i="8"/>
  <c r="E414" i="8"/>
  <c r="D414" i="8"/>
  <c r="C414" i="8"/>
  <c r="B414" i="8"/>
  <c r="A414" i="8"/>
  <c r="E413" i="8"/>
  <c r="D413" i="8"/>
  <c r="C413" i="8"/>
  <c r="B413" i="8"/>
  <c r="A413" i="8"/>
  <c r="E412" i="8"/>
  <c r="D412" i="8"/>
  <c r="C412" i="8"/>
  <c r="B412" i="8"/>
  <c r="A412" i="8"/>
  <c r="E411" i="8"/>
  <c r="D411" i="8"/>
  <c r="C411" i="8"/>
  <c r="B411" i="8"/>
  <c r="A411" i="8"/>
  <c r="E410" i="8"/>
  <c r="D410" i="8"/>
  <c r="C410" i="8"/>
  <c r="B410" i="8"/>
  <c r="A410" i="8"/>
  <c r="E409" i="8"/>
  <c r="D409" i="8"/>
  <c r="C409" i="8"/>
  <c r="B409" i="8"/>
  <c r="A409" i="8"/>
  <c r="E408" i="8"/>
  <c r="D408" i="8"/>
  <c r="C408" i="8"/>
  <c r="B408" i="8"/>
  <c r="A408" i="8"/>
  <c r="E407" i="8"/>
  <c r="D407" i="8"/>
  <c r="C407" i="8"/>
  <c r="B407" i="8"/>
  <c r="A407" i="8"/>
  <c r="E406" i="8"/>
  <c r="D406" i="8"/>
  <c r="C406" i="8"/>
  <c r="B406" i="8"/>
  <c r="A406" i="8"/>
  <c r="E405" i="8"/>
  <c r="D405" i="8"/>
  <c r="C405" i="8"/>
  <c r="B405" i="8"/>
  <c r="A405" i="8"/>
  <c r="E404" i="8"/>
  <c r="D404" i="8"/>
  <c r="C404" i="8"/>
  <c r="B404" i="8"/>
  <c r="A404" i="8"/>
  <c r="E403" i="8"/>
  <c r="D403" i="8"/>
  <c r="C403" i="8"/>
  <c r="B403" i="8"/>
  <c r="A403" i="8"/>
  <c r="E402" i="8"/>
  <c r="D402" i="8"/>
  <c r="C402" i="8"/>
  <c r="B402" i="8"/>
  <c r="A402" i="8"/>
  <c r="E401" i="8"/>
  <c r="D401" i="8"/>
  <c r="C401" i="8"/>
  <c r="B401" i="8"/>
  <c r="A401" i="8"/>
  <c r="E400" i="8"/>
  <c r="D400" i="8"/>
  <c r="C400" i="8"/>
  <c r="B400" i="8"/>
  <c r="A400" i="8"/>
  <c r="E399" i="8"/>
  <c r="D399" i="8"/>
  <c r="C399" i="8"/>
  <c r="B399" i="8"/>
  <c r="A399" i="8"/>
  <c r="E398" i="8"/>
  <c r="D398" i="8"/>
  <c r="C398" i="8"/>
  <c r="B398" i="8"/>
  <c r="A398" i="8"/>
  <c r="E397" i="8"/>
  <c r="D397" i="8"/>
  <c r="C397" i="8"/>
  <c r="B397" i="8"/>
  <c r="A397" i="8"/>
  <c r="E396" i="8"/>
  <c r="D396" i="8"/>
  <c r="C396" i="8"/>
  <c r="B396" i="8"/>
  <c r="A396" i="8"/>
  <c r="E395" i="8"/>
  <c r="D395" i="8"/>
  <c r="C395" i="8"/>
  <c r="B395" i="8"/>
  <c r="A395" i="8"/>
  <c r="E394" i="8"/>
  <c r="D394" i="8"/>
  <c r="C394" i="8"/>
  <c r="B394" i="8"/>
  <c r="A394" i="8"/>
  <c r="E393" i="8"/>
  <c r="D393" i="8"/>
  <c r="C393" i="8"/>
  <c r="B393" i="8"/>
  <c r="A393" i="8"/>
  <c r="E392" i="8"/>
  <c r="D392" i="8"/>
  <c r="C392" i="8"/>
  <c r="B392" i="8"/>
  <c r="A392" i="8"/>
  <c r="E391" i="8"/>
  <c r="D391" i="8"/>
  <c r="C391" i="8"/>
  <c r="B391" i="8"/>
  <c r="A391" i="8"/>
  <c r="E390" i="8"/>
  <c r="D390" i="8"/>
  <c r="C390" i="8"/>
  <c r="B390" i="8"/>
  <c r="A390" i="8"/>
  <c r="E389" i="8"/>
  <c r="D389" i="8"/>
  <c r="C389" i="8"/>
  <c r="B389" i="8"/>
  <c r="A389" i="8"/>
  <c r="E388" i="8"/>
  <c r="D388" i="8"/>
  <c r="C388" i="8"/>
  <c r="B388" i="8"/>
  <c r="A388" i="8"/>
  <c r="E387" i="8"/>
  <c r="D387" i="8"/>
  <c r="C387" i="8"/>
  <c r="B387" i="8"/>
  <c r="A387" i="8"/>
  <c r="E386" i="8"/>
  <c r="D386" i="8"/>
  <c r="C386" i="8"/>
  <c r="B386" i="8"/>
  <c r="A386" i="8"/>
  <c r="E385" i="8"/>
  <c r="D385" i="8"/>
  <c r="C385" i="8"/>
  <c r="B385" i="8"/>
  <c r="A385" i="8"/>
  <c r="E384" i="8"/>
  <c r="D384" i="8"/>
  <c r="C384" i="8"/>
  <c r="B384" i="8"/>
  <c r="A384" i="8"/>
  <c r="E383" i="8"/>
  <c r="D383" i="8"/>
  <c r="C383" i="8"/>
  <c r="B383" i="8"/>
  <c r="A383" i="8"/>
  <c r="E382" i="8"/>
  <c r="D382" i="8"/>
  <c r="C382" i="8"/>
  <c r="B382" i="8"/>
  <c r="A382" i="8"/>
  <c r="E381" i="8"/>
  <c r="D381" i="8"/>
  <c r="C381" i="8"/>
  <c r="B381" i="8"/>
  <c r="A381" i="8"/>
  <c r="E380" i="8"/>
  <c r="D380" i="8"/>
  <c r="C380" i="8"/>
  <c r="B380" i="8"/>
  <c r="A380" i="8"/>
  <c r="E379" i="8"/>
  <c r="D379" i="8"/>
  <c r="C379" i="8"/>
  <c r="B379" i="8"/>
  <c r="A379" i="8"/>
  <c r="E378" i="8"/>
  <c r="D378" i="8"/>
  <c r="C378" i="8"/>
  <c r="B378" i="8"/>
  <c r="A378" i="8"/>
  <c r="E377" i="8"/>
  <c r="D377" i="8"/>
  <c r="C377" i="8"/>
  <c r="B377" i="8"/>
  <c r="A377" i="8"/>
  <c r="E376" i="8"/>
  <c r="D376" i="8"/>
  <c r="C376" i="8"/>
  <c r="B376" i="8"/>
  <c r="A376" i="8"/>
  <c r="E375" i="8"/>
  <c r="D375" i="8"/>
  <c r="C375" i="8"/>
  <c r="B375" i="8"/>
  <c r="A375" i="8"/>
  <c r="E374" i="8"/>
  <c r="D374" i="8"/>
  <c r="C374" i="8"/>
  <c r="B374" i="8"/>
  <c r="A374" i="8"/>
  <c r="E373" i="8"/>
  <c r="D373" i="8"/>
  <c r="C373" i="8"/>
  <c r="B373" i="8"/>
  <c r="A373" i="8"/>
  <c r="E372" i="8"/>
  <c r="D372" i="8"/>
  <c r="C372" i="8"/>
  <c r="B372" i="8"/>
  <c r="A372" i="8"/>
  <c r="E371" i="8"/>
  <c r="D371" i="8"/>
  <c r="C371" i="8"/>
  <c r="B371" i="8"/>
  <c r="A371" i="8"/>
  <c r="E370" i="8"/>
  <c r="D370" i="8"/>
  <c r="C370" i="8"/>
  <c r="B370" i="8"/>
  <c r="A370" i="8"/>
  <c r="E369" i="8"/>
  <c r="D369" i="8"/>
  <c r="C369" i="8"/>
  <c r="B369" i="8"/>
  <c r="A369" i="8"/>
  <c r="E368" i="8"/>
  <c r="D368" i="8"/>
  <c r="C368" i="8"/>
  <c r="B368" i="8"/>
  <c r="A368" i="8"/>
  <c r="E367" i="8"/>
  <c r="D367" i="8"/>
  <c r="C367" i="8"/>
  <c r="B367" i="8"/>
  <c r="A367" i="8"/>
  <c r="E366" i="8"/>
  <c r="D366" i="8"/>
  <c r="C366" i="8"/>
  <c r="B366" i="8"/>
  <c r="A366" i="8"/>
  <c r="E365" i="8"/>
  <c r="D365" i="8"/>
  <c r="C365" i="8"/>
  <c r="B365" i="8"/>
  <c r="A365" i="8"/>
  <c r="E364" i="8"/>
  <c r="D364" i="8"/>
  <c r="C364" i="8"/>
  <c r="B364" i="8"/>
  <c r="A364" i="8"/>
  <c r="E363" i="8"/>
  <c r="D363" i="8"/>
  <c r="C363" i="8"/>
  <c r="B363" i="8"/>
  <c r="A363" i="8"/>
  <c r="E362" i="8"/>
  <c r="D362" i="8"/>
  <c r="C362" i="8"/>
  <c r="B362" i="8"/>
  <c r="A362" i="8"/>
  <c r="E361" i="8"/>
  <c r="D361" i="8"/>
  <c r="C361" i="8"/>
  <c r="B361" i="8"/>
  <c r="A361" i="8"/>
  <c r="E360" i="8"/>
  <c r="D360" i="8"/>
  <c r="C360" i="8"/>
  <c r="B360" i="8"/>
  <c r="A360" i="8"/>
  <c r="E359" i="8"/>
  <c r="D359" i="8"/>
  <c r="C359" i="8"/>
  <c r="B359" i="8"/>
  <c r="A359" i="8"/>
  <c r="E358" i="8"/>
  <c r="D358" i="8"/>
  <c r="C358" i="8"/>
  <c r="B358" i="8"/>
  <c r="A358" i="8"/>
  <c r="E357" i="8"/>
  <c r="D357" i="8"/>
  <c r="C357" i="8"/>
  <c r="B357" i="8"/>
  <c r="A357" i="8"/>
  <c r="E356" i="8"/>
  <c r="D356" i="8"/>
  <c r="C356" i="8"/>
  <c r="B356" i="8"/>
  <c r="A356" i="8"/>
  <c r="E355" i="8"/>
  <c r="D355" i="8"/>
  <c r="C355" i="8"/>
  <c r="B355" i="8"/>
  <c r="A355" i="8"/>
  <c r="E354" i="8"/>
  <c r="D354" i="8"/>
  <c r="C354" i="8"/>
  <c r="B354" i="8"/>
  <c r="A354" i="8"/>
  <c r="E353" i="8"/>
  <c r="D353" i="8"/>
  <c r="C353" i="8"/>
  <c r="B353" i="8"/>
  <c r="A353" i="8"/>
  <c r="E352" i="8"/>
  <c r="D352" i="8"/>
  <c r="C352" i="8"/>
  <c r="B352" i="8"/>
  <c r="A352" i="8"/>
  <c r="E351" i="8"/>
  <c r="D351" i="8"/>
  <c r="C351" i="8"/>
  <c r="B351" i="8"/>
  <c r="A351" i="8"/>
  <c r="E350" i="8"/>
  <c r="D350" i="8"/>
  <c r="C350" i="8"/>
  <c r="B350" i="8"/>
  <c r="A350" i="8"/>
  <c r="E349" i="8"/>
  <c r="D349" i="8"/>
  <c r="C349" i="8"/>
  <c r="B349" i="8"/>
  <c r="A349" i="8"/>
  <c r="E348" i="8"/>
  <c r="D348" i="8"/>
  <c r="C348" i="8"/>
  <c r="B348" i="8"/>
  <c r="A348" i="8"/>
  <c r="E347" i="8"/>
  <c r="D347" i="8"/>
  <c r="C347" i="8"/>
  <c r="B347" i="8"/>
  <c r="A347" i="8"/>
  <c r="E346" i="8"/>
  <c r="D346" i="8"/>
  <c r="C346" i="8"/>
  <c r="B346" i="8"/>
  <c r="A346" i="8"/>
  <c r="E345" i="8"/>
  <c r="D345" i="8"/>
  <c r="C345" i="8"/>
  <c r="B345" i="8"/>
  <c r="A345" i="8"/>
  <c r="E344" i="8"/>
  <c r="D344" i="8"/>
  <c r="C344" i="8"/>
  <c r="B344" i="8"/>
  <c r="A344" i="8"/>
  <c r="E343" i="8"/>
  <c r="D343" i="8"/>
  <c r="C343" i="8"/>
  <c r="B343" i="8"/>
  <c r="A343" i="8"/>
  <c r="E342" i="8"/>
  <c r="D342" i="8"/>
  <c r="C342" i="8"/>
  <c r="B342" i="8"/>
  <c r="A342" i="8"/>
  <c r="E341" i="8"/>
  <c r="D341" i="8"/>
  <c r="C341" i="8"/>
  <c r="B341" i="8"/>
  <c r="A341" i="8"/>
  <c r="E340" i="8"/>
  <c r="D340" i="8"/>
  <c r="C340" i="8"/>
  <c r="B340" i="8"/>
  <c r="A340" i="8"/>
  <c r="E339" i="8"/>
  <c r="D339" i="8"/>
  <c r="C339" i="8"/>
  <c r="B339" i="8"/>
  <c r="A339" i="8"/>
  <c r="E338" i="8"/>
  <c r="D338" i="8"/>
  <c r="C338" i="8"/>
  <c r="B338" i="8"/>
  <c r="A338" i="8"/>
  <c r="E337" i="8"/>
  <c r="D337" i="8"/>
  <c r="C337" i="8"/>
  <c r="B337" i="8"/>
  <c r="A337" i="8"/>
  <c r="E336" i="8"/>
  <c r="D336" i="8"/>
  <c r="C336" i="8"/>
  <c r="B336" i="8"/>
  <c r="A336" i="8"/>
  <c r="E335" i="8"/>
  <c r="D335" i="8"/>
  <c r="C335" i="8"/>
  <c r="B335" i="8"/>
  <c r="A335" i="8"/>
  <c r="E334" i="8"/>
  <c r="D334" i="8"/>
  <c r="C334" i="8"/>
  <c r="B334" i="8"/>
  <c r="A334" i="8"/>
  <c r="E333" i="8"/>
  <c r="D333" i="8"/>
  <c r="C333" i="8"/>
  <c r="B333" i="8"/>
  <c r="A333" i="8"/>
  <c r="E332" i="8"/>
  <c r="D332" i="8"/>
  <c r="C332" i="8"/>
  <c r="B332" i="8"/>
  <c r="A332" i="8"/>
  <c r="E331" i="8"/>
  <c r="D331" i="8"/>
  <c r="C331" i="8"/>
  <c r="B331" i="8"/>
  <c r="A331" i="8"/>
  <c r="E330" i="8"/>
  <c r="D330" i="8"/>
  <c r="C330" i="8"/>
  <c r="B330" i="8"/>
  <c r="A330" i="8"/>
  <c r="E329" i="8"/>
  <c r="D329" i="8"/>
  <c r="C329" i="8"/>
  <c r="B329" i="8"/>
  <c r="A329" i="8"/>
  <c r="E328" i="8"/>
  <c r="D328" i="8"/>
  <c r="C328" i="8"/>
  <c r="B328" i="8"/>
  <c r="A328" i="8"/>
  <c r="E327" i="8"/>
  <c r="D327" i="8"/>
  <c r="C327" i="8"/>
  <c r="B327" i="8"/>
  <c r="A327" i="8"/>
  <c r="E326" i="8"/>
  <c r="D326" i="8"/>
  <c r="C326" i="8"/>
  <c r="B326" i="8"/>
  <c r="A326" i="8"/>
  <c r="E325" i="8"/>
  <c r="D325" i="8"/>
  <c r="C325" i="8"/>
  <c r="B325" i="8"/>
  <c r="A325" i="8"/>
  <c r="E324" i="8"/>
  <c r="D324" i="8"/>
  <c r="C324" i="8"/>
  <c r="B324" i="8"/>
  <c r="A324" i="8"/>
  <c r="E323" i="8"/>
  <c r="D323" i="8"/>
  <c r="C323" i="8"/>
  <c r="B323" i="8"/>
  <c r="A323" i="8"/>
  <c r="E322" i="8"/>
  <c r="D322" i="8"/>
  <c r="C322" i="8"/>
  <c r="B322" i="8"/>
  <c r="A322" i="8"/>
  <c r="E321" i="8"/>
  <c r="D321" i="8"/>
  <c r="C321" i="8"/>
  <c r="B321" i="8"/>
  <c r="A321" i="8"/>
  <c r="E320" i="8"/>
  <c r="D320" i="8"/>
  <c r="C320" i="8"/>
  <c r="B320" i="8"/>
  <c r="A320" i="8"/>
  <c r="E319" i="8"/>
  <c r="D319" i="8"/>
  <c r="C319" i="8"/>
  <c r="B319" i="8"/>
  <c r="A319" i="8"/>
  <c r="E318" i="8"/>
  <c r="D318" i="8"/>
  <c r="C318" i="8"/>
  <c r="B318" i="8"/>
  <c r="A318" i="8"/>
  <c r="E317" i="8"/>
  <c r="D317" i="8"/>
  <c r="C317" i="8"/>
  <c r="B317" i="8"/>
  <c r="A317" i="8"/>
  <c r="E316" i="8"/>
  <c r="D316" i="8"/>
  <c r="C316" i="8"/>
  <c r="B316" i="8"/>
  <c r="A316" i="8"/>
  <c r="E315" i="8"/>
  <c r="D315" i="8"/>
  <c r="C315" i="8"/>
  <c r="B315" i="8"/>
  <c r="A315" i="8"/>
  <c r="E314" i="8"/>
  <c r="D314" i="8"/>
  <c r="C314" i="8"/>
  <c r="B314" i="8"/>
  <c r="A314" i="8"/>
  <c r="E313" i="8"/>
  <c r="D313" i="8"/>
  <c r="C313" i="8"/>
  <c r="B313" i="8"/>
  <c r="A313" i="8"/>
  <c r="E312" i="8"/>
  <c r="D312" i="8"/>
  <c r="C312" i="8"/>
  <c r="B312" i="8"/>
  <c r="A312" i="8"/>
  <c r="E311" i="8"/>
  <c r="D311" i="8"/>
  <c r="C311" i="8"/>
  <c r="B311" i="8"/>
  <c r="A311" i="8"/>
  <c r="E310" i="8"/>
  <c r="D310" i="8"/>
  <c r="C310" i="8"/>
  <c r="B310" i="8"/>
  <c r="A310" i="8"/>
  <c r="E309" i="8"/>
  <c r="D309" i="8"/>
  <c r="C309" i="8"/>
  <c r="B309" i="8"/>
  <c r="A309" i="8"/>
  <c r="E308" i="8"/>
  <c r="D308" i="8"/>
  <c r="C308" i="8"/>
  <c r="B308" i="8"/>
  <c r="A308" i="8"/>
  <c r="E307" i="8"/>
  <c r="D307" i="8"/>
  <c r="C307" i="8"/>
  <c r="B307" i="8"/>
  <c r="A307" i="8"/>
  <c r="E306" i="8"/>
  <c r="D306" i="8"/>
  <c r="C306" i="8"/>
  <c r="B306" i="8"/>
  <c r="A306" i="8"/>
  <c r="E305" i="8"/>
  <c r="D305" i="8"/>
  <c r="C305" i="8"/>
  <c r="B305" i="8"/>
  <c r="A305" i="8"/>
  <c r="E304" i="8"/>
  <c r="D304" i="8"/>
  <c r="C304" i="8"/>
  <c r="B304" i="8"/>
  <c r="A304" i="8"/>
  <c r="E303" i="8"/>
  <c r="D303" i="8"/>
  <c r="C303" i="8"/>
  <c r="B303" i="8"/>
  <c r="A303" i="8"/>
  <c r="E302" i="8"/>
  <c r="D302" i="8"/>
  <c r="C302" i="8"/>
  <c r="B302" i="8"/>
  <c r="A302" i="8"/>
  <c r="E301" i="8"/>
  <c r="D301" i="8"/>
  <c r="C301" i="8"/>
  <c r="B301" i="8"/>
  <c r="A301" i="8"/>
  <c r="E300" i="8"/>
  <c r="D300" i="8"/>
  <c r="C300" i="8"/>
  <c r="B300" i="8"/>
  <c r="A300" i="8"/>
  <c r="E299" i="8"/>
  <c r="D299" i="8"/>
  <c r="C299" i="8"/>
  <c r="B299" i="8"/>
  <c r="A299" i="8"/>
  <c r="E298" i="8"/>
  <c r="D298" i="8"/>
  <c r="C298" i="8"/>
  <c r="B298" i="8"/>
  <c r="A298" i="8"/>
  <c r="E297" i="8"/>
  <c r="D297" i="8"/>
  <c r="C297" i="8"/>
  <c r="B297" i="8"/>
  <c r="A297" i="8"/>
  <c r="E296" i="8"/>
  <c r="D296" i="8"/>
  <c r="C296" i="8"/>
  <c r="B296" i="8"/>
  <c r="A296" i="8"/>
  <c r="E295" i="8"/>
  <c r="D295" i="8"/>
  <c r="C295" i="8"/>
  <c r="B295" i="8"/>
  <c r="A295" i="8"/>
  <c r="E294" i="8"/>
  <c r="D294" i="8"/>
  <c r="C294" i="8"/>
  <c r="B294" i="8"/>
  <c r="A294" i="8"/>
  <c r="E293" i="8"/>
  <c r="D293" i="8"/>
  <c r="C293" i="8"/>
  <c r="B293" i="8"/>
  <c r="A293" i="8"/>
  <c r="E292" i="8"/>
  <c r="D292" i="8"/>
  <c r="C292" i="8"/>
  <c r="B292" i="8"/>
  <c r="A292" i="8"/>
  <c r="E291" i="8"/>
  <c r="D291" i="8"/>
  <c r="C291" i="8"/>
  <c r="B291" i="8"/>
  <c r="A291" i="8"/>
  <c r="E290" i="8"/>
  <c r="D290" i="8"/>
  <c r="C290" i="8"/>
  <c r="B290" i="8"/>
  <c r="A290" i="8"/>
  <c r="E289" i="8"/>
  <c r="D289" i="8"/>
  <c r="C289" i="8"/>
  <c r="B289" i="8"/>
  <c r="A289" i="8"/>
  <c r="E288" i="8"/>
  <c r="D288" i="8"/>
  <c r="C288" i="8"/>
  <c r="B288" i="8"/>
  <c r="A288" i="8"/>
  <c r="E287" i="8"/>
  <c r="D287" i="8"/>
  <c r="C287" i="8"/>
  <c r="B287" i="8"/>
  <c r="A287" i="8"/>
  <c r="E286" i="8"/>
  <c r="D286" i="8"/>
  <c r="C286" i="8"/>
  <c r="B286" i="8"/>
  <c r="A286" i="8"/>
  <c r="E285" i="8"/>
  <c r="D285" i="8"/>
  <c r="C285" i="8"/>
  <c r="B285" i="8"/>
  <c r="A285" i="8"/>
  <c r="E284" i="8"/>
  <c r="D284" i="8"/>
  <c r="C284" i="8"/>
  <c r="B284" i="8"/>
  <c r="A284" i="8"/>
  <c r="E283" i="8"/>
  <c r="D283" i="8"/>
  <c r="C283" i="8"/>
  <c r="B283" i="8"/>
  <c r="A283" i="8"/>
  <c r="E282" i="8"/>
  <c r="D282" i="8"/>
  <c r="C282" i="8"/>
  <c r="B282" i="8"/>
  <c r="A282" i="8"/>
  <c r="E281" i="8"/>
  <c r="D281" i="8"/>
  <c r="C281" i="8"/>
  <c r="B281" i="8"/>
  <c r="A281" i="8"/>
  <c r="E280" i="8"/>
  <c r="D280" i="8"/>
  <c r="C280" i="8"/>
  <c r="B280" i="8"/>
  <c r="A280" i="8"/>
  <c r="E279" i="8"/>
  <c r="D279" i="8"/>
  <c r="C279" i="8"/>
  <c r="B279" i="8"/>
  <c r="A279" i="8"/>
  <c r="E278" i="8"/>
  <c r="D278" i="8"/>
  <c r="C278" i="8"/>
  <c r="B278" i="8"/>
  <c r="A278" i="8"/>
  <c r="E277" i="8"/>
  <c r="D277" i="8"/>
  <c r="C277" i="8"/>
  <c r="B277" i="8"/>
  <c r="A277" i="8"/>
  <c r="E276" i="8"/>
  <c r="D276" i="8"/>
  <c r="C276" i="8"/>
  <c r="B276" i="8"/>
  <c r="A276" i="8"/>
  <c r="E275" i="8"/>
  <c r="D275" i="8"/>
  <c r="C275" i="8"/>
  <c r="B275" i="8"/>
  <c r="A275" i="8"/>
  <c r="E274" i="8"/>
  <c r="D274" i="8"/>
  <c r="C274" i="8"/>
  <c r="B274" i="8"/>
  <c r="A274" i="8"/>
  <c r="E273" i="8"/>
  <c r="D273" i="8"/>
  <c r="C273" i="8"/>
  <c r="B273" i="8"/>
  <c r="A273" i="8"/>
  <c r="E272" i="8"/>
  <c r="D272" i="8"/>
  <c r="C272" i="8"/>
  <c r="B272" i="8"/>
  <c r="A272" i="8"/>
  <c r="E271" i="8"/>
  <c r="D271" i="8"/>
  <c r="C271" i="8"/>
  <c r="B271" i="8"/>
  <c r="A271" i="8"/>
  <c r="E270" i="8"/>
  <c r="D270" i="8"/>
  <c r="C270" i="8"/>
  <c r="B270" i="8"/>
  <c r="A270" i="8"/>
  <c r="E269" i="8"/>
  <c r="D269" i="8"/>
  <c r="C269" i="8"/>
  <c r="B269" i="8"/>
  <c r="A269" i="8"/>
  <c r="E268" i="8"/>
  <c r="D268" i="8"/>
  <c r="C268" i="8"/>
  <c r="B268" i="8"/>
  <c r="A268" i="8"/>
  <c r="E267" i="8"/>
  <c r="D267" i="8"/>
  <c r="C267" i="8"/>
  <c r="B267" i="8"/>
  <c r="A267" i="8"/>
  <c r="E266" i="8"/>
  <c r="D266" i="8"/>
  <c r="C266" i="8"/>
  <c r="B266" i="8"/>
  <c r="A266" i="8"/>
  <c r="E265" i="8"/>
  <c r="D265" i="8"/>
  <c r="C265" i="8"/>
  <c r="B265" i="8"/>
  <c r="A265" i="8"/>
  <c r="E264" i="8"/>
  <c r="D264" i="8"/>
  <c r="C264" i="8"/>
  <c r="B264" i="8"/>
  <c r="A264" i="8"/>
  <c r="E263" i="8"/>
  <c r="D263" i="8"/>
  <c r="C263" i="8"/>
  <c r="B263" i="8"/>
  <c r="A263" i="8"/>
  <c r="E262" i="8"/>
  <c r="D262" i="8"/>
  <c r="C262" i="8"/>
  <c r="B262" i="8"/>
  <c r="A262" i="8"/>
  <c r="E261" i="8"/>
  <c r="D261" i="8"/>
  <c r="C261" i="8"/>
  <c r="B261" i="8"/>
  <c r="A261" i="8"/>
  <c r="E260" i="8"/>
  <c r="D260" i="8"/>
  <c r="C260" i="8"/>
  <c r="B260" i="8"/>
  <c r="A260" i="8"/>
  <c r="E259" i="8"/>
  <c r="D259" i="8"/>
  <c r="C259" i="8"/>
  <c r="B259" i="8"/>
  <c r="A259" i="8"/>
  <c r="E258" i="8"/>
  <c r="D258" i="8"/>
  <c r="C258" i="8"/>
  <c r="B258" i="8"/>
  <c r="A258" i="8"/>
  <c r="E257" i="8"/>
  <c r="D257" i="8"/>
  <c r="C257" i="8"/>
  <c r="B257" i="8"/>
  <c r="A257" i="8"/>
  <c r="E256" i="8"/>
  <c r="D256" i="8"/>
  <c r="C256" i="8"/>
  <c r="B256" i="8"/>
  <c r="A256" i="8"/>
  <c r="E255" i="8"/>
  <c r="D255" i="8"/>
  <c r="C255" i="8"/>
  <c r="B255" i="8"/>
  <c r="A255" i="8"/>
  <c r="E254" i="8"/>
  <c r="D254" i="8"/>
  <c r="C254" i="8"/>
  <c r="B254" i="8"/>
  <c r="A254" i="8"/>
  <c r="E253" i="8"/>
  <c r="D253" i="8"/>
  <c r="C253" i="8"/>
  <c r="B253" i="8"/>
  <c r="A253" i="8"/>
  <c r="E252" i="8"/>
  <c r="D252" i="8"/>
  <c r="C252" i="8"/>
  <c r="B252" i="8"/>
  <c r="A252" i="8"/>
  <c r="E251" i="8"/>
  <c r="D251" i="8"/>
  <c r="C251" i="8"/>
  <c r="B251" i="8"/>
  <c r="A251" i="8"/>
  <c r="E250" i="8"/>
  <c r="D250" i="8"/>
  <c r="C250" i="8"/>
  <c r="B250" i="8"/>
  <c r="A250" i="8"/>
  <c r="E249" i="8"/>
  <c r="D249" i="8"/>
  <c r="C249" i="8"/>
  <c r="B249" i="8"/>
  <c r="A249" i="8"/>
  <c r="E248" i="8"/>
  <c r="D248" i="8"/>
  <c r="C248" i="8"/>
  <c r="B248" i="8"/>
  <c r="A248" i="8"/>
  <c r="E247" i="8"/>
  <c r="D247" i="8"/>
  <c r="C247" i="8"/>
  <c r="B247" i="8"/>
  <c r="A247" i="8"/>
  <c r="E246" i="8"/>
  <c r="D246" i="8"/>
  <c r="C246" i="8"/>
  <c r="B246" i="8"/>
  <c r="A246" i="8"/>
  <c r="E245" i="8"/>
  <c r="D245" i="8"/>
  <c r="C245" i="8"/>
  <c r="B245" i="8"/>
  <c r="A245" i="8"/>
  <c r="E244" i="8"/>
  <c r="D244" i="8"/>
  <c r="C244" i="8"/>
  <c r="B244" i="8"/>
  <c r="A244" i="8"/>
  <c r="E243" i="8"/>
  <c r="D243" i="8"/>
  <c r="C243" i="8"/>
  <c r="B243" i="8"/>
  <c r="A243" i="8"/>
  <c r="E242" i="8"/>
  <c r="D242" i="8"/>
  <c r="C242" i="8"/>
  <c r="B242" i="8"/>
  <c r="A242" i="8"/>
  <c r="E241" i="8"/>
  <c r="D241" i="8"/>
  <c r="C241" i="8"/>
  <c r="B241" i="8"/>
  <c r="A241" i="8"/>
  <c r="E240" i="8"/>
  <c r="D240" i="8"/>
  <c r="C240" i="8"/>
  <c r="B240" i="8"/>
  <c r="A240" i="8"/>
  <c r="E239" i="8"/>
  <c r="D239" i="8"/>
  <c r="C239" i="8"/>
  <c r="B239" i="8"/>
  <c r="A239" i="8"/>
  <c r="E238" i="8"/>
  <c r="D238" i="8"/>
  <c r="C238" i="8"/>
  <c r="B238" i="8"/>
  <c r="A238" i="8"/>
  <c r="E237" i="8"/>
  <c r="D237" i="8"/>
  <c r="C237" i="8"/>
  <c r="B237" i="8"/>
  <c r="A237" i="8"/>
  <c r="E236" i="8"/>
  <c r="D236" i="8"/>
  <c r="C236" i="8"/>
  <c r="B236" i="8"/>
  <c r="A236" i="8"/>
  <c r="E235" i="8"/>
  <c r="D235" i="8"/>
  <c r="C235" i="8"/>
  <c r="B235" i="8"/>
  <c r="A235" i="8"/>
  <c r="E234" i="8"/>
  <c r="D234" i="8"/>
  <c r="C234" i="8"/>
  <c r="B234" i="8"/>
  <c r="A234" i="8"/>
  <c r="E233" i="8"/>
  <c r="D233" i="8"/>
  <c r="C233" i="8"/>
  <c r="B233" i="8"/>
  <c r="A233" i="8"/>
  <c r="E232" i="8"/>
  <c r="D232" i="8"/>
  <c r="C232" i="8"/>
  <c r="B232" i="8"/>
  <c r="A232" i="8"/>
  <c r="E231" i="8"/>
  <c r="D231" i="8"/>
  <c r="C231" i="8"/>
  <c r="B231" i="8"/>
  <c r="A231" i="8"/>
  <c r="E230" i="8"/>
  <c r="D230" i="8"/>
  <c r="C230" i="8"/>
  <c r="B230" i="8"/>
  <c r="A230" i="8"/>
  <c r="E229" i="8"/>
  <c r="D229" i="8"/>
  <c r="C229" i="8"/>
  <c r="B229" i="8"/>
  <c r="A229" i="8"/>
  <c r="E228" i="8"/>
  <c r="D228" i="8"/>
  <c r="C228" i="8"/>
  <c r="B228" i="8"/>
  <c r="A228" i="8"/>
  <c r="E227" i="8"/>
  <c r="D227" i="8"/>
  <c r="C227" i="8"/>
  <c r="B227" i="8"/>
  <c r="A227" i="8"/>
  <c r="E226" i="8"/>
  <c r="D226" i="8"/>
  <c r="C226" i="8"/>
  <c r="B226" i="8"/>
  <c r="A226" i="8"/>
  <c r="E225" i="8"/>
  <c r="D225" i="8"/>
  <c r="C225" i="8"/>
  <c r="B225" i="8"/>
  <c r="A225" i="8"/>
  <c r="E224" i="8"/>
  <c r="D224" i="8"/>
  <c r="C224" i="8"/>
  <c r="B224" i="8"/>
  <c r="A224" i="8"/>
  <c r="E223" i="8"/>
  <c r="D223" i="8"/>
  <c r="C223" i="8"/>
  <c r="B223" i="8"/>
  <c r="A223" i="8"/>
  <c r="E222" i="8"/>
  <c r="D222" i="8"/>
  <c r="C222" i="8"/>
  <c r="B222" i="8"/>
  <c r="A222" i="8"/>
  <c r="E221" i="8"/>
  <c r="D221" i="8"/>
  <c r="C221" i="8"/>
  <c r="B221" i="8"/>
  <c r="A221" i="8"/>
  <c r="E220" i="8"/>
  <c r="D220" i="8"/>
  <c r="C220" i="8"/>
  <c r="B220" i="8"/>
  <c r="A220" i="8"/>
  <c r="E219" i="8"/>
  <c r="D219" i="8"/>
  <c r="C219" i="8"/>
  <c r="B219" i="8"/>
  <c r="A219" i="8"/>
  <c r="E218" i="8"/>
  <c r="D218" i="8"/>
  <c r="C218" i="8"/>
  <c r="B218" i="8"/>
  <c r="A218" i="8"/>
  <c r="E217" i="8"/>
  <c r="D217" i="8"/>
  <c r="C217" i="8"/>
  <c r="B217" i="8"/>
  <c r="A217" i="8"/>
  <c r="E216" i="8"/>
  <c r="D216" i="8"/>
  <c r="C216" i="8"/>
  <c r="B216" i="8"/>
  <c r="A216" i="8"/>
  <c r="E215" i="8"/>
  <c r="D215" i="8"/>
  <c r="C215" i="8"/>
  <c r="B215" i="8"/>
  <c r="A215" i="8"/>
  <c r="E214" i="8"/>
  <c r="D214" i="8"/>
  <c r="C214" i="8"/>
  <c r="B214" i="8"/>
  <c r="A214" i="8"/>
  <c r="E213" i="8"/>
  <c r="D213" i="8"/>
  <c r="C213" i="8"/>
  <c r="B213" i="8"/>
  <c r="A213" i="8"/>
  <c r="E212" i="8"/>
  <c r="D212" i="8"/>
  <c r="C212" i="8"/>
  <c r="B212" i="8"/>
  <c r="A212" i="8"/>
  <c r="E211" i="8"/>
  <c r="D211" i="8"/>
  <c r="C211" i="8"/>
  <c r="B211" i="8"/>
  <c r="A211" i="8"/>
  <c r="E210" i="8"/>
  <c r="D210" i="8"/>
  <c r="C210" i="8"/>
  <c r="B210" i="8"/>
  <c r="A210" i="8"/>
  <c r="E209" i="8"/>
  <c r="D209" i="8"/>
  <c r="C209" i="8"/>
  <c r="B209" i="8"/>
  <c r="A209" i="8"/>
  <c r="E208" i="8"/>
  <c r="D208" i="8"/>
  <c r="C208" i="8"/>
  <c r="B208" i="8"/>
  <c r="A208" i="8"/>
  <c r="E207" i="8"/>
  <c r="D207" i="8"/>
  <c r="C207" i="8"/>
  <c r="B207" i="8"/>
  <c r="A207" i="8"/>
  <c r="E206" i="8"/>
  <c r="D206" i="8"/>
  <c r="C206" i="8"/>
  <c r="B206" i="8"/>
  <c r="A206" i="8"/>
  <c r="E205" i="8"/>
  <c r="D205" i="8"/>
  <c r="C205" i="8"/>
  <c r="B205" i="8"/>
  <c r="A205" i="8"/>
  <c r="E204" i="8"/>
  <c r="D204" i="8"/>
  <c r="C204" i="8"/>
  <c r="B204" i="8"/>
  <c r="A204" i="8"/>
  <c r="E203" i="8"/>
  <c r="D203" i="8"/>
  <c r="C203" i="8"/>
  <c r="B203" i="8"/>
  <c r="A203" i="8"/>
  <c r="E202" i="8"/>
  <c r="D202" i="8"/>
  <c r="C202" i="8"/>
  <c r="B202" i="8"/>
  <c r="A202" i="8"/>
  <c r="E201" i="8"/>
  <c r="D201" i="8"/>
  <c r="C201" i="8"/>
  <c r="B201" i="8"/>
  <c r="A201" i="8"/>
  <c r="E200" i="8"/>
  <c r="D200" i="8"/>
  <c r="C200" i="8"/>
  <c r="B200" i="8"/>
  <c r="A200" i="8"/>
  <c r="E199" i="8"/>
  <c r="D199" i="8"/>
  <c r="C199" i="8"/>
  <c r="B199" i="8"/>
  <c r="A199" i="8"/>
  <c r="E198" i="8"/>
  <c r="D198" i="8"/>
  <c r="C198" i="8"/>
  <c r="B198" i="8"/>
  <c r="A198" i="8"/>
  <c r="E197" i="8"/>
  <c r="D197" i="8"/>
  <c r="C197" i="8"/>
  <c r="B197" i="8"/>
  <c r="A197" i="8"/>
  <c r="E196" i="8"/>
  <c r="D196" i="8"/>
  <c r="C196" i="8"/>
  <c r="B196" i="8"/>
  <c r="A196" i="8"/>
  <c r="E195" i="8"/>
  <c r="D195" i="8"/>
  <c r="C195" i="8"/>
  <c r="B195" i="8"/>
  <c r="A195" i="8"/>
  <c r="E194" i="8"/>
  <c r="D194" i="8"/>
  <c r="C194" i="8"/>
  <c r="B194" i="8"/>
  <c r="A194" i="8"/>
  <c r="E193" i="8"/>
  <c r="D193" i="8"/>
  <c r="C193" i="8"/>
  <c r="B193" i="8"/>
  <c r="A193" i="8"/>
  <c r="E192" i="8"/>
  <c r="D192" i="8"/>
  <c r="C192" i="8"/>
  <c r="B192" i="8"/>
  <c r="A192" i="8"/>
  <c r="E191" i="8"/>
  <c r="D191" i="8"/>
  <c r="C191" i="8"/>
  <c r="B191" i="8"/>
  <c r="A191" i="8"/>
  <c r="E190" i="8"/>
  <c r="D190" i="8"/>
  <c r="C190" i="8"/>
  <c r="B190" i="8"/>
  <c r="A190" i="8"/>
  <c r="E189" i="8"/>
  <c r="D189" i="8"/>
  <c r="C189" i="8"/>
  <c r="B189" i="8"/>
  <c r="A189" i="8"/>
  <c r="E188" i="8"/>
  <c r="D188" i="8"/>
  <c r="C188" i="8"/>
  <c r="B188" i="8"/>
  <c r="A188" i="8"/>
  <c r="E187" i="8"/>
  <c r="D187" i="8"/>
  <c r="C187" i="8"/>
  <c r="B187" i="8"/>
  <c r="A187" i="8"/>
  <c r="E186" i="8"/>
  <c r="D186" i="8"/>
  <c r="C186" i="8"/>
  <c r="B186" i="8"/>
  <c r="A186" i="8"/>
  <c r="E185" i="8"/>
  <c r="D185" i="8"/>
  <c r="C185" i="8"/>
  <c r="B185" i="8"/>
  <c r="A185" i="8"/>
  <c r="E184" i="8"/>
  <c r="D184" i="8"/>
  <c r="C184" i="8"/>
  <c r="B184" i="8"/>
  <c r="A184" i="8"/>
  <c r="E183" i="8"/>
  <c r="D183" i="8"/>
  <c r="C183" i="8"/>
  <c r="B183" i="8"/>
  <c r="A183" i="8"/>
  <c r="E182" i="8"/>
  <c r="D182" i="8"/>
  <c r="C182" i="8"/>
  <c r="B182" i="8"/>
  <c r="A182" i="8"/>
  <c r="E181" i="8"/>
  <c r="D181" i="8"/>
  <c r="C181" i="8"/>
  <c r="B181" i="8"/>
  <c r="A181" i="8"/>
  <c r="E180" i="8"/>
  <c r="D180" i="8"/>
  <c r="C180" i="8"/>
  <c r="B180" i="8"/>
  <c r="A180" i="8"/>
  <c r="E179" i="8"/>
  <c r="D179" i="8"/>
  <c r="C179" i="8"/>
  <c r="B179" i="8"/>
  <c r="A179" i="8"/>
  <c r="E178" i="8"/>
  <c r="D178" i="8"/>
  <c r="C178" i="8"/>
  <c r="B178" i="8"/>
  <c r="A178" i="8"/>
  <c r="E177" i="8"/>
  <c r="D177" i="8"/>
  <c r="C177" i="8"/>
  <c r="B177" i="8"/>
  <c r="A177" i="8"/>
  <c r="E176" i="8"/>
  <c r="D176" i="8"/>
  <c r="C176" i="8"/>
  <c r="B176" i="8"/>
  <c r="A176" i="8"/>
  <c r="E175" i="8"/>
  <c r="D175" i="8"/>
  <c r="C175" i="8"/>
  <c r="B175" i="8"/>
  <c r="A175" i="8"/>
  <c r="E174" i="8"/>
  <c r="D174" i="8"/>
  <c r="C174" i="8"/>
  <c r="B174" i="8"/>
  <c r="A174" i="8"/>
  <c r="E173" i="8"/>
  <c r="D173" i="8"/>
  <c r="C173" i="8"/>
  <c r="B173" i="8"/>
  <c r="A173" i="8"/>
  <c r="E172" i="8"/>
  <c r="D172" i="8"/>
  <c r="C172" i="8"/>
  <c r="B172" i="8"/>
  <c r="A172" i="8"/>
  <c r="E171" i="8"/>
  <c r="D171" i="8"/>
  <c r="C171" i="8"/>
  <c r="B171" i="8"/>
  <c r="A171" i="8"/>
  <c r="E170" i="8"/>
  <c r="D170" i="8"/>
  <c r="C170" i="8"/>
  <c r="B170" i="8"/>
  <c r="A170" i="8"/>
  <c r="E169" i="8"/>
  <c r="D169" i="8"/>
  <c r="C169" i="8"/>
  <c r="B169" i="8"/>
  <c r="A169" i="8"/>
  <c r="E168" i="8"/>
  <c r="D168" i="8"/>
  <c r="C168" i="8"/>
  <c r="B168" i="8"/>
  <c r="A168" i="8"/>
  <c r="E167" i="8"/>
  <c r="D167" i="8"/>
  <c r="C167" i="8"/>
  <c r="B167" i="8"/>
  <c r="A167" i="8"/>
  <c r="E166" i="8"/>
  <c r="D166" i="8"/>
  <c r="C166" i="8"/>
  <c r="B166" i="8"/>
  <c r="A166" i="8"/>
  <c r="E165" i="8"/>
  <c r="D165" i="8"/>
  <c r="C165" i="8"/>
  <c r="B165" i="8"/>
  <c r="A165" i="8"/>
  <c r="E164" i="8"/>
  <c r="D164" i="8"/>
  <c r="C164" i="8"/>
  <c r="B164" i="8"/>
  <c r="A164" i="8"/>
  <c r="E163" i="8"/>
  <c r="D163" i="8"/>
  <c r="C163" i="8"/>
  <c r="B163" i="8"/>
  <c r="A163" i="8"/>
  <c r="E162" i="8"/>
  <c r="D162" i="8"/>
  <c r="C162" i="8"/>
  <c r="B162" i="8"/>
  <c r="A162" i="8"/>
  <c r="E161" i="8"/>
  <c r="D161" i="8"/>
  <c r="C161" i="8"/>
  <c r="B161" i="8"/>
  <c r="A161" i="8"/>
  <c r="E160" i="8"/>
  <c r="D160" i="8"/>
  <c r="C160" i="8"/>
  <c r="B160" i="8"/>
  <c r="A160" i="8"/>
  <c r="E159" i="8"/>
  <c r="D159" i="8"/>
  <c r="C159" i="8"/>
  <c r="B159" i="8"/>
  <c r="A159" i="8"/>
  <c r="E158" i="8"/>
  <c r="D158" i="8"/>
  <c r="C158" i="8"/>
  <c r="B158" i="8"/>
  <c r="A158" i="8"/>
  <c r="E157" i="8"/>
  <c r="D157" i="8"/>
  <c r="C157" i="8"/>
  <c r="B157" i="8"/>
  <c r="A157" i="8"/>
  <c r="E156" i="8"/>
  <c r="D156" i="8"/>
  <c r="C156" i="8"/>
  <c r="B156" i="8"/>
  <c r="A156" i="8"/>
  <c r="E155" i="8"/>
  <c r="D155" i="8"/>
  <c r="C155" i="8"/>
  <c r="B155" i="8"/>
  <c r="A155" i="8"/>
  <c r="E154" i="8"/>
  <c r="D154" i="8"/>
  <c r="C154" i="8"/>
  <c r="B154" i="8"/>
  <c r="A154" i="8"/>
  <c r="E153" i="8"/>
  <c r="D153" i="8"/>
  <c r="C153" i="8"/>
  <c r="B153" i="8"/>
  <c r="A153" i="8"/>
  <c r="E152" i="8"/>
  <c r="D152" i="8"/>
  <c r="C152" i="8"/>
  <c r="B152" i="8"/>
  <c r="A152" i="8"/>
  <c r="E151" i="8"/>
  <c r="D151" i="8"/>
  <c r="C151" i="8"/>
  <c r="B151" i="8"/>
  <c r="A151" i="8"/>
  <c r="E150" i="8"/>
  <c r="D150" i="8"/>
  <c r="C150" i="8"/>
  <c r="B150" i="8"/>
  <c r="A150" i="8"/>
  <c r="E149" i="8"/>
  <c r="D149" i="8"/>
  <c r="C149" i="8"/>
  <c r="B149" i="8"/>
  <c r="A149" i="8"/>
  <c r="E148" i="8"/>
  <c r="D148" i="8"/>
  <c r="C148" i="8"/>
  <c r="B148" i="8"/>
  <c r="A148" i="8"/>
  <c r="E147" i="8"/>
  <c r="D147" i="8"/>
  <c r="C147" i="8"/>
  <c r="B147" i="8"/>
  <c r="A147" i="8"/>
  <c r="E146" i="8"/>
  <c r="D146" i="8"/>
  <c r="C146" i="8"/>
  <c r="B146" i="8"/>
  <c r="A146" i="8"/>
  <c r="E145" i="8"/>
  <c r="D145" i="8"/>
  <c r="C145" i="8"/>
  <c r="B145" i="8"/>
  <c r="A145" i="8"/>
  <c r="E144" i="8"/>
  <c r="D144" i="8"/>
  <c r="C144" i="8"/>
  <c r="B144" i="8"/>
  <c r="A144" i="8"/>
  <c r="E143" i="8"/>
  <c r="D143" i="8"/>
  <c r="C143" i="8"/>
  <c r="B143" i="8"/>
  <c r="A143" i="8"/>
  <c r="E142" i="8"/>
  <c r="D142" i="8"/>
  <c r="C142" i="8"/>
  <c r="B142" i="8"/>
  <c r="A142" i="8"/>
  <c r="E141" i="8"/>
  <c r="D141" i="8"/>
  <c r="C141" i="8"/>
  <c r="B141" i="8"/>
  <c r="A141" i="8"/>
  <c r="E140" i="8"/>
  <c r="D140" i="8"/>
  <c r="C140" i="8"/>
  <c r="B140" i="8"/>
  <c r="A140" i="8"/>
  <c r="E139" i="8"/>
  <c r="D139" i="8"/>
  <c r="C139" i="8"/>
  <c r="B139" i="8"/>
  <c r="A139" i="8"/>
  <c r="E138" i="8"/>
  <c r="D138" i="8"/>
  <c r="C138" i="8"/>
  <c r="B138" i="8"/>
  <c r="A138" i="8"/>
  <c r="E137" i="8"/>
  <c r="D137" i="8"/>
  <c r="C137" i="8"/>
  <c r="B137" i="8"/>
  <c r="A137" i="8"/>
  <c r="E136" i="8"/>
  <c r="D136" i="8"/>
  <c r="C136" i="8"/>
  <c r="B136" i="8"/>
  <c r="A136" i="8"/>
  <c r="E135" i="8"/>
  <c r="D135" i="8"/>
  <c r="C135" i="8"/>
  <c r="B135" i="8"/>
  <c r="A135" i="8"/>
  <c r="E134" i="8"/>
  <c r="D134" i="8"/>
  <c r="C134" i="8"/>
  <c r="B134" i="8"/>
  <c r="A134" i="8"/>
  <c r="E133" i="8"/>
  <c r="D133" i="8"/>
  <c r="C133" i="8"/>
  <c r="B133" i="8"/>
  <c r="A133" i="8"/>
  <c r="E132" i="8"/>
  <c r="D132" i="8"/>
  <c r="C132" i="8"/>
  <c r="B132" i="8"/>
  <c r="A132" i="8"/>
  <c r="E131" i="8"/>
  <c r="D131" i="8"/>
  <c r="C131" i="8"/>
  <c r="B131" i="8"/>
  <c r="A131" i="8"/>
  <c r="E130" i="8"/>
  <c r="D130" i="8"/>
  <c r="C130" i="8"/>
  <c r="B130" i="8"/>
  <c r="A130" i="8"/>
  <c r="E129" i="8"/>
  <c r="D129" i="8"/>
  <c r="C129" i="8"/>
  <c r="B129" i="8"/>
  <c r="A129" i="8"/>
  <c r="E128" i="8"/>
  <c r="D128" i="8"/>
  <c r="C128" i="8"/>
  <c r="B128" i="8"/>
  <c r="A128" i="8"/>
  <c r="E127" i="8"/>
  <c r="D127" i="8"/>
  <c r="C127" i="8"/>
  <c r="B127" i="8"/>
  <c r="A127" i="8"/>
  <c r="E126" i="8"/>
  <c r="D126" i="8"/>
  <c r="C126" i="8"/>
  <c r="B126" i="8"/>
  <c r="A126" i="8"/>
  <c r="E125" i="8"/>
  <c r="D125" i="8"/>
  <c r="C125" i="8"/>
  <c r="B125" i="8"/>
  <c r="A125" i="8"/>
  <c r="E124" i="8"/>
  <c r="D124" i="8"/>
  <c r="C124" i="8"/>
  <c r="B124" i="8"/>
  <c r="A124" i="8"/>
  <c r="E123" i="8"/>
  <c r="D123" i="8"/>
  <c r="C123" i="8"/>
  <c r="B123" i="8"/>
  <c r="A123" i="8"/>
  <c r="E122" i="8"/>
  <c r="D122" i="8"/>
  <c r="C122" i="8"/>
  <c r="B122" i="8"/>
  <c r="A122" i="8"/>
  <c r="E121" i="8"/>
  <c r="D121" i="8"/>
  <c r="C121" i="8"/>
  <c r="B121" i="8"/>
  <c r="A121" i="8"/>
  <c r="E120" i="8"/>
  <c r="D120" i="8"/>
  <c r="C120" i="8"/>
  <c r="B120" i="8"/>
  <c r="A120" i="8"/>
  <c r="E119" i="8"/>
  <c r="D119" i="8"/>
  <c r="C119" i="8"/>
  <c r="B119" i="8"/>
  <c r="A119" i="8"/>
  <c r="E118" i="8"/>
  <c r="D118" i="8"/>
  <c r="C118" i="8"/>
  <c r="B118" i="8"/>
  <c r="A118" i="8"/>
  <c r="E117" i="8"/>
  <c r="D117" i="8"/>
  <c r="C117" i="8"/>
  <c r="B117" i="8"/>
  <c r="A117" i="8"/>
  <c r="E116" i="8"/>
  <c r="D116" i="8"/>
  <c r="C116" i="8"/>
  <c r="B116" i="8"/>
  <c r="A116" i="8"/>
  <c r="E115" i="8"/>
  <c r="D115" i="8"/>
  <c r="C115" i="8"/>
  <c r="B115" i="8"/>
  <c r="A115" i="8"/>
  <c r="E114" i="8"/>
  <c r="D114" i="8"/>
  <c r="C114" i="8"/>
  <c r="B114" i="8"/>
  <c r="A114" i="8"/>
  <c r="E113" i="8"/>
  <c r="D113" i="8"/>
  <c r="C113" i="8"/>
  <c r="B113" i="8"/>
  <c r="A113" i="8"/>
  <c r="E112" i="8"/>
  <c r="D112" i="8"/>
  <c r="C112" i="8"/>
  <c r="B112" i="8"/>
  <c r="A112" i="8"/>
  <c r="E111" i="8"/>
  <c r="D111" i="8"/>
  <c r="C111" i="8"/>
  <c r="B111" i="8"/>
  <c r="A111" i="8"/>
  <c r="E110" i="8"/>
  <c r="D110" i="8"/>
  <c r="C110" i="8"/>
  <c r="B110" i="8"/>
  <c r="A110" i="8"/>
  <c r="E109" i="8"/>
  <c r="D109" i="8"/>
  <c r="C109" i="8"/>
  <c r="B109" i="8"/>
  <c r="A109" i="8"/>
  <c r="E108" i="8"/>
  <c r="D108" i="8"/>
  <c r="C108" i="8"/>
  <c r="B108" i="8"/>
  <c r="A108" i="8"/>
  <c r="E107" i="8"/>
  <c r="D107" i="8"/>
  <c r="C107" i="8"/>
  <c r="B107" i="8"/>
  <c r="A107" i="8"/>
  <c r="E106" i="8"/>
  <c r="D106" i="8"/>
  <c r="C106" i="8"/>
  <c r="B106" i="8"/>
  <c r="A106" i="8"/>
  <c r="E105" i="8"/>
  <c r="D105" i="8"/>
  <c r="C105" i="8"/>
  <c r="B105" i="8"/>
  <c r="A105" i="8"/>
  <c r="E104" i="8"/>
  <c r="D104" i="8"/>
  <c r="C104" i="8"/>
  <c r="B104" i="8"/>
  <c r="A104" i="8"/>
  <c r="E103" i="8"/>
  <c r="D103" i="8"/>
  <c r="C103" i="8"/>
  <c r="B103" i="8"/>
  <c r="A103" i="8"/>
  <c r="E102" i="8"/>
  <c r="D102" i="8"/>
  <c r="C102" i="8"/>
  <c r="B102" i="8"/>
  <c r="A102" i="8"/>
  <c r="E101" i="8"/>
  <c r="D101" i="8"/>
  <c r="C101" i="8"/>
  <c r="B101" i="8"/>
  <c r="A101" i="8"/>
  <c r="E100" i="8"/>
  <c r="D100" i="8"/>
  <c r="C100" i="8"/>
  <c r="B100" i="8"/>
  <c r="A100" i="8"/>
  <c r="E99" i="8"/>
  <c r="D99" i="8"/>
  <c r="C99" i="8"/>
  <c r="B99" i="8"/>
  <c r="A99" i="8"/>
  <c r="E98" i="8"/>
  <c r="D98" i="8"/>
  <c r="C98" i="8"/>
  <c r="B98" i="8"/>
  <c r="A98" i="8"/>
  <c r="E97" i="8"/>
  <c r="D97" i="8"/>
  <c r="C97" i="8"/>
  <c r="B97" i="8"/>
  <c r="A97" i="8"/>
  <c r="E96" i="8"/>
  <c r="D96" i="8"/>
  <c r="C96" i="8"/>
  <c r="B96" i="8"/>
  <c r="A96" i="8"/>
  <c r="E95" i="8"/>
  <c r="D95" i="8"/>
  <c r="C95" i="8"/>
  <c r="B95" i="8"/>
  <c r="A95" i="8"/>
  <c r="E94" i="8"/>
  <c r="D94" i="8"/>
  <c r="C94" i="8"/>
  <c r="B94" i="8"/>
  <c r="A94" i="8"/>
  <c r="E93" i="8"/>
  <c r="D93" i="8"/>
  <c r="C93" i="8"/>
  <c r="B93" i="8"/>
  <c r="A93" i="8"/>
  <c r="E92" i="8"/>
  <c r="D92" i="8"/>
  <c r="C92" i="8"/>
  <c r="B92" i="8"/>
  <c r="A92" i="8"/>
  <c r="E91" i="8"/>
  <c r="D91" i="8"/>
  <c r="C91" i="8"/>
  <c r="B91" i="8"/>
  <c r="A91" i="8"/>
  <c r="E90" i="8"/>
  <c r="D90" i="8"/>
  <c r="C90" i="8"/>
  <c r="B90" i="8"/>
  <c r="A90" i="8"/>
  <c r="E89" i="8"/>
  <c r="D89" i="8"/>
  <c r="C89" i="8"/>
  <c r="B89" i="8"/>
  <c r="A89" i="8"/>
  <c r="E88" i="8"/>
  <c r="D88" i="8"/>
  <c r="C88" i="8"/>
  <c r="B88" i="8"/>
  <c r="A88" i="8"/>
  <c r="E87" i="8"/>
  <c r="D87" i="8"/>
  <c r="C87" i="8"/>
  <c r="B87" i="8"/>
  <c r="A87" i="8"/>
  <c r="E86" i="8"/>
  <c r="D86" i="8"/>
  <c r="C86" i="8"/>
  <c r="B86" i="8"/>
  <c r="A86" i="8"/>
  <c r="E85" i="8"/>
  <c r="D85" i="8"/>
  <c r="C85" i="8"/>
  <c r="B85" i="8"/>
  <c r="A85" i="8"/>
  <c r="E84" i="8"/>
  <c r="D84" i="8"/>
  <c r="C84" i="8"/>
  <c r="B84" i="8"/>
  <c r="A84" i="8"/>
  <c r="E83" i="8"/>
  <c r="D83" i="8"/>
  <c r="C83" i="8"/>
  <c r="B83" i="8"/>
  <c r="A83" i="8"/>
  <c r="E82" i="8"/>
  <c r="D82" i="8"/>
  <c r="C82" i="8"/>
  <c r="B82" i="8"/>
  <c r="A82" i="8"/>
  <c r="E81" i="8"/>
  <c r="D81" i="8"/>
  <c r="C81" i="8"/>
  <c r="B81" i="8"/>
  <c r="A81" i="8"/>
  <c r="E80" i="8"/>
  <c r="D80" i="8"/>
  <c r="C80" i="8"/>
  <c r="B80" i="8"/>
  <c r="A80" i="8"/>
  <c r="E79" i="8"/>
  <c r="D79" i="8"/>
  <c r="C79" i="8"/>
  <c r="B79" i="8"/>
  <c r="A79" i="8"/>
  <c r="E78" i="8"/>
  <c r="D78" i="8"/>
  <c r="C78" i="8"/>
  <c r="B78" i="8"/>
  <c r="A78" i="8"/>
  <c r="E77" i="8"/>
  <c r="D77" i="8"/>
  <c r="C77" i="8"/>
  <c r="B77" i="8"/>
  <c r="A77" i="8"/>
  <c r="E76" i="8"/>
  <c r="D76" i="8"/>
  <c r="C76" i="8"/>
  <c r="B76" i="8"/>
  <c r="A76" i="8"/>
  <c r="E75" i="8"/>
  <c r="D75" i="8"/>
  <c r="C75" i="8"/>
  <c r="B75" i="8"/>
  <c r="A75" i="8"/>
  <c r="E74" i="8"/>
  <c r="D74" i="8"/>
  <c r="C74" i="8"/>
  <c r="B74" i="8"/>
  <c r="A74" i="8"/>
  <c r="E73" i="8"/>
  <c r="D73" i="8"/>
  <c r="C73" i="8"/>
  <c r="B73" i="8"/>
  <c r="A73" i="8"/>
  <c r="E72" i="8"/>
  <c r="D72" i="8"/>
  <c r="C72" i="8"/>
  <c r="B72" i="8"/>
  <c r="A72" i="8"/>
  <c r="E71" i="8"/>
  <c r="D71" i="8"/>
  <c r="C71" i="8"/>
  <c r="B71" i="8"/>
  <c r="A71" i="8"/>
  <c r="E70" i="8"/>
  <c r="D70" i="8"/>
  <c r="C70" i="8"/>
  <c r="B70" i="8"/>
  <c r="A70" i="8"/>
  <c r="E69" i="8"/>
  <c r="D69" i="8"/>
  <c r="C69" i="8"/>
  <c r="B69" i="8"/>
  <c r="A69" i="8"/>
  <c r="E68" i="8"/>
  <c r="D68" i="8"/>
  <c r="C68" i="8"/>
  <c r="B68" i="8"/>
  <c r="A68" i="8"/>
  <c r="E67" i="8"/>
  <c r="D67" i="8"/>
  <c r="C67" i="8"/>
  <c r="B67" i="8"/>
  <c r="A67" i="8"/>
  <c r="E66" i="8"/>
  <c r="D66" i="8"/>
  <c r="C66" i="8"/>
  <c r="B66" i="8"/>
  <c r="A66" i="8"/>
  <c r="E65" i="8"/>
  <c r="D65" i="8"/>
  <c r="C65" i="8"/>
  <c r="B65" i="8"/>
  <c r="A65" i="8"/>
  <c r="E64" i="8"/>
  <c r="D64" i="8"/>
  <c r="C64" i="8"/>
  <c r="B64" i="8"/>
  <c r="A64" i="8"/>
  <c r="E63" i="8"/>
  <c r="D63" i="8"/>
  <c r="C63" i="8"/>
  <c r="B63" i="8"/>
  <c r="A63" i="8"/>
  <c r="E62" i="8"/>
  <c r="D62" i="8"/>
  <c r="C62" i="8"/>
  <c r="B62" i="8"/>
  <c r="A62" i="8"/>
  <c r="E61" i="8"/>
  <c r="D61" i="8"/>
  <c r="C61" i="8"/>
  <c r="B61" i="8"/>
  <c r="A61" i="8"/>
  <c r="E60" i="8"/>
  <c r="D60" i="8"/>
  <c r="C60" i="8"/>
  <c r="B60" i="8"/>
  <c r="A60" i="8"/>
  <c r="E59" i="8"/>
  <c r="D59" i="8"/>
  <c r="C59" i="8"/>
  <c r="B59" i="8"/>
  <c r="A59" i="8"/>
  <c r="E58" i="8"/>
  <c r="D58" i="8"/>
  <c r="C58" i="8"/>
  <c r="B58" i="8"/>
  <c r="A58" i="8"/>
  <c r="E57" i="8"/>
  <c r="D57" i="8"/>
  <c r="C57" i="8"/>
  <c r="B57" i="8"/>
  <c r="A57" i="8"/>
  <c r="E56" i="8"/>
  <c r="D56" i="8"/>
  <c r="C56" i="8"/>
  <c r="B56" i="8"/>
  <c r="A56" i="8"/>
  <c r="E55" i="8"/>
  <c r="D55" i="8"/>
  <c r="C55" i="8"/>
  <c r="B55" i="8"/>
  <c r="A55" i="8"/>
  <c r="E54" i="8"/>
  <c r="D54" i="8"/>
  <c r="C54" i="8"/>
  <c r="B54" i="8"/>
  <c r="A54" i="8"/>
  <c r="E53" i="8"/>
  <c r="D53" i="8"/>
  <c r="C53" i="8"/>
  <c r="B53" i="8"/>
  <c r="A53" i="8"/>
  <c r="E52" i="8"/>
  <c r="D52" i="8"/>
  <c r="C52" i="8"/>
  <c r="B52" i="8"/>
  <c r="A52" i="8"/>
  <c r="E51" i="8"/>
  <c r="D51" i="8"/>
  <c r="C51" i="8"/>
  <c r="B51" i="8"/>
  <c r="A51" i="8"/>
  <c r="E50" i="8"/>
  <c r="D50" i="8"/>
  <c r="C50" i="8"/>
  <c r="B50" i="8"/>
  <c r="A50" i="8"/>
  <c r="E49" i="8"/>
  <c r="D49" i="8"/>
  <c r="C49" i="8"/>
  <c r="B49" i="8"/>
  <c r="A49" i="8"/>
  <c r="E48" i="8"/>
  <c r="D48" i="8"/>
  <c r="C48" i="8"/>
  <c r="B48" i="8"/>
  <c r="A48" i="8"/>
  <c r="E47" i="8"/>
  <c r="D47" i="8"/>
  <c r="C47" i="8"/>
  <c r="B47" i="8"/>
  <c r="A47" i="8"/>
  <c r="E46" i="8"/>
  <c r="D46" i="8"/>
  <c r="C46" i="8"/>
  <c r="B46" i="8"/>
  <c r="A46" i="8"/>
  <c r="E45" i="8"/>
  <c r="D45" i="8"/>
  <c r="C45" i="8"/>
  <c r="B45" i="8"/>
  <c r="A45" i="8"/>
  <c r="E44" i="8"/>
  <c r="D44" i="8"/>
  <c r="C44" i="8"/>
  <c r="B44" i="8"/>
  <c r="A44" i="8"/>
  <c r="E43" i="8"/>
  <c r="D43" i="8"/>
  <c r="C43" i="8"/>
  <c r="B43" i="8"/>
  <c r="A43" i="8"/>
  <c r="E42" i="8"/>
  <c r="D42" i="8"/>
  <c r="C42" i="8"/>
  <c r="B42" i="8"/>
  <c r="A42" i="8"/>
  <c r="E41" i="8"/>
  <c r="D41" i="8"/>
  <c r="C41" i="8"/>
  <c r="B41" i="8"/>
  <c r="A41" i="8"/>
  <c r="E40" i="8"/>
  <c r="D40" i="8"/>
  <c r="C40" i="8"/>
  <c r="B40" i="8"/>
  <c r="A40" i="8"/>
  <c r="E39" i="8"/>
  <c r="D39" i="8"/>
  <c r="C39" i="8"/>
  <c r="B39" i="8"/>
  <c r="A39" i="8"/>
  <c r="E38" i="8"/>
  <c r="D38" i="8"/>
  <c r="C38" i="8"/>
  <c r="B38" i="8"/>
  <c r="A38" i="8"/>
  <c r="E37" i="8"/>
  <c r="D37" i="8"/>
  <c r="C37" i="8"/>
  <c r="B37" i="8"/>
  <c r="A37" i="8"/>
  <c r="E36" i="8"/>
  <c r="D36" i="8"/>
  <c r="C36" i="8"/>
  <c r="B36" i="8"/>
  <c r="A36" i="8"/>
  <c r="E35" i="8"/>
  <c r="D35" i="8"/>
  <c r="C35" i="8"/>
  <c r="B35" i="8"/>
  <c r="A35" i="8"/>
  <c r="E34" i="8"/>
  <c r="D34" i="8"/>
  <c r="C34" i="8"/>
  <c r="B34" i="8"/>
  <c r="A34" i="8"/>
  <c r="E33" i="8"/>
  <c r="D33" i="8"/>
  <c r="C33" i="8"/>
  <c r="B33" i="8"/>
  <c r="A33" i="8"/>
  <c r="E32" i="8"/>
  <c r="D32" i="8"/>
  <c r="C32" i="8"/>
  <c r="B32" i="8"/>
  <c r="A32" i="8"/>
  <c r="E31" i="8"/>
  <c r="D31" i="8"/>
  <c r="C31" i="8"/>
  <c r="B31" i="8"/>
  <c r="A31" i="8"/>
  <c r="E30" i="8"/>
  <c r="D30" i="8"/>
  <c r="C30" i="8"/>
  <c r="B30" i="8"/>
  <c r="A30" i="8"/>
  <c r="E29" i="8"/>
  <c r="D29" i="8"/>
  <c r="C29" i="8"/>
  <c r="B29" i="8"/>
  <c r="A29" i="8"/>
  <c r="E28" i="8"/>
  <c r="D28" i="8"/>
  <c r="C28" i="8"/>
  <c r="B28" i="8"/>
  <c r="A28" i="8"/>
  <c r="E27" i="8"/>
  <c r="D27" i="8"/>
  <c r="C27" i="8"/>
  <c r="B27" i="8"/>
  <c r="A27" i="8"/>
  <c r="E26" i="8"/>
  <c r="D26" i="8"/>
  <c r="C26" i="8"/>
  <c r="B26" i="8"/>
  <c r="A26" i="8"/>
  <c r="E25" i="8"/>
  <c r="D25" i="8"/>
  <c r="C25" i="8"/>
  <c r="B25" i="8"/>
  <c r="A25" i="8"/>
  <c r="E24" i="8"/>
  <c r="D24" i="8"/>
  <c r="C24" i="8"/>
  <c r="B24" i="8"/>
  <c r="A24" i="8"/>
  <c r="E23" i="8"/>
  <c r="D23" i="8"/>
  <c r="C23" i="8"/>
  <c r="B23" i="8"/>
  <c r="A23" i="8"/>
  <c r="E22" i="8"/>
  <c r="D22" i="8"/>
  <c r="C22" i="8"/>
  <c r="B22" i="8"/>
  <c r="A22" i="8"/>
  <c r="E21" i="8"/>
  <c r="D21" i="8"/>
  <c r="C21" i="8"/>
  <c r="B21" i="8"/>
  <c r="A21" i="8"/>
  <c r="E20" i="8"/>
  <c r="D20" i="8"/>
  <c r="C20" i="8"/>
  <c r="B20" i="8"/>
  <c r="A20" i="8"/>
  <c r="E19" i="8"/>
  <c r="D19" i="8"/>
  <c r="C19" i="8"/>
  <c r="B19" i="8"/>
  <c r="A19" i="8"/>
  <c r="E18" i="8"/>
  <c r="D18" i="8"/>
  <c r="C18" i="8"/>
  <c r="B18" i="8"/>
  <c r="A18" i="8"/>
  <c r="E17" i="8"/>
  <c r="D17" i="8"/>
  <c r="C17" i="8"/>
  <c r="B17" i="8"/>
  <c r="A17" i="8"/>
  <c r="E16" i="8"/>
  <c r="D16" i="8"/>
  <c r="C16" i="8"/>
  <c r="B16" i="8"/>
  <c r="A16" i="8"/>
  <c r="E15" i="8"/>
  <c r="D15" i="8"/>
  <c r="C15" i="8"/>
  <c r="B15" i="8"/>
  <c r="A15" i="8"/>
  <c r="E14" i="8"/>
  <c r="D14" i="8"/>
  <c r="C14" i="8"/>
  <c r="B14" i="8"/>
  <c r="A14" i="8"/>
  <c r="E13" i="8"/>
  <c r="D13" i="8"/>
  <c r="C13" i="8"/>
  <c r="B13" i="8"/>
  <c r="A13" i="8"/>
  <c r="E12" i="8"/>
  <c r="D12" i="8"/>
  <c r="C12" i="8"/>
  <c r="B12" i="8"/>
  <c r="A12" i="8"/>
  <c r="E11" i="8"/>
  <c r="D11" i="8"/>
  <c r="C11" i="8"/>
  <c r="B11" i="8"/>
  <c r="A11" i="8"/>
  <c r="E10" i="8"/>
  <c r="D10" i="8"/>
  <c r="C10" i="8"/>
  <c r="B10" i="8"/>
  <c r="A10" i="8"/>
  <c r="E9" i="8"/>
  <c r="D9" i="8"/>
  <c r="C9" i="8"/>
  <c r="B9" i="8"/>
  <c r="A9" i="8"/>
  <c r="E8" i="8"/>
  <c r="D8" i="8"/>
  <c r="C8" i="8"/>
  <c r="B8" i="8"/>
  <c r="A8" i="8"/>
  <c r="E7" i="8"/>
  <c r="D7" i="8"/>
  <c r="C7" i="8"/>
  <c r="B7" i="8"/>
  <c r="A7" i="8"/>
  <c r="E6" i="8"/>
  <c r="D6" i="8"/>
  <c r="C6" i="8"/>
  <c r="B6" i="8"/>
  <c r="A6" i="8"/>
  <c r="E5" i="8"/>
  <c r="D5" i="8"/>
  <c r="C5" i="8"/>
  <c r="B5" i="8"/>
  <c r="A5" i="8"/>
  <c r="E4" i="8"/>
  <c r="D4" i="8"/>
  <c r="C4" i="8"/>
  <c r="B4" i="8"/>
  <c r="A4" i="8"/>
  <c r="E3" i="8"/>
  <c r="D3" i="8"/>
  <c r="C3" i="8"/>
  <c r="B3" i="8"/>
  <c r="A3" i="8"/>
  <c r="E2" i="8"/>
  <c r="D2" i="8"/>
  <c r="C2" i="8"/>
  <c r="B2" i="8"/>
  <c r="A2" i="8"/>
  <c r="BO139" i="7"/>
  <c r="BM139" i="7"/>
  <c r="BL139" i="7"/>
  <c r="BH139" i="7"/>
  <c r="BF139" i="7"/>
  <c r="BE139" i="7"/>
  <c r="BD139" i="7"/>
  <c r="BC139" i="7"/>
  <c r="BB139" i="7"/>
  <c r="AT139" i="7"/>
  <c r="AS139" i="7"/>
  <c r="AG139" i="7"/>
  <c r="AF139" i="7"/>
  <c r="AA139" i="7"/>
  <c r="Z139" i="7"/>
  <c r="Y139" i="7"/>
  <c r="X139" i="7"/>
  <c r="AB139" i="7" s="1"/>
  <c r="W139" i="7"/>
  <c r="V139" i="7"/>
  <c r="BN139" i="7" s="1"/>
  <c r="U139" i="7"/>
  <c r="T139" i="7"/>
  <c r="P139" i="7"/>
  <c r="N139" i="7"/>
  <c r="M139" i="7"/>
  <c r="O139" i="7" s="1"/>
  <c r="K139" i="7"/>
  <c r="J139" i="7"/>
  <c r="F139" i="7"/>
  <c r="E139" i="7"/>
  <c r="BO138" i="7"/>
  <c r="BL138" i="7"/>
  <c r="BK138" i="7"/>
  <c r="BE138" i="7"/>
  <c r="BG138" i="7" s="1"/>
  <c r="BD138" i="7"/>
  <c r="BC138" i="7"/>
  <c r="BB138" i="7"/>
  <c r="AT138" i="7"/>
  <c r="AS138" i="7"/>
  <c r="AG138" i="7"/>
  <c r="AF138" i="7"/>
  <c r="AB138" i="7"/>
  <c r="Z138" i="7"/>
  <c r="Y138" i="7"/>
  <c r="AA138" i="7" s="1"/>
  <c r="X138" i="7"/>
  <c r="W138" i="7"/>
  <c r="V138" i="7"/>
  <c r="BN138" i="7" s="1"/>
  <c r="U138" i="7"/>
  <c r="T138" i="7"/>
  <c r="N138" i="7"/>
  <c r="P138" i="7" s="1"/>
  <c r="M138" i="7"/>
  <c r="O138" i="7" s="1"/>
  <c r="K138" i="7"/>
  <c r="J138" i="7"/>
  <c r="F138" i="7"/>
  <c r="E138" i="7"/>
  <c r="BM137" i="7"/>
  <c r="BL137" i="7"/>
  <c r="BK137" i="7"/>
  <c r="BG137" i="7"/>
  <c r="BF137" i="7"/>
  <c r="BH137" i="7" s="1"/>
  <c r="BE137" i="7"/>
  <c r="BD137" i="7"/>
  <c r="BC137" i="7"/>
  <c r="BB137" i="7"/>
  <c r="AT137" i="7"/>
  <c r="AS137" i="7"/>
  <c r="AG137" i="7"/>
  <c r="AF137" i="7"/>
  <c r="Z137" i="7"/>
  <c r="AB137" i="7" s="1"/>
  <c r="Y137" i="7"/>
  <c r="AA137" i="7" s="1"/>
  <c r="X137" i="7"/>
  <c r="W137" i="7"/>
  <c r="BO137" i="7" s="1"/>
  <c r="V137" i="7"/>
  <c r="BN137" i="7" s="1"/>
  <c r="U137" i="7"/>
  <c r="T137" i="7"/>
  <c r="O137" i="7"/>
  <c r="N137" i="7"/>
  <c r="P137" i="7" s="1"/>
  <c r="M137" i="7"/>
  <c r="K137" i="7"/>
  <c r="J137" i="7"/>
  <c r="F137" i="7"/>
  <c r="E137" i="7"/>
  <c r="BN136" i="7"/>
  <c r="BM136" i="7"/>
  <c r="BK136" i="7"/>
  <c r="BJ136" i="7"/>
  <c r="BL136" i="7" s="1"/>
  <c r="BF136" i="7"/>
  <c r="BE136" i="7"/>
  <c r="BD136" i="7"/>
  <c r="BH136" i="7" s="1"/>
  <c r="BC136" i="7"/>
  <c r="BB136" i="7"/>
  <c r="AT136" i="7"/>
  <c r="AS136" i="7"/>
  <c r="AG136" i="7"/>
  <c r="AF136" i="7"/>
  <c r="AA136" i="7"/>
  <c r="Z136" i="7"/>
  <c r="Y136" i="7"/>
  <c r="X136" i="7"/>
  <c r="AB136" i="7" s="1"/>
  <c r="W136" i="7"/>
  <c r="BO136" i="7" s="1"/>
  <c r="V136" i="7"/>
  <c r="U136" i="7"/>
  <c r="T136" i="7"/>
  <c r="P136" i="7"/>
  <c r="N136" i="7"/>
  <c r="M136" i="7"/>
  <c r="O136" i="7" s="1"/>
  <c r="K136" i="7"/>
  <c r="J136" i="7"/>
  <c r="F136" i="7"/>
  <c r="E136" i="7"/>
  <c r="BO135" i="7"/>
  <c r="BL135" i="7"/>
  <c r="BK135" i="7"/>
  <c r="BJ135" i="7"/>
  <c r="BG135" i="7"/>
  <c r="BE135" i="7"/>
  <c r="BD135" i="7"/>
  <c r="BC135" i="7"/>
  <c r="BB135" i="7"/>
  <c r="AT135" i="7"/>
  <c r="AS135" i="7"/>
  <c r="AG135" i="7"/>
  <c r="AF135" i="7"/>
  <c r="Z135" i="7"/>
  <c r="AB135" i="7" s="1"/>
  <c r="Y135" i="7"/>
  <c r="AA135" i="7" s="1"/>
  <c r="X135" i="7"/>
  <c r="W135" i="7"/>
  <c r="V135" i="7"/>
  <c r="BN135" i="7" s="1"/>
  <c r="U135" i="7"/>
  <c r="T135" i="7"/>
  <c r="O135" i="7"/>
  <c r="N135" i="7"/>
  <c r="P135" i="7" s="1"/>
  <c r="M135" i="7"/>
  <c r="K135" i="7"/>
  <c r="J135" i="7"/>
  <c r="F135" i="7"/>
  <c r="E135" i="7"/>
  <c r="BN134" i="7"/>
  <c r="BM134" i="7"/>
  <c r="BK134" i="7"/>
  <c r="BJ134" i="7"/>
  <c r="BL134" i="7" s="1"/>
  <c r="BF134" i="7"/>
  <c r="BE134" i="7"/>
  <c r="BD134" i="7"/>
  <c r="BH134" i="7" s="1"/>
  <c r="BC134" i="7"/>
  <c r="BB134" i="7"/>
  <c r="AT134" i="7"/>
  <c r="AS134" i="7"/>
  <c r="AG134" i="7"/>
  <c r="AF134" i="7"/>
  <c r="AA134" i="7"/>
  <c r="Z134" i="7"/>
  <c r="Y134" i="7"/>
  <c r="X134" i="7"/>
  <c r="AB134" i="7" s="1"/>
  <c r="W134" i="7"/>
  <c r="BO134" i="7" s="1"/>
  <c r="V134" i="7"/>
  <c r="U134" i="7"/>
  <c r="T134" i="7"/>
  <c r="P134" i="7"/>
  <c r="N134" i="7"/>
  <c r="M134" i="7"/>
  <c r="O134" i="7" s="1"/>
  <c r="K134" i="7"/>
  <c r="J134" i="7"/>
  <c r="F134" i="7"/>
  <c r="E134" i="7"/>
  <c r="BO133" i="7"/>
  <c r="BL133" i="7"/>
  <c r="BK133" i="7"/>
  <c r="BM133" i="7" s="1"/>
  <c r="BJ133" i="7"/>
  <c r="BG133" i="7"/>
  <c r="BE133" i="7"/>
  <c r="BD133" i="7"/>
  <c r="BC133" i="7"/>
  <c r="BB133" i="7"/>
  <c r="AT133" i="7"/>
  <c r="AS133" i="7"/>
  <c r="AG133" i="7"/>
  <c r="AF133" i="7"/>
  <c r="Z133" i="7"/>
  <c r="AB133" i="7" s="1"/>
  <c r="Y133" i="7"/>
  <c r="AA133" i="7" s="1"/>
  <c r="X133" i="7"/>
  <c r="W133" i="7"/>
  <c r="V133" i="7"/>
  <c r="BN133" i="7" s="1"/>
  <c r="U133" i="7"/>
  <c r="T133" i="7"/>
  <c r="O133" i="7"/>
  <c r="N133" i="7"/>
  <c r="P133" i="7" s="1"/>
  <c r="M133" i="7"/>
  <c r="K133" i="7"/>
  <c r="J133" i="7"/>
  <c r="F133" i="7"/>
  <c r="E133" i="7"/>
  <c r="BN132" i="7"/>
  <c r="BM132" i="7"/>
  <c r="BK132" i="7"/>
  <c r="BJ132" i="7"/>
  <c r="BL132" i="7" s="1"/>
  <c r="BF132" i="7"/>
  <c r="BE132" i="7"/>
  <c r="BG132" i="7" s="1"/>
  <c r="BD132" i="7"/>
  <c r="BH132" i="7" s="1"/>
  <c r="BC132" i="7"/>
  <c r="BB132" i="7"/>
  <c r="AT132" i="7"/>
  <c r="AS132" i="7"/>
  <c r="AG132" i="7"/>
  <c r="AF132" i="7"/>
  <c r="Z132" i="7"/>
  <c r="Y132" i="7"/>
  <c r="X132" i="7"/>
  <c r="W132" i="7"/>
  <c r="BO132" i="7" s="1"/>
  <c r="V132" i="7"/>
  <c r="U132" i="7"/>
  <c r="T132" i="7"/>
  <c r="P132" i="7"/>
  <c r="N132" i="7"/>
  <c r="M132" i="7"/>
  <c r="O132" i="7" s="1"/>
  <c r="K132" i="7"/>
  <c r="J132" i="7"/>
  <c r="F132" i="7"/>
  <c r="E132" i="7"/>
  <c r="BL131" i="7"/>
  <c r="BK131" i="7"/>
  <c r="BM131" i="7" s="1"/>
  <c r="BJ131" i="7"/>
  <c r="BG131" i="7"/>
  <c r="BF131" i="7"/>
  <c r="BH131" i="7" s="1"/>
  <c r="BE131" i="7"/>
  <c r="BD131" i="7"/>
  <c r="BC131" i="7"/>
  <c r="BO131" i="7" s="1"/>
  <c r="BB131" i="7"/>
  <c r="AT131" i="7"/>
  <c r="AS131" i="7"/>
  <c r="AG131" i="7"/>
  <c r="AF131" i="7"/>
  <c r="Z131" i="7"/>
  <c r="AB131" i="7" s="1"/>
  <c r="Y131" i="7"/>
  <c r="AA131" i="7" s="1"/>
  <c r="X131" i="7"/>
  <c r="W131" i="7"/>
  <c r="V131" i="7"/>
  <c r="U131" i="7"/>
  <c r="T131" i="7"/>
  <c r="O131" i="7"/>
  <c r="N131" i="7"/>
  <c r="P131" i="7" s="1"/>
  <c r="M131" i="7"/>
  <c r="K131" i="7"/>
  <c r="J131" i="7"/>
  <c r="F131" i="7"/>
  <c r="E131" i="7"/>
  <c r="BN130" i="7"/>
  <c r="BM130" i="7"/>
  <c r="BK130" i="7"/>
  <c r="BJ130" i="7"/>
  <c r="BH130" i="7"/>
  <c r="BF130" i="7"/>
  <c r="BD130" i="7"/>
  <c r="BC130" i="7"/>
  <c r="BB130" i="7"/>
  <c r="AT130" i="7"/>
  <c r="AS130" i="7"/>
  <c r="AG130" i="7"/>
  <c r="AF130" i="7"/>
  <c r="AA130" i="7"/>
  <c r="Z130" i="7"/>
  <c r="Y130" i="7"/>
  <c r="X130" i="7"/>
  <c r="AB130" i="7" s="1"/>
  <c r="W130" i="7"/>
  <c r="BO130" i="7" s="1"/>
  <c r="V130" i="7"/>
  <c r="U130" i="7"/>
  <c r="T130" i="7"/>
  <c r="P130" i="7"/>
  <c r="N130" i="7"/>
  <c r="M130" i="7"/>
  <c r="O130" i="7" s="1"/>
  <c r="K130" i="7"/>
  <c r="J130" i="7"/>
  <c r="F130" i="7"/>
  <c r="E130" i="7"/>
  <c r="BM129" i="7"/>
  <c r="BL129" i="7"/>
  <c r="BF129" i="7"/>
  <c r="BE129" i="7"/>
  <c r="BD129" i="7"/>
  <c r="BH129" i="7" s="1"/>
  <c r="BC129" i="7"/>
  <c r="BB129" i="7"/>
  <c r="AT129" i="7"/>
  <c r="AS129" i="7"/>
  <c r="AG129" i="7"/>
  <c r="AF129" i="7"/>
  <c r="AA129" i="7"/>
  <c r="Z129" i="7"/>
  <c r="Y129" i="7"/>
  <c r="X129" i="7"/>
  <c r="AB129" i="7" s="1"/>
  <c r="W129" i="7"/>
  <c r="BO129" i="7" s="1"/>
  <c r="V129" i="7"/>
  <c r="BN129" i="7" s="1"/>
  <c r="U129" i="7"/>
  <c r="T129" i="7"/>
  <c r="P129" i="7"/>
  <c r="N129" i="7"/>
  <c r="M129" i="7"/>
  <c r="O129" i="7" s="1"/>
  <c r="K129" i="7"/>
  <c r="J129" i="7"/>
  <c r="F129" i="7"/>
  <c r="E129" i="7"/>
  <c r="BO128" i="7"/>
  <c r="BM128" i="7"/>
  <c r="BL128" i="7"/>
  <c r="BF128" i="7"/>
  <c r="BE128" i="7"/>
  <c r="BG128" i="7" s="1"/>
  <c r="BD128" i="7"/>
  <c r="BH128" i="7" s="1"/>
  <c r="BC128" i="7"/>
  <c r="BB128" i="7"/>
  <c r="AT128" i="7"/>
  <c r="AS128" i="7"/>
  <c r="AG128" i="7"/>
  <c r="AF128" i="7"/>
  <c r="AB128" i="7"/>
  <c r="Z128" i="7"/>
  <c r="Y128" i="7"/>
  <c r="X128" i="7"/>
  <c r="AA128" i="7" s="1"/>
  <c r="W128" i="7"/>
  <c r="V128" i="7"/>
  <c r="BN128" i="7" s="1"/>
  <c r="U128" i="7"/>
  <c r="T128" i="7"/>
  <c r="P128" i="7"/>
  <c r="N128" i="7"/>
  <c r="M128" i="7"/>
  <c r="O128" i="7" s="1"/>
  <c r="K128" i="7"/>
  <c r="J128" i="7"/>
  <c r="F128" i="7"/>
  <c r="E128" i="7"/>
  <c r="BO127" i="7"/>
  <c r="BM127" i="7"/>
  <c r="BL127" i="7"/>
  <c r="BH127" i="7"/>
  <c r="BF127" i="7"/>
  <c r="BE127" i="7"/>
  <c r="BG127" i="7" s="1"/>
  <c r="BD127" i="7"/>
  <c r="BC127" i="7"/>
  <c r="BB127" i="7"/>
  <c r="AT127" i="7"/>
  <c r="AS127" i="7"/>
  <c r="AG127" i="7"/>
  <c r="AF127" i="7"/>
  <c r="Z127" i="7"/>
  <c r="Y127" i="7"/>
  <c r="X127" i="7"/>
  <c r="AB127" i="7" s="1"/>
  <c r="W127" i="7"/>
  <c r="V127" i="7"/>
  <c r="BN127" i="7" s="1"/>
  <c r="U127" i="7"/>
  <c r="T127" i="7"/>
  <c r="P127" i="7"/>
  <c r="N127" i="7"/>
  <c r="M127" i="7"/>
  <c r="O127" i="7" s="1"/>
  <c r="K127" i="7"/>
  <c r="J127" i="7"/>
  <c r="F127" i="7"/>
  <c r="E127" i="7"/>
  <c r="BM126" i="7"/>
  <c r="BL126" i="7"/>
  <c r="BH126" i="7"/>
  <c r="BF126" i="7"/>
  <c r="BE126" i="7"/>
  <c r="BD126" i="7"/>
  <c r="BC126" i="7"/>
  <c r="BB126" i="7"/>
  <c r="AT126" i="7"/>
  <c r="AS126" i="7"/>
  <c r="AG126" i="7"/>
  <c r="AF126" i="7"/>
  <c r="AA126" i="7"/>
  <c r="Z126" i="7"/>
  <c r="Y126" i="7"/>
  <c r="X126" i="7"/>
  <c r="AB126" i="7" s="1"/>
  <c r="W126" i="7"/>
  <c r="BO126" i="7" s="1"/>
  <c r="V126" i="7"/>
  <c r="BN126" i="7" s="1"/>
  <c r="U126" i="7"/>
  <c r="T126" i="7"/>
  <c r="P126" i="7"/>
  <c r="N126" i="7"/>
  <c r="M126" i="7"/>
  <c r="O126" i="7" s="1"/>
  <c r="K126" i="7"/>
  <c r="J126" i="7"/>
  <c r="F126" i="7"/>
  <c r="E126" i="7"/>
  <c r="BM125" i="7"/>
  <c r="BL125" i="7"/>
  <c r="BF125" i="7"/>
  <c r="BE125" i="7"/>
  <c r="BD125" i="7"/>
  <c r="BH125" i="7" s="1"/>
  <c r="BC125" i="7"/>
  <c r="BB125" i="7"/>
  <c r="AT125" i="7"/>
  <c r="AS125" i="7"/>
  <c r="AG125" i="7"/>
  <c r="AF125" i="7"/>
  <c r="Z125" i="7"/>
  <c r="Y125" i="7"/>
  <c r="X125" i="7"/>
  <c r="AB125" i="7" s="1"/>
  <c r="W125" i="7"/>
  <c r="BO125" i="7" s="1"/>
  <c r="V125" i="7"/>
  <c r="BN125" i="7" s="1"/>
  <c r="U125" i="7"/>
  <c r="T125" i="7"/>
  <c r="P125" i="7"/>
  <c r="N125" i="7"/>
  <c r="M125" i="7"/>
  <c r="O125" i="7" s="1"/>
  <c r="K125" i="7"/>
  <c r="J125" i="7"/>
  <c r="F125" i="7"/>
  <c r="E125" i="7"/>
  <c r="BO124" i="7"/>
  <c r="BM124" i="7"/>
  <c r="BL124" i="7"/>
  <c r="BF124" i="7"/>
  <c r="BE124" i="7"/>
  <c r="BG124" i="7" s="1"/>
  <c r="BD124" i="7"/>
  <c r="BH124" i="7" s="1"/>
  <c r="AT124" i="7"/>
  <c r="AS124" i="7"/>
  <c r="AG124" i="7"/>
  <c r="AF124" i="7"/>
  <c r="AA124" i="7"/>
  <c r="Z124" i="7"/>
  <c r="Y124" i="7"/>
  <c r="X124" i="7"/>
  <c r="AB124" i="7" s="1"/>
  <c r="W124" i="7"/>
  <c r="V124" i="7"/>
  <c r="U124" i="7"/>
  <c r="T124" i="7"/>
  <c r="P124" i="7"/>
  <c r="N124" i="7"/>
  <c r="M124" i="7"/>
  <c r="O124" i="7" s="1"/>
  <c r="K124" i="7"/>
  <c r="J124" i="7"/>
  <c r="F124" i="7"/>
  <c r="E124" i="7"/>
  <c r="BG123" i="7"/>
  <c r="BF123" i="7"/>
  <c r="BH123" i="7" s="1"/>
  <c r="BD123" i="7"/>
  <c r="BC123" i="7"/>
  <c r="BB123" i="7"/>
  <c r="AY123" i="7"/>
  <c r="BC124" i="7" s="1"/>
  <c r="AX123" i="7"/>
  <c r="BE123" i="7" s="1"/>
  <c r="AA123" i="7"/>
  <c r="Z123" i="7"/>
  <c r="Y123" i="7"/>
  <c r="X123" i="7"/>
  <c r="AB123" i="7" s="1"/>
  <c r="W123" i="7"/>
  <c r="BO123" i="7" s="1"/>
  <c r="V123" i="7"/>
  <c r="BN123" i="7" s="1"/>
  <c r="U123" i="7"/>
  <c r="T123" i="7"/>
  <c r="P123" i="7"/>
  <c r="N123" i="7"/>
  <c r="M123" i="7"/>
  <c r="O123" i="7" s="1"/>
  <c r="K123" i="7"/>
  <c r="J123" i="7"/>
  <c r="F123" i="7"/>
  <c r="E123" i="7"/>
  <c r="BG122" i="7"/>
  <c r="BF122" i="7"/>
  <c r="BH122" i="7" s="1"/>
  <c r="BD122" i="7"/>
  <c r="BC122" i="7"/>
  <c r="BB122" i="7"/>
  <c r="AY122" i="7"/>
  <c r="AX122" i="7"/>
  <c r="BE122" i="7" s="1"/>
  <c r="AA122" i="7"/>
  <c r="Z122" i="7"/>
  <c r="Y122" i="7"/>
  <c r="X122" i="7"/>
  <c r="AB122" i="7" s="1"/>
  <c r="W122" i="7"/>
  <c r="BO122" i="7" s="1"/>
  <c r="V122" i="7"/>
  <c r="BN122" i="7" s="1"/>
  <c r="U122" i="7"/>
  <c r="T122" i="7"/>
  <c r="P122" i="7"/>
  <c r="N122" i="7"/>
  <c r="M122" i="7"/>
  <c r="O122" i="7" s="1"/>
  <c r="K122" i="7"/>
  <c r="J122" i="7"/>
  <c r="F122" i="7"/>
  <c r="E122" i="7"/>
  <c r="BG121" i="7"/>
  <c r="BF121" i="7"/>
  <c r="BH121" i="7" s="1"/>
  <c r="BD121" i="7"/>
  <c r="BC121" i="7"/>
  <c r="BB121" i="7"/>
  <c r="AY121" i="7"/>
  <c r="AX121" i="7"/>
  <c r="BE121" i="7" s="1"/>
  <c r="AA121" i="7"/>
  <c r="Z121" i="7"/>
  <c r="Y121" i="7"/>
  <c r="X121" i="7"/>
  <c r="AB121" i="7" s="1"/>
  <c r="W121" i="7"/>
  <c r="BO121" i="7" s="1"/>
  <c r="V121" i="7"/>
  <c r="BN121" i="7" s="1"/>
  <c r="U121" i="7"/>
  <c r="T121" i="7"/>
  <c r="P121" i="7"/>
  <c r="N121" i="7"/>
  <c r="M121" i="7"/>
  <c r="O121" i="7" s="1"/>
  <c r="K121" i="7"/>
  <c r="J121" i="7"/>
  <c r="F121" i="7"/>
  <c r="E121" i="7"/>
  <c r="BG120" i="7"/>
  <c r="BF120" i="7"/>
  <c r="BH120" i="7" s="1"/>
  <c r="BD120" i="7"/>
  <c r="BC120" i="7"/>
  <c r="BB120" i="7"/>
  <c r="AY120" i="7"/>
  <c r="AX120" i="7"/>
  <c r="BE120" i="7" s="1"/>
  <c r="AA120" i="7"/>
  <c r="Z120" i="7"/>
  <c r="Y120" i="7"/>
  <c r="X120" i="7"/>
  <c r="AB120" i="7" s="1"/>
  <c r="W120" i="7"/>
  <c r="BO120" i="7" s="1"/>
  <c r="V120" i="7"/>
  <c r="BN120" i="7" s="1"/>
  <c r="U120" i="7"/>
  <c r="T120" i="7"/>
  <c r="P120" i="7"/>
  <c r="N120" i="7"/>
  <c r="M120" i="7"/>
  <c r="O120" i="7" s="1"/>
  <c r="K120" i="7"/>
  <c r="J120" i="7"/>
  <c r="F120" i="7"/>
  <c r="E120" i="7"/>
  <c r="BG119" i="7"/>
  <c r="BF119" i="7"/>
  <c r="BH119" i="7" s="1"/>
  <c r="BD119" i="7"/>
  <c r="BC119" i="7"/>
  <c r="BB119" i="7"/>
  <c r="AY119" i="7"/>
  <c r="AX119" i="7"/>
  <c r="BE119" i="7" s="1"/>
  <c r="AA119" i="7"/>
  <c r="Z119" i="7"/>
  <c r="Y119" i="7"/>
  <c r="X119" i="7"/>
  <c r="AB119" i="7" s="1"/>
  <c r="W119" i="7"/>
  <c r="BO119" i="7" s="1"/>
  <c r="V119" i="7"/>
  <c r="BN119" i="7" s="1"/>
  <c r="U119" i="7"/>
  <c r="T119" i="7"/>
  <c r="P119" i="7"/>
  <c r="N119" i="7"/>
  <c r="M119" i="7"/>
  <c r="O119" i="7" s="1"/>
  <c r="K119" i="7"/>
  <c r="J119" i="7"/>
  <c r="F119" i="7"/>
  <c r="E119" i="7"/>
  <c r="BG118" i="7"/>
  <c r="BF118" i="7"/>
  <c r="BH118" i="7" s="1"/>
  <c r="BD118" i="7"/>
  <c r="BC118" i="7"/>
  <c r="BB118" i="7"/>
  <c r="AY118" i="7"/>
  <c r="AX118" i="7"/>
  <c r="BE118" i="7" s="1"/>
  <c r="AA118" i="7"/>
  <c r="Z118" i="7"/>
  <c r="Y118" i="7"/>
  <c r="X118" i="7"/>
  <c r="AB118" i="7" s="1"/>
  <c r="W118" i="7"/>
  <c r="BO118" i="7" s="1"/>
  <c r="V118" i="7"/>
  <c r="BN118" i="7" s="1"/>
  <c r="U118" i="7"/>
  <c r="T118" i="7"/>
  <c r="P118" i="7"/>
  <c r="N118" i="7"/>
  <c r="M118" i="7"/>
  <c r="O118" i="7" s="1"/>
  <c r="K118" i="7"/>
  <c r="J118" i="7"/>
  <c r="F118" i="7"/>
  <c r="E118" i="7"/>
  <c r="BG117" i="7"/>
  <c r="BF117" i="7"/>
  <c r="BH117" i="7" s="1"/>
  <c r="BD117" i="7"/>
  <c r="BC117" i="7"/>
  <c r="BB117" i="7"/>
  <c r="AY117" i="7"/>
  <c r="AX117" i="7"/>
  <c r="BE117" i="7" s="1"/>
  <c r="AA117" i="7"/>
  <c r="Z117" i="7"/>
  <c r="Y117" i="7"/>
  <c r="X117" i="7"/>
  <c r="AB117" i="7" s="1"/>
  <c r="W117" i="7"/>
  <c r="BO117" i="7" s="1"/>
  <c r="V117" i="7"/>
  <c r="BN117" i="7" s="1"/>
  <c r="U117" i="7"/>
  <c r="T117" i="7"/>
  <c r="P117" i="7"/>
  <c r="N117" i="7"/>
  <c r="M117" i="7"/>
  <c r="O117" i="7" s="1"/>
  <c r="K117" i="7"/>
  <c r="J117" i="7"/>
  <c r="F117" i="7"/>
  <c r="E117" i="7"/>
  <c r="BG116" i="7"/>
  <c r="BF116" i="7"/>
  <c r="BH116" i="7" s="1"/>
  <c r="BD116" i="7"/>
  <c r="BC116" i="7"/>
  <c r="BB116" i="7"/>
  <c r="AY116" i="7"/>
  <c r="AX116" i="7"/>
  <c r="BE116" i="7" s="1"/>
  <c r="AA116" i="7"/>
  <c r="Z116" i="7"/>
  <c r="Y116" i="7"/>
  <c r="X116" i="7"/>
  <c r="AB116" i="7" s="1"/>
  <c r="W116" i="7"/>
  <c r="BO116" i="7" s="1"/>
  <c r="V116" i="7"/>
  <c r="BN116" i="7" s="1"/>
  <c r="U116" i="7"/>
  <c r="T116" i="7"/>
  <c r="P116" i="7"/>
  <c r="N116" i="7"/>
  <c r="M116" i="7"/>
  <c r="O116" i="7" s="1"/>
  <c r="K116" i="7"/>
  <c r="J116" i="7"/>
  <c r="F116" i="7"/>
  <c r="E116" i="7"/>
  <c r="BG115" i="7"/>
  <c r="BF115" i="7"/>
  <c r="BH115" i="7" s="1"/>
  <c r="BD115" i="7"/>
  <c r="BC115" i="7"/>
  <c r="BB115" i="7"/>
  <c r="AY115" i="7"/>
  <c r="AX115" i="7"/>
  <c r="BE115" i="7" s="1"/>
  <c r="AA115" i="7"/>
  <c r="Z115" i="7"/>
  <c r="Y115" i="7"/>
  <c r="X115" i="7"/>
  <c r="AB115" i="7" s="1"/>
  <c r="W115" i="7"/>
  <c r="BO115" i="7" s="1"/>
  <c r="V115" i="7"/>
  <c r="BN115" i="7" s="1"/>
  <c r="U115" i="7"/>
  <c r="T115" i="7"/>
  <c r="P115" i="7"/>
  <c r="N115" i="7"/>
  <c r="M115" i="7"/>
  <c r="O115" i="7" s="1"/>
  <c r="K115" i="7"/>
  <c r="J115" i="7"/>
  <c r="F115" i="7"/>
  <c r="E115" i="7"/>
  <c r="BG114" i="7"/>
  <c r="BF114" i="7"/>
  <c r="BH114" i="7" s="1"/>
  <c r="BD114" i="7"/>
  <c r="BC114" i="7"/>
  <c r="BB114" i="7"/>
  <c r="AY114" i="7"/>
  <c r="AX114" i="7"/>
  <c r="BE114" i="7" s="1"/>
  <c r="AA114" i="7"/>
  <c r="Z114" i="7"/>
  <c r="Y114" i="7"/>
  <c r="X114" i="7"/>
  <c r="AB114" i="7" s="1"/>
  <c r="W114" i="7"/>
  <c r="BO114" i="7" s="1"/>
  <c r="V114" i="7"/>
  <c r="BN114" i="7" s="1"/>
  <c r="U114" i="7"/>
  <c r="T114" i="7"/>
  <c r="P114" i="7"/>
  <c r="N114" i="7"/>
  <c r="M114" i="7"/>
  <c r="O114" i="7" s="1"/>
  <c r="K114" i="7"/>
  <c r="J114" i="7"/>
  <c r="F114" i="7"/>
  <c r="E114" i="7"/>
  <c r="BG113" i="7"/>
  <c r="BF113" i="7"/>
  <c r="BH113" i="7" s="1"/>
  <c r="BD113" i="7"/>
  <c r="BB113" i="7"/>
  <c r="AY113" i="7"/>
  <c r="AX113" i="7"/>
  <c r="BE113" i="7" s="1"/>
  <c r="AA113" i="7"/>
  <c r="Z113" i="7"/>
  <c r="Y113" i="7"/>
  <c r="X113" i="7"/>
  <c r="AB113" i="7" s="1"/>
  <c r="W113" i="7"/>
  <c r="V113" i="7"/>
  <c r="BN113" i="7" s="1"/>
  <c r="U113" i="7"/>
  <c r="T113" i="7"/>
  <c r="P113" i="7"/>
  <c r="N113" i="7"/>
  <c r="M113" i="7"/>
  <c r="O113" i="7" s="1"/>
  <c r="K113" i="7"/>
  <c r="J113" i="7"/>
  <c r="F113" i="7"/>
  <c r="E113" i="7"/>
  <c r="BD112" i="7"/>
  <c r="BB112" i="7"/>
  <c r="AY112" i="7"/>
  <c r="BF112" i="7" s="1"/>
  <c r="BH112" i="7" s="1"/>
  <c r="AX112" i="7"/>
  <c r="AV112" i="7"/>
  <c r="AU112" i="7"/>
  <c r="AQ112" i="7"/>
  <c r="AP112" i="7"/>
  <c r="AL112" i="7"/>
  <c r="AK112" i="7"/>
  <c r="Z112" i="7"/>
  <c r="Y112" i="7"/>
  <c r="X112" i="7"/>
  <c r="W112" i="7"/>
  <c r="V112" i="7"/>
  <c r="U112" i="7"/>
  <c r="T112" i="7"/>
  <c r="P112" i="7"/>
  <c r="N112" i="7"/>
  <c r="M112" i="7"/>
  <c r="O112" i="7" s="1"/>
  <c r="K112" i="7"/>
  <c r="J112" i="7"/>
  <c r="F112" i="7"/>
  <c r="E112" i="7"/>
  <c r="BD111" i="7"/>
  <c r="AY111" i="7"/>
  <c r="AX111" i="7"/>
  <c r="AV111" i="7"/>
  <c r="AU111" i="7"/>
  <c r="AQ111" i="7"/>
  <c r="AP111" i="7"/>
  <c r="AL111" i="7"/>
  <c r="AK111" i="7"/>
  <c r="Z111" i="7"/>
  <c r="Y111" i="7"/>
  <c r="X111" i="7"/>
  <c r="AB111" i="7" s="1"/>
  <c r="W111" i="7"/>
  <c r="V111" i="7"/>
  <c r="U111" i="7"/>
  <c r="T111" i="7"/>
  <c r="P111" i="7"/>
  <c r="N111" i="7"/>
  <c r="M111" i="7"/>
  <c r="O111" i="7" s="1"/>
  <c r="K111" i="7"/>
  <c r="J111" i="7"/>
  <c r="F111" i="7"/>
  <c r="E111" i="7"/>
  <c r="BA110" i="7"/>
  <c r="AY110" i="7"/>
  <c r="AX110" i="7"/>
  <c r="AZ110" i="7" s="1"/>
  <c r="AW110" i="7"/>
  <c r="AV110" i="7"/>
  <c r="AU110" i="7"/>
  <c r="AQ110" i="7"/>
  <c r="AP110" i="7"/>
  <c r="AL110" i="7"/>
  <c r="AK110" i="7"/>
  <c r="V110" i="7"/>
  <c r="U110" i="7"/>
  <c r="T110" i="7"/>
  <c r="O110" i="7"/>
  <c r="N110" i="7"/>
  <c r="P110" i="7" s="1"/>
  <c r="M110" i="7"/>
  <c r="K110" i="7"/>
  <c r="J110" i="7"/>
  <c r="F110" i="7"/>
  <c r="E110" i="7"/>
  <c r="AZ109" i="7"/>
  <c r="AY109" i="7"/>
  <c r="BA109" i="7" s="1"/>
  <c r="AX109" i="7"/>
  <c r="AW109" i="7"/>
  <c r="AV109" i="7"/>
  <c r="AU109" i="7"/>
  <c r="AQ109" i="7"/>
  <c r="AP109" i="7"/>
  <c r="AL109" i="7"/>
  <c r="AK109" i="7"/>
  <c r="V109" i="7"/>
  <c r="U109" i="7"/>
  <c r="T109" i="7"/>
  <c r="P109" i="7"/>
  <c r="N109" i="7"/>
  <c r="M109" i="7"/>
  <c r="O109" i="7" s="1"/>
  <c r="K109" i="7"/>
  <c r="J109" i="7"/>
  <c r="F109" i="7"/>
  <c r="E109" i="7"/>
  <c r="BA108" i="7"/>
  <c r="AY108" i="7"/>
  <c r="AX108" i="7"/>
  <c r="AZ108" i="7" s="1"/>
  <c r="AW108" i="7"/>
  <c r="AV108" i="7"/>
  <c r="AU108" i="7"/>
  <c r="AQ108" i="7"/>
  <c r="AP108" i="7"/>
  <c r="AL108" i="7"/>
  <c r="AK108" i="7"/>
  <c r="V108" i="7"/>
  <c r="U108" i="7"/>
  <c r="T108" i="7"/>
  <c r="O108" i="7"/>
  <c r="N108" i="7"/>
  <c r="P108" i="7" s="1"/>
  <c r="M108" i="7"/>
  <c r="K108" i="7"/>
  <c r="J108" i="7"/>
  <c r="F108" i="7"/>
  <c r="E108" i="7"/>
  <c r="AZ107" i="7"/>
  <c r="AY107" i="7"/>
  <c r="BA107" i="7" s="1"/>
  <c r="AX107" i="7"/>
  <c r="AW107" i="7"/>
  <c r="AV107" i="7"/>
  <c r="AU107" i="7"/>
  <c r="AQ107" i="7"/>
  <c r="AP107" i="7"/>
  <c r="AL107" i="7"/>
  <c r="AK107" i="7"/>
  <c r="V107" i="7"/>
  <c r="U107" i="7"/>
  <c r="T107" i="7"/>
  <c r="P107" i="7"/>
  <c r="N107" i="7"/>
  <c r="M107" i="7"/>
  <c r="O107" i="7" s="1"/>
  <c r="K107" i="7"/>
  <c r="J107" i="7"/>
  <c r="F107" i="7"/>
  <c r="E107" i="7"/>
  <c r="BA106" i="7"/>
  <c r="AY106" i="7"/>
  <c r="AX106" i="7"/>
  <c r="AZ106" i="7" s="1"/>
  <c r="AW106" i="7"/>
  <c r="AV106" i="7"/>
  <c r="AU106" i="7"/>
  <c r="AQ106" i="7"/>
  <c r="AP106" i="7"/>
  <c r="AL106" i="7"/>
  <c r="AK106" i="7"/>
  <c r="U106" i="7"/>
  <c r="T106" i="7"/>
  <c r="N106" i="7"/>
  <c r="P106" i="7" s="1"/>
  <c r="M106" i="7"/>
  <c r="O106" i="7" s="1"/>
  <c r="K106" i="7"/>
  <c r="J106" i="7"/>
  <c r="F106" i="7"/>
  <c r="E106" i="7"/>
  <c r="AY105" i="7"/>
  <c r="BA105" i="7" s="1"/>
  <c r="AX105" i="7"/>
  <c r="AZ105" i="7" s="1"/>
  <c r="AW105" i="7"/>
  <c r="AV105" i="7"/>
  <c r="AU105" i="7"/>
  <c r="AQ105" i="7"/>
  <c r="AP105" i="7"/>
  <c r="AL105" i="7"/>
  <c r="AK105" i="7"/>
  <c r="U105" i="7"/>
  <c r="T105" i="7"/>
  <c r="O105" i="7"/>
  <c r="N105" i="7"/>
  <c r="P105" i="7" s="1"/>
  <c r="M105" i="7"/>
  <c r="K105" i="7"/>
  <c r="J105" i="7"/>
  <c r="F105" i="7"/>
  <c r="E105" i="7"/>
  <c r="AZ104" i="7"/>
  <c r="AY104" i="7"/>
  <c r="BA104" i="7" s="1"/>
  <c r="AX104" i="7"/>
  <c r="AW104" i="7"/>
  <c r="AV104" i="7"/>
  <c r="AU104" i="7"/>
  <c r="AQ104" i="7"/>
  <c r="AP104" i="7"/>
  <c r="AL104" i="7"/>
  <c r="AK104" i="7"/>
  <c r="U104" i="7"/>
  <c r="T104" i="7"/>
  <c r="P104" i="7"/>
  <c r="O104" i="7"/>
  <c r="N104" i="7"/>
  <c r="M104" i="7"/>
  <c r="K104" i="7"/>
  <c r="J104" i="7"/>
  <c r="F104" i="7"/>
  <c r="E104" i="7"/>
  <c r="AY103" i="7"/>
  <c r="AX103" i="7"/>
  <c r="AW103" i="7"/>
  <c r="BA103" i="7" s="1"/>
  <c r="AV103" i="7"/>
  <c r="AU103" i="7"/>
  <c r="AQ103" i="7"/>
  <c r="AP103" i="7"/>
  <c r="AL103" i="7"/>
  <c r="AK103" i="7"/>
  <c r="U103" i="7"/>
  <c r="T103" i="7"/>
  <c r="P103" i="7"/>
  <c r="N103" i="7"/>
  <c r="M103" i="7"/>
  <c r="O103" i="7" s="1"/>
  <c r="K103" i="7"/>
  <c r="J103" i="7"/>
  <c r="F103" i="7"/>
  <c r="E103" i="7"/>
  <c r="BA102" i="7"/>
  <c r="AY102" i="7"/>
  <c r="AX102" i="7"/>
  <c r="AZ102" i="7" s="1"/>
  <c r="AW102" i="7"/>
  <c r="AV102" i="7"/>
  <c r="AU102" i="7"/>
  <c r="AQ102" i="7"/>
  <c r="AP102" i="7"/>
  <c r="AL102" i="7"/>
  <c r="AK102" i="7"/>
  <c r="U102" i="7"/>
  <c r="T102" i="7"/>
  <c r="P102" i="7"/>
  <c r="M102" i="7"/>
  <c r="O102" i="7" s="1"/>
  <c r="K102" i="7"/>
  <c r="J102" i="7"/>
  <c r="F102" i="7"/>
  <c r="E102" i="7"/>
  <c r="AY101" i="7"/>
  <c r="AX101" i="7"/>
  <c r="AW101" i="7"/>
  <c r="BA101" i="7" s="1"/>
  <c r="AV101" i="7"/>
  <c r="AU101" i="7"/>
  <c r="AQ101" i="7"/>
  <c r="AP101" i="7"/>
  <c r="AL101" i="7"/>
  <c r="AK101" i="7"/>
  <c r="U101" i="7"/>
  <c r="T101" i="7"/>
  <c r="P101" i="7"/>
  <c r="M101" i="7"/>
  <c r="O101" i="7" s="1"/>
  <c r="K101" i="7"/>
  <c r="J101" i="7"/>
  <c r="F101" i="7"/>
  <c r="E101" i="7"/>
  <c r="BA100" i="7"/>
  <c r="AY100" i="7"/>
  <c r="AX100" i="7"/>
  <c r="AZ100" i="7" s="1"/>
  <c r="AW100" i="7"/>
  <c r="AV100" i="7"/>
  <c r="AU100" i="7"/>
  <c r="AQ100" i="7"/>
  <c r="AP100" i="7"/>
  <c r="AL100" i="7"/>
  <c r="AK100" i="7"/>
  <c r="U100" i="7"/>
  <c r="T100" i="7"/>
  <c r="N100" i="7"/>
  <c r="P100" i="7" s="1"/>
  <c r="M100" i="7"/>
  <c r="O100" i="7" s="1"/>
  <c r="K100" i="7"/>
  <c r="J100" i="7"/>
  <c r="F100" i="7"/>
  <c r="E100" i="7"/>
  <c r="AY99" i="7"/>
  <c r="BA99" i="7" s="1"/>
  <c r="AX99" i="7"/>
  <c r="AZ99" i="7" s="1"/>
  <c r="AW99" i="7"/>
  <c r="AV99" i="7"/>
  <c r="AU99" i="7"/>
  <c r="AQ99" i="7"/>
  <c r="AP99" i="7"/>
  <c r="AL99" i="7"/>
  <c r="AK99" i="7"/>
  <c r="U99" i="7"/>
  <c r="T99" i="7"/>
  <c r="S99" i="7"/>
  <c r="P99" i="7"/>
  <c r="O99" i="7"/>
  <c r="M99" i="7"/>
  <c r="K99" i="7"/>
  <c r="J99" i="7"/>
  <c r="F99" i="7"/>
  <c r="E99" i="7"/>
  <c r="AZ98" i="7"/>
  <c r="AY98" i="7"/>
  <c r="BA98" i="7" s="1"/>
  <c r="AX98" i="7"/>
  <c r="AW98" i="7"/>
  <c r="AV98" i="7"/>
  <c r="AU98" i="7"/>
  <c r="AQ98" i="7"/>
  <c r="AP98" i="7"/>
  <c r="AL98" i="7"/>
  <c r="AK98" i="7"/>
  <c r="T98" i="7"/>
  <c r="S98" i="7"/>
  <c r="U98" i="7" s="1"/>
  <c r="P98" i="7"/>
  <c r="M98" i="7"/>
  <c r="O98" i="7" s="1"/>
  <c r="K98" i="7"/>
  <c r="J98" i="7"/>
  <c r="F98" i="7"/>
  <c r="E98" i="7"/>
  <c r="AZ97" i="7"/>
  <c r="AY97" i="7"/>
  <c r="AX97" i="7"/>
  <c r="AW97" i="7"/>
  <c r="BA97" i="7" s="1"/>
  <c r="AV97" i="7"/>
  <c r="AU97" i="7"/>
  <c r="AQ97" i="7"/>
  <c r="AP97" i="7"/>
  <c r="AL97" i="7"/>
  <c r="AK97" i="7"/>
  <c r="T97" i="7"/>
  <c r="S97" i="7"/>
  <c r="U97" i="7" s="1"/>
  <c r="P97" i="7"/>
  <c r="M97" i="7"/>
  <c r="O97" i="7" s="1"/>
  <c r="K97" i="7"/>
  <c r="J97" i="7"/>
  <c r="F97" i="7"/>
  <c r="E97" i="7"/>
  <c r="AY96" i="7"/>
  <c r="AX96" i="7"/>
  <c r="AW96" i="7"/>
  <c r="BA96" i="7" s="1"/>
  <c r="AV96" i="7"/>
  <c r="AU96" i="7"/>
  <c r="AQ96" i="7"/>
  <c r="AP96" i="7"/>
  <c r="AL96" i="7"/>
  <c r="AK96" i="7"/>
  <c r="U96" i="7"/>
  <c r="T96" i="7"/>
  <c r="S96" i="7"/>
  <c r="R96" i="7"/>
  <c r="P96" i="7"/>
  <c r="O96" i="7"/>
  <c r="K96" i="7"/>
  <c r="J96" i="7"/>
  <c r="F96" i="7"/>
  <c r="E96" i="7"/>
  <c r="AY95" i="7"/>
  <c r="BA95" i="7" s="1"/>
  <c r="AX95" i="7"/>
  <c r="AZ95" i="7" s="1"/>
  <c r="AW95" i="7"/>
  <c r="AV95" i="7"/>
  <c r="AU95" i="7"/>
  <c r="AQ95" i="7"/>
  <c r="AP95" i="7"/>
  <c r="AL95" i="7"/>
  <c r="AK95" i="7"/>
  <c r="U95" i="7"/>
  <c r="S95" i="7"/>
  <c r="R95" i="7"/>
  <c r="T95" i="7" s="1"/>
  <c r="P95" i="7"/>
  <c r="O95" i="7"/>
  <c r="K95" i="7"/>
  <c r="J95" i="7"/>
  <c r="F95" i="7"/>
  <c r="E95" i="7"/>
  <c r="AZ94" i="7"/>
  <c r="AY94" i="7"/>
  <c r="BA94" i="7" s="1"/>
  <c r="AX94" i="7"/>
  <c r="AW94" i="7"/>
  <c r="AV94" i="7"/>
  <c r="AU94" i="7"/>
  <c r="AQ94" i="7"/>
  <c r="AP94" i="7"/>
  <c r="AL94" i="7"/>
  <c r="AK94" i="7"/>
  <c r="S94" i="7"/>
  <c r="U94" i="7" s="1"/>
  <c r="R94" i="7"/>
  <c r="T94" i="7" s="1"/>
  <c r="P94" i="7"/>
  <c r="O94" i="7"/>
  <c r="K94" i="7"/>
  <c r="J94" i="7"/>
  <c r="F94" i="7"/>
  <c r="E94" i="7"/>
  <c r="AY93" i="7"/>
  <c r="AX93" i="7"/>
  <c r="AW93" i="7"/>
  <c r="BA93" i="7" s="1"/>
  <c r="AV93" i="7"/>
  <c r="AU93" i="7"/>
  <c r="AQ93" i="7"/>
  <c r="AP93" i="7"/>
  <c r="AL93" i="7"/>
  <c r="AK93" i="7"/>
  <c r="T93" i="7"/>
  <c r="S93" i="7"/>
  <c r="U93" i="7" s="1"/>
  <c r="R93" i="7"/>
  <c r="P93" i="7"/>
  <c r="O93" i="7"/>
  <c r="K93" i="7"/>
  <c r="J93" i="7"/>
  <c r="F93" i="7"/>
  <c r="E93" i="7"/>
  <c r="AY92" i="7"/>
  <c r="AX92" i="7"/>
  <c r="AZ92" i="7" s="1"/>
  <c r="AW92" i="7"/>
  <c r="BA92" i="7" s="1"/>
  <c r="AV92" i="7"/>
  <c r="AU92" i="7"/>
  <c r="AQ92" i="7"/>
  <c r="AP92" i="7"/>
  <c r="AL92" i="7"/>
  <c r="AK92" i="7"/>
  <c r="U92" i="7"/>
  <c r="T92" i="7"/>
  <c r="S92" i="7"/>
  <c r="R92" i="7"/>
  <c r="P92" i="7"/>
  <c r="O92" i="7"/>
  <c r="K92" i="7"/>
  <c r="J92" i="7"/>
  <c r="F92" i="7"/>
  <c r="E92" i="7"/>
  <c r="AY91" i="7"/>
  <c r="BA91" i="7" s="1"/>
  <c r="AX91" i="7"/>
  <c r="AZ91" i="7" s="1"/>
  <c r="AW91" i="7"/>
  <c r="AV91" i="7"/>
  <c r="AU91" i="7"/>
  <c r="AQ91" i="7"/>
  <c r="AP91" i="7"/>
  <c r="AL91" i="7"/>
  <c r="AK91" i="7"/>
  <c r="U91" i="7"/>
  <c r="S91" i="7"/>
  <c r="R91" i="7"/>
  <c r="T91" i="7" s="1"/>
  <c r="P91" i="7"/>
  <c r="O91" i="7"/>
  <c r="K91" i="7"/>
  <c r="J91" i="7"/>
  <c r="F91" i="7"/>
  <c r="E91" i="7"/>
  <c r="AZ90" i="7"/>
  <c r="AY90" i="7"/>
  <c r="BA90" i="7" s="1"/>
  <c r="AX90" i="7"/>
  <c r="AW90" i="7"/>
  <c r="AV90" i="7"/>
  <c r="AU90" i="7"/>
  <c r="AQ90" i="7"/>
  <c r="AP90" i="7"/>
  <c r="AL90" i="7"/>
  <c r="AK90" i="7"/>
  <c r="S90" i="7"/>
  <c r="U90" i="7" s="1"/>
  <c r="R90" i="7"/>
  <c r="T90" i="7" s="1"/>
  <c r="P90" i="7"/>
  <c r="O90" i="7"/>
  <c r="K90" i="7"/>
  <c r="J90" i="7"/>
  <c r="F90" i="7"/>
  <c r="E90" i="7"/>
  <c r="AY89" i="7"/>
  <c r="AX89" i="7"/>
  <c r="AW89" i="7"/>
  <c r="BA89" i="7" s="1"/>
  <c r="AV89" i="7"/>
  <c r="AU89" i="7"/>
  <c r="AQ89" i="7"/>
  <c r="AP89" i="7"/>
  <c r="AL89" i="7"/>
  <c r="AK89" i="7"/>
  <c r="T89" i="7"/>
  <c r="S89" i="7"/>
  <c r="U89" i="7" s="1"/>
  <c r="R89" i="7"/>
  <c r="P89" i="7"/>
  <c r="O89" i="7"/>
  <c r="K89" i="7"/>
  <c r="J89" i="7"/>
  <c r="F89" i="7"/>
  <c r="E89" i="7"/>
  <c r="AY88" i="7"/>
  <c r="AX88" i="7"/>
  <c r="AZ88" i="7" s="1"/>
  <c r="AW88" i="7"/>
  <c r="BA88" i="7" s="1"/>
  <c r="AV88" i="7"/>
  <c r="AU88" i="7"/>
  <c r="AQ88" i="7"/>
  <c r="AP88" i="7"/>
  <c r="AL88" i="7"/>
  <c r="AK88" i="7"/>
  <c r="U88" i="7"/>
  <c r="T88" i="7"/>
  <c r="S88" i="7"/>
  <c r="R88" i="7"/>
  <c r="P88" i="7"/>
  <c r="O88" i="7"/>
  <c r="K88" i="7"/>
  <c r="J88" i="7"/>
  <c r="F88" i="7"/>
  <c r="E88" i="7"/>
  <c r="AY87" i="7"/>
  <c r="BA87" i="7" s="1"/>
  <c r="AX87" i="7"/>
  <c r="AZ87" i="7" s="1"/>
  <c r="AW87" i="7"/>
  <c r="AV87" i="7"/>
  <c r="AU87" i="7"/>
  <c r="AQ87" i="7"/>
  <c r="AP87" i="7"/>
  <c r="AL87" i="7"/>
  <c r="AK87" i="7"/>
  <c r="U87" i="7"/>
  <c r="S87" i="7"/>
  <c r="R87" i="7"/>
  <c r="T87" i="7" s="1"/>
  <c r="P87" i="7"/>
  <c r="O87" i="7"/>
  <c r="K87" i="7"/>
  <c r="J87" i="7"/>
  <c r="F87" i="7"/>
  <c r="E87" i="7"/>
  <c r="AZ86" i="7"/>
  <c r="AY86" i="7"/>
  <c r="BA86" i="7" s="1"/>
  <c r="AX86" i="7"/>
  <c r="AW86" i="7"/>
  <c r="AV86" i="7"/>
  <c r="AU86" i="7"/>
  <c r="AQ86" i="7"/>
  <c r="AP86" i="7"/>
  <c r="AL86" i="7"/>
  <c r="AK86" i="7"/>
  <c r="S86" i="7"/>
  <c r="U86" i="7" s="1"/>
  <c r="R86" i="7"/>
  <c r="T86" i="7" s="1"/>
  <c r="P86" i="7"/>
  <c r="O86" i="7"/>
  <c r="K86" i="7"/>
  <c r="J86" i="7"/>
  <c r="F86" i="7"/>
  <c r="E86" i="7"/>
  <c r="AY85" i="7"/>
  <c r="AX85" i="7"/>
  <c r="AW85" i="7"/>
  <c r="BA85" i="7" s="1"/>
  <c r="AV85" i="7"/>
  <c r="AU85" i="7"/>
  <c r="AQ85" i="7"/>
  <c r="AP85" i="7"/>
  <c r="AL85" i="7"/>
  <c r="AK85" i="7"/>
  <c r="T85" i="7"/>
  <c r="S85" i="7"/>
  <c r="U85" i="7" s="1"/>
  <c r="R85" i="7"/>
  <c r="P85" i="7"/>
  <c r="O85" i="7"/>
  <c r="K85" i="7"/>
  <c r="J85" i="7"/>
  <c r="F85" i="7"/>
  <c r="E85" i="7"/>
  <c r="AY84" i="7"/>
  <c r="AX84" i="7"/>
  <c r="AZ84" i="7" s="1"/>
  <c r="AW84" i="7"/>
  <c r="BA84" i="7" s="1"/>
  <c r="AV84" i="7"/>
  <c r="AU84" i="7"/>
  <c r="AQ84" i="7"/>
  <c r="AP84" i="7"/>
  <c r="AL84" i="7"/>
  <c r="AK84" i="7"/>
  <c r="U84" i="7"/>
  <c r="T84" i="7"/>
  <c r="S84" i="7"/>
  <c r="R84" i="7"/>
  <c r="P84" i="7"/>
  <c r="O84" i="7"/>
  <c r="K84" i="7"/>
  <c r="J84" i="7"/>
  <c r="F84" i="7"/>
  <c r="E84" i="7"/>
  <c r="AY83" i="7"/>
  <c r="BA83" i="7" s="1"/>
  <c r="AX83" i="7"/>
  <c r="AZ83" i="7" s="1"/>
  <c r="AW83" i="7"/>
  <c r="AV83" i="7"/>
  <c r="AU83" i="7"/>
  <c r="AQ83" i="7"/>
  <c r="AP83" i="7"/>
  <c r="AL83" i="7"/>
  <c r="AK83" i="7"/>
  <c r="U83" i="7"/>
  <c r="S83" i="7"/>
  <c r="R83" i="7"/>
  <c r="T83" i="7" s="1"/>
  <c r="P83" i="7"/>
  <c r="O83" i="7"/>
  <c r="K83" i="7"/>
  <c r="J83" i="7"/>
  <c r="F83" i="7"/>
  <c r="E83" i="7"/>
  <c r="AZ82" i="7"/>
  <c r="AY82" i="7"/>
  <c r="BA82" i="7" s="1"/>
  <c r="AX82" i="7"/>
  <c r="AW82" i="7"/>
  <c r="AV82" i="7"/>
  <c r="AU82" i="7"/>
  <c r="AQ82" i="7"/>
  <c r="AP82" i="7"/>
  <c r="AL82" i="7"/>
  <c r="AK82" i="7"/>
  <c r="S82" i="7"/>
  <c r="U82" i="7" s="1"/>
  <c r="R82" i="7"/>
  <c r="T82" i="7" s="1"/>
  <c r="P82" i="7"/>
  <c r="O82" i="7"/>
  <c r="K82" i="7"/>
  <c r="J82" i="7"/>
  <c r="F82" i="7"/>
  <c r="E82" i="7"/>
  <c r="AY81" i="7"/>
  <c r="AX81" i="7"/>
  <c r="AW81" i="7"/>
  <c r="BA81" i="7" s="1"/>
  <c r="AV81" i="7"/>
  <c r="AU81" i="7"/>
  <c r="AQ81" i="7"/>
  <c r="AP81" i="7"/>
  <c r="AL81" i="7"/>
  <c r="AK81" i="7"/>
  <c r="T81" i="7"/>
  <c r="S81" i="7"/>
  <c r="U81" i="7" s="1"/>
  <c r="R81" i="7"/>
  <c r="P81" i="7"/>
  <c r="O81" i="7"/>
  <c r="K81" i="7"/>
  <c r="J81" i="7"/>
  <c r="F81" i="7"/>
  <c r="E81" i="7"/>
  <c r="AY80" i="7"/>
  <c r="AX80" i="7"/>
  <c r="AW80" i="7"/>
  <c r="BA80" i="7" s="1"/>
  <c r="AV80" i="7"/>
  <c r="AU80" i="7"/>
  <c r="AQ80" i="7"/>
  <c r="AP80" i="7"/>
  <c r="AL80" i="7"/>
  <c r="AK80" i="7"/>
  <c r="U80" i="7"/>
  <c r="T80" i="7"/>
  <c r="S80" i="7"/>
  <c r="R80" i="7"/>
  <c r="P80" i="7"/>
  <c r="O80" i="7"/>
  <c r="K80" i="7"/>
  <c r="J80" i="7"/>
  <c r="F80" i="7"/>
  <c r="E80" i="7"/>
  <c r="AY79" i="7"/>
  <c r="BA79" i="7" s="1"/>
  <c r="AX79" i="7"/>
  <c r="AZ79" i="7" s="1"/>
  <c r="AW79" i="7"/>
  <c r="AV79" i="7"/>
  <c r="AU79" i="7"/>
  <c r="AQ79" i="7"/>
  <c r="AP79" i="7"/>
  <c r="AL79" i="7"/>
  <c r="AK79" i="7"/>
  <c r="U79" i="7"/>
  <c r="S79" i="7"/>
  <c r="R79" i="7"/>
  <c r="T79" i="7" s="1"/>
  <c r="P79" i="7"/>
  <c r="O79" i="7"/>
  <c r="K79" i="7"/>
  <c r="J79" i="7"/>
  <c r="F79" i="7"/>
  <c r="E79" i="7"/>
  <c r="AZ78" i="7"/>
  <c r="AY78" i="7"/>
  <c r="BA78" i="7" s="1"/>
  <c r="AX78" i="7"/>
  <c r="AW78" i="7"/>
  <c r="AV78" i="7"/>
  <c r="AU78" i="7"/>
  <c r="AQ78" i="7"/>
  <c r="AP78" i="7"/>
  <c r="AL78" i="7"/>
  <c r="AK78" i="7"/>
  <c r="S78" i="7"/>
  <c r="U78" i="7" s="1"/>
  <c r="R78" i="7"/>
  <c r="T78" i="7" s="1"/>
  <c r="P78" i="7"/>
  <c r="O78" i="7"/>
  <c r="K78" i="7"/>
  <c r="J78" i="7"/>
  <c r="F78" i="7"/>
  <c r="E78" i="7"/>
  <c r="AY77" i="7"/>
  <c r="AX77" i="7"/>
  <c r="AW77" i="7"/>
  <c r="BA77" i="7" s="1"/>
  <c r="AV77" i="7"/>
  <c r="AU77" i="7"/>
  <c r="AQ77" i="7"/>
  <c r="AP77" i="7"/>
  <c r="AL77" i="7"/>
  <c r="AK77" i="7"/>
  <c r="T77" i="7"/>
  <c r="S77" i="7"/>
  <c r="U77" i="7" s="1"/>
  <c r="R77" i="7"/>
  <c r="P77" i="7"/>
  <c r="O77" i="7"/>
  <c r="K77" i="7"/>
  <c r="J77" i="7"/>
  <c r="F77" i="7"/>
  <c r="E77" i="7"/>
  <c r="AY76" i="7"/>
  <c r="AX76" i="7"/>
  <c r="AZ76" i="7" s="1"/>
  <c r="AW76" i="7"/>
  <c r="BA76" i="7" s="1"/>
  <c r="AV76" i="7"/>
  <c r="AU76" i="7"/>
  <c r="AQ76" i="7"/>
  <c r="AP76" i="7"/>
  <c r="AL76" i="7"/>
  <c r="AK76" i="7"/>
  <c r="U76" i="7"/>
  <c r="T76" i="7"/>
  <c r="S76" i="7"/>
  <c r="R76" i="7"/>
  <c r="P76" i="7"/>
  <c r="O76" i="7"/>
  <c r="K76" i="7"/>
  <c r="J76" i="7"/>
  <c r="F76" i="7"/>
  <c r="E76" i="7"/>
  <c r="AY75" i="7"/>
  <c r="BA75" i="7" s="1"/>
  <c r="AX75" i="7"/>
  <c r="AZ75" i="7" s="1"/>
  <c r="AW75" i="7"/>
  <c r="AV75" i="7"/>
  <c r="AU75" i="7"/>
  <c r="AQ75" i="7"/>
  <c r="AP75" i="7"/>
  <c r="AL75" i="7"/>
  <c r="AK75" i="7"/>
  <c r="U75" i="7"/>
  <c r="S75" i="7"/>
  <c r="R75" i="7"/>
  <c r="T75" i="7" s="1"/>
  <c r="P75" i="7"/>
  <c r="O75" i="7"/>
  <c r="K75" i="7"/>
  <c r="J75" i="7"/>
  <c r="F75" i="7"/>
  <c r="E75" i="7"/>
  <c r="AZ74" i="7"/>
  <c r="AY74" i="7"/>
  <c r="BA74" i="7" s="1"/>
  <c r="AX74" i="7"/>
  <c r="AW74" i="7"/>
  <c r="AV74" i="7"/>
  <c r="AU74" i="7"/>
  <c r="AQ74" i="7"/>
  <c r="AP74" i="7"/>
  <c r="AL74" i="7"/>
  <c r="AK74" i="7"/>
  <c r="S74" i="7"/>
  <c r="U74" i="7" s="1"/>
  <c r="R74" i="7"/>
  <c r="T74" i="7" s="1"/>
  <c r="P74" i="7"/>
  <c r="O74" i="7"/>
  <c r="K74" i="7"/>
  <c r="J74" i="7"/>
  <c r="F74" i="7"/>
  <c r="E74" i="7"/>
  <c r="AY73" i="7"/>
  <c r="AX73" i="7"/>
  <c r="AW73" i="7"/>
  <c r="BA73" i="7" s="1"/>
  <c r="AV73" i="7"/>
  <c r="AU73" i="7"/>
  <c r="AQ73" i="7"/>
  <c r="AP73" i="7"/>
  <c r="AL73" i="7"/>
  <c r="AK73" i="7"/>
  <c r="T73" i="7"/>
  <c r="S73" i="7"/>
  <c r="U73" i="7" s="1"/>
  <c r="R73" i="7"/>
  <c r="P73" i="7"/>
  <c r="O73" i="7"/>
  <c r="K73" i="7"/>
  <c r="J73" i="7"/>
  <c r="F73" i="7"/>
  <c r="E73" i="7"/>
  <c r="AY72" i="7"/>
  <c r="AX72" i="7"/>
  <c r="AZ72" i="7" s="1"/>
  <c r="AW72" i="7"/>
  <c r="BA72" i="7" s="1"/>
  <c r="AV72" i="7"/>
  <c r="AU72" i="7"/>
  <c r="AQ72" i="7"/>
  <c r="AP72" i="7"/>
  <c r="AL72" i="7"/>
  <c r="AK72" i="7"/>
  <c r="U72" i="7"/>
  <c r="T72" i="7"/>
  <c r="S72" i="7"/>
  <c r="R72" i="7"/>
  <c r="P72" i="7"/>
  <c r="O72" i="7"/>
  <c r="K72" i="7"/>
  <c r="J72" i="7"/>
  <c r="F72" i="7"/>
  <c r="E72" i="7"/>
  <c r="AY71" i="7"/>
  <c r="BA71" i="7" s="1"/>
  <c r="AX71" i="7"/>
  <c r="AZ71" i="7" s="1"/>
  <c r="AW71" i="7"/>
  <c r="AV71" i="7"/>
  <c r="AU71" i="7"/>
  <c r="AQ71" i="7"/>
  <c r="AP71" i="7"/>
  <c r="AL71" i="7"/>
  <c r="AK71" i="7"/>
  <c r="U71" i="7"/>
  <c r="S71" i="7"/>
  <c r="R71" i="7"/>
  <c r="T71" i="7" s="1"/>
  <c r="P71" i="7"/>
  <c r="O71" i="7"/>
  <c r="K71" i="7"/>
  <c r="J71" i="7"/>
  <c r="F71" i="7"/>
  <c r="E71" i="7"/>
  <c r="AZ70" i="7"/>
  <c r="AY70" i="7"/>
  <c r="BA70" i="7" s="1"/>
  <c r="AX70" i="7"/>
  <c r="AW70" i="7"/>
  <c r="AV70" i="7"/>
  <c r="AU70" i="7"/>
  <c r="AQ70" i="7"/>
  <c r="AP70" i="7"/>
  <c r="AL70" i="7"/>
  <c r="AK70" i="7"/>
  <c r="S70" i="7"/>
  <c r="U70" i="7" s="1"/>
  <c r="R70" i="7"/>
  <c r="T70" i="7" s="1"/>
  <c r="P70" i="7"/>
  <c r="O70" i="7"/>
  <c r="K70" i="7"/>
  <c r="J70" i="7"/>
  <c r="F70" i="7"/>
  <c r="E70" i="7"/>
  <c r="AY69" i="7"/>
  <c r="AX69" i="7"/>
  <c r="AW69" i="7"/>
  <c r="BA69" i="7" s="1"/>
  <c r="AV69" i="7"/>
  <c r="AU69" i="7"/>
  <c r="AQ69" i="7"/>
  <c r="AP69" i="7"/>
  <c r="AL69" i="7"/>
  <c r="AK69" i="7"/>
  <c r="T69" i="7"/>
  <c r="S69" i="7"/>
  <c r="U69" i="7" s="1"/>
  <c r="R69" i="7"/>
  <c r="P69" i="7"/>
  <c r="O69" i="7"/>
  <c r="K69" i="7"/>
  <c r="J69" i="7"/>
  <c r="F69" i="7"/>
  <c r="E69" i="7"/>
  <c r="AY68" i="7"/>
  <c r="BA68" i="7" s="1"/>
  <c r="AX68" i="7"/>
  <c r="AZ68" i="7" s="1"/>
  <c r="AW68" i="7"/>
  <c r="AV68" i="7"/>
  <c r="AU68" i="7"/>
  <c r="AQ68" i="7"/>
  <c r="AP68" i="7"/>
  <c r="AL68" i="7"/>
  <c r="AK68" i="7"/>
  <c r="U68" i="7"/>
  <c r="S68" i="7"/>
  <c r="R68" i="7"/>
  <c r="T68" i="7" s="1"/>
  <c r="P68" i="7"/>
  <c r="O68" i="7"/>
  <c r="K68" i="7"/>
  <c r="J68" i="7"/>
  <c r="F68" i="7"/>
  <c r="E68" i="7"/>
  <c r="AZ67" i="7"/>
  <c r="AY67" i="7"/>
  <c r="BA67" i="7" s="1"/>
  <c r="AX67" i="7"/>
  <c r="AW67" i="7"/>
  <c r="AV67" i="7"/>
  <c r="AU67" i="7"/>
  <c r="AQ67" i="7"/>
  <c r="AP67" i="7"/>
  <c r="AL67" i="7"/>
  <c r="AK67" i="7"/>
  <c r="S67" i="7"/>
  <c r="U67" i="7" s="1"/>
  <c r="R67" i="7"/>
  <c r="T67" i="7" s="1"/>
  <c r="P67" i="7"/>
  <c r="O67" i="7"/>
  <c r="K67" i="7"/>
  <c r="J67" i="7"/>
  <c r="F67" i="7"/>
  <c r="E67" i="7"/>
  <c r="AY66" i="7"/>
  <c r="AX66" i="7"/>
  <c r="AW66" i="7"/>
  <c r="BA66" i="7" s="1"/>
  <c r="AV66" i="7"/>
  <c r="AU66" i="7"/>
  <c r="AQ66" i="7"/>
  <c r="AP66" i="7"/>
  <c r="AL66" i="7"/>
  <c r="AK66" i="7"/>
  <c r="T66" i="7"/>
  <c r="S66" i="7"/>
  <c r="U66" i="7" s="1"/>
  <c r="R66" i="7"/>
  <c r="P66" i="7"/>
  <c r="O66" i="7"/>
  <c r="K66" i="7"/>
  <c r="J66" i="7"/>
  <c r="F66" i="7"/>
  <c r="E66" i="7"/>
  <c r="AY65" i="7"/>
  <c r="AX65" i="7"/>
  <c r="AW65" i="7"/>
  <c r="BA65" i="7" s="1"/>
  <c r="AV65" i="7"/>
  <c r="AU65" i="7"/>
  <c r="AQ65" i="7"/>
  <c r="AP65" i="7"/>
  <c r="AL65" i="7"/>
  <c r="AK65" i="7"/>
  <c r="U65" i="7"/>
  <c r="T65" i="7"/>
  <c r="S65" i="7"/>
  <c r="R65" i="7"/>
  <c r="P65" i="7"/>
  <c r="O65" i="7"/>
  <c r="K65" i="7"/>
  <c r="J65" i="7"/>
  <c r="F65" i="7"/>
  <c r="E65" i="7"/>
  <c r="AY64" i="7"/>
  <c r="BA64" i="7" s="1"/>
  <c r="AX64" i="7"/>
  <c r="AZ64" i="7" s="1"/>
  <c r="AW64" i="7"/>
  <c r="AV64" i="7"/>
  <c r="AU64" i="7"/>
  <c r="AQ64" i="7"/>
  <c r="AP64" i="7"/>
  <c r="AL64" i="7"/>
  <c r="AK64" i="7"/>
  <c r="U64" i="7"/>
  <c r="S64" i="7"/>
  <c r="R64" i="7"/>
  <c r="T64" i="7" s="1"/>
  <c r="P64" i="7"/>
  <c r="O64" i="7"/>
  <c r="K64" i="7"/>
  <c r="J64" i="7"/>
  <c r="F64" i="7"/>
  <c r="E64" i="7"/>
  <c r="AZ63" i="7"/>
  <c r="AY63" i="7"/>
  <c r="BA63" i="7" s="1"/>
  <c r="AX63" i="7"/>
  <c r="AW63" i="7"/>
  <c r="AV63" i="7"/>
  <c r="AU63" i="7"/>
  <c r="AQ63" i="7"/>
  <c r="AP63" i="7"/>
  <c r="AL63" i="7"/>
  <c r="AK63" i="7"/>
  <c r="S63" i="7"/>
  <c r="U63" i="7" s="1"/>
  <c r="R63" i="7"/>
  <c r="T63" i="7" s="1"/>
  <c r="P63" i="7"/>
  <c r="O63" i="7"/>
  <c r="K63" i="7"/>
  <c r="J63" i="7"/>
  <c r="F63" i="7"/>
  <c r="E63" i="7"/>
  <c r="AY62" i="7"/>
  <c r="AX62" i="7"/>
  <c r="AW62" i="7"/>
  <c r="BA62" i="7" s="1"/>
  <c r="AV62" i="7"/>
  <c r="AU62" i="7"/>
  <c r="AQ62" i="7"/>
  <c r="AP62" i="7"/>
  <c r="AL62" i="7"/>
  <c r="AK62" i="7"/>
  <c r="T62" i="7"/>
  <c r="S62" i="7"/>
  <c r="U62" i="7" s="1"/>
  <c r="R62" i="7"/>
  <c r="P62" i="7"/>
  <c r="O62" i="7"/>
  <c r="K62" i="7"/>
  <c r="J62" i="7"/>
  <c r="F62" i="7"/>
  <c r="E62" i="7"/>
  <c r="AY61" i="7"/>
  <c r="AX61" i="7"/>
  <c r="AW61" i="7"/>
  <c r="BA61" i="7" s="1"/>
  <c r="AV61" i="7"/>
  <c r="AU61" i="7"/>
  <c r="AQ61" i="7"/>
  <c r="AP61" i="7"/>
  <c r="AL61" i="7"/>
  <c r="AK61" i="7"/>
  <c r="U61" i="7"/>
  <c r="T61" i="7"/>
  <c r="S61" i="7"/>
  <c r="R61" i="7"/>
  <c r="P61" i="7"/>
  <c r="O61" i="7"/>
  <c r="K61" i="7"/>
  <c r="J61" i="7"/>
  <c r="F61" i="7"/>
  <c r="E61" i="7"/>
  <c r="AY60" i="7"/>
  <c r="BA60" i="7" s="1"/>
  <c r="AX60" i="7"/>
  <c r="AZ60" i="7" s="1"/>
  <c r="AW60" i="7"/>
  <c r="AV60" i="7"/>
  <c r="AU60" i="7"/>
  <c r="AQ60" i="7"/>
  <c r="AP60" i="7"/>
  <c r="AL60" i="7"/>
  <c r="AK60" i="7"/>
  <c r="U60" i="7"/>
  <c r="S60" i="7"/>
  <c r="R60" i="7"/>
  <c r="T60" i="7" s="1"/>
  <c r="P60" i="7"/>
  <c r="O60" i="7"/>
  <c r="K60" i="7"/>
  <c r="J60" i="7"/>
  <c r="F60" i="7"/>
  <c r="E60" i="7"/>
  <c r="AZ59" i="7"/>
  <c r="AY59" i="7"/>
  <c r="BA59" i="7" s="1"/>
  <c r="AX59" i="7"/>
  <c r="AW59" i="7"/>
  <c r="AV59" i="7"/>
  <c r="AU59" i="7"/>
  <c r="AQ59" i="7"/>
  <c r="AP59" i="7"/>
  <c r="AL59" i="7"/>
  <c r="AK59" i="7"/>
  <c r="S59" i="7"/>
  <c r="U59" i="7" s="1"/>
  <c r="R59" i="7"/>
  <c r="T59" i="7" s="1"/>
  <c r="P59" i="7"/>
  <c r="O59" i="7"/>
  <c r="K59" i="7"/>
  <c r="J59" i="7"/>
  <c r="F59" i="7"/>
  <c r="E59" i="7"/>
  <c r="AY58" i="7"/>
  <c r="AX58" i="7"/>
  <c r="AW58" i="7"/>
  <c r="BA58" i="7" s="1"/>
  <c r="AV58" i="7"/>
  <c r="AU58" i="7"/>
  <c r="AQ58" i="7"/>
  <c r="AP58" i="7"/>
  <c r="AL58" i="7"/>
  <c r="AK58" i="7"/>
  <c r="T58" i="7"/>
  <c r="S58" i="7"/>
  <c r="U58" i="7" s="1"/>
  <c r="R58" i="7"/>
  <c r="P58" i="7"/>
  <c r="O58" i="7"/>
  <c r="K58" i="7"/>
  <c r="J58" i="7"/>
  <c r="F58" i="7"/>
  <c r="E58" i="7"/>
  <c r="AY57" i="7"/>
  <c r="AX57" i="7"/>
  <c r="AW57" i="7"/>
  <c r="BA57" i="7" s="1"/>
  <c r="AV57" i="7"/>
  <c r="AU57" i="7"/>
  <c r="AQ57" i="7"/>
  <c r="AP57" i="7"/>
  <c r="AL57" i="7"/>
  <c r="AK57" i="7"/>
  <c r="U57" i="7"/>
  <c r="T57" i="7"/>
  <c r="S57" i="7"/>
  <c r="R57" i="7"/>
  <c r="P57" i="7"/>
  <c r="O57" i="7"/>
  <c r="K57" i="7"/>
  <c r="J57" i="7"/>
  <c r="F57" i="7"/>
  <c r="E57" i="7"/>
  <c r="AY56" i="7"/>
  <c r="BA56" i="7" s="1"/>
  <c r="AX56" i="7"/>
  <c r="AZ56" i="7" s="1"/>
  <c r="AW56" i="7"/>
  <c r="AV56" i="7"/>
  <c r="AU56" i="7"/>
  <c r="AQ56" i="7"/>
  <c r="AP56" i="7"/>
  <c r="AL56" i="7"/>
  <c r="AK56" i="7"/>
  <c r="U56" i="7"/>
  <c r="S56" i="7"/>
  <c r="R56" i="7"/>
  <c r="T56" i="7" s="1"/>
  <c r="P56" i="7"/>
  <c r="O56" i="7"/>
  <c r="K56" i="7"/>
  <c r="J56" i="7"/>
  <c r="F56" i="7"/>
  <c r="E56" i="7"/>
  <c r="AZ55" i="7"/>
  <c r="AY55" i="7"/>
  <c r="BA55" i="7" s="1"/>
  <c r="AX55" i="7"/>
  <c r="AW55" i="7"/>
  <c r="AV55" i="7"/>
  <c r="AU55" i="7"/>
  <c r="AQ55" i="7"/>
  <c r="AP55" i="7"/>
  <c r="AL55" i="7"/>
  <c r="AK55" i="7"/>
  <c r="S55" i="7"/>
  <c r="U55" i="7" s="1"/>
  <c r="R55" i="7"/>
  <c r="T55" i="7" s="1"/>
  <c r="P55" i="7"/>
  <c r="O55" i="7"/>
  <c r="K55" i="7"/>
  <c r="J55" i="7"/>
  <c r="F55" i="7"/>
  <c r="E55" i="7"/>
  <c r="AY54" i="7"/>
  <c r="AX54" i="7"/>
  <c r="AW54" i="7"/>
  <c r="BA54" i="7" s="1"/>
  <c r="AV54" i="7"/>
  <c r="AU54" i="7"/>
  <c r="AQ54" i="7"/>
  <c r="AP54" i="7"/>
  <c r="AL54" i="7"/>
  <c r="AK54" i="7"/>
  <c r="T54" i="7"/>
  <c r="S54" i="7"/>
  <c r="U54" i="7" s="1"/>
  <c r="R54" i="7"/>
  <c r="P54" i="7"/>
  <c r="O54" i="7"/>
  <c r="K54" i="7"/>
  <c r="J54" i="7"/>
  <c r="F54" i="7"/>
  <c r="E54" i="7"/>
  <c r="AY53" i="7"/>
  <c r="AX53" i="7"/>
  <c r="AW53" i="7"/>
  <c r="BA53" i="7" s="1"/>
  <c r="AV53" i="7"/>
  <c r="AU53" i="7"/>
  <c r="AQ53" i="7"/>
  <c r="AP53" i="7"/>
  <c r="AL53" i="7"/>
  <c r="AK53" i="7"/>
  <c r="U53" i="7"/>
  <c r="T53" i="7"/>
  <c r="S53" i="7"/>
  <c r="R53" i="7"/>
  <c r="P53" i="7"/>
  <c r="O53" i="7"/>
  <c r="K53" i="7"/>
  <c r="J53" i="7"/>
  <c r="F53" i="7"/>
  <c r="E53" i="7"/>
  <c r="AY52" i="7"/>
  <c r="BA52" i="7" s="1"/>
  <c r="AX52" i="7"/>
  <c r="AZ52" i="7" s="1"/>
  <c r="AW52" i="7"/>
  <c r="AV52" i="7"/>
  <c r="AU52" i="7"/>
  <c r="AQ52" i="7"/>
  <c r="AP52" i="7"/>
  <c r="AL52" i="7"/>
  <c r="AK52" i="7"/>
  <c r="U52" i="7"/>
  <c r="S52" i="7"/>
  <c r="R52" i="7"/>
  <c r="T52" i="7" s="1"/>
  <c r="P52" i="7"/>
  <c r="O52" i="7"/>
  <c r="K52" i="7"/>
  <c r="J52" i="7"/>
  <c r="F52" i="7"/>
  <c r="E52" i="7"/>
  <c r="AZ51" i="7"/>
  <c r="AY51" i="7"/>
  <c r="BA51" i="7" s="1"/>
  <c r="AX51" i="7"/>
  <c r="AW51" i="7"/>
  <c r="AV51" i="7"/>
  <c r="AU51" i="7"/>
  <c r="AQ51" i="7"/>
  <c r="AP51" i="7"/>
  <c r="AL51" i="7"/>
  <c r="AK51" i="7"/>
  <c r="S51" i="7"/>
  <c r="U51" i="7" s="1"/>
  <c r="R51" i="7"/>
  <c r="T51" i="7" s="1"/>
  <c r="P51" i="7"/>
  <c r="O51" i="7"/>
  <c r="K51" i="7"/>
  <c r="J51" i="7"/>
  <c r="F51" i="7"/>
  <c r="E51" i="7"/>
  <c r="AY50" i="7"/>
  <c r="AX50" i="7"/>
  <c r="AW50" i="7"/>
  <c r="BA50" i="7" s="1"/>
  <c r="AV50" i="7"/>
  <c r="AU50" i="7"/>
  <c r="AQ50" i="7"/>
  <c r="AP50" i="7"/>
  <c r="AL50" i="7"/>
  <c r="AK50" i="7"/>
  <c r="T50" i="7"/>
  <c r="S50" i="7"/>
  <c r="U50" i="7" s="1"/>
  <c r="R50" i="7"/>
  <c r="P50" i="7"/>
  <c r="O50" i="7"/>
  <c r="K50" i="7"/>
  <c r="J50" i="7"/>
  <c r="F50" i="7"/>
  <c r="E50" i="7"/>
  <c r="AY49" i="7"/>
  <c r="AX49" i="7"/>
  <c r="AW49" i="7"/>
  <c r="BA49" i="7" s="1"/>
  <c r="AV49" i="7"/>
  <c r="AU49" i="7"/>
  <c r="AQ49" i="7"/>
  <c r="AP49" i="7"/>
  <c r="AL49" i="7"/>
  <c r="AK49" i="7"/>
  <c r="U49" i="7"/>
  <c r="T49" i="7"/>
  <c r="S49" i="7"/>
  <c r="R49" i="7"/>
  <c r="P49" i="7"/>
  <c r="O49" i="7"/>
  <c r="K49" i="7"/>
  <c r="J49" i="7"/>
  <c r="F49" i="7"/>
  <c r="E49" i="7"/>
  <c r="AY48" i="7"/>
  <c r="BA48" i="7" s="1"/>
  <c r="AX48" i="7"/>
  <c r="AZ48" i="7" s="1"/>
  <c r="AW48" i="7"/>
  <c r="AV48" i="7"/>
  <c r="AU48" i="7"/>
  <c r="AQ48" i="7"/>
  <c r="AP48" i="7"/>
  <c r="AL48" i="7"/>
  <c r="AK48" i="7"/>
  <c r="U48" i="7"/>
  <c r="S48" i="7"/>
  <c r="R48" i="7"/>
  <c r="T48" i="7" s="1"/>
  <c r="P48" i="7"/>
  <c r="O48" i="7"/>
  <c r="K48" i="7"/>
  <c r="J48" i="7"/>
  <c r="F48" i="7"/>
  <c r="E48" i="7"/>
  <c r="AZ47" i="7"/>
  <c r="AY47" i="7"/>
  <c r="BA47" i="7" s="1"/>
  <c r="AX47" i="7"/>
  <c r="AW47" i="7"/>
  <c r="AV47" i="7"/>
  <c r="AU47" i="7"/>
  <c r="AQ47" i="7"/>
  <c r="AP47" i="7"/>
  <c r="AL47" i="7"/>
  <c r="AK47" i="7"/>
  <c r="S47" i="7"/>
  <c r="U47" i="7" s="1"/>
  <c r="R47" i="7"/>
  <c r="T47" i="7" s="1"/>
  <c r="P47" i="7"/>
  <c r="O47" i="7"/>
  <c r="K47" i="7"/>
  <c r="J47" i="7"/>
  <c r="F47" i="7"/>
  <c r="E47" i="7"/>
  <c r="AY46" i="7"/>
  <c r="AX46" i="7"/>
  <c r="AW46" i="7"/>
  <c r="BA46" i="7" s="1"/>
  <c r="AV46" i="7"/>
  <c r="AU46" i="7"/>
  <c r="AQ46" i="7"/>
  <c r="AP46" i="7"/>
  <c r="AL46" i="7"/>
  <c r="AK46" i="7"/>
  <c r="T46" i="7"/>
  <c r="S46" i="7"/>
  <c r="U46" i="7" s="1"/>
  <c r="R46" i="7"/>
  <c r="P46" i="7"/>
  <c r="O46" i="7"/>
  <c r="K46" i="7"/>
  <c r="J46" i="7"/>
  <c r="F46" i="7"/>
  <c r="E46" i="7"/>
  <c r="AY45" i="7"/>
  <c r="AX45" i="7"/>
  <c r="AW45" i="7"/>
  <c r="BA45" i="7" s="1"/>
  <c r="AV45" i="7"/>
  <c r="AU45" i="7"/>
  <c r="AQ45" i="7"/>
  <c r="AP45" i="7"/>
  <c r="AL45" i="7"/>
  <c r="AK45" i="7"/>
  <c r="U45" i="7"/>
  <c r="T45" i="7"/>
  <c r="S45" i="7"/>
  <c r="R45" i="7"/>
  <c r="P45" i="7"/>
  <c r="O45" i="7"/>
  <c r="K45" i="7"/>
  <c r="J45" i="7"/>
  <c r="F45" i="7"/>
  <c r="E45" i="7"/>
  <c r="AY44" i="7"/>
  <c r="BA44" i="7" s="1"/>
  <c r="AX44" i="7"/>
  <c r="AZ44" i="7" s="1"/>
  <c r="AW44" i="7"/>
  <c r="AV44" i="7"/>
  <c r="AU44" i="7"/>
  <c r="AQ44" i="7"/>
  <c r="AP44" i="7"/>
  <c r="AL44" i="7"/>
  <c r="AK44" i="7"/>
  <c r="U44" i="7"/>
  <c r="S44" i="7"/>
  <c r="R44" i="7"/>
  <c r="T44" i="7" s="1"/>
  <c r="P44" i="7"/>
  <c r="O44" i="7"/>
  <c r="K44" i="7"/>
  <c r="J44" i="7"/>
  <c r="F44" i="7"/>
  <c r="E44" i="7"/>
  <c r="AZ43" i="7"/>
  <c r="AY43" i="7"/>
  <c r="BA43" i="7" s="1"/>
  <c r="AX43" i="7"/>
  <c r="AW43" i="7"/>
  <c r="AV43" i="7"/>
  <c r="AU43" i="7"/>
  <c r="AQ43" i="7"/>
  <c r="AP43" i="7"/>
  <c r="AL43" i="7"/>
  <c r="AK43" i="7"/>
  <c r="S43" i="7"/>
  <c r="U43" i="7" s="1"/>
  <c r="R43" i="7"/>
  <c r="T43" i="7" s="1"/>
  <c r="P43" i="7"/>
  <c r="O43" i="7"/>
  <c r="K43" i="7"/>
  <c r="J43" i="7"/>
  <c r="F43" i="7"/>
  <c r="E43" i="7"/>
  <c r="AY42" i="7"/>
  <c r="AX42" i="7"/>
  <c r="AW42" i="7"/>
  <c r="BA42" i="7" s="1"/>
  <c r="AV42" i="7"/>
  <c r="AU42" i="7"/>
  <c r="AQ42" i="7"/>
  <c r="AP42" i="7"/>
  <c r="AL42" i="7"/>
  <c r="AK42" i="7"/>
  <c r="T42" i="7"/>
  <c r="S42" i="7"/>
  <c r="U42" i="7" s="1"/>
  <c r="R42" i="7"/>
  <c r="P42" i="7"/>
  <c r="O42" i="7"/>
  <c r="K42" i="7"/>
  <c r="J42" i="7"/>
  <c r="F42" i="7"/>
  <c r="E42" i="7"/>
  <c r="AY41" i="7"/>
  <c r="AX41" i="7"/>
  <c r="AW41" i="7"/>
  <c r="BA41" i="7" s="1"/>
  <c r="AV41" i="7"/>
  <c r="AU41" i="7"/>
  <c r="AQ41" i="7"/>
  <c r="AP41" i="7"/>
  <c r="AL41" i="7"/>
  <c r="AK41" i="7"/>
  <c r="U41" i="7"/>
  <c r="T41" i="7"/>
  <c r="S41" i="7"/>
  <c r="R41" i="7"/>
  <c r="P41" i="7"/>
  <c r="O41" i="7"/>
  <c r="K41" i="7"/>
  <c r="J41" i="7"/>
  <c r="F41" i="7"/>
  <c r="E41" i="7"/>
  <c r="AY40" i="7"/>
  <c r="BA40" i="7" s="1"/>
  <c r="AX40" i="7"/>
  <c r="AZ40" i="7" s="1"/>
  <c r="AW40" i="7"/>
  <c r="AV40" i="7"/>
  <c r="AU40" i="7"/>
  <c r="AQ40" i="7"/>
  <c r="AP40" i="7"/>
  <c r="AL40" i="7"/>
  <c r="AK40" i="7"/>
  <c r="U40" i="7"/>
  <c r="S40" i="7"/>
  <c r="R40" i="7"/>
  <c r="T40" i="7" s="1"/>
  <c r="P40" i="7"/>
  <c r="O40" i="7"/>
  <c r="K40" i="7"/>
  <c r="J40" i="7"/>
  <c r="F40" i="7"/>
  <c r="E40" i="7"/>
  <c r="AZ39" i="7"/>
  <c r="AY39" i="7"/>
  <c r="BA39" i="7" s="1"/>
  <c r="AX39" i="7"/>
  <c r="AW39" i="7"/>
  <c r="AV39" i="7"/>
  <c r="AU39" i="7"/>
  <c r="AQ39" i="7"/>
  <c r="AP39" i="7"/>
  <c r="AL39" i="7"/>
  <c r="AK39" i="7"/>
  <c r="S39" i="7"/>
  <c r="U39" i="7" s="1"/>
  <c r="R39" i="7"/>
  <c r="T39" i="7" s="1"/>
  <c r="P39" i="7"/>
  <c r="O39" i="7"/>
  <c r="K39" i="7"/>
  <c r="J39" i="7"/>
  <c r="F39" i="7"/>
  <c r="E39" i="7"/>
  <c r="AY38" i="7"/>
  <c r="AX38" i="7"/>
  <c r="AW38" i="7"/>
  <c r="BA38" i="7" s="1"/>
  <c r="AV38" i="7"/>
  <c r="AU38" i="7"/>
  <c r="AQ38" i="7"/>
  <c r="AP38" i="7"/>
  <c r="AL38" i="7"/>
  <c r="AK38" i="7"/>
  <c r="T38" i="7"/>
  <c r="S38" i="7"/>
  <c r="U38" i="7" s="1"/>
  <c r="R38" i="7"/>
  <c r="P38" i="7"/>
  <c r="O38" i="7"/>
  <c r="K38" i="7"/>
  <c r="J38" i="7"/>
  <c r="F38" i="7"/>
  <c r="E38" i="7"/>
  <c r="AY37" i="7"/>
  <c r="AX37" i="7"/>
  <c r="AW37" i="7"/>
  <c r="BA37" i="7" s="1"/>
  <c r="AV37" i="7"/>
  <c r="AU37" i="7"/>
  <c r="AQ37" i="7"/>
  <c r="AP37" i="7"/>
  <c r="AL37" i="7"/>
  <c r="AK37" i="7"/>
  <c r="U37" i="7"/>
  <c r="T37" i="7"/>
  <c r="S37" i="7"/>
  <c r="R37" i="7"/>
  <c r="P37" i="7"/>
  <c r="O37" i="7"/>
  <c r="K37" i="7"/>
  <c r="J37" i="7"/>
  <c r="F37" i="7"/>
  <c r="E37" i="7"/>
  <c r="AY36" i="7"/>
  <c r="BA36" i="7" s="1"/>
  <c r="AX36" i="7"/>
  <c r="AZ36" i="7" s="1"/>
  <c r="AW36" i="7"/>
  <c r="AV36" i="7"/>
  <c r="AU36" i="7"/>
  <c r="AQ36" i="7"/>
  <c r="AP36" i="7"/>
  <c r="AL36" i="7"/>
  <c r="AK36" i="7"/>
  <c r="U36" i="7"/>
  <c r="S36" i="7"/>
  <c r="R36" i="7"/>
  <c r="T36" i="7" s="1"/>
  <c r="P36" i="7"/>
  <c r="O36" i="7"/>
  <c r="K36" i="7"/>
  <c r="J36" i="7"/>
  <c r="F36" i="7"/>
  <c r="E36" i="7"/>
  <c r="AZ35" i="7"/>
  <c r="AY35" i="7"/>
  <c r="BA35" i="7" s="1"/>
  <c r="AX35" i="7"/>
  <c r="AW35" i="7"/>
  <c r="AV35" i="7"/>
  <c r="AU35" i="7"/>
  <c r="AQ35" i="7"/>
  <c r="AP35" i="7"/>
  <c r="AL35" i="7"/>
  <c r="AK35" i="7"/>
  <c r="S35" i="7"/>
  <c r="U35" i="7" s="1"/>
  <c r="R35" i="7"/>
  <c r="T35" i="7" s="1"/>
  <c r="P35" i="7"/>
  <c r="O35" i="7"/>
  <c r="K35" i="7"/>
  <c r="J35" i="7"/>
  <c r="F35" i="7"/>
  <c r="E35" i="7"/>
  <c r="AY34" i="7"/>
  <c r="AX34" i="7"/>
  <c r="AW34" i="7"/>
  <c r="BA34" i="7" s="1"/>
  <c r="AV34" i="7"/>
  <c r="AU34" i="7"/>
  <c r="AQ34" i="7"/>
  <c r="AP34" i="7"/>
  <c r="AL34" i="7"/>
  <c r="AK34" i="7"/>
  <c r="T34" i="7"/>
  <c r="S34" i="7"/>
  <c r="U34" i="7" s="1"/>
  <c r="R34" i="7"/>
  <c r="P34" i="7"/>
  <c r="O34" i="7"/>
  <c r="K34" i="7"/>
  <c r="J34" i="7"/>
  <c r="F34" i="7"/>
  <c r="E34" i="7"/>
  <c r="AY33" i="7"/>
  <c r="AX33" i="7"/>
  <c r="AW33" i="7"/>
  <c r="BA33" i="7" s="1"/>
  <c r="AV33" i="7"/>
  <c r="AU33" i="7"/>
  <c r="AQ33" i="7"/>
  <c r="AP33" i="7"/>
  <c r="AL33" i="7"/>
  <c r="AK33" i="7"/>
  <c r="U33" i="7"/>
  <c r="T33" i="7"/>
  <c r="S33" i="7"/>
  <c r="R33" i="7"/>
  <c r="P33" i="7"/>
  <c r="O33" i="7"/>
  <c r="K33" i="7"/>
  <c r="J33" i="7"/>
  <c r="F33" i="7"/>
  <c r="E33" i="7"/>
  <c r="AY32" i="7"/>
  <c r="BA32" i="7" s="1"/>
  <c r="AX32" i="7"/>
  <c r="AZ32" i="7" s="1"/>
  <c r="AW32" i="7"/>
  <c r="AV32" i="7"/>
  <c r="AU32" i="7"/>
  <c r="AQ32" i="7"/>
  <c r="AP32" i="7"/>
  <c r="AL32" i="7"/>
  <c r="AK32" i="7"/>
  <c r="U32" i="7"/>
  <c r="S32" i="7"/>
  <c r="R32" i="7"/>
  <c r="T32" i="7" s="1"/>
  <c r="P32" i="7"/>
  <c r="O32" i="7"/>
  <c r="K32" i="7"/>
  <c r="J32" i="7"/>
  <c r="F32" i="7"/>
  <c r="E32" i="7"/>
  <c r="AZ31" i="7"/>
  <c r="AY31" i="7"/>
  <c r="BA31" i="7" s="1"/>
  <c r="AX31" i="7"/>
  <c r="AW31" i="7"/>
  <c r="AV31" i="7"/>
  <c r="AU31" i="7"/>
  <c r="AQ31" i="7"/>
  <c r="AP31" i="7"/>
  <c r="AL31" i="7"/>
  <c r="AK31" i="7"/>
  <c r="S31" i="7"/>
  <c r="U31" i="7" s="1"/>
  <c r="R31" i="7"/>
  <c r="T31" i="7" s="1"/>
  <c r="P31" i="7"/>
  <c r="O31" i="7"/>
  <c r="K31" i="7"/>
  <c r="J31" i="7"/>
  <c r="F31" i="7"/>
  <c r="E31" i="7"/>
  <c r="AY30" i="7"/>
  <c r="AX30" i="7"/>
  <c r="AW30" i="7"/>
  <c r="BA30" i="7" s="1"/>
  <c r="AV30" i="7"/>
  <c r="AU30" i="7"/>
  <c r="AQ30" i="7"/>
  <c r="AP30" i="7"/>
  <c r="AL30" i="7"/>
  <c r="AK30" i="7"/>
  <c r="T30" i="7"/>
  <c r="S30" i="7"/>
  <c r="U30" i="7" s="1"/>
  <c r="R30" i="7"/>
  <c r="P30" i="7"/>
  <c r="O30" i="7"/>
  <c r="K30" i="7"/>
  <c r="J30" i="7"/>
  <c r="F30" i="7"/>
  <c r="E30" i="7"/>
  <c r="AY29" i="7"/>
  <c r="AX29" i="7"/>
  <c r="AW29" i="7"/>
  <c r="BA29" i="7" s="1"/>
  <c r="AV29" i="7"/>
  <c r="AU29" i="7"/>
  <c r="AQ29" i="7"/>
  <c r="AP29" i="7"/>
  <c r="AL29" i="7"/>
  <c r="AK29" i="7"/>
  <c r="U29" i="7"/>
  <c r="T29" i="7"/>
  <c r="S29" i="7"/>
  <c r="R29" i="7"/>
  <c r="P29" i="7"/>
  <c r="O29" i="7"/>
  <c r="K29" i="7"/>
  <c r="J29" i="7"/>
  <c r="F29" i="7"/>
  <c r="E29" i="7"/>
  <c r="AY28" i="7"/>
  <c r="BA28" i="7" s="1"/>
  <c r="AX28" i="7"/>
  <c r="AZ28" i="7" s="1"/>
  <c r="AW28" i="7"/>
  <c r="AV28" i="7"/>
  <c r="AU28" i="7"/>
  <c r="AQ28" i="7"/>
  <c r="AP28" i="7"/>
  <c r="AL28" i="7"/>
  <c r="AK28" i="7"/>
  <c r="U28" i="7"/>
  <c r="S28" i="7"/>
  <c r="R28" i="7"/>
  <c r="T28" i="7" s="1"/>
  <c r="P28" i="7"/>
  <c r="O28" i="7"/>
  <c r="K28" i="7"/>
  <c r="J28" i="7"/>
  <c r="F28" i="7"/>
  <c r="E28" i="7"/>
  <c r="AZ27" i="7"/>
  <c r="AY27" i="7"/>
  <c r="BA27" i="7" s="1"/>
  <c r="AX27" i="7"/>
  <c r="AW27" i="7"/>
  <c r="AV27" i="7"/>
  <c r="AU27" i="7"/>
  <c r="AQ27" i="7"/>
  <c r="AP27" i="7"/>
  <c r="AL27" i="7"/>
  <c r="AK27" i="7"/>
  <c r="S27" i="7"/>
  <c r="U27" i="7" s="1"/>
  <c r="R27" i="7"/>
  <c r="T27" i="7" s="1"/>
  <c r="P27" i="7"/>
  <c r="O27" i="7"/>
  <c r="K27" i="7"/>
  <c r="J27" i="7"/>
  <c r="F27" i="7"/>
  <c r="E27" i="7"/>
  <c r="AY26" i="7"/>
  <c r="AX26" i="7"/>
  <c r="AW26" i="7"/>
  <c r="BA26" i="7" s="1"/>
  <c r="AV26" i="7"/>
  <c r="AU26" i="7"/>
  <c r="AQ26" i="7"/>
  <c r="AP26" i="7"/>
  <c r="AL26" i="7"/>
  <c r="AK26" i="7"/>
  <c r="T26" i="7"/>
  <c r="S26" i="7"/>
  <c r="U26" i="7" s="1"/>
  <c r="R26" i="7"/>
  <c r="P26" i="7"/>
  <c r="O26" i="7"/>
  <c r="K26" i="7"/>
  <c r="J26" i="7"/>
  <c r="F26" i="7"/>
  <c r="E26" i="7"/>
  <c r="AY25" i="7"/>
  <c r="AX25" i="7"/>
  <c r="AW25" i="7"/>
  <c r="BA25" i="7" s="1"/>
  <c r="AV25" i="7"/>
  <c r="AU25" i="7"/>
  <c r="AQ25" i="7"/>
  <c r="AP25" i="7"/>
  <c r="AL25" i="7"/>
  <c r="AK25" i="7"/>
  <c r="U25" i="7"/>
  <c r="T25" i="7"/>
  <c r="S25" i="7"/>
  <c r="R25" i="7"/>
  <c r="P25" i="7"/>
  <c r="O25" i="7"/>
  <c r="K25" i="7"/>
  <c r="J25" i="7"/>
  <c r="F25" i="7"/>
  <c r="E25" i="7"/>
  <c r="AY24" i="7"/>
  <c r="BA24" i="7" s="1"/>
  <c r="AX24" i="7"/>
  <c r="AZ24" i="7" s="1"/>
  <c r="AW24" i="7"/>
  <c r="AV24" i="7"/>
  <c r="AU24" i="7"/>
  <c r="AQ24" i="7"/>
  <c r="AP24" i="7"/>
  <c r="AL24" i="7"/>
  <c r="AK24" i="7"/>
  <c r="U24" i="7"/>
  <c r="S24" i="7"/>
  <c r="R24" i="7"/>
  <c r="T24" i="7" s="1"/>
  <c r="P24" i="7"/>
  <c r="O24" i="7"/>
  <c r="K24" i="7"/>
  <c r="J24" i="7"/>
  <c r="F24" i="7"/>
  <c r="E24" i="7"/>
  <c r="AZ23" i="7"/>
  <c r="AY23" i="7"/>
  <c r="BA23" i="7" s="1"/>
  <c r="AX23" i="7"/>
  <c r="AW23" i="7"/>
  <c r="AV23" i="7"/>
  <c r="AU23" i="7"/>
  <c r="AQ23" i="7"/>
  <c r="AP23" i="7"/>
  <c r="AL23" i="7"/>
  <c r="AK23" i="7"/>
  <c r="S23" i="7"/>
  <c r="U23" i="7" s="1"/>
  <c r="R23" i="7"/>
  <c r="T23" i="7" s="1"/>
  <c r="P23" i="7"/>
  <c r="O23" i="7"/>
  <c r="K23" i="7"/>
  <c r="J23" i="7"/>
  <c r="F23" i="7"/>
  <c r="E23" i="7"/>
  <c r="AY22" i="7"/>
  <c r="AX22" i="7"/>
  <c r="AW22" i="7"/>
  <c r="BA22" i="7" s="1"/>
  <c r="AV22" i="7"/>
  <c r="AU22" i="7"/>
  <c r="AQ22" i="7"/>
  <c r="AP22" i="7"/>
  <c r="AL22" i="7"/>
  <c r="AK22" i="7"/>
  <c r="T22" i="7"/>
  <c r="S22" i="7"/>
  <c r="U22" i="7" s="1"/>
  <c r="R22" i="7"/>
  <c r="P22" i="7"/>
  <c r="O22" i="7"/>
  <c r="K22" i="7"/>
  <c r="J22" i="7"/>
  <c r="F22" i="7"/>
  <c r="E22" i="7"/>
  <c r="AY21" i="7"/>
  <c r="AX21" i="7"/>
  <c r="AW21" i="7"/>
  <c r="BA21" i="7" s="1"/>
  <c r="AV21" i="7"/>
  <c r="AU21" i="7"/>
  <c r="AQ21" i="7"/>
  <c r="AP21" i="7"/>
  <c r="AL21" i="7"/>
  <c r="AK21" i="7"/>
  <c r="U21" i="7"/>
  <c r="T21" i="7"/>
  <c r="S21" i="7"/>
  <c r="R21" i="7"/>
  <c r="P21" i="7"/>
  <c r="O21" i="7"/>
  <c r="K21" i="7"/>
  <c r="J21" i="7"/>
  <c r="F21" i="7"/>
  <c r="E21" i="7"/>
  <c r="AY20" i="7"/>
  <c r="BA20" i="7" s="1"/>
  <c r="AX20" i="7"/>
  <c r="AZ20" i="7" s="1"/>
  <c r="AW20" i="7"/>
  <c r="AV20" i="7"/>
  <c r="AU20" i="7"/>
  <c r="AQ20" i="7"/>
  <c r="AP20" i="7"/>
  <c r="AL20" i="7"/>
  <c r="AK20" i="7"/>
  <c r="U20" i="7"/>
  <c r="S20" i="7"/>
  <c r="R20" i="7"/>
  <c r="T20" i="7" s="1"/>
  <c r="P20" i="7"/>
  <c r="O20" i="7"/>
  <c r="K20" i="7"/>
  <c r="J20" i="7"/>
  <c r="F20" i="7"/>
  <c r="E20" i="7"/>
  <c r="AZ19" i="7"/>
  <c r="AY19" i="7"/>
  <c r="BA19" i="7" s="1"/>
  <c r="AX19" i="7"/>
  <c r="AW19" i="7"/>
  <c r="AV19" i="7"/>
  <c r="AU19" i="7"/>
  <c r="AQ19" i="7"/>
  <c r="AP19" i="7"/>
  <c r="AL19" i="7"/>
  <c r="AK19" i="7"/>
  <c r="S19" i="7"/>
  <c r="U19" i="7" s="1"/>
  <c r="R19" i="7"/>
  <c r="T19" i="7" s="1"/>
  <c r="P19" i="7"/>
  <c r="O19" i="7"/>
  <c r="K19" i="7"/>
  <c r="J19" i="7"/>
  <c r="F19" i="7"/>
  <c r="E19" i="7"/>
  <c r="AY18" i="7"/>
  <c r="AX18" i="7"/>
  <c r="AW18" i="7"/>
  <c r="BA18" i="7" s="1"/>
  <c r="AV18" i="7"/>
  <c r="AU18" i="7"/>
  <c r="AQ18" i="7"/>
  <c r="AP18" i="7"/>
  <c r="AL18" i="7"/>
  <c r="AK18" i="7"/>
  <c r="T18" i="7"/>
  <c r="S18" i="7"/>
  <c r="U18" i="7" s="1"/>
  <c r="R18" i="7"/>
  <c r="P18" i="7"/>
  <c r="O18" i="7"/>
  <c r="K18" i="7"/>
  <c r="J18" i="7"/>
  <c r="F18" i="7"/>
  <c r="E18" i="7"/>
  <c r="AY17" i="7"/>
  <c r="AX17" i="7"/>
  <c r="AW17" i="7"/>
  <c r="BA17" i="7" s="1"/>
  <c r="AV17" i="7"/>
  <c r="AU17" i="7"/>
  <c r="AQ17" i="7"/>
  <c r="AP17" i="7"/>
  <c r="AL17" i="7"/>
  <c r="AK17" i="7"/>
  <c r="U17" i="7"/>
  <c r="T17" i="7"/>
  <c r="S17" i="7"/>
  <c r="R17" i="7"/>
  <c r="P17" i="7"/>
  <c r="O17" i="7"/>
  <c r="K17" i="7"/>
  <c r="J17" i="7"/>
  <c r="F17" i="7"/>
  <c r="E17" i="7"/>
  <c r="AY16" i="7"/>
  <c r="BA16" i="7" s="1"/>
  <c r="AX16" i="7"/>
  <c r="AZ16" i="7" s="1"/>
  <c r="AW16" i="7"/>
  <c r="AV16" i="7"/>
  <c r="AU16" i="7"/>
  <c r="AQ16" i="7"/>
  <c r="AP16" i="7"/>
  <c r="AL16" i="7"/>
  <c r="AK16" i="7"/>
  <c r="U16" i="7"/>
  <c r="S16" i="7"/>
  <c r="R16" i="7"/>
  <c r="T16" i="7" s="1"/>
  <c r="P16" i="7"/>
  <c r="O16" i="7"/>
  <c r="K16" i="7"/>
  <c r="J16" i="7"/>
  <c r="F16" i="7"/>
  <c r="E16" i="7"/>
  <c r="AZ15" i="7"/>
  <c r="AY15" i="7"/>
  <c r="BA15" i="7" s="1"/>
  <c r="AX15" i="7"/>
  <c r="AW15" i="7"/>
  <c r="AV15" i="7"/>
  <c r="AU15" i="7"/>
  <c r="AQ15" i="7"/>
  <c r="AP15" i="7"/>
  <c r="AL15" i="7"/>
  <c r="AK15" i="7"/>
  <c r="S15" i="7"/>
  <c r="U15" i="7" s="1"/>
  <c r="R15" i="7"/>
  <c r="T15" i="7" s="1"/>
  <c r="P15" i="7"/>
  <c r="O15" i="7"/>
  <c r="K15" i="7"/>
  <c r="J15" i="7"/>
  <c r="F15" i="7"/>
  <c r="E15" i="7"/>
  <c r="AY14" i="7"/>
  <c r="AX14" i="7"/>
  <c r="AW14" i="7"/>
  <c r="BA14" i="7" s="1"/>
  <c r="AV14" i="7"/>
  <c r="AU14" i="7"/>
  <c r="AQ14" i="7"/>
  <c r="AP14" i="7"/>
  <c r="AL14" i="7"/>
  <c r="AK14" i="7"/>
  <c r="T14" i="7"/>
  <c r="S14" i="7"/>
  <c r="U14" i="7" s="1"/>
  <c r="R14" i="7"/>
  <c r="P14" i="7"/>
  <c r="O14" i="7"/>
  <c r="K14" i="7"/>
  <c r="J14" i="7"/>
  <c r="F14" i="7"/>
  <c r="E14" i="7"/>
  <c r="AY13" i="7"/>
  <c r="AX13" i="7"/>
  <c r="AW13" i="7"/>
  <c r="BA13" i="7" s="1"/>
  <c r="AV13" i="7"/>
  <c r="AU13" i="7"/>
  <c r="AQ13" i="7"/>
  <c r="AP13" i="7"/>
  <c r="AL13" i="7"/>
  <c r="AK13" i="7"/>
  <c r="U13" i="7"/>
  <c r="T13" i="7"/>
  <c r="S13" i="7"/>
  <c r="R13" i="7"/>
  <c r="P13" i="7"/>
  <c r="O13" i="7"/>
  <c r="K13" i="7"/>
  <c r="J13" i="7"/>
  <c r="F13" i="7"/>
  <c r="E13" i="7"/>
  <c r="AY12" i="7"/>
  <c r="BA12" i="7" s="1"/>
  <c r="AX12" i="7"/>
  <c r="AZ12" i="7" s="1"/>
  <c r="AW12" i="7"/>
  <c r="AV12" i="7"/>
  <c r="AU12" i="7"/>
  <c r="AQ12" i="7"/>
  <c r="AP12" i="7"/>
  <c r="AL12" i="7"/>
  <c r="AK12" i="7"/>
  <c r="U12" i="7"/>
  <c r="S12" i="7"/>
  <c r="R12" i="7"/>
  <c r="T12" i="7" s="1"/>
  <c r="P12" i="7"/>
  <c r="O12" i="7"/>
  <c r="K12" i="7"/>
  <c r="J12" i="7"/>
  <c r="F12" i="7"/>
  <c r="E12" i="7"/>
  <c r="AZ11" i="7"/>
  <c r="AY11" i="7"/>
  <c r="BA11" i="7" s="1"/>
  <c r="AX11" i="7"/>
  <c r="AW11" i="7"/>
  <c r="AV11" i="7"/>
  <c r="AU11" i="7"/>
  <c r="AQ11" i="7"/>
  <c r="AP11" i="7"/>
  <c r="AL11" i="7"/>
  <c r="AK11" i="7"/>
  <c r="S11" i="7"/>
  <c r="U11" i="7" s="1"/>
  <c r="R11" i="7"/>
  <c r="T11" i="7" s="1"/>
  <c r="P11" i="7"/>
  <c r="O11" i="7"/>
  <c r="K11" i="7"/>
  <c r="J11" i="7"/>
  <c r="F11" i="7"/>
  <c r="E11" i="7"/>
  <c r="AY10" i="7"/>
  <c r="AX10" i="7"/>
  <c r="AW10" i="7"/>
  <c r="BA10" i="7" s="1"/>
  <c r="AV10" i="7"/>
  <c r="AU10" i="7"/>
  <c r="AQ10" i="7"/>
  <c r="AP10" i="7"/>
  <c r="AL10" i="7"/>
  <c r="AK10" i="7"/>
  <c r="T10" i="7"/>
  <c r="S10" i="7"/>
  <c r="U10" i="7" s="1"/>
  <c r="R10" i="7"/>
  <c r="P10" i="7"/>
  <c r="O10" i="7"/>
  <c r="K10" i="7"/>
  <c r="J10" i="7"/>
  <c r="F10" i="7"/>
  <c r="E10" i="7"/>
  <c r="AY9" i="7"/>
  <c r="AX9" i="7"/>
  <c r="AW9" i="7"/>
  <c r="BA9" i="7" s="1"/>
  <c r="AV9" i="7"/>
  <c r="AU9" i="7"/>
  <c r="AQ9" i="7"/>
  <c r="AP9" i="7"/>
  <c r="AL9" i="7"/>
  <c r="AK9" i="7"/>
  <c r="U9" i="7"/>
  <c r="T9" i="7"/>
  <c r="S9" i="7"/>
  <c r="R9" i="7"/>
  <c r="P9" i="7"/>
  <c r="O9" i="7"/>
  <c r="K9" i="7"/>
  <c r="J9" i="7"/>
  <c r="F9" i="7"/>
  <c r="E9" i="7"/>
  <c r="AY8" i="7"/>
  <c r="BA8" i="7" s="1"/>
  <c r="AX8" i="7"/>
  <c r="AZ8" i="7" s="1"/>
  <c r="AW8" i="7"/>
  <c r="AV8" i="7"/>
  <c r="AU8" i="7"/>
  <c r="AQ8" i="7"/>
  <c r="AP8" i="7"/>
  <c r="AL8" i="7"/>
  <c r="AK8" i="7"/>
  <c r="U8" i="7"/>
  <c r="S8" i="7"/>
  <c r="R8" i="7"/>
  <c r="T8" i="7" s="1"/>
  <c r="P8" i="7"/>
  <c r="O8" i="7"/>
  <c r="K8" i="7"/>
  <c r="J8" i="7"/>
  <c r="F8" i="7"/>
  <c r="E8" i="7"/>
  <c r="AZ7" i="7"/>
  <c r="AY7" i="7"/>
  <c r="BA7" i="7" s="1"/>
  <c r="AX7" i="7"/>
  <c r="AW7" i="7"/>
  <c r="AV7" i="7"/>
  <c r="AU7" i="7"/>
  <c r="AQ7" i="7"/>
  <c r="AP7" i="7"/>
  <c r="AL7" i="7"/>
  <c r="AK7" i="7"/>
  <c r="S7" i="7"/>
  <c r="U7" i="7" s="1"/>
  <c r="R7" i="7"/>
  <c r="T7" i="7" s="1"/>
  <c r="Q7" i="7"/>
  <c r="P7" i="7"/>
  <c r="O7" i="7"/>
  <c r="K7" i="7"/>
  <c r="J7" i="7"/>
  <c r="F7" i="7"/>
  <c r="E7" i="7"/>
  <c r="AY6" i="7"/>
  <c r="AX6" i="7"/>
  <c r="AZ6" i="7" s="1"/>
  <c r="AW6" i="7"/>
  <c r="BA6" i="7" s="1"/>
  <c r="AV6" i="7"/>
  <c r="AU6" i="7"/>
  <c r="AQ6" i="7"/>
  <c r="AP6" i="7"/>
  <c r="AL6" i="7"/>
  <c r="AK6" i="7"/>
  <c r="S6" i="7"/>
  <c r="R6" i="7"/>
  <c r="Q6" i="7"/>
  <c r="P6" i="7"/>
  <c r="O6" i="7"/>
  <c r="K6" i="7"/>
  <c r="J6" i="7"/>
  <c r="F6" i="7"/>
  <c r="E6" i="7"/>
  <c r="E504" i="6"/>
  <c r="D504" i="6"/>
  <c r="E503" i="6"/>
  <c r="D503" i="6"/>
  <c r="E502" i="6"/>
  <c r="D502" i="6"/>
  <c r="I501" i="6"/>
  <c r="H501" i="6"/>
  <c r="E501" i="6"/>
  <c r="D501" i="6"/>
  <c r="I500" i="6"/>
  <c r="H500" i="6"/>
  <c r="E500" i="6"/>
  <c r="D500" i="6"/>
  <c r="I499" i="6"/>
  <c r="H499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I493" i="6"/>
  <c r="H493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I487" i="6"/>
  <c r="H487" i="6"/>
  <c r="E487" i="6"/>
  <c r="D487" i="6"/>
  <c r="I486" i="6"/>
  <c r="H486" i="6"/>
  <c r="E486" i="6"/>
  <c r="D486" i="6"/>
  <c r="I485" i="6"/>
  <c r="H485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I479" i="6"/>
  <c r="H479" i="6"/>
  <c r="E479" i="6"/>
  <c r="D479" i="6"/>
  <c r="I478" i="6"/>
  <c r="H478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I472" i="6"/>
  <c r="H472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I465" i="6"/>
  <c r="H465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I458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I448" i="6"/>
  <c r="H448" i="6"/>
  <c r="E448" i="6"/>
  <c r="D448" i="6"/>
  <c r="I447" i="6"/>
  <c r="H447" i="6"/>
  <c r="E447" i="6"/>
  <c r="D447" i="6"/>
  <c r="E446" i="6"/>
  <c r="D446" i="6"/>
  <c r="E445" i="6"/>
  <c r="D445" i="6"/>
  <c r="I444" i="6"/>
  <c r="H444" i="6"/>
  <c r="E444" i="6"/>
  <c r="D444" i="6"/>
  <c r="I443" i="6"/>
  <c r="H443" i="6"/>
  <c r="E443" i="6"/>
  <c r="D443" i="6"/>
  <c r="I442" i="6"/>
  <c r="H442" i="6"/>
  <c r="E442" i="6"/>
  <c r="D442" i="6"/>
  <c r="I441" i="6"/>
  <c r="H441" i="6"/>
  <c r="E441" i="6"/>
  <c r="D441" i="6"/>
  <c r="E440" i="6"/>
  <c r="D440" i="6"/>
  <c r="E439" i="6"/>
  <c r="D439" i="6"/>
  <c r="E438" i="6"/>
  <c r="D438" i="6"/>
  <c r="I437" i="6"/>
  <c r="H437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I430" i="6"/>
  <c r="H430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I423" i="6"/>
  <c r="H423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I409" i="6"/>
  <c r="H409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I402" i="6"/>
  <c r="H402" i="6"/>
  <c r="E402" i="6"/>
  <c r="D402" i="6"/>
  <c r="E401" i="6"/>
  <c r="D401" i="6"/>
  <c r="I400" i="6"/>
  <c r="H400" i="6"/>
  <c r="E400" i="6"/>
  <c r="D400" i="6"/>
  <c r="E399" i="6"/>
  <c r="D399" i="6"/>
  <c r="E398" i="6"/>
  <c r="D398" i="6"/>
  <c r="E397" i="6"/>
  <c r="D397" i="6"/>
  <c r="E396" i="6"/>
  <c r="D396" i="6"/>
  <c r="I395" i="6"/>
  <c r="H395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I388" i="6"/>
  <c r="H388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I381" i="6"/>
  <c r="H381" i="6"/>
  <c r="E381" i="6"/>
  <c r="D381" i="6"/>
  <c r="E380" i="6"/>
  <c r="D380" i="6"/>
  <c r="E379" i="6"/>
  <c r="D379" i="6"/>
  <c r="I378" i="6"/>
  <c r="H378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V199" i="5"/>
  <c r="U199" i="5"/>
  <c r="T199" i="5"/>
  <c r="N199" i="5"/>
  <c r="M199" i="5"/>
  <c r="J199" i="5"/>
  <c r="I199" i="5"/>
  <c r="F199" i="5"/>
  <c r="E199" i="5"/>
  <c r="S199" i="5" s="1"/>
  <c r="T198" i="5"/>
  <c r="M198" i="5"/>
  <c r="N198" i="5" s="1"/>
  <c r="J198" i="5"/>
  <c r="I198" i="5"/>
  <c r="E198" i="5"/>
  <c r="T197" i="5"/>
  <c r="S197" i="5"/>
  <c r="M197" i="5"/>
  <c r="N197" i="5" s="1"/>
  <c r="J197" i="5"/>
  <c r="I197" i="5"/>
  <c r="E197" i="5"/>
  <c r="F197" i="5" s="1"/>
  <c r="T196" i="5"/>
  <c r="N196" i="5"/>
  <c r="M196" i="5"/>
  <c r="I196" i="5"/>
  <c r="F196" i="5"/>
  <c r="E196" i="5"/>
  <c r="T195" i="5"/>
  <c r="P196" i="5" s="1"/>
  <c r="M195" i="5"/>
  <c r="N195" i="5" s="1"/>
  <c r="I195" i="5"/>
  <c r="J195" i="5" s="1"/>
  <c r="E195" i="5"/>
  <c r="T194" i="5"/>
  <c r="P194" i="5"/>
  <c r="M194" i="5"/>
  <c r="N194" i="5" s="1"/>
  <c r="J194" i="5"/>
  <c r="I194" i="5"/>
  <c r="E194" i="5"/>
  <c r="T193" i="5"/>
  <c r="P193" i="5"/>
  <c r="N193" i="5"/>
  <c r="M193" i="5"/>
  <c r="I193" i="5"/>
  <c r="F193" i="5"/>
  <c r="E193" i="5"/>
  <c r="T192" i="5"/>
  <c r="N192" i="5"/>
  <c r="M192" i="5"/>
  <c r="I192" i="5"/>
  <c r="F192" i="5"/>
  <c r="E192" i="5"/>
  <c r="T191" i="5"/>
  <c r="P192" i="5" s="1"/>
  <c r="M191" i="5"/>
  <c r="N191" i="5" s="1"/>
  <c r="J191" i="5"/>
  <c r="I191" i="5"/>
  <c r="E191" i="5"/>
  <c r="T190" i="5"/>
  <c r="P190" i="5"/>
  <c r="M190" i="5"/>
  <c r="N190" i="5" s="1"/>
  <c r="J190" i="5"/>
  <c r="I190" i="5"/>
  <c r="E190" i="5"/>
  <c r="T189" i="5"/>
  <c r="S189" i="5"/>
  <c r="P189" i="5"/>
  <c r="N189" i="5"/>
  <c r="M189" i="5"/>
  <c r="J189" i="5"/>
  <c r="I189" i="5"/>
  <c r="F189" i="5"/>
  <c r="E189" i="5"/>
  <c r="T188" i="5"/>
  <c r="N188" i="5"/>
  <c r="M188" i="5"/>
  <c r="I188" i="5"/>
  <c r="J188" i="5" s="1"/>
  <c r="F188" i="5"/>
  <c r="E188" i="5"/>
  <c r="V187" i="5"/>
  <c r="U187" i="5"/>
  <c r="T187" i="5"/>
  <c r="P188" i="5" s="1"/>
  <c r="N187" i="5"/>
  <c r="M187" i="5"/>
  <c r="J187" i="5"/>
  <c r="I187" i="5"/>
  <c r="F187" i="5"/>
  <c r="E187" i="5"/>
  <c r="S187" i="5" s="1"/>
  <c r="T186" i="5"/>
  <c r="M186" i="5"/>
  <c r="N186" i="5" s="1"/>
  <c r="J186" i="5"/>
  <c r="I186" i="5"/>
  <c r="E186" i="5"/>
  <c r="T185" i="5"/>
  <c r="S185" i="5"/>
  <c r="N185" i="5"/>
  <c r="M185" i="5"/>
  <c r="J185" i="5"/>
  <c r="I185" i="5"/>
  <c r="F185" i="5"/>
  <c r="E185" i="5"/>
  <c r="T184" i="5"/>
  <c r="S184" i="5"/>
  <c r="N184" i="5"/>
  <c r="M184" i="5"/>
  <c r="I184" i="5"/>
  <c r="J184" i="5" s="1"/>
  <c r="F184" i="5"/>
  <c r="E184" i="5"/>
  <c r="V183" i="5"/>
  <c r="U183" i="5"/>
  <c r="T183" i="5"/>
  <c r="P184" i="5" s="1"/>
  <c r="N183" i="5"/>
  <c r="M183" i="5"/>
  <c r="J183" i="5"/>
  <c r="I183" i="5"/>
  <c r="F183" i="5"/>
  <c r="E183" i="5"/>
  <c r="S183" i="5" s="1"/>
  <c r="T182" i="5"/>
  <c r="M182" i="5"/>
  <c r="N182" i="5" s="1"/>
  <c r="J182" i="5"/>
  <c r="I182" i="5"/>
  <c r="E182" i="5"/>
  <c r="T181" i="5"/>
  <c r="N181" i="5"/>
  <c r="M181" i="5"/>
  <c r="I181" i="5"/>
  <c r="F181" i="5"/>
  <c r="E181" i="5"/>
  <c r="V180" i="5"/>
  <c r="T180" i="5"/>
  <c r="S180" i="5"/>
  <c r="U180" i="5" s="1"/>
  <c r="N180" i="5"/>
  <c r="M180" i="5"/>
  <c r="I180" i="5"/>
  <c r="J180" i="5" s="1"/>
  <c r="F180" i="5"/>
  <c r="E180" i="5"/>
  <c r="T179" i="5"/>
  <c r="P180" i="5" s="1"/>
  <c r="M179" i="5"/>
  <c r="N179" i="5" s="1"/>
  <c r="J179" i="5"/>
  <c r="I179" i="5"/>
  <c r="E179" i="5"/>
  <c r="T178" i="5"/>
  <c r="P178" i="5"/>
  <c r="M178" i="5"/>
  <c r="N178" i="5" s="1"/>
  <c r="J178" i="5"/>
  <c r="I178" i="5"/>
  <c r="E178" i="5"/>
  <c r="T177" i="5"/>
  <c r="P177" i="5"/>
  <c r="N177" i="5"/>
  <c r="M177" i="5"/>
  <c r="I177" i="5"/>
  <c r="S177" i="5" s="1"/>
  <c r="U177" i="5" s="1"/>
  <c r="F177" i="5"/>
  <c r="E177" i="5"/>
  <c r="T176" i="5"/>
  <c r="N176" i="5"/>
  <c r="M176" i="5"/>
  <c r="I176" i="5"/>
  <c r="F176" i="5"/>
  <c r="E176" i="5"/>
  <c r="U175" i="5"/>
  <c r="T175" i="5"/>
  <c r="P176" i="5" s="1"/>
  <c r="M175" i="5"/>
  <c r="N175" i="5" s="1"/>
  <c r="J175" i="5"/>
  <c r="I175" i="5"/>
  <c r="E175" i="5"/>
  <c r="S175" i="5" s="1"/>
  <c r="T174" i="5"/>
  <c r="P174" i="5"/>
  <c r="M174" i="5"/>
  <c r="N174" i="5" s="1"/>
  <c r="J174" i="5"/>
  <c r="I174" i="5"/>
  <c r="E174" i="5"/>
  <c r="T173" i="5"/>
  <c r="S173" i="5"/>
  <c r="P173" i="5"/>
  <c r="N173" i="5"/>
  <c r="M173" i="5"/>
  <c r="J173" i="5"/>
  <c r="I173" i="5"/>
  <c r="F173" i="5"/>
  <c r="E173" i="5"/>
  <c r="T172" i="5"/>
  <c r="N172" i="5"/>
  <c r="M172" i="5"/>
  <c r="I172" i="5"/>
  <c r="J172" i="5" s="1"/>
  <c r="F172" i="5"/>
  <c r="E172" i="5"/>
  <c r="V171" i="5"/>
  <c r="U171" i="5"/>
  <c r="T171" i="5"/>
  <c r="P172" i="5" s="1"/>
  <c r="N171" i="5"/>
  <c r="M171" i="5"/>
  <c r="J171" i="5"/>
  <c r="I171" i="5"/>
  <c r="F171" i="5"/>
  <c r="E171" i="5"/>
  <c r="S171" i="5" s="1"/>
  <c r="T170" i="5"/>
  <c r="M170" i="5"/>
  <c r="N170" i="5" s="1"/>
  <c r="J170" i="5"/>
  <c r="I170" i="5"/>
  <c r="E170" i="5"/>
  <c r="T169" i="5"/>
  <c r="S169" i="5"/>
  <c r="N169" i="5"/>
  <c r="M169" i="5"/>
  <c r="J169" i="5"/>
  <c r="I169" i="5"/>
  <c r="F169" i="5"/>
  <c r="E169" i="5"/>
  <c r="T168" i="5"/>
  <c r="S168" i="5"/>
  <c r="N168" i="5"/>
  <c r="M168" i="5"/>
  <c r="I168" i="5"/>
  <c r="J168" i="5" s="1"/>
  <c r="F168" i="5"/>
  <c r="E168" i="5"/>
  <c r="V167" i="5"/>
  <c r="U167" i="5"/>
  <c r="T167" i="5"/>
  <c r="P168" i="5" s="1"/>
  <c r="N167" i="5"/>
  <c r="M167" i="5"/>
  <c r="J167" i="5"/>
  <c r="I167" i="5"/>
  <c r="F167" i="5"/>
  <c r="E167" i="5"/>
  <c r="S167" i="5" s="1"/>
  <c r="T166" i="5"/>
  <c r="M166" i="5"/>
  <c r="N166" i="5" s="1"/>
  <c r="J166" i="5"/>
  <c r="I166" i="5"/>
  <c r="E166" i="5"/>
  <c r="F166" i="5" s="1"/>
  <c r="T165" i="5"/>
  <c r="P166" i="5" s="1"/>
  <c r="M165" i="5"/>
  <c r="N165" i="5" s="1"/>
  <c r="J165" i="5"/>
  <c r="I165" i="5"/>
  <c r="E165" i="5"/>
  <c r="T164" i="5"/>
  <c r="P164" i="5" s="1"/>
  <c r="N164" i="5"/>
  <c r="M164" i="5"/>
  <c r="I164" i="5"/>
  <c r="F164" i="5"/>
  <c r="E164" i="5"/>
  <c r="T163" i="5"/>
  <c r="N163" i="5"/>
  <c r="M163" i="5"/>
  <c r="I163" i="5"/>
  <c r="J163" i="5" s="1"/>
  <c r="F163" i="5"/>
  <c r="E163" i="5"/>
  <c r="T162" i="5"/>
  <c r="P163" i="5" s="1"/>
  <c r="M162" i="5"/>
  <c r="N162" i="5" s="1"/>
  <c r="J162" i="5"/>
  <c r="I162" i="5"/>
  <c r="E162" i="5"/>
  <c r="T161" i="5"/>
  <c r="P161" i="5"/>
  <c r="M161" i="5"/>
  <c r="N161" i="5" s="1"/>
  <c r="J161" i="5"/>
  <c r="I161" i="5"/>
  <c r="E161" i="5"/>
  <c r="T160" i="5"/>
  <c r="P160" i="5"/>
  <c r="N160" i="5"/>
  <c r="M160" i="5"/>
  <c r="J160" i="5"/>
  <c r="I160" i="5"/>
  <c r="S160" i="5" s="1"/>
  <c r="F160" i="5"/>
  <c r="E160" i="5"/>
  <c r="T159" i="5"/>
  <c r="N159" i="5"/>
  <c r="M159" i="5"/>
  <c r="I159" i="5"/>
  <c r="F159" i="5"/>
  <c r="E159" i="5"/>
  <c r="U158" i="5"/>
  <c r="T158" i="5"/>
  <c r="P159" i="5" s="1"/>
  <c r="N158" i="5"/>
  <c r="M158" i="5"/>
  <c r="J158" i="5"/>
  <c r="I158" i="5"/>
  <c r="F158" i="5"/>
  <c r="E158" i="5"/>
  <c r="S158" i="5" s="1"/>
  <c r="V158" i="5" s="1"/>
  <c r="T157" i="5"/>
  <c r="P157" i="5"/>
  <c r="M157" i="5"/>
  <c r="N157" i="5" s="1"/>
  <c r="J157" i="5"/>
  <c r="I157" i="5"/>
  <c r="E157" i="5"/>
  <c r="T156" i="5"/>
  <c r="S156" i="5"/>
  <c r="P156" i="5"/>
  <c r="N156" i="5"/>
  <c r="M156" i="5"/>
  <c r="J156" i="5"/>
  <c r="I156" i="5"/>
  <c r="F156" i="5"/>
  <c r="E156" i="5"/>
  <c r="T155" i="5"/>
  <c r="S155" i="5"/>
  <c r="N155" i="5"/>
  <c r="M155" i="5"/>
  <c r="I155" i="5"/>
  <c r="J155" i="5" s="1"/>
  <c r="F155" i="5"/>
  <c r="E155" i="5"/>
  <c r="V154" i="5"/>
  <c r="U154" i="5"/>
  <c r="T154" i="5"/>
  <c r="P155" i="5" s="1"/>
  <c r="N154" i="5"/>
  <c r="M154" i="5"/>
  <c r="J154" i="5"/>
  <c r="I154" i="5"/>
  <c r="F154" i="5"/>
  <c r="E154" i="5"/>
  <c r="S154" i="5" s="1"/>
  <c r="T153" i="5"/>
  <c r="M153" i="5"/>
  <c r="N153" i="5" s="1"/>
  <c r="J153" i="5"/>
  <c r="I153" i="5"/>
  <c r="E153" i="5"/>
  <c r="T152" i="5"/>
  <c r="S152" i="5"/>
  <c r="O152" i="5" s="1"/>
  <c r="N152" i="5"/>
  <c r="M152" i="5"/>
  <c r="I152" i="5"/>
  <c r="J152" i="5" s="1"/>
  <c r="F152" i="5"/>
  <c r="E152" i="5"/>
  <c r="T151" i="5"/>
  <c r="S151" i="5"/>
  <c r="U151" i="5" s="1"/>
  <c r="N151" i="5"/>
  <c r="M151" i="5"/>
  <c r="I151" i="5"/>
  <c r="J151" i="5" s="1"/>
  <c r="F151" i="5"/>
  <c r="E151" i="5"/>
  <c r="V150" i="5"/>
  <c r="T150" i="5"/>
  <c r="P151" i="5" s="1"/>
  <c r="M150" i="5"/>
  <c r="N150" i="5" s="1"/>
  <c r="J150" i="5"/>
  <c r="I150" i="5"/>
  <c r="E150" i="5"/>
  <c r="S150" i="5" s="1"/>
  <c r="T149" i="5"/>
  <c r="P149" i="5" s="1"/>
  <c r="M149" i="5"/>
  <c r="N149" i="5" s="1"/>
  <c r="J149" i="5"/>
  <c r="I149" i="5"/>
  <c r="E149" i="5"/>
  <c r="T148" i="5"/>
  <c r="P148" i="5" s="1"/>
  <c r="N148" i="5"/>
  <c r="M148" i="5"/>
  <c r="I148" i="5"/>
  <c r="F148" i="5"/>
  <c r="E148" i="5"/>
  <c r="T147" i="5"/>
  <c r="N147" i="5"/>
  <c r="M147" i="5"/>
  <c r="I147" i="5"/>
  <c r="J147" i="5" s="1"/>
  <c r="F147" i="5"/>
  <c r="E147" i="5"/>
  <c r="T146" i="5"/>
  <c r="P147" i="5" s="1"/>
  <c r="M146" i="5"/>
  <c r="N146" i="5" s="1"/>
  <c r="J146" i="5"/>
  <c r="I146" i="5"/>
  <c r="E146" i="5"/>
  <c r="T145" i="5"/>
  <c r="P145" i="5"/>
  <c r="M145" i="5"/>
  <c r="N145" i="5" s="1"/>
  <c r="J145" i="5"/>
  <c r="I145" i="5"/>
  <c r="E145" i="5"/>
  <c r="T144" i="5"/>
  <c r="P144" i="5"/>
  <c r="N144" i="5"/>
  <c r="M144" i="5"/>
  <c r="J144" i="5"/>
  <c r="I144" i="5"/>
  <c r="S144" i="5" s="1"/>
  <c r="F144" i="5"/>
  <c r="E144" i="5"/>
  <c r="T143" i="5"/>
  <c r="N143" i="5"/>
  <c r="M143" i="5"/>
  <c r="I143" i="5"/>
  <c r="F143" i="5"/>
  <c r="E143" i="5"/>
  <c r="U142" i="5"/>
  <c r="T142" i="5"/>
  <c r="P143" i="5" s="1"/>
  <c r="N142" i="5"/>
  <c r="M142" i="5"/>
  <c r="J142" i="5"/>
  <c r="I142" i="5"/>
  <c r="F142" i="5"/>
  <c r="E142" i="5"/>
  <c r="S142" i="5" s="1"/>
  <c r="V142" i="5" s="1"/>
  <c r="T141" i="5"/>
  <c r="P141" i="5"/>
  <c r="M141" i="5"/>
  <c r="N141" i="5" s="1"/>
  <c r="J141" i="5"/>
  <c r="I141" i="5"/>
  <c r="E141" i="5"/>
  <c r="T140" i="5"/>
  <c r="S140" i="5"/>
  <c r="P140" i="5"/>
  <c r="N140" i="5"/>
  <c r="M140" i="5"/>
  <c r="J140" i="5"/>
  <c r="I140" i="5"/>
  <c r="F140" i="5"/>
  <c r="E140" i="5"/>
  <c r="T139" i="5"/>
  <c r="S139" i="5"/>
  <c r="N139" i="5"/>
  <c r="M139" i="5"/>
  <c r="I139" i="5"/>
  <c r="J139" i="5" s="1"/>
  <c r="F139" i="5"/>
  <c r="E139" i="5"/>
  <c r="V138" i="5"/>
  <c r="U138" i="5"/>
  <c r="T138" i="5"/>
  <c r="P139" i="5" s="1"/>
  <c r="N138" i="5"/>
  <c r="M138" i="5"/>
  <c r="J138" i="5"/>
  <c r="I138" i="5"/>
  <c r="F138" i="5"/>
  <c r="E138" i="5"/>
  <c r="S138" i="5" s="1"/>
  <c r="T137" i="5"/>
  <c r="M137" i="5"/>
  <c r="N137" i="5" s="1"/>
  <c r="J137" i="5"/>
  <c r="I137" i="5"/>
  <c r="E137" i="5"/>
  <c r="T136" i="5"/>
  <c r="S136" i="5"/>
  <c r="M136" i="5"/>
  <c r="N136" i="5" s="1"/>
  <c r="J136" i="5"/>
  <c r="I136" i="5"/>
  <c r="E136" i="5"/>
  <c r="F136" i="5" s="1"/>
  <c r="T135" i="5"/>
  <c r="N135" i="5"/>
  <c r="M135" i="5"/>
  <c r="I135" i="5"/>
  <c r="F135" i="5"/>
  <c r="E135" i="5"/>
  <c r="T134" i="5"/>
  <c r="P135" i="5" s="1"/>
  <c r="N134" i="5"/>
  <c r="M134" i="5"/>
  <c r="I134" i="5"/>
  <c r="J134" i="5" s="1"/>
  <c r="E134" i="5"/>
  <c r="T133" i="5"/>
  <c r="P133" i="5"/>
  <c r="M133" i="5"/>
  <c r="N133" i="5" s="1"/>
  <c r="J133" i="5"/>
  <c r="I133" i="5"/>
  <c r="E133" i="5"/>
  <c r="T132" i="5"/>
  <c r="P132" i="5"/>
  <c r="M132" i="5"/>
  <c r="N132" i="5" s="1"/>
  <c r="I132" i="5"/>
  <c r="E132" i="5"/>
  <c r="F132" i="5" s="1"/>
  <c r="T131" i="5"/>
  <c r="S131" i="5"/>
  <c r="U131" i="5" s="1"/>
  <c r="N131" i="5"/>
  <c r="M131" i="5"/>
  <c r="I131" i="5"/>
  <c r="J131" i="5" s="1"/>
  <c r="F131" i="5"/>
  <c r="E131" i="5"/>
  <c r="T130" i="5"/>
  <c r="P131" i="5" s="1"/>
  <c r="M130" i="5"/>
  <c r="N130" i="5" s="1"/>
  <c r="I130" i="5"/>
  <c r="J130" i="5" s="1"/>
  <c r="F130" i="5"/>
  <c r="E130" i="5"/>
  <c r="T129" i="5"/>
  <c r="M129" i="5"/>
  <c r="N129" i="5" s="1"/>
  <c r="J129" i="5"/>
  <c r="I129" i="5"/>
  <c r="E129" i="5"/>
  <c r="T128" i="5"/>
  <c r="S128" i="5"/>
  <c r="M128" i="5"/>
  <c r="N128" i="5" s="1"/>
  <c r="J128" i="5"/>
  <c r="I128" i="5"/>
  <c r="E128" i="5"/>
  <c r="F128" i="5" s="1"/>
  <c r="T127" i="5"/>
  <c r="N127" i="5"/>
  <c r="M127" i="5"/>
  <c r="I127" i="5"/>
  <c r="F127" i="5"/>
  <c r="E127" i="5"/>
  <c r="T126" i="5"/>
  <c r="P127" i="5" s="1"/>
  <c r="N126" i="5"/>
  <c r="M126" i="5"/>
  <c r="I126" i="5"/>
  <c r="J126" i="5" s="1"/>
  <c r="E126" i="5"/>
  <c r="T125" i="5"/>
  <c r="P125" i="5"/>
  <c r="M125" i="5"/>
  <c r="N125" i="5" s="1"/>
  <c r="J125" i="5"/>
  <c r="I125" i="5"/>
  <c r="E125" i="5"/>
  <c r="T124" i="5"/>
  <c r="P124" i="5"/>
  <c r="M124" i="5"/>
  <c r="N124" i="5" s="1"/>
  <c r="I124" i="5"/>
  <c r="E124" i="5"/>
  <c r="F124" i="5" s="1"/>
  <c r="T123" i="5"/>
  <c r="S123" i="5"/>
  <c r="U123" i="5" s="1"/>
  <c r="N123" i="5"/>
  <c r="M123" i="5"/>
  <c r="I123" i="5"/>
  <c r="J123" i="5" s="1"/>
  <c r="F123" i="5"/>
  <c r="E123" i="5"/>
  <c r="T122" i="5"/>
  <c r="P123" i="5" s="1"/>
  <c r="M122" i="5"/>
  <c r="N122" i="5" s="1"/>
  <c r="I122" i="5"/>
  <c r="J122" i="5" s="1"/>
  <c r="F122" i="5"/>
  <c r="E122" i="5"/>
  <c r="T121" i="5"/>
  <c r="M121" i="5"/>
  <c r="N121" i="5" s="1"/>
  <c r="J121" i="5"/>
  <c r="I121" i="5"/>
  <c r="E121" i="5"/>
  <c r="T120" i="5"/>
  <c r="S120" i="5"/>
  <c r="M120" i="5"/>
  <c r="N120" i="5" s="1"/>
  <c r="J120" i="5"/>
  <c r="I120" i="5"/>
  <c r="E120" i="5"/>
  <c r="F120" i="5" s="1"/>
  <c r="T119" i="5"/>
  <c r="N119" i="5"/>
  <c r="M119" i="5"/>
  <c r="I119" i="5"/>
  <c r="F119" i="5"/>
  <c r="E119" i="5"/>
  <c r="T118" i="5"/>
  <c r="P119" i="5" s="1"/>
  <c r="N118" i="5"/>
  <c r="M118" i="5"/>
  <c r="I118" i="5"/>
  <c r="J118" i="5" s="1"/>
  <c r="E118" i="5"/>
  <c r="T117" i="5"/>
  <c r="M117" i="5"/>
  <c r="N117" i="5" s="1"/>
  <c r="I117" i="5"/>
  <c r="J117" i="5" s="1"/>
  <c r="E117" i="5"/>
  <c r="T116" i="5"/>
  <c r="M116" i="5"/>
  <c r="N116" i="5" s="1"/>
  <c r="J116" i="5"/>
  <c r="I116" i="5"/>
  <c r="S116" i="5" s="1"/>
  <c r="E116" i="5"/>
  <c r="F116" i="5" s="1"/>
  <c r="T115" i="5"/>
  <c r="S115" i="5"/>
  <c r="P115" i="5"/>
  <c r="O115" i="5"/>
  <c r="N115" i="5"/>
  <c r="M115" i="5"/>
  <c r="I115" i="5"/>
  <c r="J115" i="5" s="1"/>
  <c r="F115" i="5"/>
  <c r="E115" i="5"/>
  <c r="V114" i="5"/>
  <c r="T114" i="5"/>
  <c r="N114" i="5"/>
  <c r="M114" i="5"/>
  <c r="I114" i="5"/>
  <c r="J114" i="5" s="1"/>
  <c r="F114" i="5"/>
  <c r="E114" i="5"/>
  <c r="S114" i="5" s="1"/>
  <c r="T113" i="5"/>
  <c r="P114" i="5" s="1"/>
  <c r="M113" i="5"/>
  <c r="N113" i="5" s="1"/>
  <c r="J113" i="5"/>
  <c r="I113" i="5"/>
  <c r="E113" i="5"/>
  <c r="T112" i="5"/>
  <c r="P112" i="5"/>
  <c r="M112" i="5"/>
  <c r="N112" i="5" s="1"/>
  <c r="J112" i="5"/>
  <c r="I112" i="5"/>
  <c r="S112" i="5" s="1"/>
  <c r="E112" i="5"/>
  <c r="F112" i="5" s="1"/>
  <c r="T111" i="5"/>
  <c r="P111" i="5"/>
  <c r="N111" i="5"/>
  <c r="M111" i="5"/>
  <c r="I111" i="5"/>
  <c r="F111" i="5"/>
  <c r="E111" i="5"/>
  <c r="T110" i="5"/>
  <c r="N110" i="5"/>
  <c r="M110" i="5"/>
  <c r="I110" i="5"/>
  <c r="J110" i="5" s="1"/>
  <c r="F110" i="5"/>
  <c r="E110" i="5"/>
  <c r="S110" i="5" s="1"/>
  <c r="T109" i="5"/>
  <c r="P110" i="5" s="1"/>
  <c r="M109" i="5"/>
  <c r="N109" i="5" s="1"/>
  <c r="J109" i="5"/>
  <c r="I109" i="5"/>
  <c r="E109" i="5"/>
  <c r="T108" i="5"/>
  <c r="M108" i="5"/>
  <c r="N108" i="5" s="1"/>
  <c r="I108" i="5"/>
  <c r="E108" i="5"/>
  <c r="F108" i="5" s="1"/>
  <c r="T107" i="5"/>
  <c r="S107" i="5"/>
  <c r="U107" i="5" s="1"/>
  <c r="P107" i="5"/>
  <c r="N107" i="5"/>
  <c r="M107" i="5"/>
  <c r="I107" i="5"/>
  <c r="J107" i="5" s="1"/>
  <c r="F107" i="5"/>
  <c r="E107" i="5"/>
  <c r="T106" i="5"/>
  <c r="M106" i="5"/>
  <c r="N106" i="5" s="1"/>
  <c r="I106" i="5"/>
  <c r="J106" i="5" s="1"/>
  <c r="F106" i="5"/>
  <c r="E106" i="5"/>
  <c r="T105" i="5"/>
  <c r="M105" i="5"/>
  <c r="N105" i="5" s="1"/>
  <c r="J105" i="5"/>
  <c r="I105" i="5"/>
  <c r="E105" i="5"/>
  <c r="T104" i="5"/>
  <c r="S104" i="5"/>
  <c r="U104" i="5" s="1"/>
  <c r="M104" i="5"/>
  <c r="N104" i="5" s="1"/>
  <c r="J104" i="5"/>
  <c r="I104" i="5"/>
  <c r="E104" i="5"/>
  <c r="F104" i="5" s="1"/>
  <c r="T103" i="5"/>
  <c r="P103" i="5"/>
  <c r="N103" i="5"/>
  <c r="M103" i="5"/>
  <c r="I103" i="5"/>
  <c r="J103" i="5" s="1"/>
  <c r="F103" i="5"/>
  <c r="E103" i="5"/>
  <c r="T102" i="5"/>
  <c r="N102" i="5"/>
  <c r="M102" i="5"/>
  <c r="I102" i="5"/>
  <c r="J102" i="5" s="1"/>
  <c r="E102" i="5"/>
  <c r="T101" i="5"/>
  <c r="P101" i="5" s="1"/>
  <c r="M101" i="5"/>
  <c r="N101" i="5" s="1"/>
  <c r="J101" i="5"/>
  <c r="I101" i="5"/>
  <c r="E101" i="5"/>
  <c r="T100" i="5"/>
  <c r="P100" i="5"/>
  <c r="M100" i="5"/>
  <c r="N100" i="5" s="1"/>
  <c r="I100" i="5"/>
  <c r="E100" i="5"/>
  <c r="F100" i="5" s="1"/>
  <c r="T99" i="5"/>
  <c r="P99" i="5"/>
  <c r="N99" i="5"/>
  <c r="M99" i="5"/>
  <c r="I99" i="5"/>
  <c r="J99" i="5" s="1"/>
  <c r="F99" i="5"/>
  <c r="E99" i="5"/>
  <c r="T98" i="5"/>
  <c r="M98" i="5"/>
  <c r="N98" i="5" s="1"/>
  <c r="I98" i="5"/>
  <c r="J98" i="5" s="1"/>
  <c r="F98" i="5"/>
  <c r="E98" i="5"/>
  <c r="T97" i="5"/>
  <c r="P97" i="5"/>
  <c r="M97" i="5"/>
  <c r="N97" i="5" s="1"/>
  <c r="J97" i="5"/>
  <c r="I97" i="5"/>
  <c r="E97" i="5"/>
  <c r="T96" i="5"/>
  <c r="S96" i="5"/>
  <c r="U96" i="5" s="1"/>
  <c r="P96" i="5"/>
  <c r="M96" i="5"/>
  <c r="N96" i="5" s="1"/>
  <c r="J96" i="5"/>
  <c r="I96" i="5"/>
  <c r="E96" i="5"/>
  <c r="F96" i="5" s="1"/>
  <c r="T95" i="5"/>
  <c r="P95" i="5"/>
  <c r="N95" i="5"/>
  <c r="M95" i="5"/>
  <c r="I95" i="5"/>
  <c r="J95" i="5" s="1"/>
  <c r="F95" i="5"/>
  <c r="E95" i="5"/>
  <c r="T94" i="5"/>
  <c r="N94" i="5"/>
  <c r="M94" i="5"/>
  <c r="I94" i="5"/>
  <c r="J94" i="5" s="1"/>
  <c r="E94" i="5"/>
  <c r="T93" i="5"/>
  <c r="M93" i="5"/>
  <c r="N93" i="5" s="1"/>
  <c r="J93" i="5"/>
  <c r="I93" i="5"/>
  <c r="E93" i="5"/>
  <c r="T92" i="5"/>
  <c r="M92" i="5"/>
  <c r="N92" i="5" s="1"/>
  <c r="I92" i="5"/>
  <c r="E92" i="5"/>
  <c r="F92" i="5" s="1"/>
  <c r="T91" i="5"/>
  <c r="S91" i="5"/>
  <c r="U91" i="5" s="1"/>
  <c r="P91" i="5"/>
  <c r="N91" i="5"/>
  <c r="M91" i="5"/>
  <c r="I91" i="5"/>
  <c r="J91" i="5" s="1"/>
  <c r="F91" i="5"/>
  <c r="E91" i="5"/>
  <c r="T90" i="5"/>
  <c r="M90" i="5"/>
  <c r="N90" i="5" s="1"/>
  <c r="I90" i="5"/>
  <c r="J90" i="5" s="1"/>
  <c r="F90" i="5"/>
  <c r="E90" i="5"/>
  <c r="T89" i="5"/>
  <c r="M89" i="5"/>
  <c r="N89" i="5" s="1"/>
  <c r="J89" i="5"/>
  <c r="I89" i="5"/>
  <c r="E89" i="5"/>
  <c r="T88" i="5"/>
  <c r="S88" i="5"/>
  <c r="M88" i="5"/>
  <c r="N88" i="5" s="1"/>
  <c r="J88" i="5"/>
  <c r="I88" i="5"/>
  <c r="E88" i="5"/>
  <c r="F88" i="5" s="1"/>
  <c r="T87" i="5"/>
  <c r="P87" i="5"/>
  <c r="N87" i="5"/>
  <c r="M87" i="5"/>
  <c r="I87" i="5"/>
  <c r="J87" i="5" s="1"/>
  <c r="F87" i="5"/>
  <c r="E87" i="5"/>
  <c r="T86" i="5"/>
  <c r="N86" i="5"/>
  <c r="M86" i="5"/>
  <c r="I86" i="5"/>
  <c r="J86" i="5" s="1"/>
  <c r="E86" i="5"/>
  <c r="T85" i="5"/>
  <c r="M85" i="5"/>
  <c r="N85" i="5" s="1"/>
  <c r="J85" i="5"/>
  <c r="I85" i="5"/>
  <c r="E85" i="5"/>
  <c r="T84" i="5"/>
  <c r="M84" i="5"/>
  <c r="N84" i="5" s="1"/>
  <c r="I84" i="5"/>
  <c r="E84" i="5"/>
  <c r="F84" i="5" s="1"/>
  <c r="T83" i="5"/>
  <c r="P83" i="5"/>
  <c r="N83" i="5"/>
  <c r="M83" i="5"/>
  <c r="I83" i="5"/>
  <c r="J83" i="5" s="1"/>
  <c r="F83" i="5"/>
  <c r="E83" i="5"/>
  <c r="T82" i="5"/>
  <c r="M82" i="5"/>
  <c r="N82" i="5" s="1"/>
  <c r="I82" i="5"/>
  <c r="J82" i="5" s="1"/>
  <c r="F82" i="5"/>
  <c r="E82" i="5"/>
  <c r="T81" i="5"/>
  <c r="P81" i="5"/>
  <c r="M81" i="5"/>
  <c r="N81" i="5" s="1"/>
  <c r="J81" i="5"/>
  <c r="I81" i="5"/>
  <c r="E81" i="5"/>
  <c r="T80" i="5"/>
  <c r="S80" i="5"/>
  <c r="P80" i="5"/>
  <c r="M80" i="5"/>
  <c r="N80" i="5" s="1"/>
  <c r="J80" i="5"/>
  <c r="I80" i="5"/>
  <c r="E80" i="5"/>
  <c r="F80" i="5" s="1"/>
  <c r="T79" i="5"/>
  <c r="P79" i="5"/>
  <c r="N79" i="5"/>
  <c r="M79" i="5"/>
  <c r="I79" i="5"/>
  <c r="J79" i="5" s="1"/>
  <c r="F79" i="5"/>
  <c r="E79" i="5"/>
  <c r="T78" i="5"/>
  <c r="M78" i="5"/>
  <c r="N78" i="5" s="1"/>
  <c r="I78" i="5"/>
  <c r="J78" i="5" s="1"/>
  <c r="F78" i="5"/>
  <c r="E78" i="5"/>
  <c r="V77" i="5"/>
  <c r="T77" i="5"/>
  <c r="N77" i="5"/>
  <c r="M77" i="5"/>
  <c r="J77" i="5"/>
  <c r="I77" i="5"/>
  <c r="F77" i="5"/>
  <c r="E77" i="5"/>
  <c r="S77" i="5" s="1"/>
  <c r="T76" i="5"/>
  <c r="M76" i="5"/>
  <c r="N76" i="5" s="1"/>
  <c r="J76" i="5"/>
  <c r="I76" i="5"/>
  <c r="E76" i="5"/>
  <c r="T75" i="5"/>
  <c r="S75" i="5"/>
  <c r="P75" i="5"/>
  <c r="N75" i="5"/>
  <c r="M75" i="5"/>
  <c r="J75" i="5"/>
  <c r="I75" i="5"/>
  <c r="F75" i="5"/>
  <c r="E75" i="5"/>
  <c r="T74" i="5"/>
  <c r="N74" i="5"/>
  <c r="M74" i="5"/>
  <c r="I74" i="5"/>
  <c r="J74" i="5" s="1"/>
  <c r="E74" i="5"/>
  <c r="F74" i="5" s="1"/>
  <c r="T73" i="5"/>
  <c r="P74" i="5" s="1"/>
  <c r="P73" i="5"/>
  <c r="M73" i="5"/>
  <c r="N73" i="5" s="1"/>
  <c r="J73" i="5"/>
  <c r="I73" i="5"/>
  <c r="E73" i="5"/>
  <c r="T72" i="5"/>
  <c r="M72" i="5"/>
  <c r="N72" i="5" s="1"/>
  <c r="I72" i="5"/>
  <c r="J72" i="5" s="1"/>
  <c r="E72" i="5"/>
  <c r="F72" i="5" s="1"/>
  <c r="T71" i="5"/>
  <c r="N71" i="5"/>
  <c r="M71" i="5"/>
  <c r="I71" i="5"/>
  <c r="F71" i="5"/>
  <c r="E71" i="5"/>
  <c r="T70" i="5"/>
  <c r="M70" i="5"/>
  <c r="N70" i="5" s="1"/>
  <c r="I70" i="5"/>
  <c r="J70" i="5" s="1"/>
  <c r="F70" i="5"/>
  <c r="E70" i="5"/>
  <c r="V69" i="5"/>
  <c r="T69" i="5"/>
  <c r="N69" i="5"/>
  <c r="M69" i="5"/>
  <c r="J69" i="5"/>
  <c r="I69" i="5"/>
  <c r="F69" i="5"/>
  <c r="E69" i="5"/>
  <c r="S69" i="5" s="1"/>
  <c r="T68" i="5"/>
  <c r="M68" i="5"/>
  <c r="N68" i="5" s="1"/>
  <c r="J68" i="5"/>
  <c r="I68" i="5"/>
  <c r="E68" i="5"/>
  <c r="T67" i="5"/>
  <c r="S67" i="5"/>
  <c r="P67" i="5"/>
  <c r="N67" i="5"/>
  <c r="M67" i="5"/>
  <c r="J67" i="5"/>
  <c r="I67" i="5"/>
  <c r="F67" i="5"/>
  <c r="E67" i="5"/>
  <c r="T66" i="5"/>
  <c r="N66" i="5"/>
  <c r="M66" i="5"/>
  <c r="I66" i="5"/>
  <c r="J66" i="5" s="1"/>
  <c r="E66" i="5"/>
  <c r="F66" i="5" s="1"/>
  <c r="T65" i="5"/>
  <c r="P66" i="5" s="1"/>
  <c r="P65" i="5"/>
  <c r="M65" i="5"/>
  <c r="N65" i="5" s="1"/>
  <c r="J65" i="5"/>
  <c r="I65" i="5"/>
  <c r="E65" i="5"/>
  <c r="V64" i="5"/>
  <c r="T64" i="5"/>
  <c r="P64" i="5"/>
  <c r="N64" i="5"/>
  <c r="M64" i="5"/>
  <c r="J64" i="5"/>
  <c r="I64" i="5"/>
  <c r="S64" i="5" s="1"/>
  <c r="F64" i="5"/>
  <c r="E64" i="5"/>
  <c r="T63" i="5"/>
  <c r="M63" i="5"/>
  <c r="N63" i="5" s="1"/>
  <c r="I63" i="5"/>
  <c r="J63" i="5" s="1"/>
  <c r="E63" i="5"/>
  <c r="F63" i="5" s="1"/>
  <c r="T62" i="5"/>
  <c r="N62" i="5"/>
  <c r="M62" i="5"/>
  <c r="J62" i="5"/>
  <c r="I62" i="5"/>
  <c r="F62" i="5"/>
  <c r="E62" i="5"/>
  <c r="S62" i="5" s="1"/>
  <c r="T61" i="5"/>
  <c r="M61" i="5"/>
  <c r="N61" i="5" s="1"/>
  <c r="I61" i="5"/>
  <c r="J61" i="5" s="1"/>
  <c r="E61" i="5"/>
  <c r="F61" i="5" s="1"/>
  <c r="T60" i="5"/>
  <c r="P61" i="5" s="1"/>
  <c r="N60" i="5"/>
  <c r="M60" i="5"/>
  <c r="F60" i="5"/>
  <c r="E60" i="5"/>
  <c r="S60" i="5" s="1"/>
  <c r="T59" i="5"/>
  <c r="M59" i="5"/>
  <c r="N59" i="5" s="1"/>
  <c r="I59" i="5"/>
  <c r="J59" i="5" s="1"/>
  <c r="E59" i="5"/>
  <c r="F59" i="5" s="1"/>
  <c r="T58" i="5"/>
  <c r="N58" i="5"/>
  <c r="M58" i="5"/>
  <c r="J58" i="5"/>
  <c r="I58" i="5"/>
  <c r="S58" i="5" s="1"/>
  <c r="F58" i="5"/>
  <c r="E58" i="5"/>
  <c r="T57" i="5"/>
  <c r="S57" i="5"/>
  <c r="M57" i="5"/>
  <c r="N57" i="5" s="1"/>
  <c r="I57" i="5"/>
  <c r="J57" i="5" s="1"/>
  <c r="E57" i="5"/>
  <c r="F57" i="5" s="1"/>
  <c r="T56" i="5"/>
  <c r="P57" i="5" s="1"/>
  <c r="N56" i="5"/>
  <c r="M56" i="5"/>
  <c r="J56" i="5"/>
  <c r="I56" i="5"/>
  <c r="F56" i="5"/>
  <c r="E56" i="5"/>
  <c r="S56" i="5" s="1"/>
  <c r="A56" i="5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T55" i="5"/>
  <c r="M55" i="5"/>
  <c r="N55" i="5" s="1"/>
  <c r="I55" i="5"/>
  <c r="J55" i="5" s="1"/>
  <c r="E55" i="5"/>
  <c r="T54" i="5"/>
  <c r="P55" i="5" s="1"/>
  <c r="P54" i="5"/>
  <c r="N54" i="5"/>
  <c r="M54" i="5"/>
  <c r="J54" i="5"/>
  <c r="I54" i="5"/>
  <c r="S54" i="5" s="1"/>
  <c r="F54" i="5"/>
  <c r="E54" i="5"/>
  <c r="A54" i="5"/>
  <c r="A55" i="5" s="1"/>
  <c r="T53" i="5"/>
  <c r="M53" i="5"/>
  <c r="N53" i="5" s="1"/>
  <c r="I53" i="5"/>
  <c r="J53" i="5" s="1"/>
  <c r="E53" i="5"/>
  <c r="F53" i="5" s="1"/>
  <c r="V52" i="5"/>
  <c r="T52" i="5"/>
  <c r="P53" i="5" s="1"/>
  <c r="P52" i="5"/>
  <c r="N52" i="5"/>
  <c r="M52" i="5"/>
  <c r="J52" i="5"/>
  <c r="I52" i="5"/>
  <c r="F52" i="5"/>
  <c r="E52" i="5"/>
  <c r="S52" i="5" s="1"/>
  <c r="A52" i="5"/>
  <c r="A53" i="5" s="1"/>
  <c r="T51" i="5"/>
  <c r="M51" i="5"/>
  <c r="N51" i="5" s="1"/>
  <c r="I51" i="5"/>
  <c r="J51" i="5" s="1"/>
  <c r="E51" i="5"/>
  <c r="F51" i="5" s="1"/>
  <c r="A51" i="5"/>
  <c r="V50" i="5"/>
  <c r="T50" i="5"/>
  <c r="P51" i="5" s="1"/>
  <c r="N50" i="5"/>
  <c r="M50" i="5"/>
  <c r="J50" i="5"/>
  <c r="I50" i="5"/>
  <c r="S50" i="5" s="1"/>
  <c r="F50" i="5"/>
  <c r="E50" i="5"/>
  <c r="T49" i="5"/>
  <c r="P49" i="5" s="1"/>
  <c r="N49" i="5"/>
  <c r="M49" i="5"/>
  <c r="J49" i="5"/>
  <c r="I49" i="5"/>
  <c r="F49" i="5"/>
  <c r="E49" i="5"/>
  <c r="S49" i="5" s="1"/>
  <c r="V48" i="5"/>
  <c r="T48" i="5"/>
  <c r="N48" i="5"/>
  <c r="M48" i="5"/>
  <c r="J48" i="5"/>
  <c r="I48" i="5"/>
  <c r="S48" i="5" s="1"/>
  <c r="F48" i="5"/>
  <c r="E48" i="5"/>
  <c r="T47" i="5"/>
  <c r="P47" i="5" s="1"/>
  <c r="N47" i="5"/>
  <c r="M47" i="5"/>
  <c r="J47" i="5"/>
  <c r="I47" i="5"/>
  <c r="E47" i="5"/>
  <c r="S47" i="5" s="1"/>
  <c r="V46" i="5"/>
  <c r="T46" i="5"/>
  <c r="S46" i="5"/>
  <c r="U46" i="5" s="1"/>
  <c r="P46" i="5"/>
  <c r="N46" i="5"/>
  <c r="M46" i="5"/>
  <c r="J46" i="5"/>
  <c r="I46" i="5"/>
  <c r="F46" i="5"/>
  <c r="E46" i="5"/>
  <c r="V45" i="5"/>
  <c r="T45" i="5"/>
  <c r="P45" i="5" s="1"/>
  <c r="R45" i="5" s="1"/>
  <c r="Q45" i="5"/>
  <c r="M45" i="5"/>
  <c r="N45" i="5" s="1"/>
  <c r="J45" i="5"/>
  <c r="I45" i="5"/>
  <c r="E45" i="5"/>
  <c r="S45" i="5" s="1"/>
  <c r="O45" i="5" s="1"/>
  <c r="V44" i="5"/>
  <c r="T44" i="5"/>
  <c r="S44" i="5"/>
  <c r="U44" i="5" s="1"/>
  <c r="P44" i="5"/>
  <c r="N44" i="5"/>
  <c r="M44" i="5"/>
  <c r="J44" i="5"/>
  <c r="I44" i="5"/>
  <c r="F44" i="5"/>
  <c r="E44" i="5"/>
  <c r="V43" i="5"/>
  <c r="T43" i="5"/>
  <c r="P43" i="5" s="1"/>
  <c r="R43" i="5" s="1"/>
  <c r="Q43" i="5"/>
  <c r="M43" i="5"/>
  <c r="N43" i="5" s="1"/>
  <c r="J43" i="5"/>
  <c r="I43" i="5"/>
  <c r="E43" i="5"/>
  <c r="S43" i="5" s="1"/>
  <c r="O43" i="5" s="1"/>
  <c r="V42" i="5"/>
  <c r="T42" i="5"/>
  <c r="S42" i="5"/>
  <c r="U42" i="5" s="1"/>
  <c r="P42" i="5"/>
  <c r="N42" i="5"/>
  <c r="M42" i="5"/>
  <c r="J42" i="5"/>
  <c r="I42" i="5"/>
  <c r="F42" i="5"/>
  <c r="E42" i="5"/>
  <c r="V41" i="5"/>
  <c r="T41" i="5"/>
  <c r="P41" i="5" s="1"/>
  <c r="R41" i="5" s="1"/>
  <c r="M41" i="5"/>
  <c r="N41" i="5" s="1"/>
  <c r="J41" i="5"/>
  <c r="I41" i="5"/>
  <c r="E41" i="5"/>
  <c r="S41" i="5" s="1"/>
  <c r="O41" i="5" s="1"/>
  <c r="V40" i="5"/>
  <c r="T40" i="5"/>
  <c r="S40" i="5"/>
  <c r="U40" i="5" s="1"/>
  <c r="P40" i="5"/>
  <c r="N40" i="5"/>
  <c r="M40" i="5"/>
  <c r="J40" i="5"/>
  <c r="I40" i="5"/>
  <c r="F40" i="5"/>
  <c r="E40" i="5"/>
  <c r="V39" i="5"/>
  <c r="T39" i="5"/>
  <c r="P39" i="5" s="1"/>
  <c r="R39" i="5" s="1"/>
  <c r="Q39" i="5"/>
  <c r="M39" i="5"/>
  <c r="N39" i="5" s="1"/>
  <c r="J39" i="5"/>
  <c r="I39" i="5"/>
  <c r="E39" i="5"/>
  <c r="S39" i="5" s="1"/>
  <c r="O39" i="5" s="1"/>
  <c r="V38" i="5"/>
  <c r="T38" i="5"/>
  <c r="S38" i="5"/>
  <c r="U38" i="5" s="1"/>
  <c r="P38" i="5"/>
  <c r="N38" i="5"/>
  <c r="M38" i="5"/>
  <c r="J38" i="5"/>
  <c r="I38" i="5"/>
  <c r="F38" i="5"/>
  <c r="E38" i="5"/>
  <c r="V37" i="5"/>
  <c r="T37" i="5"/>
  <c r="P37" i="5" s="1"/>
  <c r="R37" i="5" s="1"/>
  <c r="Q37" i="5"/>
  <c r="M37" i="5"/>
  <c r="N37" i="5" s="1"/>
  <c r="J37" i="5"/>
  <c r="I37" i="5"/>
  <c r="E37" i="5"/>
  <c r="S37" i="5" s="1"/>
  <c r="O37" i="5" s="1"/>
  <c r="V36" i="5"/>
  <c r="T36" i="5"/>
  <c r="S36" i="5"/>
  <c r="U36" i="5" s="1"/>
  <c r="P36" i="5"/>
  <c r="N36" i="5"/>
  <c r="M36" i="5"/>
  <c r="J36" i="5"/>
  <c r="I36" i="5"/>
  <c r="F36" i="5"/>
  <c r="E36" i="5"/>
  <c r="V35" i="5"/>
  <c r="T35" i="5"/>
  <c r="P35" i="5" s="1"/>
  <c r="R35" i="5" s="1"/>
  <c r="Q35" i="5"/>
  <c r="M35" i="5"/>
  <c r="N35" i="5" s="1"/>
  <c r="J35" i="5"/>
  <c r="I35" i="5"/>
  <c r="E35" i="5"/>
  <c r="S35" i="5" s="1"/>
  <c r="O35" i="5" s="1"/>
  <c r="V34" i="5"/>
  <c r="T34" i="5"/>
  <c r="S34" i="5"/>
  <c r="U34" i="5" s="1"/>
  <c r="P34" i="5"/>
  <c r="N34" i="5"/>
  <c r="M34" i="5"/>
  <c r="J34" i="5"/>
  <c r="I34" i="5"/>
  <c r="F34" i="5"/>
  <c r="E34" i="5"/>
  <c r="V33" i="5"/>
  <c r="T33" i="5"/>
  <c r="P33" i="5" s="1"/>
  <c r="R33" i="5" s="1"/>
  <c r="M33" i="5"/>
  <c r="N33" i="5" s="1"/>
  <c r="J33" i="5"/>
  <c r="I33" i="5"/>
  <c r="E33" i="5"/>
  <c r="S33" i="5" s="1"/>
  <c r="O33" i="5" s="1"/>
  <c r="V32" i="5"/>
  <c r="T32" i="5"/>
  <c r="S32" i="5"/>
  <c r="U32" i="5" s="1"/>
  <c r="P32" i="5"/>
  <c r="N32" i="5"/>
  <c r="M32" i="5"/>
  <c r="J32" i="5"/>
  <c r="I32" i="5"/>
  <c r="F32" i="5"/>
  <c r="E32" i="5"/>
  <c r="T31" i="5"/>
  <c r="P31" i="5" s="1"/>
  <c r="M31" i="5"/>
  <c r="N31" i="5" s="1"/>
  <c r="I31" i="5"/>
  <c r="J31" i="5" s="1"/>
  <c r="E31" i="5"/>
  <c r="T30" i="5"/>
  <c r="P30" i="5"/>
  <c r="M30" i="5"/>
  <c r="N30" i="5" s="1"/>
  <c r="I30" i="5"/>
  <c r="J30" i="5" s="1"/>
  <c r="E30" i="5"/>
  <c r="F30" i="5" s="1"/>
  <c r="T29" i="5"/>
  <c r="M29" i="5"/>
  <c r="N29" i="5" s="1"/>
  <c r="I29" i="5"/>
  <c r="J29" i="5" s="1"/>
  <c r="E29" i="5"/>
  <c r="T28" i="5"/>
  <c r="P29" i="5" s="1"/>
  <c r="P28" i="5"/>
  <c r="M28" i="5"/>
  <c r="N28" i="5" s="1"/>
  <c r="I28" i="5"/>
  <c r="J28" i="5" s="1"/>
  <c r="E28" i="5"/>
  <c r="F28" i="5" s="1"/>
  <c r="T27" i="5"/>
  <c r="M27" i="5"/>
  <c r="N27" i="5" s="1"/>
  <c r="I27" i="5"/>
  <c r="J27" i="5" s="1"/>
  <c r="E27" i="5"/>
  <c r="T26" i="5"/>
  <c r="P27" i="5" s="1"/>
  <c r="P26" i="5"/>
  <c r="M26" i="5"/>
  <c r="N26" i="5" s="1"/>
  <c r="I26" i="5"/>
  <c r="J26" i="5" s="1"/>
  <c r="E26" i="5"/>
  <c r="F26" i="5" s="1"/>
  <c r="T25" i="5"/>
  <c r="M25" i="5"/>
  <c r="N25" i="5" s="1"/>
  <c r="I25" i="5"/>
  <c r="J25" i="5" s="1"/>
  <c r="E25" i="5"/>
  <c r="T24" i="5"/>
  <c r="P25" i="5" s="1"/>
  <c r="P24" i="5"/>
  <c r="M24" i="5"/>
  <c r="N24" i="5" s="1"/>
  <c r="I24" i="5"/>
  <c r="J24" i="5" s="1"/>
  <c r="E24" i="5"/>
  <c r="F24" i="5" s="1"/>
  <c r="T23" i="5"/>
  <c r="M23" i="5"/>
  <c r="N23" i="5" s="1"/>
  <c r="I23" i="5"/>
  <c r="J23" i="5" s="1"/>
  <c r="E23" i="5"/>
  <c r="T22" i="5"/>
  <c r="P23" i="5" s="1"/>
  <c r="P22" i="5"/>
  <c r="M22" i="5"/>
  <c r="N22" i="5" s="1"/>
  <c r="I22" i="5"/>
  <c r="J22" i="5" s="1"/>
  <c r="E22" i="5"/>
  <c r="F22" i="5" s="1"/>
  <c r="T21" i="5"/>
  <c r="M21" i="5"/>
  <c r="N21" i="5" s="1"/>
  <c r="I21" i="5"/>
  <c r="J21" i="5" s="1"/>
  <c r="E21" i="5"/>
  <c r="T20" i="5"/>
  <c r="P21" i="5" s="1"/>
  <c r="P20" i="5"/>
  <c r="M20" i="5"/>
  <c r="N20" i="5" s="1"/>
  <c r="I20" i="5"/>
  <c r="J20" i="5" s="1"/>
  <c r="E20" i="5"/>
  <c r="F20" i="5" s="1"/>
  <c r="T19" i="5"/>
  <c r="M19" i="5"/>
  <c r="N19" i="5" s="1"/>
  <c r="I19" i="5"/>
  <c r="J19" i="5" s="1"/>
  <c r="E19" i="5"/>
  <c r="T18" i="5"/>
  <c r="P19" i="5" s="1"/>
  <c r="P18" i="5"/>
  <c r="M18" i="5"/>
  <c r="N18" i="5" s="1"/>
  <c r="I18" i="5"/>
  <c r="J18" i="5" s="1"/>
  <c r="E18" i="5"/>
  <c r="F18" i="5" s="1"/>
  <c r="T17" i="5"/>
  <c r="M17" i="5"/>
  <c r="N17" i="5" s="1"/>
  <c r="I17" i="5"/>
  <c r="J17" i="5" s="1"/>
  <c r="E17" i="5"/>
  <c r="T16" i="5"/>
  <c r="P17" i="5" s="1"/>
  <c r="P16" i="5"/>
  <c r="M16" i="5"/>
  <c r="N16" i="5" s="1"/>
  <c r="I16" i="5"/>
  <c r="J16" i="5" s="1"/>
  <c r="E16" i="5"/>
  <c r="F16" i="5" s="1"/>
  <c r="T15" i="5"/>
  <c r="M15" i="5"/>
  <c r="N15" i="5" s="1"/>
  <c r="I15" i="5"/>
  <c r="J15" i="5" s="1"/>
  <c r="E15" i="5"/>
  <c r="T14" i="5"/>
  <c r="P15" i="5" s="1"/>
  <c r="P14" i="5"/>
  <c r="M14" i="5"/>
  <c r="N14" i="5" s="1"/>
  <c r="I14" i="5"/>
  <c r="J14" i="5" s="1"/>
  <c r="E14" i="5"/>
  <c r="F14" i="5" s="1"/>
  <c r="T13" i="5"/>
  <c r="M13" i="5"/>
  <c r="N13" i="5" s="1"/>
  <c r="I13" i="5"/>
  <c r="J13" i="5" s="1"/>
  <c r="E13" i="5"/>
  <c r="T12" i="5"/>
  <c r="P13" i="5" s="1"/>
  <c r="P12" i="5"/>
  <c r="M12" i="5"/>
  <c r="N12" i="5" s="1"/>
  <c r="I12" i="5"/>
  <c r="J12" i="5" s="1"/>
  <c r="E12" i="5"/>
  <c r="F12" i="5" s="1"/>
  <c r="T11" i="5"/>
  <c r="M11" i="5"/>
  <c r="N11" i="5" s="1"/>
  <c r="I11" i="5"/>
  <c r="J11" i="5" s="1"/>
  <c r="E11" i="5"/>
  <c r="T10" i="5"/>
  <c r="P11" i="5" s="1"/>
  <c r="P10" i="5"/>
  <c r="M10" i="5"/>
  <c r="N10" i="5" s="1"/>
  <c r="I10" i="5"/>
  <c r="J10" i="5" s="1"/>
  <c r="E10" i="5"/>
  <c r="F10" i="5" s="1"/>
  <c r="T9" i="5"/>
  <c r="M9" i="5"/>
  <c r="N9" i="5" s="1"/>
  <c r="I9" i="5"/>
  <c r="J9" i="5" s="1"/>
  <c r="E9" i="5"/>
  <c r="T8" i="5"/>
  <c r="P9" i="5" s="1"/>
  <c r="P8" i="5"/>
  <c r="M8" i="5"/>
  <c r="N8" i="5" s="1"/>
  <c r="I8" i="5"/>
  <c r="J8" i="5" s="1"/>
  <c r="E8" i="5"/>
  <c r="F8" i="5" s="1"/>
  <c r="T7" i="5"/>
  <c r="M7" i="5"/>
  <c r="N7" i="5" s="1"/>
  <c r="I7" i="5"/>
  <c r="J7" i="5" s="1"/>
  <c r="E7" i="5"/>
  <c r="T6" i="5"/>
  <c r="P7" i="5" s="1"/>
  <c r="P6" i="5"/>
  <c r="M6" i="5"/>
  <c r="N6" i="5" s="1"/>
  <c r="I6" i="5"/>
  <c r="J6" i="5" s="1"/>
  <c r="E6" i="5"/>
  <c r="F6" i="5" s="1"/>
  <c r="T5" i="5"/>
  <c r="M5" i="5"/>
  <c r="N5" i="5" s="1"/>
  <c r="I5" i="5"/>
  <c r="J5" i="5" s="1"/>
  <c r="E5" i="5"/>
  <c r="T4" i="5"/>
  <c r="P5" i="5" s="1"/>
  <c r="P4" i="5"/>
  <c r="M4" i="5"/>
  <c r="N4" i="5" s="1"/>
  <c r="I4" i="5"/>
  <c r="J4" i="5" s="1"/>
  <c r="E4" i="5"/>
  <c r="F4" i="5" s="1"/>
  <c r="T3" i="5"/>
  <c r="P3" i="5"/>
  <c r="M3" i="5"/>
  <c r="N3" i="5" s="1"/>
  <c r="I3" i="5"/>
  <c r="J3" i="5" s="1"/>
  <c r="E3" i="5"/>
  <c r="E478" i="4"/>
  <c r="F478" i="4" s="1"/>
  <c r="F477" i="4"/>
  <c r="E477" i="4"/>
  <c r="E476" i="4"/>
  <c r="F476" i="4" s="1"/>
  <c r="E475" i="4"/>
  <c r="F475" i="4" s="1"/>
  <c r="E474" i="4"/>
  <c r="F474" i="4" s="1"/>
  <c r="F473" i="4"/>
  <c r="E473" i="4"/>
  <c r="E472" i="4"/>
  <c r="F472" i="4" s="1"/>
  <c r="E471" i="4"/>
  <c r="F471" i="4" s="1"/>
  <c r="E470" i="4"/>
  <c r="F470" i="4" s="1"/>
  <c r="F469" i="4"/>
  <c r="E469" i="4"/>
  <c r="E468" i="4"/>
  <c r="F468" i="4" s="1"/>
  <c r="E467" i="4"/>
  <c r="F467" i="4" s="1"/>
  <c r="E466" i="4"/>
  <c r="F466" i="4" s="1"/>
  <c r="F465" i="4"/>
  <c r="E465" i="4"/>
  <c r="E464" i="4"/>
  <c r="F464" i="4" s="1"/>
  <c r="E463" i="4"/>
  <c r="F463" i="4" s="1"/>
  <c r="E462" i="4"/>
  <c r="F462" i="4" s="1"/>
  <c r="F461" i="4"/>
  <c r="E461" i="4"/>
  <c r="E460" i="4"/>
  <c r="F460" i="4" s="1"/>
  <c r="E459" i="4"/>
  <c r="F459" i="4" s="1"/>
  <c r="E458" i="4"/>
  <c r="F458" i="4" s="1"/>
  <c r="F457" i="4"/>
  <c r="E457" i="4"/>
  <c r="E456" i="4"/>
  <c r="F456" i="4" s="1"/>
  <c r="E455" i="4"/>
  <c r="F455" i="4" s="1"/>
  <c r="E454" i="4"/>
  <c r="F454" i="4" s="1"/>
  <c r="F453" i="4"/>
  <c r="E453" i="4"/>
  <c r="E452" i="4"/>
  <c r="F452" i="4" s="1"/>
  <c r="E451" i="4"/>
  <c r="F451" i="4" s="1"/>
  <c r="E450" i="4"/>
  <c r="F450" i="4" s="1"/>
  <c r="F449" i="4"/>
  <c r="E449" i="4"/>
  <c r="E448" i="4"/>
  <c r="F448" i="4" s="1"/>
  <c r="E447" i="4"/>
  <c r="F447" i="4" s="1"/>
  <c r="E446" i="4"/>
  <c r="F446" i="4" s="1"/>
  <c r="F445" i="4"/>
  <c r="E445" i="4"/>
  <c r="E444" i="4"/>
  <c r="F444" i="4" s="1"/>
  <c r="E443" i="4"/>
  <c r="F443" i="4" s="1"/>
  <c r="E442" i="4"/>
  <c r="F442" i="4" s="1"/>
  <c r="F441" i="4"/>
  <c r="E441" i="4"/>
  <c r="E440" i="4"/>
  <c r="F440" i="4" s="1"/>
  <c r="E439" i="4"/>
  <c r="F439" i="4" s="1"/>
  <c r="E438" i="4"/>
  <c r="F438" i="4" s="1"/>
  <c r="F437" i="4"/>
  <c r="E437" i="4"/>
  <c r="E436" i="4"/>
  <c r="F436" i="4" s="1"/>
  <c r="E435" i="4"/>
  <c r="F435" i="4" s="1"/>
  <c r="E434" i="4"/>
  <c r="F434" i="4" s="1"/>
  <c r="F433" i="4"/>
  <c r="E433" i="4"/>
  <c r="E432" i="4"/>
  <c r="F432" i="4" s="1"/>
  <c r="E431" i="4"/>
  <c r="F431" i="4" s="1"/>
  <c r="E430" i="4"/>
  <c r="F430" i="4" s="1"/>
  <c r="F429" i="4"/>
  <c r="E429" i="4"/>
  <c r="E428" i="4"/>
  <c r="F428" i="4" s="1"/>
  <c r="E427" i="4"/>
  <c r="F427" i="4" s="1"/>
  <c r="E426" i="4"/>
  <c r="F426" i="4" s="1"/>
  <c r="F425" i="4"/>
  <c r="E425" i="4"/>
  <c r="E424" i="4"/>
  <c r="F424" i="4" s="1"/>
  <c r="E423" i="4"/>
  <c r="F423" i="4" s="1"/>
  <c r="E422" i="4"/>
  <c r="F422" i="4" s="1"/>
  <c r="F421" i="4"/>
  <c r="E421" i="4"/>
  <c r="E420" i="4"/>
  <c r="F420" i="4" s="1"/>
  <c r="E419" i="4"/>
  <c r="F419" i="4" s="1"/>
  <c r="E418" i="4"/>
  <c r="F418" i="4" s="1"/>
  <c r="F417" i="4"/>
  <c r="E417" i="4"/>
  <c r="E416" i="4"/>
  <c r="F416" i="4" s="1"/>
  <c r="E415" i="4"/>
  <c r="F415" i="4" s="1"/>
  <c r="E414" i="4"/>
  <c r="F414" i="4" s="1"/>
  <c r="F413" i="4"/>
  <c r="E413" i="4"/>
  <c r="E412" i="4"/>
  <c r="F412" i="4" s="1"/>
  <c r="E411" i="4"/>
  <c r="F411" i="4" s="1"/>
  <c r="E410" i="4"/>
  <c r="F410" i="4" s="1"/>
  <c r="F409" i="4"/>
  <c r="E409" i="4"/>
  <c r="E408" i="4"/>
  <c r="F408" i="4" s="1"/>
  <c r="E407" i="4"/>
  <c r="F407" i="4" s="1"/>
  <c r="E406" i="4"/>
  <c r="F406" i="4" s="1"/>
  <c r="F405" i="4"/>
  <c r="E405" i="4"/>
  <c r="E404" i="4"/>
  <c r="F404" i="4" s="1"/>
  <c r="E403" i="4"/>
  <c r="F403" i="4" s="1"/>
  <c r="E402" i="4"/>
  <c r="F402" i="4" s="1"/>
  <c r="F401" i="4"/>
  <c r="E401" i="4"/>
  <c r="E400" i="4"/>
  <c r="F400" i="4" s="1"/>
  <c r="E399" i="4"/>
  <c r="F399" i="4" s="1"/>
  <c r="E398" i="4"/>
  <c r="F398" i="4" s="1"/>
  <c r="F397" i="4"/>
  <c r="E397" i="4"/>
  <c r="E396" i="4"/>
  <c r="F396" i="4" s="1"/>
  <c r="E395" i="4"/>
  <c r="F395" i="4" s="1"/>
  <c r="E394" i="4"/>
  <c r="F394" i="4" s="1"/>
  <c r="F393" i="4"/>
  <c r="E393" i="4"/>
  <c r="E392" i="4"/>
  <c r="F392" i="4" s="1"/>
  <c r="E391" i="4"/>
  <c r="F391" i="4" s="1"/>
  <c r="E390" i="4"/>
  <c r="F390" i="4" s="1"/>
  <c r="F389" i="4"/>
  <c r="E389" i="4"/>
  <c r="E388" i="4"/>
  <c r="F388" i="4" s="1"/>
  <c r="E387" i="4"/>
  <c r="F387" i="4" s="1"/>
  <c r="E386" i="4"/>
  <c r="F386" i="4" s="1"/>
  <c r="F385" i="4"/>
  <c r="E385" i="4"/>
  <c r="E384" i="4"/>
  <c r="F384" i="4" s="1"/>
  <c r="E383" i="4"/>
  <c r="F383" i="4" s="1"/>
  <c r="E382" i="4"/>
  <c r="F382" i="4" s="1"/>
  <c r="F381" i="4"/>
  <c r="E381" i="4"/>
  <c r="E380" i="4"/>
  <c r="F380" i="4" s="1"/>
  <c r="E379" i="4"/>
  <c r="F379" i="4" s="1"/>
  <c r="E378" i="4"/>
  <c r="F378" i="4" s="1"/>
  <c r="F377" i="4"/>
  <c r="E377" i="4"/>
  <c r="E376" i="4"/>
  <c r="F376" i="4" s="1"/>
  <c r="E375" i="4"/>
  <c r="F375" i="4" s="1"/>
  <c r="E374" i="4"/>
  <c r="F374" i="4" s="1"/>
  <c r="F373" i="4"/>
  <c r="E373" i="4"/>
  <c r="E372" i="4"/>
  <c r="F372" i="4" s="1"/>
  <c r="E371" i="4"/>
  <c r="F371" i="4" s="1"/>
  <c r="E370" i="4"/>
  <c r="F370" i="4" s="1"/>
  <c r="F369" i="4"/>
  <c r="E369" i="4"/>
  <c r="E368" i="4"/>
  <c r="F368" i="4" s="1"/>
  <c r="E367" i="4"/>
  <c r="F367" i="4" s="1"/>
  <c r="E366" i="4"/>
  <c r="F366" i="4" s="1"/>
  <c r="F365" i="4"/>
  <c r="E365" i="4"/>
  <c r="E364" i="4"/>
  <c r="F364" i="4" s="1"/>
  <c r="E363" i="4"/>
  <c r="F363" i="4" s="1"/>
  <c r="E362" i="4"/>
  <c r="F362" i="4" s="1"/>
  <c r="F361" i="4"/>
  <c r="E361" i="4"/>
  <c r="E360" i="4"/>
  <c r="F360" i="4" s="1"/>
  <c r="E359" i="4"/>
  <c r="F359" i="4" s="1"/>
  <c r="E358" i="4"/>
  <c r="F358" i="4" s="1"/>
  <c r="F357" i="4"/>
  <c r="E357" i="4"/>
  <c r="E356" i="4"/>
  <c r="F356" i="4" s="1"/>
  <c r="E355" i="4"/>
  <c r="F355" i="4" s="1"/>
  <c r="E354" i="4"/>
  <c r="F354" i="4" s="1"/>
  <c r="F353" i="4"/>
  <c r="E353" i="4"/>
  <c r="E352" i="4"/>
  <c r="F352" i="4" s="1"/>
  <c r="E351" i="4"/>
  <c r="F351" i="4" s="1"/>
  <c r="E350" i="4"/>
  <c r="F350" i="4" s="1"/>
  <c r="F349" i="4"/>
  <c r="E349" i="4"/>
  <c r="E348" i="4"/>
  <c r="F348" i="4" s="1"/>
  <c r="E347" i="4"/>
  <c r="F347" i="4" s="1"/>
  <c r="E346" i="4"/>
  <c r="F346" i="4" s="1"/>
  <c r="F345" i="4"/>
  <c r="E345" i="4"/>
  <c r="E344" i="4"/>
  <c r="F344" i="4" s="1"/>
  <c r="E343" i="4"/>
  <c r="F343" i="4" s="1"/>
  <c r="E342" i="4"/>
  <c r="F342" i="4" s="1"/>
  <c r="F341" i="4"/>
  <c r="E341" i="4"/>
  <c r="E340" i="4"/>
  <c r="F340" i="4" s="1"/>
  <c r="E339" i="4"/>
  <c r="F339" i="4" s="1"/>
  <c r="E338" i="4"/>
  <c r="F338" i="4" s="1"/>
  <c r="F337" i="4"/>
  <c r="E337" i="4"/>
  <c r="E336" i="4"/>
  <c r="F336" i="4" s="1"/>
  <c r="E335" i="4"/>
  <c r="F335" i="4" s="1"/>
  <c r="A335" i="4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E334" i="4"/>
  <c r="F334" i="4" s="1"/>
  <c r="F333" i="4"/>
  <c r="E333" i="4"/>
  <c r="E332" i="4"/>
  <c r="F332" i="4" s="1"/>
  <c r="E331" i="4"/>
  <c r="F331" i="4" s="1"/>
  <c r="A331" i="4"/>
  <c r="A332" i="4" s="1"/>
  <c r="A333" i="4" s="1"/>
  <c r="A334" i="4" s="1"/>
  <c r="E330" i="4"/>
  <c r="F330" i="4" s="1"/>
  <c r="A330" i="4"/>
  <c r="F329" i="4"/>
  <c r="E329" i="4"/>
  <c r="E328" i="4"/>
  <c r="F328" i="4" s="1"/>
  <c r="F327" i="4"/>
  <c r="E327" i="4"/>
  <c r="E326" i="4"/>
  <c r="F326" i="4" s="1"/>
  <c r="F325" i="4"/>
  <c r="E325" i="4"/>
  <c r="E324" i="4"/>
  <c r="F324" i="4" s="1"/>
  <c r="F323" i="4"/>
  <c r="E323" i="4"/>
  <c r="E322" i="4"/>
  <c r="F322" i="4" s="1"/>
  <c r="F321" i="4"/>
  <c r="E321" i="4"/>
  <c r="E320" i="4"/>
  <c r="F320" i="4" s="1"/>
  <c r="F319" i="4"/>
  <c r="E319" i="4"/>
  <c r="E318" i="4"/>
  <c r="F318" i="4" s="1"/>
  <c r="F317" i="4"/>
  <c r="E317" i="4"/>
  <c r="E316" i="4"/>
  <c r="F316" i="4" s="1"/>
  <c r="F315" i="4"/>
  <c r="E315" i="4"/>
  <c r="E314" i="4"/>
  <c r="F314" i="4" s="1"/>
  <c r="F313" i="4"/>
  <c r="E313" i="4"/>
  <c r="E312" i="4"/>
  <c r="F312" i="4" s="1"/>
  <c r="F311" i="4"/>
  <c r="E311" i="4"/>
  <c r="E310" i="4"/>
  <c r="F310" i="4" s="1"/>
  <c r="F309" i="4"/>
  <c r="E309" i="4"/>
  <c r="E308" i="4"/>
  <c r="F308" i="4" s="1"/>
  <c r="F307" i="4"/>
  <c r="E307" i="4"/>
  <c r="E306" i="4"/>
  <c r="F306" i="4" s="1"/>
  <c r="F305" i="4"/>
  <c r="E305" i="4"/>
  <c r="E304" i="4"/>
  <c r="F304" i="4" s="1"/>
  <c r="F303" i="4"/>
  <c r="E303" i="4"/>
  <c r="E302" i="4"/>
  <c r="F302" i="4" s="1"/>
  <c r="F301" i="4"/>
  <c r="E301" i="4"/>
  <c r="E300" i="4"/>
  <c r="F300" i="4" s="1"/>
  <c r="F299" i="4"/>
  <c r="E299" i="4"/>
  <c r="E298" i="4"/>
  <c r="F298" i="4" s="1"/>
  <c r="F297" i="4"/>
  <c r="E297" i="4"/>
  <c r="E296" i="4"/>
  <c r="F296" i="4" s="1"/>
  <c r="F295" i="4"/>
  <c r="E295" i="4"/>
  <c r="E294" i="4"/>
  <c r="F294" i="4" s="1"/>
  <c r="F293" i="4"/>
  <c r="E293" i="4"/>
  <c r="E292" i="4"/>
  <c r="F292" i="4" s="1"/>
  <c r="F291" i="4"/>
  <c r="E291" i="4"/>
  <c r="E290" i="4"/>
  <c r="F290" i="4" s="1"/>
  <c r="F289" i="4"/>
  <c r="E289" i="4"/>
  <c r="E288" i="4"/>
  <c r="F288" i="4" s="1"/>
  <c r="F287" i="4"/>
  <c r="E287" i="4"/>
  <c r="E286" i="4"/>
  <c r="F286" i="4" s="1"/>
  <c r="F285" i="4"/>
  <c r="E285" i="4"/>
  <c r="E284" i="4"/>
  <c r="F284" i="4" s="1"/>
  <c r="F283" i="4"/>
  <c r="E283" i="4"/>
  <c r="E282" i="4"/>
  <c r="F282" i="4" s="1"/>
  <c r="F281" i="4"/>
  <c r="E281" i="4"/>
  <c r="E280" i="4"/>
  <c r="F280" i="4" s="1"/>
  <c r="F279" i="4"/>
  <c r="E279" i="4"/>
  <c r="E278" i="4"/>
  <c r="F278" i="4" s="1"/>
  <c r="F277" i="4"/>
  <c r="E277" i="4"/>
  <c r="E276" i="4"/>
  <c r="F276" i="4" s="1"/>
  <c r="F275" i="4"/>
  <c r="E275" i="4"/>
  <c r="E274" i="4"/>
  <c r="F274" i="4" s="1"/>
  <c r="F273" i="4"/>
  <c r="E273" i="4"/>
  <c r="E272" i="4"/>
  <c r="F272" i="4" s="1"/>
  <c r="F271" i="4"/>
  <c r="E271" i="4"/>
  <c r="E270" i="4"/>
  <c r="F270" i="4" s="1"/>
  <c r="F269" i="4"/>
  <c r="E269" i="4"/>
  <c r="E268" i="4"/>
  <c r="F268" i="4" s="1"/>
  <c r="F267" i="4"/>
  <c r="E267" i="4"/>
  <c r="E266" i="4"/>
  <c r="F266" i="4" s="1"/>
  <c r="F265" i="4"/>
  <c r="E265" i="4"/>
  <c r="E264" i="4"/>
  <c r="F264" i="4" s="1"/>
  <c r="F263" i="4"/>
  <c r="E263" i="4"/>
  <c r="E262" i="4"/>
  <c r="F262" i="4" s="1"/>
  <c r="F261" i="4"/>
  <c r="E261" i="4"/>
  <c r="E260" i="4"/>
  <c r="F260" i="4" s="1"/>
  <c r="F259" i="4"/>
  <c r="E259" i="4"/>
  <c r="E258" i="4"/>
  <c r="F258" i="4" s="1"/>
  <c r="F257" i="4"/>
  <c r="E257" i="4"/>
  <c r="E256" i="4"/>
  <c r="F256" i="4" s="1"/>
  <c r="F255" i="4"/>
  <c r="E255" i="4"/>
  <c r="E254" i="4"/>
  <c r="F254" i="4" s="1"/>
  <c r="F253" i="4"/>
  <c r="E253" i="4"/>
  <c r="E252" i="4"/>
  <c r="F252" i="4" s="1"/>
  <c r="F251" i="4"/>
  <c r="E251" i="4"/>
  <c r="E250" i="4"/>
  <c r="F250" i="4" s="1"/>
  <c r="F249" i="4"/>
  <c r="E249" i="4"/>
  <c r="E248" i="4"/>
  <c r="F248" i="4" s="1"/>
  <c r="F247" i="4"/>
  <c r="E247" i="4"/>
  <c r="E246" i="4"/>
  <c r="F246" i="4" s="1"/>
  <c r="F245" i="4"/>
  <c r="E245" i="4"/>
  <c r="E244" i="4"/>
  <c r="F244" i="4" s="1"/>
  <c r="F243" i="4"/>
  <c r="E243" i="4"/>
  <c r="E242" i="4"/>
  <c r="F242" i="4" s="1"/>
  <c r="F241" i="4"/>
  <c r="E241" i="4"/>
  <c r="E240" i="4"/>
  <c r="F240" i="4" s="1"/>
  <c r="F239" i="4"/>
  <c r="E239" i="4"/>
  <c r="E238" i="4"/>
  <c r="F238" i="4" s="1"/>
  <c r="F237" i="4"/>
  <c r="E237" i="4"/>
  <c r="E236" i="4"/>
  <c r="F236" i="4" s="1"/>
  <c r="F235" i="4"/>
  <c r="E235" i="4"/>
  <c r="E234" i="4"/>
  <c r="F234" i="4" s="1"/>
  <c r="F233" i="4"/>
  <c r="E233" i="4"/>
  <c r="E232" i="4"/>
  <c r="F232" i="4" s="1"/>
  <c r="F231" i="4"/>
  <c r="E231" i="4"/>
  <c r="E230" i="4"/>
  <c r="F230" i="4" s="1"/>
  <c r="F229" i="4"/>
  <c r="E229" i="4"/>
  <c r="E228" i="4"/>
  <c r="F228" i="4" s="1"/>
  <c r="F227" i="4"/>
  <c r="E227" i="4"/>
  <c r="E226" i="4"/>
  <c r="F226" i="4" s="1"/>
  <c r="F225" i="4"/>
  <c r="E225" i="4"/>
  <c r="E224" i="4"/>
  <c r="F224" i="4" s="1"/>
  <c r="F223" i="4"/>
  <c r="E223" i="4"/>
  <c r="E222" i="4"/>
  <c r="F222" i="4" s="1"/>
  <c r="F221" i="4"/>
  <c r="E221" i="4"/>
  <c r="E220" i="4"/>
  <c r="F220" i="4" s="1"/>
  <c r="F219" i="4"/>
  <c r="E219" i="4"/>
  <c r="E218" i="4"/>
  <c r="F218" i="4" s="1"/>
  <c r="F217" i="4"/>
  <c r="E217" i="4"/>
  <c r="E216" i="4"/>
  <c r="F216" i="4" s="1"/>
  <c r="F215" i="4"/>
  <c r="E215" i="4"/>
  <c r="E214" i="4"/>
  <c r="F214" i="4" s="1"/>
  <c r="F213" i="4"/>
  <c r="E213" i="4"/>
  <c r="E212" i="4"/>
  <c r="F212" i="4" s="1"/>
  <c r="F211" i="4"/>
  <c r="E211" i="4"/>
  <c r="E210" i="4"/>
  <c r="F210" i="4" s="1"/>
  <c r="F209" i="4"/>
  <c r="E209" i="4"/>
  <c r="E208" i="4"/>
  <c r="F208" i="4" s="1"/>
  <c r="F207" i="4"/>
  <c r="E207" i="4"/>
  <c r="E206" i="4"/>
  <c r="F206" i="4" s="1"/>
  <c r="F205" i="4"/>
  <c r="E205" i="4"/>
  <c r="E204" i="4"/>
  <c r="F204" i="4" s="1"/>
  <c r="F203" i="4"/>
  <c r="E203" i="4"/>
  <c r="E202" i="4"/>
  <c r="F202" i="4" s="1"/>
  <c r="F201" i="4"/>
  <c r="E201" i="4"/>
  <c r="E200" i="4"/>
  <c r="F200" i="4" s="1"/>
  <c r="F199" i="4"/>
  <c r="E199" i="4"/>
  <c r="E198" i="4"/>
  <c r="F198" i="4" s="1"/>
  <c r="F197" i="4"/>
  <c r="E197" i="4"/>
  <c r="E196" i="4"/>
  <c r="F196" i="4" s="1"/>
  <c r="F195" i="4"/>
  <c r="E195" i="4"/>
  <c r="E194" i="4"/>
  <c r="F194" i="4" s="1"/>
  <c r="F193" i="4"/>
  <c r="E193" i="4"/>
  <c r="E192" i="4"/>
  <c r="F192" i="4" s="1"/>
  <c r="F191" i="4"/>
  <c r="E191" i="4"/>
  <c r="E190" i="4"/>
  <c r="F190" i="4" s="1"/>
  <c r="F189" i="4"/>
  <c r="E189" i="4"/>
  <c r="E188" i="4"/>
  <c r="F188" i="4" s="1"/>
  <c r="F187" i="4"/>
  <c r="E187" i="4"/>
  <c r="E186" i="4"/>
  <c r="F186" i="4" s="1"/>
  <c r="F185" i="4"/>
  <c r="E185" i="4"/>
  <c r="E184" i="4"/>
  <c r="F184" i="4" s="1"/>
  <c r="F183" i="4"/>
  <c r="E183" i="4"/>
  <c r="E182" i="4"/>
  <c r="F182" i="4" s="1"/>
  <c r="F181" i="4"/>
  <c r="E181" i="4"/>
  <c r="E180" i="4"/>
  <c r="F180" i="4" s="1"/>
  <c r="F179" i="4"/>
  <c r="E179" i="4"/>
  <c r="E178" i="4"/>
  <c r="F178" i="4" s="1"/>
  <c r="F177" i="4"/>
  <c r="E177" i="4"/>
  <c r="E176" i="4"/>
  <c r="F176" i="4" s="1"/>
  <c r="F175" i="4"/>
  <c r="E175" i="4"/>
  <c r="E174" i="4"/>
  <c r="F174" i="4" s="1"/>
  <c r="F173" i="4"/>
  <c r="E173" i="4"/>
  <c r="E172" i="4"/>
  <c r="F172" i="4" s="1"/>
  <c r="F171" i="4"/>
  <c r="E171" i="4"/>
  <c r="E170" i="4"/>
  <c r="F170" i="4" s="1"/>
  <c r="F169" i="4"/>
  <c r="E169" i="4"/>
  <c r="E168" i="4"/>
  <c r="F168" i="4" s="1"/>
  <c r="F167" i="4"/>
  <c r="E167" i="4"/>
  <c r="E166" i="4"/>
  <c r="F166" i="4" s="1"/>
  <c r="F165" i="4"/>
  <c r="E165" i="4"/>
  <c r="E164" i="4"/>
  <c r="F164" i="4" s="1"/>
  <c r="F163" i="4"/>
  <c r="E163" i="4"/>
  <c r="E162" i="4"/>
  <c r="F162" i="4" s="1"/>
  <c r="F161" i="4"/>
  <c r="E161" i="4"/>
  <c r="E160" i="4"/>
  <c r="F160" i="4" s="1"/>
  <c r="F159" i="4"/>
  <c r="E159" i="4"/>
  <c r="E158" i="4"/>
  <c r="F158" i="4" s="1"/>
  <c r="F157" i="4"/>
  <c r="E157" i="4"/>
  <c r="E156" i="4"/>
  <c r="F156" i="4" s="1"/>
  <c r="F155" i="4"/>
  <c r="E155" i="4"/>
  <c r="E154" i="4"/>
  <c r="F154" i="4" s="1"/>
  <c r="F153" i="4"/>
  <c r="E153" i="4"/>
  <c r="E152" i="4"/>
  <c r="F152" i="4" s="1"/>
  <c r="F151" i="4"/>
  <c r="E151" i="4"/>
  <c r="E150" i="4"/>
  <c r="F150" i="4" s="1"/>
  <c r="F149" i="4"/>
  <c r="E149" i="4"/>
  <c r="E148" i="4"/>
  <c r="F148" i="4" s="1"/>
  <c r="F147" i="4"/>
  <c r="E147" i="4"/>
  <c r="E146" i="4"/>
  <c r="F146" i="4" s="1"/>
  <c r="F145" i="4"/>
  <c r="E145" i="4"/>
  <c r="E144" i="4"/>
  <c r="F144" i="4" s="1"/>
  <c r="F143" i="4"/>
  <c r="E143" i="4"/>
  <c r="E142" i="4"/>
  <c r="F142" i="4" s="1"/>
  <c r="F141" i="4"/>
  <c r="E141" i="4"/>
  <c r="E140" i="4"/>
  <c r="F140" i="4" s="1"/>
  <c r="F139" i="4"/>
  <c r="E139" i="4"/>
  <c r="E138" i="4"/>
  <c r="F138" i="4" s="1"/>
  <c r="F137" i="4"/>
  <c r="E137" i="4"/>
  <c r="E136" i="4"/>
  <c r="F136" i="4" s="1"/>
  <c r="F135" i="4"/>
  <c r="E135" i="4"/>
  <c r="E134" i="4"/>
  <c r="F134" i="4" s="1"/>
  <c r="F133" i="4"/>
  <c r="E133" i="4"/>
  <c r="E132" i="4"/>
  <c r="F132" i="4" s="1"/>
  <c r="F131" i="4"/>
  <c r="E131" i="4"/>
  <c r="E130" i="4"/>
  <c r="F130" i="4" s="1"/>
  <c r="F129" i="4"/>
  <c r="E129" i="4"/>
  <c r="E128" i="4"/>
  <c r="F128" i="4" s="1"/>
  <c r="F127" i="4"/>
  <c r="E127" i="4"/>
  <c r="E126" i="4"/>
  <c r="F126" i="4" s="1"/>
  <c r="F125" i="4"/>
  <c r="E125" i="4"/>
  <c r="E124" i="4"/>
  <c r="F124" i="4" s="1"/>
  <c r="F123" i="4"/>
  <c r="E123" i="4"/>
  <c r="E122" i="4"/>
  <c r="F122" i="4" s="1"/>
  <c r="F121" i="4"/>
  <c r="E121" i="4"/>
  <c r="E120" i="4"/>
  <c r="F120" i="4" s="1"/>
  <c r="F119" i="4"/>
  <c r="E119" i="4"/>
  <c r="E118" i="4"/>
  <c r="F118" i="4" s="1"/>
  <c r="F117" i="4"/>
  <c r="E117" i="4"/>
  <c r="E116" i="4"/>
  <c r="F116" i="4" s="1"/>
  <c r="F115" i="4"/>
  <c r="E115" i="4"/>
  <c r="E114" i="4"/>
  <c r="F114" i="4" s="1"/>
  <c r="F113" i="4"/>
  <c r="E113" i="4"/>
  <c r="E112" i="4"/>
  <c r="F112" i="4" s="1"/>
  <c r="F111" i="4"/>
  <c r="E111" i="4"/>
  <c r="E110" i="4"/>
  <c r="F110" i="4" s="1"/>
  <c r="F109" i="4"/>
  <c r="E109" i="4"/>
  <c r="E108" i="4"/>
  <c r="F108" i="4" s="1"/>
  <c r="F107" i="4"/>
  <c r="E107" i="4"/>
  <c r="E106" i="4"/>
  <c r="F106" i="4" s="1"/>
  <c r="F105" i="4"/>
  <c r="E105" i="4"/>
  <c r="E104" i="4"/>
  <c r="F104" i="4" s="1"/>
  <c r="F103" i="4"/>
  <c r="E103" i="4"/>
  <c r="E102" i="4"/>
  <c r="F102" i="4" s="1"/>
  <c r="F101" i="4"/>
  <c r="E101" i="4"/>
  <c r="E100" i="4"/>
  <c r="F100" i="4" s="1"/>
  <c r="F99" i="4"/>
  <c r="E99" i="4"/>
  <c r="E98" i="4"/>
  <c r="F98" i="4" s="1"/>
  <c r="F97" i="4"/>
  <c r="E97" i="4"/>
  <c r="E96" i="4"/>
  <c r="F96" i="4" s="1"/>
  <c r="F95" i="4"/>
  <c r="E95" i="4"/>
  <c r="E94" i="4"/>
  <c r="F94" i="4" s="1"/>
  <c r="F93" i="4"/>
  <c r="E93" i="4"/>
  <c r="E92" i="4"/>
  <c r="F92" i="4" s="1"/>
  <c r="F91" i="4"/>
  <c r="E91" i="4"/>
  <c r="E90" i="4"/>
  <c r="F90" i="4" s="1"/>
  <c r="F89" i="4"/>
  <c r="E89" i="4"/>
  <c r="E88" i="4"/>
  <c r="F88" i="4" s="1"/>
  <c r="F87" i="4"/>
  <c r="E87" i="4"/>
  <c r="E86" i="4"/>
  <c r="F86" i="4" s="1"/>
  <c r="F85" i="4"/>
  <c r="E85" i="4"/>
  <c r="E84" i="4"/>
  <c r="F84" i="4" s="1"/>
  <c r="F83" i="4"/>
  <c r="E83" i="4"/>
  <c r="E82" i="4"/>
  <c r="F82" i="4" s="1"/>
  <c r="F81" i="4"/>
  <c r="E81" i="4"/>
  <c r="E80" i="4"/>
  <c r="F80" i="4" s="1"/>
  <c r="F79" i="4"/>
  <c r="E79" i="4"/>
  <c r="E78" i="4"/>
  <c r="F78" i="4" s="1"/>
  <c r="F77" i="4"/>
  <c r="E77" i="4"/>
  <c r="E76" i="4"/>
  <c r="F76" i="4" s="1"/>
  <c r="F75" i="4"/>
  <c r="E75" i="4"/>
  <c r="E74" i="4"/>
  <c r="F74" i="4" s="1"/>
  <c r="F73" i="4"/>
  <c r="E73" i="4"/>
  <c r="E72" i="4"/>
  <c r="F72" i="4" s="1"/>
  <c r="F71" i="4"/>
  <c r="E71" i="4"/>
  <c r="E70" i="4"/>
  <c r="F70" i="4" s="1"/>
  <c r="F69" i="4"/>
  <c r="E69" i="4"/>
  <c r="E68" i="4"/>
  <c r="F68" i="4" s="1"/>
  <c r="F67" i="4"/>
  <c r="E67" i="4"/>
  <c r="E66" i="4"/>
  <c r="F66" i="4" s="1"/>
  <c r="F65" i="4"/>
  <c r="E65" i="4"/>
  <c r="E64" i="4"/>
  <c r="F64" i="4" s="1"/>
  <c r="F63" i="4"/>
  <c r="E63" i="4"/>
  <c r="E62" i="4"/>
  <c r="F62" i="4" s="1"/>
  <c r="F61" i="4"/>
  <c r="E61" i="4"/>
  <c r="E60" i="4"/>
  <c r="F60" i="4" s="1"/>
  <c r="F59" i="4"/>
  <c r="E59" i="4"/>
  <c r="E58" i="4"/>
  <c r="F58" i="4" s="1"/>
  <c r="F57" i="4"/>
  <c r="E57" i="4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E8" i="4"/>
  <c r="F8" i="4" s="1"/>
  <c r="E7" i="4"/>
  <c r="F7" i="4" s="1"/>
  <c r="E6" i="4"/>
  <c r="F6" i="4" s="1"/>
  <c r="E5" i="4"/>
  <c r="F5" i="4" s="1"/>
  <c r="E4" i="4"/>
  <c r="F4" i="4" s="1"/>
  <c r="E3" i="4"/>
  <c r="F3" i="4" s="1"/>
  <c r="E2" i="4"/>
  <c r="F2" i="4" s="1"/>
  <c r="AA366" i="3"/>
  <c r="Z366" i="3"/>
  <c r="U366" i="3"/>
  <c r="P366" i="3"/>
  <c r="K366" i="3"/>
  <c r="F366" i="3"/>
  <c r="AA365" i="3"/>
  <c r="Z365" i="3"/>
  <c r="U365" i="3"/>
  <c r="P365" i="3"/>
  <c r="K365" i="3"/>
  <c r="F365" i="3"/>
  <c r="AA364" i="3"/>
  <c r="Z364" i="3"/>
  <c r="U364" i="3"/>
  <c r="P364" i="3"/>
  <c r="K364" i="3"/>
  <c r="F364" i="3"/>
  <c r="AA363" i="3"/>
  <c r="Z363" i="3"/>
  <c r="U363" i="3"/>
  <c r="P363" i="3"/>
  <c r="K363" i="3"/>
  <c r="F363" i="3"/>
  <c r="AA362" i="3"/>
  <c r="Z362" i="3"/>
  <c r="U362" i="3"/>
  <c r="P362" i="3"/>
  <c r="K362" i="3"/>
  <c r="F362" i="3"/>
  <c r="AA361" i="3"/>
  <c r="Z361" i="3"/>
  <c r="U361" i="3"/>
  <c r="P361" i="3"/>
  <c r="K361" i="3"/>
  <c r="F361" i="3"/>
  <c r="AA360" i="3"/>
  <c r="Z360" i="3"/>
  <c r="U360" i="3"/>
  <c r="P360" i="3"/>
  <c r="K360" i="3"/>
  <c r="F360" i="3"/>
  <c r="AA359" i="3"/>
  <c r="Z359" i="3"/>
  <c r="U359" i="3"/>
  <c r="P359" i="3"/>
  <c r="K359" i="3"/>
  <c r="F359" i="3"/>
  <c r="AA358" i="3"/>
  <c r="Z358" i="3"/>
  <c r="U358" i="3"/>
  <c r="P358" i="3"/>
  <c r="K358" i="3"/>
  <c r="F358" i="3"/>
  <c r="AA357" i="3"/>
  <c r="Z357" i="3"/>
  <c r="U357" i="3"/>
  <c r="P357" i="3"/>
  <c r="K357" i="3"/>
  <c r="F357" i="3"/>
  <c r="AA356" i="3"/>
  <c r="Z356" i="3"/>
  <c r="U356" i="3"/>
  <c r="P356" i="3"/>
  <c r="K356" i="3"/>
  <c r="F356" i="3"/>
  <c r="AA355" i="3"/>
  <c r="Z355" i="3"/>
  <c r="U355" i="3"/>
  <c r="P355" i="3"/>
  <c r="K355" i="3"/>
  <c r="F355" i="3"/>
  <c r="AA354" i="3"/>
  <c r="Z354" i="3"/>
  <c r="U354" i="3"/>
  <c r="P354" i="3"/>
  <c r="K354" i="3"/>
  <c r="F354" i="3"/>
  <c r="AA353" i="3"/>
  <c r="Z353" i="3"/>
  <c r="U353" i="3"/>
  <c r="P353" i="3"/>
  <c r="K353" i="3"/>
  <c r="F353" i="3"/>
  <c r="AA352" i="3"/>
  <c r="Z352" i="3"/>
  <c r="U352" i="3"/>
  <c r="P352" i="3"/>
  <c r="K352" i="3"/>
  <c r="F352" i="3"/>
  <c r="AA351" i="3"/>
  <c r="Z351" i="3"/>
  <c r="U351" i="3"/>
  <c r="P351" i="3"/>
  <c r="K351" i="3"/>
  <c r="F351" i="3"/>
  <c r="AA350" i="3"/>
  <c r="Z350" i="3"/>
  <c r="U350" i="3"/>
  <c r="P350" i="3"/>
  <c r="K350" i="3"/>
  <c r="F350" i="3"/>
  <c r="AA349" i="3"/>
  <c r="Z349" i="3"/>
  <c r="U349" i="3"/>
  <c r="P349" i="3"/>
  <c r="K349" i="3"/>
  <c r="F349" i="3"/>
  <c r="AA348" i="3"/>
  <c r="Z348" i="3"/>
  <c r="U348" i="3"/>
  <c r="P348" i="3"/>
  <c r="K348" i="3"/>
  <c r="F348" i="3"/>
  <c r="AA347" i="3"/>
  <c r="Z347" i="3"/>
  <c r="U347" i="3"/>
  <c r="P347" i="3"/>
  <c r="K347" i="3"/>
  <c r="F347" i="3"/>
  <c r="AA346" i="3"/>
  <c r="Z346" i="3"/>
  <c r="U346" i="3"/>
  <c r="P346" i="3"/>
  <c r="K346" i="3"/>
  <c r="F346" i="3"/>
  <c r="AA345" i="3"/>
  <c r="Z345" i="3"/>
  <c r="U345" i="3"/>
  <c r="P345" i="3"/>
  <c r="K345" i="3"/>
  <c r="F345" i="3"/>
  <c r="AA344" i="3"/>
  <c r="Z344" i="3"/>
  <c r="U344" i="3"/>
  <c r="P344" i="3"/>
  <c r="K344" i="3"/>
  <c r="F344" i="3"/>
  <c r="AA343" i="3"/>
  <c r="Z343" i="3"/>
  <c r="U343" i="3"/>
  <c r="P343" i="3"/>
  <c r="K343" i="3"/>
  <c r="F343" i="3"/>
  <c r="AA342" i="3"/>
  <c r="Z342" i="3"/>
  <c r="U342" i="3"/>
  <c r="P342" i="3"/>
  <c r="K342" i="3"/>
  <c r="F342" i="3"/>
  <c r="AA341" i="3"/>
  <c r="Z341" i="3"/>
  <c r="U341" i="3"/>
  <c r="P341" i="3"/>
  <c r="K341" i="3"/>
  <c r="F341" i="3"/>
  <c r="AA340" i="3"/>
  <c r="Z340" i="3"/>
  <c r="U340" i="3"/>
  <c r="P340" i="3"/>
  <c r="K340" i="3"/>
  <c r="F340" i="3"/>
  <c r="AA339" i="3"/>
  <c r="Z339" i="3"/>
  <c r="U339" i="3"/>
  <c r="P339" i="3"/>
  <c r="K339" i="3"/>
  <c r="F339" i="3"/>
  <c r="AA338" i="3"/>
  <c r="Z338" i="3"/>
  <c r="U338" i="3"/>
  <c r="P338" i="3"/>
  <c r="K338" i="3"/>
  <c r="F338" i="3"/>
  <c r="AA337" i="3"/>
  <c r="Z337" i="3"/>
  <c r="U337" i="3"/>
  <c r="P337" i="3"/>
  <c r="K337" i="3"/>
  <c r="F337" i="3"/>
  <c r="AA336" i="3"/>
  <c r="Z336" i="3"/>
  <c r="U336" i="3"/>
  <c r="P336" i="3"/>
  <c r="K336" i="3"/>
  <c r="F336" i="3"/>
  <c r="AA335" i="3"/>
  <c r="Z335" i="3"/>
  <c r="U335" i="3"/>
  <c r="P335" i="3"/>
  <c r="K335" i="3"/>
  <c r="F335" i="3"/>
  <c r="AA334" i="3"/>
  <c r="Z334" i="3"/>
  <c r="U334" i="3"/>
  <c r="P334" i="3"/>
  <c r="K334" i="3"/>
  <c r="F334" i="3"/>
  <c r="AA333" i="3"/>
  <c r="Z333" i="3"/>
  <c r="U333" i="3"/>
  <c r="P333" i="3"/>
  <c r="K333" i="3"/>
  <c r="F333" i="3"/>
  <c r="AA332" i="3"/>
  <c r="Z332" i="3"/>
  <c r="U332" i="3"/>
  <c r="P332" i="3"/>
  <c r="K332" i="3"/>
  <c r="F332" i="3"/>
  <c r="AA331" i="3"/>
  <c r="Z331" i="3"/>
  <c r="U331" i="3"/>
  <c r="P331" i="3"/>
  <c r="K331" i="3"/>
  <c r="F331" i="3"/>
  <c r="AA330" i="3"/>
  <c r="Z330" i="3"/>
  <c r="U330" i="3"/>
  <c r="P330" i="3"/>
  <c r="K330" i="3"/>
  <c r="F330" i="3"/>
  <c r="AA329" i="3"/>
  <c r="Z329" i="3"/>
  <c r="U329" i="3"/>
  <c r="P329" i="3"/>
  <c r="K329" i="3"/>
  <c r="F329" i="3"/>
  <c r="AA328" i="3"/>
  <c r="Z328" i="3"/>
  <c r="U328" i="3"/>
  <c r="P328" i="3"/>
  <c r="K328" i="3"/>
  <c r="F328" i="3"/>
  <c r="AA327" i="3"/>
  <c r="Z327" i="3"/>
  <c r="U327" i="3"/>
  <c r="P327" i="3"/>
  <c r="K327" i="3"/>
  <c r="F327" i="3"/>
  <c r="AA326" i="3"/>
  <c r="Z326" i="3"/>
  <c r="U326" i="3"/>
  <c r="P326" i="3"/>
  <c r="K326" i="3"/>
  <c r="F326" i="3"/>
  <c r="AA325" i="3"/>
  <c r="Z325" i="3"/>
  <c r="U325" i="3"/>
  <c r="P325" i="3"/>
  <c r="K325" i="3"/>
  <c r="F325" i="3"/>
  <c r="AA324" i="3"/>
  <c r="Z324" i="3"/>
  <c r="U324" i="3"/>
  <c r="P324" i="3"/>
  <c r="K324" i="3"/>
  <c r="F324" i="3"/>
  <c r="AA323" i="3"/>
  <c r="Z323" i="3"/>
  <c r="U323" i="3"/>
  <c r="P323" i="3"/>
  <c r="K323" i="3"/>
  <c r="F323" i="3"/>
  <c r="AA322" i="3"/>
  <c r="Z322" i="3"/>
  <c r="U322" i="3"/>
  <c r="P322" i="3"/>
  <c r="K322" i="3"/>
  <c r="F322" i="3"/>
  <c r="AA321" i="3"/>
  <c r="Z321" i="3"/>
  <c r="U321" i="3"/>
  <c r="P321" i="3"/>
  <c r="K321" i="3"/>
  <c r="F321" i="3"/>
  <c r="AA320" i="3"/>
  <c r="Z320" i="3"/>
  <c r="U320" i="3"/>
  <c r="P320" i="3"/>
  <c r="K320" i="3"/>
  <c r="F320" i="3"/>
  <c r="AA319" i="3"/>
  <c r="Z319" i="3"/>
  <c r="U319" i="3"/>
  <c r="P319" i="3"/>
  <c r="K319" i="3"/>
  <c r="F319" i="3"/>
  <c r="AA318" i="3"/>
  <c r="Z318" i="3"/>
  <c r="U318" i="3"/>
  <c r="P318" i="3"/>
  <c r="K318" i="3"/>
  <c r="F318" i="3"/>
  <c r="AA317" i="3"/>
  <c r="Z317" i="3"/>
  <c r="U317" i="3"/>
  <c r="P317" i="3"/>
  <c r="K317" i="3"/>
  <c r="F317" i="3"/>
  <c r="AA316" i="3"/>
  <c r="Z316" i="3"/>
  <c r="U316" i="3"/>
  <c r="P316" i="3"/>
  <c r="K316" i="3"/>
  <c r="F316" i="3"/>
  <c r="AA315" i="3"/>
  <c r="Z315" i="3"/>
  <c r="U315" i="3"/>
  <c r="P315" i="3"/>
  <c r="K315" i="3"/>
  <c r="F315" i="3"/>
  <c r="AA314" i="3"/>
  <c r="Z314" i="3"/>
  <c r="U314" i="3"/>
  <c r="P314" i="3"/>
  <c r="K314" i="3"/>
  <c r="F314" i="3"/>
  <c r="AA313" i="3"/>
  <c r="Z313" i="3"/>
  <c r="U313" i="3"/>
  <c r="P313" i="3"/>
  <c r="K313" i="3"/>
  <c r="F313" i="3"/>
  <c r="AA312" i="3"/>
  <c r="Z312" i="3"/>
  <c r="U312" i="3"/>
  <c r="P312" i="3"/>
  <c r="K312" i="3"/>
  <c r="F312" i="3"/>
  <c r="AA311" i="3"/>
  <c r="Z311" i="3"/>
  <c r="U311" i="3"/>
  <c r="P311" i="3"/>
  <c r="K311" i="3"/>
  <c r="F311" i="3"/>
  <c r="AA310" i="3"/>
  <c r="Z310" i="3"/>
  <c r="U310" i="3"/>
  <c r="P310" i="3"/>
  <c r="K310" i="3"/>
  <c r="F310" i="3"/>
  <c r="AA309" i="3"/>
  <c r="Z309" i="3"/>
  <c r="U309" i="3"/>
  <c r="P309" i="3"/>
  <c r="K309" i="3"/>
  <c r="F309" i="3"/>
  <c r="AA308" i="3"/>
  <c r="Z308" i="3"/>
  <c r="U308" i="3"/>
  <c r="P308" i="3"/>
  <c r="K308" i="3"/>
  <c r="F308" i="3"/>
  <c r="AA307" i="3"/>
  <c r="Z307" i="3"/>
  <c r="U307" i="3"/>
  <c r="P307" i="3"/>
  <c r="K307" i="3"/>
  <c r="F307" i="3"/>
  <c r="AA306" i="3"/>
  <c r="Z306" i="3"/>
  <c r="U306" i="3"/>
  <c r="P306" i="3"/>
  <c r="K306" i="3"/>
  <c r="F306" i="3"/>
  <c r="AA305" i="3"/>
  <c r="Z305" i="3"/>
  <c r="U305" i="3"/>
  <c r="P305" i="3"/>
  <c r="K305" i="3"/>
  <c r="F305" i="3"/>
  <c r="AA304" i="3"/>
  <c r="Z304" i="3"/>
  <c r="U304" i="3"/>
  <c r="P304" i="3"/>
  <c r="K304" i="3"/>
  <c r="F304" i="3"/>
  <c r="AA303" i="3"/>
  <c r="Z303" i="3"/>
  <c r="U303" i="3"/>
  <c r="P303" i="3"/>
  <c r="K303" i="3"/>
  <c r="F303" i="3"/>
  <c r="AA302" i="3"/>
  <c r="Z302" i="3"/>
  <c r="U302" i="3"/>
  <c r="P302" i="3"/>
  <c r="K302" i="3"/>
  <c r="F302" i="3"/>
  <c r="AA301" i="3"/>
  <c r="Z301" i="3"/>
  <c r="U301" i="3"/>
  <c r="P301" i="3"/>
  <c r="K301" i="3"/>
  <c r="F301" i="3"/>
  <c r="AA300" i="3"/>
  <c r="Z300" i="3"/>
  <c r="U300" i="3"/>
  <c r="P300" i="3"/>
  <c r="K300" i="3"/>
  <c r="F300" i="3"/>
  <c r="AA299" i="3"/>
  <c r="Z299" i="3"/>
  <c r="U299" i="3"/>
  <c r="P299" i="3"/>
  <c r="K299" i="3"/>
  <c r="F299" i="3"/>
  <c r="AA298" i="3"/>
  <c r="Z298" i="3"/>
  <c r="U298" i="3"/>
  <c r="P298" i="3"/>
  <c r="K298" i="3"/>
  <c r="F298" i="3"/>
  <c r="AA297" i="3"/>
  <c r="Z297" i="3"/>
  <c r="U297" i="3"/>
  <c r="P297" i="3"/>
  <c r="K297" i="3"/>
  <c r="F297" i="3"/>
  <c r="AA296" i="3"/>
  <c r="Z296" i="3"/>
  <c r="U296" i="3"/>
  <c r="P296" i="3"/>
  <c r="K296" i="3"/>
  <c r="F296" i="3"/>
  <c r="AA295" i="3"/>
  <c r="Z295" i="3"/>
  <c r="U295" i="3"/>
  <c r="P295" i="3"/>
  <c r="K295" i="3"/>
  <c r="F295" i="3"/>
  <c r="AA294" i="3"/>
  <c r="Z294" i="3"/>
  <c r="U294" i="3"/>
  <c r="P294" i="3"/>
  <c r="K294" i="3"/>
  <c r="F294" i="3"/>
  <c r="AA293" i="3"/>
  <c r="Z293" i="3"/>
  <c r="U293" i="3"/>
  <c r="P293" i="3"/>
  <c r="K293" i="3"/>
  <c r="F293" i="3"/>
  <c r="AA292" i="3"/>
  <c r="Z292" i="3"/>
  <c r="U292" i="3"/>
  <c r="P292" i="3"/>
  <c r="K292" i="3"/>
  <c r="F292" i="3"/>
  <c r="AA291" i="3"/>
  <c r="Z291" i="3"/>
  <c r="U291" i="3"/>
  <c r="P291" i="3"/>
  <c r="K291" i="3"/>
  <c r="F291" i="3"/>
  <c r="AA290" i="3"/>
  <c r="Z290" i="3"/>
  <c r="U290" i="3"/>
  <c r="P290" i="3"/>
  <c r="K290" i="3"/>
  <c r="F290" i="3"/>
  <c r="AA289" i="3"/>
  <c r="Z289" i="3"/>
  <c r="U289" i="3"/>
  <c r="P289" i="3"/>
  <c r="K289" i="3"/>
  <c r="F289" i="3"/>
  <c r="AA288" i="3"/>
  <c r="Z288" i="3"/>
  <c r="U288" i="3"/>
  <c r="P288" i="3"/>
  <c r="K288" i="3"/>
  <c r="F288" i="3"/>
  <c r="AA287" i="3"/>
  <c r="Z287" i="3"/>
  <c r="U287" i="3"/>
  <c r="P287" i="3"/>
  <c r="K287" i="3"/>
  <c r="F287" i="3"/>
  <c r="AA286" i="3"/>
  <c r="Z286" i="3"/>
  <c r="U286" i="3"/>
  <c r="P286" i="3"/>
  <c r="K286" i="3"/>
  <c r="F286" i="3"/>
  <c r="AA285" i="3"/>
  <c r="Z285" i="3"/>
  <c r="U285" i="3"/>
  <c r="P285" i="3"/>
  <c r="K285" i="3"/>
  <c r="F285" i="3"/>
  <c r="AA284" i="3"/>
  <c r="Z284" i="3"/>
  <c r="U284" i="3"/>
  <c r="P284" i="3"/>
  <c r="K284" i="3"/>
  <c r="F284" i="3"/>
  <c r="AA283" i="3"/>
  <c r="Z283" i="3"/>
  <c r="U283" i="3"/>
  <c r="P283" i="3"/>
  <c r="K283" i="3"/>
  <c r="F283" i="3"/>
  <c r="AA282" i="3"/>
  <c r="Z282" i="3"/>
  <c r="U282" i="3"/>
  <c r="P282" i="3"/>
  <c r="K282" i="3"/>
  <c r="F282" i="3"/>
  <c r="AA281" i="3"/>
  <c r="Z281" i="3"/>
  <c r="U281" i="3"/>
  <c r="P281" i="3"/>
  <c r="K281" i="3"/>
  <c r="F281" i="3"/>
  <c r="AA280" i="3"/>
  <c r="Z280" i="3"/>
  <c r="U280" i="3"/>
  <c r="P280" i="3"/>
  <c r="K280" i="3"/>
  <c r="F280" i="3"/>
  <c r="AA279" i="3"/>
  <c r="Z279" i="3"/>
  <c r="U279" i="3"/>
  <c r="P279" i="3"/>
  <c r="K279" i="3"/>
  <c r="F279" i="3"/>
  <c r="AA278" i="3"/>
  <c r="Z278" i="3"/>
  <c r="U278" i="3"/>
  <c r="P278" i="3"/>
  <c r="K278" i="3"/>
  <c r="F278" i="3"/>
  <c r="AA277" i="3"/>
  <c r="Z277" i="3"/>
  <c r="U277" i="3"/>
  <c r="P277" i="3"/>
  <c r="K277" i="3"/>
  <c r="F277" i="3"/>
  <c r="AA276" i="3"/>
  <c r="Z276" i="3"/>
  <c r="U276" i="3"/>
  <c r="P276" i="3"/>
  <c r="K276" i="3"/>
  <c r="F276" i="3"/>
  <c r="AA275" i="3"/>
  <c r="Z275" i="3"/>
  <c r="U275" i="3"/>
  <c r="P275" i="3"/>
  <c r="K275" i="3"/>
  <c r="F275" i="3"/>
  <c r="AA274" i="3"/>
  <c r="Z274" i="3"/>
  <c r="U274" i="3"/>
  <c r="P274" i="3"/>
  <c r="K274" i="3"/>
  <c r="F274" i="3"/>
  <c r="AA273" i="3"/>
  <c r="Z273" i="3"/>
  <c r="U273" i="3"/>
  <c r="P273" i="3"/>
  <c r="K273" i="3"/>
  <c r="F273" i="3"/>
  <c r="AA272" i="3"/>
  <c r="Z272" i="3"/>
  <c r="U272" i="3"/>
  <c r="P272" i="3"/>
  <c r="K272" i="3"/>
  <c r="F272" i="3"/>
  <c r="AA271" i="3"/>
  <c r="Z271" i="3"/>
  <c r="U271" i="3"/>
  <c r="P271" i="3"/>
  <c r="K271" i="3"/>
  <c r="F271" i="3"/>
  <c r="AA270" i="3"/>
  <c r="Z270" i="3"/>
  <c r="U270" i="3"/>
  <c r="P270" i="3"/>
  <c r="K270" i="3"/>
  <c r="F270" i="3"/>
  <c r="AA269" i="3"/>
  <c r="Z269" i="3"/>
  <c r="U269" i="3"/>
  <c r="P269" i="3"/>
  <c r="K269" i="3"/>
  <c r="F269" i="3"/>
  <c r="AA268" i="3"/>
  <c r="Z268" i="3"/>
  <c r="U268" i="3"/>
  <c r="P268" i="3"/>
  <c r="K268" i="3"/>
  <c r="F268" i="3"/>
  <c r="AA267" i="3"/>
  <c r="Z267" i="3"/>
  <c r="U267" i="3"/>
  <c r="P267" i="3"/>
  <c r="K267" i="3"/>
  <c r="F267" i="3"/>
  <c r="AA266" i="3"/>
  <c r="Z266" i="3"/>
  <c r="U266" i="3"/>
  <c r="P266" i="3"/>
  <c r="K266" i="3"/>
  <c r="F266" i="3"/>
  <c r="AA265" i="3"/>
  <c r="Z265" i="3"/>
  <c r="U265" i="3"/>
  <c r="P265" i="3"/>
  <c r="K265" i="3"/>
  <c r="F265" i="3"/>
  <c r="AA264" i="3"/>
  <c r="Z264" i="3"/>
  <c r="U264" i="3"/>
  <c r="P264" i="3"/>
  <c r="K264" i="3"/>
  <c r="F264" i="3"/>
  <c r="AA263" i="3"/>
  <c r="Z263" i="3"/>
  <c r="U263" i="3"/>
  <c r="P263" i="3"/>
  <c r="K263" i="3"/>
  <c r="F263" i="3"/>
  <c r="AA262" i="3"/>
  <c r="Z262" i="3"/>
  <c r="U262" i="3"/>
  <c r="P262" i="3"/>
  <c r="K262" i="3"/>
  <c r="F262" i="3"/>
  <c r="AA261" i="3"/>
  <c r="Z261" i="3"/>
  <c r="U261" i="3"/>
  <c r="P261" i="3"/>
  <c r="K261" i="3"/>
  <c r="F261" i="3"/>
  <c r="AA260" i="3"/>
  <c r="Z260" i="3"/>
  <c r="U260" i="3"/>
  <c r="P260" i="3"/>
  <c r="K260" i="3"/>
  <c r="F260" i="3"/>
  <c r="AA259" i="3"/>
  <c r="Z259" i="3"/>
  <c r="U259" i="3"/>
  <c r="P259" i="3"/>
  <c r="K259" i="3"/>
  <c r="F259" i="3"/>
  <c r="AA258" i="3"/>
  <c r="Z258" i="3"/>
  <c r="U258" i="3"/>
  <c r="P258" i="3"/>
  <c r="K258" i="3"/>
  <c r="F258" i="3"/>
  <c r="AA257" i="3"/>
  <c r="Z257" i="3"/>
  <c r="U257" i="3"/>
  <c r="P257" i="3"/>
  <c r="K257" i="3"/>
  <c r="F257" i="3"/>
  <c r="AA256" i="3"/>
  <c r="Z256" i="3"/>
  <c r="U256" i="3"/>
  <c r="P256" i="3"/>
  <c r="K256" i="3"/>
  <c r="F256" i="3"/>
  <c r="AA255" i="3"/>
  <c r="Z255" i="3"/>
  <c r="U255" i="3"/>
  <c r="P255" i="3"/>
  <c r="K255" i="3"/>
  <c r="F255" i="3"/>
  <c r="AA254" i="3"/>
  <c r="Z254" i="3"/>
  <c r="U254" i="3"/>
  <c r="P254" i="3"/>
  <c r="K254" i="3"/>
  <c r="F254" i="3"/>
  <c r="AA253" i="3"/>
  <c r="Z253" i="3"/>
  <c r="U253" i="3"/>
  <c r="P253" i="3"/>
  <c r="K253" i="3"/>
  <c r="F253" i="3"/>
  <c r="AA252" i="3"/>
  <c r="Z252" i="3"/>
  <c r="U252" i="3"/>
  <c r="P252" i="3"/>
  <c r="K252" i="3"/>
  <c r="F252" i="3"/>
  <c r="AA251" i="3"/>
  <c r="Z251" i="3"/>
  <c r="U251" i="3"/>
  <c r="P251" i="3"/>
  <c r="K251" i="3"/>
  <c r="F251" i="3"/>
  <c r="AA250" i="3"/>
  <c r="Z250" i="3"/>
  <c r="U250" i="3"/>
  <c r="P250" i="3"/>
  <c r="K250" i="3"/>
  <c r="F250" i="3"/>
  <c r="AA249" i="3"/>
  <c r="Z249" i="3"/>
  <c r="U249" i="3"/>
  <c r="P249" i="3"/>
  <c r="K249" i="3"/>
  <c r="F249" i="3"/>
  <c r="AA183" i="3"/>
  <c r="AA181" i="3"/>
  <c r="AA176" i="3"/>
  <c r="AA163" i="3"/>
  <c r="O62" i="5" l="1"/>
  <c r="U62" i="5"/>
  <c r="S6" i="5"/>
  <c r="S11" i="5"/>
  <c r="F11" i="5"/>
  <c r="S14" i="5"/>
  <c r="S19" i="5"/>
  <c r="F19" i="5"/>
  <c r="S22" i="5"/>
  <c r="S27" i="5"/>
  <c r="F27" i="5"/>
  <c r="S30" i="5"/>
  <c r="R36" i="5"/>
  <c r="U54" i="5"/>
  <c r="S20" i="5"/>
  <c r="S25" i="5"/>
  <c r="F25" i="5"/>
  <c r="V57" i="5"/>
  <c r="U57" i="5"/>
  <c r="O57" i="5"/>
  <c r="Q57" i="5" s="1"/>
  <c r="S95" i="5"/>
  <c r="S102" i="5"/>
  <c r="F102" i="5"/>
  <c r="V197" i="5"/>
  <c r="P197" i="5"/>
  <c r="S5" i="5"/>
  <c r="F5" i="5"/>
  <c r="S8" i="5"/>
  <c r="S13" i="5"/>
  <c r="F13" i="5"/>
  <c r="S16" i="5"/>
  <c r="S21" i="5"/>
  <c r="F21" i="5"/>
  <c r="S24" i="5"/>
  <c r="S29" i="5"/>
  <c r="F29" i="5"/>
  <c r="V30" i="5"/>
  <c r="R38" i="5"/>
  <c r="S61" i="5"/>
  <c r="P63" i="5"/>
  <c r="P62" i="5"/>
  <c r="R62" i="5" s="1"/>
  <c r="V62" i="5"/>
  <c r="F68" i="5"/>
  <c r="S68" i="5"/>
  <c r="U88" i="5"/>
  <c r="S118" i="5"/>
  <c r="F118" i="5"/>
  <c r="U144" i="5"/>
  <c r="S146" i="5"/>
  <c r="F146" i="5"/>
  <c r="S3" i="5"/>
  <c r="F3" i="5"/>
  <c r="S4" i="5"/>
  <c r="S9" i="5"/>
  <c r="F9" i="5"/>
  <c r="S12" i="5"/>
  <c r="S17" i="5"/>
  <c r="F17" i="5"/>
  <c r="S28" i="5"/>
  <c r="P59" i="5"/>
  <c r="P58" i="5"/>
  <c r="V58" i="5"/>
  <c r="S87" i="5"/>
  <c r="P154" i="5"/>
  <c r="P153" i="5"/>
  <c r="S7" i="5"/>
  <c r="F7" i="5"/>
  <c r="S10" i="5"/>
  <c r="S15" i="5"/>
  <c r="F15" i="5"/>
  <c r="S18" i="5"/>
  <c r="S23" i="5"/>
  <c r="F23" i="5"/>
  <c r="S26" i="5"/>
  <c r="S31" i="5"/>
  <c r="F31" i="5"/>
  <c r="Q33" i="5"/>
  <c r="Q41" i="5"/>
  <c r="F55" i="5"/>
  <c r="S55" i="5"/>
  <c r="P71" i="5"/>
  <c r="P72" i="5"/>
  <c r="F76" i="5"/>
  <c r="S76" i="5"/>
  <c r="U80" i="5"/>
  <c r="O80" i="5"/>
  <c r="Q80" i="5" s="1"/>
  <c r="P84" i="5"/>
  <c r="P85" i="5"/>
  <c r="V92" i="5"/>
  <c r="P92" i="5"/>
  <c r="P93" i="5"/>
  <c r="P109" i="5"/>
  <c r="P108" i="5"/>
  <c r="O47" i="5"/>
  <c r="Q47" i="5" s="1"/>
  <c r="U47" i="5"/>
  <c r="U48" i="5"/>
  <c r="O48" i="5"/>
  <c r="P48" i="5"/>
  <c r="R48" i="5" s="1"/>
  <c r="O49" i="5"/>
  <c r="Q49" i="5" s="1"/>
  <c r="U49" i="5"/>
  <c r="U50" i="5"/>
  <c r="O50" i="5"/>
  <c r="P50" i="5"/>
  <c r="R50" i="5" s="1"/>
  <c r="U56" i="5"/>
  <c r="R57" i="5"/>
  <c r="V61" i="5"/>
  <c r="U64" i="5"/>
  <c r="S65" i="5"/>
  <c r="F65" i="5"/>
  <c r="U67" i="5"/>
  <c r="O67" i="5"/>
  <c r="Q67" i="5" s="1"/>
  <c r="S70" i="5"/>
  <c r="S73" i="5"/>
  <c r="F73" i="5"/>
  <c r="U75" i="5"/>
  <c r="O75" i="5"/>
  <c r="Q75" i="5" s="1"/>
  <c r="S84" i="5"/>
  <c r="J84" i="5"/>
  <c r="S85" i="5"/>
  <c r="F85" i="5"/>
  <c r="S92" i="5"/>
  <c r="J92" i="5"/>
  <c r="S93" i="5"/>
  <c r="F93" i="5"/>
  <c r="S103" i="5"/>
  <c r="S113" i="5"/>
  <c r="F113" i="5"/>
  <c r="R115" i="5"/>
  <c r="Q115" i="5"/>
  <c r="P122" i="5"/>
  <c r="P121" i="5"/>
  <c r="J135" i="5"/>
  <c r="S135" i="5"/>
  <c r="U160" i="5"/>
  <c r="S162" i="5"/>
  <c r="F162" i="5"/>
  <c r="S193" i="5"/>
  <c r="J193" i="5"/>
  <c r="F33" i="5"/>
  <c r="F35" i="5"/>
  <c r="F37" i="5"/>
  <c r="F39" i="5"/>
  <c r="F41" i="5"/>
  <c r="F43" i="5"/>
  <c r="F45" i="5"/>
  <c r="F47" i="5"/>
  <c r="V47" i="5"/>
  <c r="V49" i="5"/>
  <c r="S53" i="5"/>
  <c r="V56" i="5"/>
  <c r="U58" i="5"/>
  <c r="O58" i="5"/>
  <c r="Q58" i="5" s="1"/>
  <c r="V60" i="5"/>
  <c r="S66" i="5"/>
  <c r="V68" i="5"/>
  <c r="P68" i="5"/>
  <c r="S72" i="5"/>
  <c r="S74" i="5"/>
  <c r="V76" i="5"/>
  <c r="P76" i="5"/>
  <c r="P86" i="5"/>
  <c r="P94" i="5"/>
  <c r="V93" i="5"/>
  <c r="S100" i="5"/>
  <c r="J100" i="5"/>
  <c r="S101" i="5"/>
  <c r="F101" i="5"/>
  <c r="S108" i="5"/>
  <c r="J108" i="5"/>
  <c r="U110" i="5"/>
  <c r="O110" i="5"/>
  <c r="Q110" i="5" s="1"/>
  <c r="V110" i="5"/>
  <c r="J111" i="5"/>
  <c r="S111" i="5"/>
  <c r="V116" i="5"/>
  <c r="P116" i="5"/>
  <c r="P117" i="5"/>
  <c r="S134" i="5"/>
  <c r="F134" i="5"/>
  <c r="U139" i="5"/>
  <c r="V139" i="5"/>
  <c r="O139" i="5"/>
  <c r="J143" i="5"/>
  <c r="S143" i="5"/>
  <c r="V4" i="5"/>
  <c r="V8" i="5"/>
  <c r="V12" i="5"/>
  <c r="V14" i="5"/>
  <c r="V16" i="5"/>
  <c r="V18" i="5"/>
  <c r="V20" i="5"/>
  <c r="V22" i="5"/>
  <c r="V24" i="5"/>
  <c r="V26" i="5"/>
  <c r="V28" i="5"/>
  <c r="U33" i="5"/>
  <c r="O34" i="5"/>
  <c r="Q34" i="5" s="1"/>
  <c r="U35" i="5"/>
  <c r="O36" i="5"/>
  <c r="Q36" i="5" s="1"/>
  <c r="U37" i="5"/>
  <c r="O38" i="5"/>
  <c r="Q38" i="5" s="1"/>
  <c r="U39" i="5"/>
  <c r="O40" i="5"/>
  <c r="Q40" i="5" s="1"/>
  <c r="U41" i="5"/>
  <c r="O42" i="5"/>
  <c r="Q42" i="5" s="1"/>
  <c r="U43" i="5"/>
  <c r="O44" i="5"/>
  <c r="Q44" i="5" s="1"/>
  <c r="U45" i="5"/>
  <c r="O46" i="5"/>
  <c r="Q46" i="5" s="1"/>
  <c r="S51" i="5"/>
  <c r="V51" i="5" s="1"/>
  <c r="U52" i="5"/>
  <c r="V54" i="5"/>
  <c r="P56" i="5"/>
  <c r="S59" i="5"/>
  <c r="U60" i="5"/>
  <c r="O60" i="5"/>
  <c r="Q60" i="5" s="1"/>
  <c r="P60" i="5"/>
  <c r="S63" i="5"/>
  <c r="V67" i="5"/>
  <c r="P70" i="5"/>
  <c r="U69" i="5"/>
  <c r="P69" i="5"/>
  <c r="J71" i="5"/>
  <c r="S71" i="5"/>
  <c r="V71" i="5" s="1"/>
  <c r="V75" i="5"/>
  <c r="P78" i="5"/>
  <c r="P77" i="5"/>
  <c r="R77" i="5" s="1"/>
  <c r="S79" i="5"/>
  <c r="S86" i="5"/>
  <c r="F86" i="5"/>
  <c r="S94" i="5"/>
  <c r="F94" i="5"/>
  <c r="P102" i="5"/>
  <c r="V101" i="5"/>
  <c r="V115" i="5"/>
  <c r="U115" i="5"/>
  <c r="O116" i="5"/>
  <c r="Q116" i="5" s="1"/>
  <c r="U116" i="5"/>
  <c r="J119" i="5"/>
  <c r="S119" i="5"/>
  <c r="P138" i="5"/>
  <c r="P137" i="5"/>
  <c r="U155" i="5"/>
  <c r="V155" i="5"/>
  <c r="O155" i="5"/>
  <c r="J159" i="5"/>
  <c r="S159" i="5"/>
  <c r="O160" i="5" s="1"/>
  <c r="U173" i="5"/>
  <c r="V72" i="5"/>
  <c r="O77" i="5"/>
  <c r="S78" i="5"/>
  <c r="R80" i="5"/>
  <c r="S81" i="5"/>
  <c r="F81" i="5"/>
  <c r="S82" i="5"/>
  <c r="V88" i="5"/>
  <c r="P90" i="5"/>
  <c r="S97" i="5"/>
  <c r="V97" i="5" s="1"/>
  <c r="F97" i="5"/>
  <c r="S98" i="5"/>
  <c r="V104" i="5"/>
  <c r="P106" i="5"/>
  <c r="O112" i="5"/>
  <c r="Q112" i="5" s="1"/>
  <c r="U112" i="5"/>
  <c r="P113" i="5"/>
  <c r="V112" i="5"/>
  <c r="U114" i="5"/>
  <c r="S117" i="5"/>
  <c r="F117" i="5"/>
  <c r="V120" i="5"/>
  <c r="P120" i="5"/>
  <c r="S124" i="5"/>
  <c r="J124" i="5"/>
  <c r="S125" i="5"/>
  <c r="F125" i="5"/>
  <c r="U140" i="5"/>
  <c r="O140" i="5"/>
  <c r="Q140" i="5" s="1"/>
  <c r="U156" i="5"/>
  <c r="O156" i="5"/>
  <c r="Q156" i="5" s="1"/>
  <c r="V128" i="5"/>
  <c r="P128" i="5"/>
  <c r="S132" i="5"/>
  <c r="J132" i="5"/>
  <c r="S133" i="5"/>
  <c r="F133" i="5"/>
  <c r="S145" i="5"/>
  <c r="F145" i="5"/>
  <c r="S161" i="5"/>
  <c r="F161" i="5"/>
  <c r="S179" i="5"/>
  <c r="F179" i="5"/>
  <c r="P187" i="5"/>
  <c r="R187" i="5" s="1"/>
  <c r="P186" i="5"/>
  <c r="S191" i="5"/>
  <c r="F191" i="5"/>
  <c r="S194" i="5"/>
  <c r="F194" i="5"/>
  <c r="T6" i="7"/>
  <c r="U6" i="7"/>
  <c r="O69" i="5"/>
  <c r="Q69" i="5" s="1"/>
  <c r="V73" i="5"/>
  <c r="U77" i="5"/>
  <c r="V80" i="5"/>
  <c r="P82" i="5"/>
  <c r="V81" i="5"/>
  <c r="S83" i="5"/>
  <c r="P88" i="5"/>
  <c r="S89" i="5"/>
  <c r="F89" i="5"/>
  <c r="P89" i="5"/>
  <c r="S90" i="5"/>
  <c r="V91" i="5"/>
  <c r="V96" i="5"/>
  <c r="P98" i="5"/>
  <c r="S99" i="5"/>
  <c r="P104" i="5"/>
  <c r="S105" i="5"/>
  <c r="V105" i="5" s="1"/>
  <c r="F105" i="5"/>
  <c r="P105" i="5"/>
  <c r="S106" i="5"/>
  <c r="V107" i="5"/>
  <c r="S109" i="5"/>
  <c r="F109" i="5"/>
  <c r="S126" i="5"/>
  <c r="F126" i="5"/>
  <c r="J127" i="5"/>
  <c r="S127" i="5"/>
  <c r="P130" i="5"/>
  <c r="P129" i="5"/>
  <c r="V136" i="5"/>
  <c r="P136" i="5"/>
  <c r="S148" i="5"/>
  <c r="J148" i="5"/>
  <c r="V152" i="5"/>
  <c r="P152" i="5"/>
  <c r="R152" i="5" s="1"/>
  <c r="S164" i="5"/>
  <c r="J164" i="5"/>
  <c r="V109" i="5"/>
  <c r="V113" i="5"/>
  <c r="O123" i="5"/>
  <c r="Q123" i="5" s="1"/>
  <c r="V123" i="5"/>
  <c r="V131" i="5"/>
  <c r="V140" i="5"/>
  <c r="P142" i="5"/>
  <c r="S149" i="5"/>
  <c r="V149" i="5" s="1"/>
  <c r="F149" i="5"/>
  <c r="O151" i="5"/>
  <c r="Q151" i="5" s="1"/>
  <c r="V151" i="5"/>
  <c r="V156" i="5"/>
  <c r="P158" i="5"/>
  <c r="S165" i="5"/>
  <c r="F165" i="5"/>
  <c r="P165" i="5"/>
  <c r="P171" i="5"/>
  <c r="V170" i="5"/>
  <c r="P170" i="5"/>
  <c r="V175" i="5"/>
  <c r="O177" i="5"/>
  <c r="Q177" i="5" s="1"/>
  <c r="S178" i="5"/>
  <c r="F178" i="5"/>
  <c r="S181" i="5"/>
  <c r="V181" i="5" s="1"/>
  <c r="J181" i="5"/>
  <c r="P181" i="5"/>
  <c r="U184" i="5"/>
  <c r="V184" i="5"/>
  <c r="O184" i="5"/>
  <c r="U185" i="5"/>
  <c r="O185" i="5"/>
  <c r="Q185" i="5" s="1"/>
  <c r="S188" i="5"/>
  <c r="S190" i="5"/>
  <c r="F190" i="5"/>
  <c r="AA112" i="7"/>
  <c r="AB112" i="7"/>
  <c r="BM135" i="7"/>
  <c r="BF135" i="7"/>
  <c r="BH135" i="7" s="1"/>
  <c r="P118" i="5"/>
  <c r="V117" i="5"/>
  <c r="S121" i="5"/>
  <c r="F121" i="5"/>
  <c r="S122" i="5"/>
  <c r="V124" i="5"/>
  <c r="P126" i="5"/>
  <c r="S129" i="5"/>
  <c r="F129" i="5"/>
  <c r="S130" i="5"/>
  <c r="O131" i="5" s="1"/>
  <c r="V132" i="5"/>
  <c r="P134" i="5"/>
  <c r="V133" i="5"/>
  <c r="S137" i="5"/>
  <c r="V137" i="5" s="1"/>
  <c r="F137" i="5"/>
  <c r="V144" i="5"/>
  <c r="P146" i="5"/>
  <c r="V145" i="5"/>
  <c r="S147" i="5"/>
  <c r="F150" i="5"/>
  <c r="U150" i="5"/>
  <c r="S153" i="5"/>
  <c r="F153" i="5"/>
  <c r="O154" i="5"/>
  <c r="Q154" i="5" s="1"/>
  <c r="V160" i="5"/>
  <c r="P162" i="5"/>
  <c r="V161" i="5"/>
  <c r="S163" i="5"/>
  <c r="U168" i="5"/>
  <c r="V168" i="5"/>
  <c r="O168" i="5"/>
  <c r="U169" i="5"/>
  <c r="O169" i="5"/>
  <c r="S172" i="5"/>
  <c r="O173" i="5" s="1"/>
  <c r="S174" i="5"/>
  <c r="F174" i="5"/>
  <c r="F175" i="5"/>
  <c r="J177" i="5"/>
  <c r="R177" i="5"/>
  <c r="V185" i="5"/>
  <c r="P185" i="5"/>
  <c r="J192" i="5"/>
  <c r="S192" i="5"/>
  <c r="P199" i="5"/>
  <c r="P198" i="5"/>
  <c r="U120" i="5"/>
  <c r="U128" i="5"/>
  <c r="U136" i="5"/>
  <c r="R140" i="5"/>
  <c r="S141" i="5"/>
  <c r="V141" i="5" s="1"/>
  <c r="F141" i="5"/>
  <c r="O142" i="5"/>
  <c r="Q142" i="5" s="1"/>
  <c r="V148" i="5"/>
  <c r="P150" i="5"/>
  <c r="U152" i="5"/>
  <c r="R156" i="5"/>
  <c r="S157" i="5"/>
  <c r="V157" i="5" s="1"/>
  <c r="F157" i="5"/>
  <c r="O158" i="5"/>
  <c r="Q158" i="5" s="1"/>
  <c r="V164" i="5"/>
  <c r="V169" i="5"/>
  <c r="P169" i="5"/>
  <c r="R169" i="5" s="1"/>
  <c r="J176" i="5"/>
  <c r="S176" i="5"/>
  <c r="P183" i="5"/>
  <c r="P182" i="5"/>
  <c r="U189" i="5"/>
  <c r="O189" i="5"/>
  <c r="Q189" i="5" s="1"/>
  <c r="S195" i="5"/>
  <c r="F195" i="5"/>
  <c r="J196" i="5"/>
  <c r="S196" i="5"/>
  <c r="U197" i="5"/>
  <c r="S166" i="5"/>
  <c r="O167" i="5"/>
  <c r="Q167" i="5" s="1"/>
  <c r="V173" i="5"/>
  <c r="P175" i="5"/>
  <c r="V174" i="5"/>
  <c r="S182" i="5"/>
  <c r="F182" i="5"/>
  <c r="V189" i="5"/>
  <c r="P191" i="5"/>
  <c r="V190" i="5"/>
  <c r="AZ9" i="7"/>
  <c r="AZ13" i="7"/>
  <c r="AZ17" i="7"/>
  <c r="AZ21" i="7"/>
  <c r="AZ25" i="7"/>
  <c r="AZ29" i="7"/>
  <c r="AZ33" i="7"/>
  <c r="AZ37" i="7"/>
  <c r="AZ41" i="7"/>
  <c r="AZ45" i="7"/>
  <c r="AZ49" i="7"/>
  <c r="AZ53" i="7"/>
  <c r="AZ57" i="7"/>
  <c r="AZ61" i="7"/>
  <c r="AZ65" i="7"/>
  <c r="AZ80" i="7"/>
  <c r="AZ96" i="7"/>
  <c r="AZ103" i="7"/>
  <c r="AA111" i="7"/>
  <c r="BE111" i="7"/>
  <c r="BG111" i="7" s="1"/>
  <c r="AZ111" i="7"/>
  <c r="BB111" i="7"/>
  <c r="AA125" i="7"/>
  <c r="AA132" i="7"/>
  <c r="AB132" i="7"/>
  <c r="P167" i="5"/>
  <c r="V166" i="5"/>
  <c r="S170" i="5"/>
  <c r="O171" i="5" s="1"/>
  <c r="Q171" i="5" s="1"/>
  <c r="F170" i="5"/>
  <c r="V177" i="5"/>
  <c r="P179" i="5"/>
  <c r="V178" i="5"/>
  <c r="S186" i="5"/>
  <c r="F186" i="5"/>
  <c r="O187" i="5"/>
  <c r="V193" i="5"/>
  <c r="P195" i="5"/>
  <c r="V194" i="5"/>
  <c r="S198" i="5"/>
  <c r="V198" i="5" s="1"/>
  <c r="F198" i="5"/>
  <c r="AZ10" i="7"/>
  <c r="AZ14" i="7"/>
  <c r="AZ18" i="7"/>
  <c r="AZ22" i="7"/>
  <c r="AZ26" i="7"/>
  <c r="AZ30" i="7"/>
  <c r="AZ34" i="7"/>
  <c r="AZ38" i="7"/>
  <c r="AZ42" i="7"/>
  <c r="AZ46" i="7"/>
  <c r="AZ50" i="7"/>
  <c r="AZ54" i="7"/>
  <c r="AZ58" i="7"/>
  <c r="AZ62" i="7"/>
  <c r="AZ66" i="7"/>
  <c r="BF111" i="7"/>
  <c r="BH111" i="7" s="1"/>
  <c r="BA111" i="7"/>
  <c r="BC111" i="7"/>
  <c r="BO111" i="7" s="1"/>
  <c r="BG125" i="7"/>
  <c r="BG129" i="7"/>
  <c r="BL130" i="7"/>
  <c r="BE130" i="7"/>
  <c r="BG130" i="7" s="1"/>
  <c r="AZ101" i="7"/>
  <c r="AZ69" i="7"/>
  <c r="AZ73" i="7"/>
  <c r="AZ77" i="7"/>
  <c r="AZ81" i="7"/>
  <c r="AZ85" i="7"/>
  <c r="AZ89" i="7"/>
  <c r="AZ93" i="7"/>
  <c r="BA112" i="7"/>
  <c r="BC113" i="7"/>
  <c r="BO113" i="7" s="1"/>
  <c r="BC112" i="7"/>
  <c r="BO112" i="7" s="1"/>
  <c r="BF133" i="7"/>
  <c r="BH133" i="7" s="1"/>
  <c r="BG134" i="7"/>
  <c r="BN112" i="7"/>
  <c r="BG126" i="7"/>
  <c r="AA127" i="7"/>
  <c r="BN131" i="7"/>
  <c r="BG136" i="7"/>
  <c r="BM138" i="7"/>
  <c r="BF138" i="7"/>
  <c r="BH138" i="7" s="1"/>
  <c r="BN111" i="7"/>
  <c r="BE112" i="7"/>
  <c r="BG112" i="7" s="1"/>
  <c r="AZ112" i="7"/>
  <c r="BG139" i="7"/>
  <c r="BB124" i="7"/>
  <c r="BN124" i="7" s="1"/>
  <c r="Q160" i="5" l="1"/>
  <c r="R160" i="5"/>
  <c r="Q173" i="5"/>
  <c r="R173" i="5"/>
  <c r="Q131" i="5"/>
  <c r="R131" i="5"/>
  <c r="U196" i="5"/>
  <c r="O196" i="5"/>
  <c r="V196" i="5"/>
  <c r="U127" i="5"/>
  <c r="V127" i="5"/>
  <c r="O127" i="5"/>
  <c r="O106" i="5"/>
  <c r="Q106" i="5" s="1"/>
  <c r="U106" i="5"/>
  <c r="O107" i="5"/>
  <c r="V106" i="5"/>
  <c r="O98" i="5"/>
  <c r="Q98" i="5" s="1"/>
  <c r="U98" i="5"/>
  <c r="V98" i="5"/>
  <c r="U119" i="5"/>
  <c r="V119" i="5"/>
  <c r="O119" i="5"/>
  <c r="O65" i="5"/>
  <c r="V65" i="5"/>
  <c r="U65" i="5"/>
  <c r="U55" i="5"/>
  <c r="O55" i="5"/>
  <c r="U31" i="5"/>
  <c r="O31" i="5"/>
  <c r="V31" i="5"/>
  <c r="U10" i="5"/>
  <c r="O10" i="5"/>
  <c r="U87" i="5"/>
  <c r="O87" i="5"/>
  <c r="V87" i="5"/>
  <c r="U4" i="5"/>
  <c r="O4" i="5"/>
  <c r="O21" i="5"/>
  <c r="V21" i="5"/>
  <c r="U21" i="5"/>
  <c r="U95" i="5"/>
  <c r="O95" i="5"/>
  <c r="V95" i="5"/>
  <c r="Q62" i="5"/>
  <c r="O199" i="5"/>
  <c r="Q199" i="5" s="1"/>
  <c r="O186" i="5"/>
  <c r="Q186" i="5" s="1"/>
  <c r="U186" i="5"/>
  <c r="R167" i="5"/>
  <c r="O166" i="5"/>
  <c r="U166" i="5"/>
  <c r="U176" i="5"/>
  <c r="O176" i="5"/>
  <c r="V176" i="5"/>
  <c r="R189" i="5"/>
  <c r="O174" i="5"/>
  <c r="U174" i="5"/>
  <c r="Q168" i="5"/>
  <c r="R168" i="5"/>
  <c r="U147" i="5"/>
  <c r="O147" i="5"/>
  <c r="V147" i="5"/>
  <c r="O138" i="5"/>
  <c r="Q138" i="5" s="1"/>
  <c r="O129" i="5"/>
  <c r="Q129" i="5" s="1"/>
  <c r="U129" i="5"/>
  <c r="O122" i="5"/>
  <c r="Q122" i="5" s="1"/>
  <c r="V122" i="5"/>
  <c r="U122" i="5"/>
  <c r="O190" i="5"/>
  <c r="U190" i="5"/>
  <c r="Q184" i="5"/>
  <c r="R184" i="5"/>
  <c r="R171" i="5"/>
  <c r="U164" i="5"/>
  <c r="O164" i="5"/>
  <c r="U99" i="5"/>
  <c r="V99" i="5"/>
  <c r="O99" i="5"/>
  <c r="O89" i="5"/>
  <c r="Q89" i="5" s="1"/>
  <c r="U89" i="5"/>
  <c r="O191" i="5"/>
  <c r="Q191" i="5" s="1"/>
  <c r="V191" i="5"/>
  <c r="U191" i="5"/>
  <c r="O161" i="5"/>
  <c r="U161" i="5"/>
  <c r="O145" i="5"/>
  <c r="U145" i="5"/>
  <c r="O133" i="5"/>
  <c r="U133" i="5"/>
  <c r="O128" i="5"/>
  <c r="Q128" i="5" s="1"/>
  <c r="V89" i="5"/>
  <c r="V78" i="5"/>
  <c r="O78" i="5"/>
  <c r="Q78" i="5" s="1"/>
  <c r="U78" i="5"/>
  <c r="Q155" i="5"/>
  <c r="R155" i="5"/>
  <c r="O96" i="5"/>
  <c r="O86" i="5"/>
  <c r="Q86" i="5" s="1"/>
  <c r="V86" i="5"/>
  <c r="U86" i="5"/>
  <c r="R69" i="5"/>
  <c r="V63" i="5"/>
  <c r="U63" i="5"/>
  <c r="O63" i="5"/>
  <c r="Q63" i="5" s="1"/>
  <c r="U59" i="5"/>
  <c r="O59" i="5"/>
  <c r="Q59" i="5" s="1"/>
  <c r="V10" i="5"/>
  <c r="U143" i="5"/>
  <c r="V143" i="5"/>
  <c r="O143" i="5"/>
  <c r="R123" i="5"/>
  <c r="V111" i="5"/>
  <c r="U111" i="5"/>
  <c r="O111" i="5"/>
  <c r="O101" i="5"/>
  <c r="U101" i="5"/>
  <c r="V53" i="5"/>
  <c r="O53" i="5"/>
  <c r="U53" i="5"/>
  <c r="U193" i="5"/>
  <c r="O193" i="5"/>
  <c r="R110" i="5"/>
  <c r="O93" i="5"/>
  <c r="Q93" i="5" s="1"/>
  <c r="U93" i="5"/>
  <c r="O85" i="5"/>
  <c r="Q85" i="5" s="1"/>
  <c r="U85" i="5"/>
  <c r="O64" i="5"/>
  <c r="Q50" i="5"/>
  <c r="R85" i="5"/>
  <c r="O23" i="5"/>
  <c r="V23" i="5"/>
  <c r="U23" i="5"/>
  <c r="R75" i="5"/>
  <c r="U28" i="5"/>
  <c r="O28" i="5"/>
  <c r="U12" i="5"/>
  <c r="O12" i="5"/>
  <c r="O146" i="5"/>
  <c r="Q146" i="5" s="1"/>
  <c r="V146" i="5"/>
  <c r="U146" i="5"/>
  <c r="U68" i="5"/>
  <c r="O68" i="5"/>
  <c r="Q68" i="5" s="1"/>
  <c r="R63" i="5"/>
  <c r="U24" i="5"/>
  <c r="O24" i="5"/>
  <c r="O13" i="5"/>
  <c r="V13" i="5"/>
  <c r="U13" i="5"/>
  <c r="R151" i="5"/>
  <c r="U30" i="5"/>
  <c r="O30" i="5"/>
  <c r="O19" i="5"/>
  <c r="V19" i="5"/>
  <c r="U19" i="5"/>
  <c r="O182" i="5"/>
  <c r="Q182" i="5" s="1"/>
  <c r="U182" i="5"/>
  <c r="U163" i="5"/>
  <c r="O163" i="5"/>
  <c r="V163" i="5"/>
  <c r="O149" i="5"/>
  <c r="U149" i="5"/>
  <c r="O125" i="5"/>
  <c r="U125" i="5"/>
  <c r="O82" i="5"/>
  <c r="Q82" i="5" s="1"/>
  <c r="U82" i="5"/>
  <c r="V82" i="5"/>
  <c r="R78" i="5"/>
  <c r="R68" i="5"/>
  <c r="O162" i="5"/>
  <c r="Q162" i="5" s="1"/>
  <c r="V162" i="5"/>
  <c r="U162" i="5"/>
  <c r="U135" i="5"/>
  <c r="V135" i="5"/>
  <c r="O135" i="5"/>
  <c r="O113" i="5"/>
  <c r="Q113" i="5" s="1"/>
  <c r="U113" i="5"/>
  <c r="U70" i="5"/>
  <c r="O70" i="5"/>
  <c r="Q70" i="5" s="1"/>
  <c r="V70" i="5"/>
  <c r="R58" i="5"/>
  <c r="O17" i="5"/>
  <c r="V17" i="5"/>
  <c r="U17" i="5"/>
  <c r="U20" i="5"/>
  <c r="O20" i="5"/>
  <c r="O27" i="5"/>
  <c r="V27" i="5"/>
  <c r="U27" i="5"/>
  <c r="U6" i="5"/>
  <c r="O6" i="5"/>
  <c r="O183" i="5"/>
  <c r="Q183" i="5" s="1"/>
  <c r="R175" i="5"/>
  <c r="O197" i="5"/>
  <c r="Q197" i="5" s="1"/>
  <c r="R182" i="5"/>
  <c r="O157" i="5"/>
  <c r="U157" i="5"/>
  <c r="R199" i="5"/>
  <c r="R185" i="5"/>
  <c r="U172" i="5"/>
  <c r="V172" i="5"/>
  <c r="O172" i="5"/>
  <c r="R162" i="5"/>
  <c r="O153" i="5"/>
  <c r="Q153" i="5" s="1"/>
  <c r="U153" i="5"/>
  <c r="V125" i="5"/>
  <c r="U188" i="5"/>
  <c r="V188" i="5"/>
  <c r="O188" i="5"/>
  <c r="O175" i="5"/>
  <c r="Q175" i="5" s="1"/>
  <c r="R158" i="5"/>
  <c r="O150" i="5"/>
  <c r="Q150" i="5" s="1"/>
  <c r="R142" i="5"/>
  <c r="U148" i="5"/>
  <c r="O148" i="5"/>
  <c r="V129" i="5"/>
  <c r="O109" i="5"/>
  <c r="Q109" i="5" s="1"/>
  <c r="U109" i="5"/>
  <c r="O90" i="5"/>
  <c r="Q90" i="5" s="1"/>
  <c r="U90" i="5"/>
  <c r="O91" i="5"/>
  <c r="V90" i="5"/>
  <c r="O194" i="5"/>
  <c r="U194" i="5"/>
  <c r="R186" i="5"/>
  <c r="O179" i="5"/>
  <c r="Q179" i="5" s="1"/>
  <c r="V179" i="5"/>
  <c r="U179" i="5"/>
  <c r="O180" i="5"/>
  <c r="Q152" i="5"/>
  <c r="O136" i="5"/>
  <c r="Q136" i="5" s="1"/>
  <c r="U124" i="5"/>
  <c r="O124" i="5"/>
  <c r="O117" i="5"/>
  <c r="Q117" i="5" s="1"/>
  <c r="U117" i="5"/>
  <c r="R113" i="5"/>
  <c r="R106" i="5"/>
  <c r="R90" i="5"/>
  <c r="Q77" i="5"/>
  <c r="R138" i="5"/>
  <c r="R112" i="5"/>
  <c r="U79" i="5"/>
  <c r="O79" i="5"/>
  <c r="V79" i="5"/>
  <c r="R60" i="5"/>
  <c r="O52" i="5"/>
  <c r="V85" i="5"/>
  <c r="V74" i="5"/>
  <c r="O74" i="5"/>
  <c r="U74" i="5"/>
  <c r="O66" i="5"/>
  <c r="V66" i="5"/>
  <c r="U66" i="5"/>
  <c r="U103" i="5"/>
  <c r="O103" i="5"/>
  <c r="V103" i="5"/>
  <c r="O104" i="5"/>
  <c r="Q104" i="5" s="1"/>
  <c r="Q48" i="5"/>
  <c r="R93" i="5"/>
  <c r="U76" i="5"/>
  <c r="O76" i="5"/>
  <c r="Q76" i="5" s="1"/>
  <c r="U26" i="5"/>
  <c r="O26" i="5"/>
  <c r="O15" i="5"/>
  <c r="V15" i="5"/>
  <c r="U15" i="5"/>
  <c r="V153" i="5"/>
  <c r="V59" i="5"/>
  <c r="R42" i="5"/>
  <c r="O3" i="5"/>
  <c r="V3" i="5"/>
  <c r="U3" i="5"/>
  <c r="O118" i="5"/>
  <c r="Q118" i="5" s="1"/>
  <c r="V118" i="5"/>
  <c r="U118" i="5"/>
  <c r="U61" i="5"/>
  <c r="O61" i="5"/>
  <c r="U16" i="5"/>
  <c r="O16" i="5"/>
  <c r="O5" i="5"/>
  <c r="V5" i="5"/>
  <c r="U5" i="5"/>
  <c r="O25" i="5"/>
  <c r="V25" i="5"/>
  <c r="U25" i="5"/>
  <c r="U22" i="5"/>
  <c r="O22" i="5"/>
  <c r="O11" i="5"/>
  <c r="V11" i="5"/>
  <c r="U11" i="5"/>
  <c r="R49" i="5"/>
  <c r="R183" i="5"/>
  <c r="U165" i="5"/>
  <c r="O165" i="5"/>
  <c r="Q165" i="5" s="1"/>
  <c r="V165" i="5"/>
  <c r="O198" i="5"/>
  <c r="Q198" i="5" s="1"/>
  <c r="U198" i="5"/>
  <c r="Q187" i="5"/>
  <c r="R179" i="5"/>
  <c r="O170" i="5"/>
  <c r="Q170" i="5" s="1"/>
  <c r="U170" i="5"/>
  <c r="O195" i="5"/>
  <c r="Q195" i="5" s="1"/>
  <c r="V195" i="5"/>
  <c r="U195" i="5"/>
  <c r="V182" i="5"/>
  <c r="O141" i="5"/>
  <c r="U141" i="5"/>
  <c r="U192" i="5"/>
  <c r="O192" i="5"/>
  <c r="V192" i="5"/>
  <c r="Q169" i="5"/>
  <c r="R146" i="5"/>
  <c r="O137" i="5"/>
  <c r="Q137" i="5" s="1"/>
  <c r="U137" i="5"/>
  <c r="O130" i="5"/>
  <c r="Q130" i="5" s="1"/>
  <c r="V130" i="5"/>
  <c r="U130" i="5"/>
  <c r="O121" i="5"/>
  <c r="Q121" i="5" s="1"/>
  <c r="U121" i="5"/>
  <c r="U181" i="5"/>
  <c r="O181" i="5"/>
  <c r="Q181" i="5" s="1"/>
  <c r="O178" i="5"/>
  <c r="U178" i="5"/>
  <c r="R136" i="5"/>
  <c r="R130" i="5"/>
  <c r="O126" i="5"/>
  <c r="Q126" i="5" s="1"/>
  <c r="V126" i="5"/>
  <c r="U126" i="5"/>
  <c r="O105" i="5"/>
  <c r="Q105" i="5" s="1"/>
  <c r="U105" i="5"/>
  <c r="R98" i="5"/>
  <c r="R89" i="5"/>
  <c r="U83" i="5"/>
  <c r="V83" i="5"/>
  <c r="O83" i="5"/>
  <c r="V186" i="5"/>
  <c r="U132" i="5"/>
  <c r="O132" i="5"/>
  <c r="O114" i="5"/>
  <c r="O97" i="5"/>
  <c r="U97" i="5"/>
  <c r="O81" i="5"/>
  <c r="U81" i="5"/>
  <c r="U159" i="5"/>
  <c r="V159" i="5"/>
  <c r="O159" i="5"/>
  <c r="O120" i="5"/>
  <c r="Q120" i="5" s="1"/>
  <c r="O94" i="5"/>
  <c r="Q94" i="5" s="1"/>
  <c r="V94" i="5"/>
  <c r="U94" i="5"/>
  <c r="U71" i="5"/>
  <c r="O71" i="5"/>
  <c r="Q71" i="5" s="1"/>
  <c r="R70" i="5"/>
  <c r="U51" i="5"/>
  <c r="O51" i="5"/>
  <c r="O32" i="5"/>
  <c r="V6" i="5"/>
  <c r="Q139" i="5"/>
  <c r="R139" i="5"/>
  <c r="O134" i="5"/>
  <c r="Q134" i="5" s="1"/>
  <c r="V134" i="5"/>
  <c r="U134" i="5"/>
  <c r="R116" i="5"/>
  <c r="O108" i="5"/>
  <c r="Q108" i="5" s="1"/>
  <c r="U108" i="5"/>
  <c r="U100" i="5"/>
  <c r="O100" i="5"/>
  <c r="R86" i="5"/>
  <c r="O72" i="5"/>
  <c r="Q72" i="5" s="1"/>
  <c r="U72" i="5"/>
  <c r="V55" i="5"/>
  <c r="V121" i="5"/>
  <c r="V100" i="5"/>
  <c r="U92" i="5"/>
  <c r="O92" i="5"/>
  <c r="Q92" i="5" s="1"/>
  <c r="U84" i="5"/>
  <c r="O84" i="5"/>
  <c r="Q84" i="5" s="1"/>
  <c r="O73" i="5"/>
  <c r="U73" i="5"/>
  <c r="O56" i="5"/>
  <c r="Q56" i="5" s="1"/>
  <c r="V108" i="5"/>
  <c r="R92" i="5"/>
  <c r="V84" i="5"/>
  <c r="R67" i="5"/>
  <c r="R40" i="5"/>
  <c r="U18" i="5"/>
  <c r="O18" i="5"/>
  <c r="O7" i="5"/>
  <c r="V7" i="5"/>
  <c r="U7" i="5"/>
  <c r="R154" i="5"/>
  <c r="R34" i="5"/>
  <c r="O9" i="5"/>
  <c r="V9" i="5"/>
  <c r="U9" i="5"/>
  <c r="O144" i="5"/>
  <c r="O88" i="5"/>
  <c r="Q88" i="5" s="1"/>
  <c r="R46" i="5"/>
  <c r="O29" i="5"/>
  <c r="V29" i="5"/>
  <c r="U29" i="5"/>
  <c r="U8" i="5"/>
  <c r="O8" i="5"/>
  <c r="R197" i="5"/>
  <c r="O102" i="5"/>
  <c r="Q102" i="5" s="1"/>
  <c r="V102" i="5"/>
  <c r="U102" i="5"/>
  <c r="O54" i="5"/>
  <c r="R44" i="5"/>
  <c r="U14" i="5"/>
  <c r="O14" i="5"/>
  <c r="R47" i="5"/>
  <c r="Q54" i="5" l="1"/>
  <c r="R54" i="5"/>
  <c r="Q7" i="5"/>
  <c r="R7" i="5"/>
  <c r="Q73" i="5"/>
  <c r="R73" i="5"/>
  <c r="Q159" i="5"/>
  <c r="R159" i="5"/>
  <c r="Q81" i="5"/>
  <c r="R81" i="5"/>
  <c r="R120" i="5"/>
  <c r="Q83" i="5"/>
  <c r="R83" i="5"/>
  <c r="R170" i="5"/>
  <c r="Q192" i="5"/>
  <c r="R192" i="5"/>
  <c r="R3" i="5"/>
  <c r="Q3" i="5"/>
  <c r="Q74" i="5"/>
  <c r="R74" i="5"/>
  <c r="Q52" i="5"/>
  <c r="R52" i="5"/>
  <c r="Q79" i="5"/>
  <c r="R79" i="5"/>
  <c r="Q194" i="5"/>
  <c r="R194" i="5"/>
  <c r="Q188" i="5"/>
  <c r="R188" i="5"/>
  <c r="R150" i="5"/>
  <c r="Q20" i="5"/>
  <c r="R20" i="5"/>
  <c r="Q17" i="5"/>
  <c r="R17" i="5"/>
  <c r="Q135" i="5"/>
  <c r="R135" i="5"/>
  <c r="R102" i="5"/>
  <c r="Q149" i="5"/>
  <c r="R149" i="5"/>
  <c r="Q19" i="5"/>
  <c r="R19" i="5"/>
  <c r="Q23" i="5"/>
  <c r="R23" i="5"/>
  <c r="Q64" i="5"/>
  <c r="R64" i="5"/>
  <c r="Q133" i="5"/>
  <c r="R133" i="5"/>
  <c r="Q161" i="5"/>
  <c r="R161" i="5"/>
  <c r="R82" i="5"/>
  <c r="Q164" i="5"/>
  <c r="R164" i="5"/>
  <c r="Q147" i="5"/>
  <c r="R147" i="5"/>
  <c r="Q176" i="5"/>
  <c r="R176" i="5"/>
  <c r="Q4" i="5"/>
  <c r="R4" i="5"/>
  <c r="Q31" i="5"/>
  <c r="R31" i="5"/>
  <c r="R109" i="5"/>
  <c r="R122" i="5"/>
  <c r="R128" i="5"/>
  <c r="R181" i="5"/>
  <c r="Q196" i="5"/>
  <c r="R196" i="5"/>
  <c r="Q132" i="5"/>
  <c r="R132" i="5"/>
  <c r="R198" i="5"/>
  <c r="Q61" i="5"/>
  <c r="R61" i="5"/>
  <c r="R108" i="5"/>
  <c r="Q103" i="5"/>
  <c r="R103" i="5"/>
  <c r="R56" i="5"/>
  <c r="R88" i="5"/>
  <c r="Q148" i="5"/>
  <c r="R148" i="5"/>
  <c r="Q125" i="5"/>
  <c r="R125" i="5"/>
  <c r="Q30" i="5"/>
  <c r="R30" i="5"/>
  <c r="Q28" i="5"/>
  <c r="R28" i="5"/>
  <c r="R153" i="5"/>
  <c r="R71" i="5"/>
  <c r="Q53" i="5"/>
  <c r="R53" i="5"/>
  <c r="Q101" i="5"/>
  <c r="R101" i="5"/>
  <c r="R134" i="5"/>
  <c r="Q174" i="5"/>
  <c r="R174" i="5"/>
  <c r="Q10" i="5"/>
  <c r="R10" i="5"/>
  <c r="R76" i="5"/>
  <c r="Q127" i="5"/>
  <c r="R127" i="5"/>
  <c r="R191" i="5"/>
  <c r="Q144" i="5"/>
  <c r="R144" i="5"/>
  <c r="Q97" i="5"/>
  <c r="R97" i="5"/>
  <c r="Q178" i="5"/>
  <c r="R178" i="5"/>
  <c r="Q11" i="5"/>
  <c r="R11" i="5"/>
  <c r="Q5" i="5"/>
  <c r="R5" i="5"/>
  <c r="Q15" i="5"/>
  <c r="R15" i="5"/>
  <c r="R66" i="5"/>
  <c r="Q66" i="5"/>
  <c r="Q124" i="5"/>
  <c r="R124" i="5"/>
  <c r="Q180" i="5"/>
  <c r="R180" i="5"/>
  <c r="R165" i="5"/>
  <c r="Q157" i="5"/>
  <c r="R157" i="5"/>
  <c r="R72" i="5"/>
  <c r="R104" i="5"/>
  <c r="Q163" i="5"/>
  <c r="R163" i="5"/>
  <c r="Q13" i="5"/>
  <c r="R13" i="5"/>
  <c r="Q193" i="5"/>
  <c r="R193" i="5"/>
  <c r="R111" i="5"/>
  <c r="Q111" i="5"/>
  <c r="Q143" i="5"/>
  <c r="R143" i="5"/>
  <c r="Q145" i="5"/>
  <c r="R145" i="5"/>
  <c r="R105" i="5"/>
  <c r="Q190" i="5"/>
  <c r="R190" i="5"/>
  <c r="Q55" i="5"/>
  <c r="R55" i="5"/>
  <c r="Q119" i="5"/>
  <c r="R119" i="5"/>
  <c r="Q107" i="5"/>
  <c r="R107" i="5"/>
  <c r="R137" i="5"/>
  <c r="Q9" i="5"/>
  <c r="R9" i="5"/>
  <c r="Q32" i="5"/>
  <c r="R32" i="5"/>
  <c r="Q14" i="5"/>
  <c r="R14" i="5"/>
  <c r="Q8" i="5"/>
  <c r="R8" i="5"/>
  <c r="Q29" i="5"/>
  <c r="R29" i="5"/>
  <c r="Q18" i="5"/>
  <c r="R18" i="5"/>
  <c r="Q100" i="5"/>
  <c r="R100" i="5"/>
  <c r="Q51" i="5"/>
  <c r="R51" i="5"/>
  <c r="Q114" i="5"/>
  <c r="R114" i="5"/>
  <c r="R126" i="5"/>
  <c r="Q141" i="5"/>
  <c r="R141" i="5"/>
  <c r="Q22" i="5"/>
  <c r="R22" i="5"/>
  <c r="Q25" i="5"/>
  <c r="R25" i="5"/>
  <c r="Q16" i="5"/>
  <c r="R16" i="5"/>
  <c r="Q26" i="5"/>
  <c r="R26" i="5"/>
  <c r="R84" i="5"/>
  <c r="R121" i="5"/>
  <c r="R117" i="5"/>
  <c r="Q91" i="5"/>
  <c r="R91" i="5"/>
  <c r="Q172" i="5"/>
  <c r="R172" i="5"/>
  <c r="Q6" i="5"/>
  <c r="R6" i="5"/>
  <c r="Q27" i="5"/>
  <c r="R27" i="5"/>
  <c r="Q24" i="5"/>
  <c r="R24" i="5"/>
  <c r="Q12" i="5"/>
  <c r="R12" i="5"/>
  <c r="R59" i="5"/>
  <c r="R94" i="5"/>
  <c r="Q96" i="5"/>
  <c r="R96" i="5"/>
  <c r="Q99" i="5"/>
  <c r="R99" i="5"/>
  <c r="R129" i="5"/>
  <c r="R118" i="5"/>
  <c r="Q166" i="5"/>
  <c r="R166" i="5"/>
  <c r="R195" i="5"/>
  <c r="Q95" i="5"/>
  <c r="R95" i="5"/>
  <c r="Q21" i="5"/>
  <c r="R21" i="5"/>
  <c r="Q87" i="5"/>
  <c r="R87" i="5"/>
  <c r="Q65" i="5"/>
  <c r="R65" i="5"/>
</calcChain>
</file>

<file path=xl/sharedStrings.xml><?xml version="1.0" encoding="utf-8"?>
<sst xmlns="http://schemas.openxmlformats.org/spreadsheetml/2006/main" count="1793" uniqueCount="597">
  <si>
    <t>Tanggal</t>
  </si>
  <si>
    <t>Jam</t>
  </si>
  <si>
    <t>Tanggal Jam</t>
  </si>
  <si>
    <t>Total Pasien</t>
  </si>
  <si>
    <t>Sembuh</t>
  </si>
  <si>
    <t>Meninggal</t>
  </si>
  <si>
    <t>Self Isolation</t>
  </si>
  <si>
    <t>Masih Perawatan</t>
  </si>
  <si>
    <t>Belum Diketahui (masih verifikasi)</t>
  </si>
  <si>
    <t>Menunggu Hasil</t>
  </si>
  <si>
    <t>Tenaga Kesehatan Terinfeksi</t>
  </si>
  <si>
    <t>Positif Harian</t>
  </si>
  <si>
    <t>Positif Aktif</t>
  </si>
  <si>
    <t>Sembuh Harian</t>
  </si>
  <si>
    <t>Tanpa Gejala</t>
  </si>
  <si>
    <t>Bergejala</t>
  </si>
  <si>
    <t>Belum Ada Data</t>
  </si>
  <si>
    <t>Meninggal (Indonesia)</t>
  </si>
  <si>
    <t>Sembuh (Indonesia)</t>
  </si>
  <si>
    <t>Dirawat (Indonesia)</t>
  </si>
  <si>
    <t>Positif (Indonesia)</t>
  </si>
  <si>
    <t>Meninggal (Jakarta)</t>
  </si>
  <si>
    <t>Sembuh (Jakarta)</t>
  </si>
  <si>
    <t>Self-Isolation (Jakarta)</t>
  </si>
  <si>
    <t>Dirawat (Jakarta)</t>
  </si>
  <si>
    <t>Positif (Jakarta)</t>
  </si>
  <si>
    <t>Positif Aktif (Jakarta)</t>
  </si>
  <si>
    <t>Meninggal Harian (Indonesia)</t>
  </si>
  <si>
    <t>Sembuh Harian (Indonesia)</t>
  </si>
  <si>
    <t>Dirawat Harian (Indonesia)</t>
  </si>
  <si>
    <t>Positif Harian (Indonesia)</t>
  </si>
  <si>
    <t>Meninggal Harian (Jakarta)</t>
  </si>
  <si>
    <t>Sembuh Harian (Jakarta)</t>
  </si>
  <si>
    <t>Self-Isolation Harian (Jakarta)</t>
  </si>
  <si>
    <t>Dirawat Harian (Jakarta)</t>
  </si>
  <si>
    <t>Positif Harian (Jakarta)</t>
  </si>
  <si>
    <t>Positif Aktif Harian (Jakarta)</t>
  </si>
  <si>
    <t>Total Discarded</t>
  </si>
  <si>
    <t>Isolasi di RS (Discarded)</t>
  </si>
  <si>
    <t>Isolasi di Rumah (Discarded)</t>
  </si>
  <si>
    <t>Meninggal (Discarded)</t>
  </si>
  <si>
    <t>Selesai Isolasi (Discarded)</t>
  </si>
  <si>
    <t>Total Kontak Erat</t>
  </si>
  <si>
    <t>Isolasi di RS (Kontak Erat)</t>
  </si>
  <si>
    <t>Isolasi di Rumah (Kontak Erat)</t>
  </si>
  <si>
    <t>Meninggal (Kontak Erat)</t>
  </si>
  <si>
    <t>Selesai Isolasi (Kontak Erat)</t>
  </si>
  <si>
    <t>Total Pelaku Perjalanan</t>
  </si>
  <si>
    <t>Isolasi di RS (Pelaku Perjalanan)</t>
  </si>
  <si>
    <t>Isolasi di Rumah (Pelaku Perjalanan)</t>
  </si>
  <si>
    <t>Meninggal (Pelaku Perjalanan)</t>
  </si>
  <si>
    <t>Selesai Isolasi (Pelaku Perjalanan)</t>
  </si>
  <si>
    <t>Total Probable</t>
  </si>
  <si>
    <t>Isolasi di RS (Probable)</t>
  </si>
  <si>
    <t>Isolasi di Rumah (Probable)</t>
  </si>
  <si>
    <t>Meninggal (Probable)</t>
  </si>
  <si>
    <t>Selesai Isolasi (Probable)</t>
  </si>
  <si>
    <t>Total Suspek</t>
  </si>
  <si>
    <t>Isolasi di RS (Suspek)</t>
  </si>
  <si>
    <t>Isolasi di Rumah (Suspek)</t>
  </si>
  <si>
    <t>Meninggal (Suspek)</t>
  </si>
  <si>
    <t>Selesai Isolasi (Suspek)</t>
  </si>
  <si>
    <t>GRAND TOTAL</t>
  </si>
  <si>
    <t>No.</t>
  </si>
  <si>
    <t>Reaktif</t>
  </si>
  <si>
    <t>Non-Reaktif</t>
  </si>
  <si>
    <t>Total</t>
  </si>
  <si>
    <t>Positivity Rate</t>
  </si>
  <si>
    <t>catatan:</t>
  </si>
  <si>
    <t>kolom "Tanggal" = tanggal 1 hari sebelum update web</t>
  </si>
  <si>
    <t>EIS</t>
  </si>
  <si>
    <t>NAR</t>
  </si>
  <si>
    <t>Excel</t>
  </si>
  <si>
    <t>Total DKI Jakarta</t>
  </si>
  <si>
    <t>Tgl</t>
  </si>
  <si>
    <t>Positif</t>
  </si>
  <si>
    <t>Negatif</t>
  </si>
  <si>
    <t>Tes Harian</t>
  </si>
  <si>
    <t>Positif  Harian</t>
  </si>
  <si>
    <t>Negatif Harian</t>
  </si>
  <si>
    <t>Positivity Rate Harian</t>
  </si>
  <si>
    <t>Total Kumulatif</t>
  </si>
  <si>
    <t>Positif Kumulatif</t>
  </si>
  <si>
    <t>Negatif Kumulatif</t>
  </si>
  <si>
    <t>Positivity Rate Kumulatif</t>
  </si>
  <si>
    <t>Jumlah Orang di Test</t>
  </si>
  <si>
    <t>Orang Positif Harian</t>
  </si>
  <si>
    <t>Orang Negatif Harian</t>
  </si>
  <si>
    <t>Positivity Rate Kasus Baru Harian</t>
  </si>
  <si>
    <t>Total Spesimen di Test</t>
  </si>
  <si>
    <t>Positivity Rate Spesimen Harian</t>
  </si>
  <si>
    <t>0,0%</t>
  </si>
  <si>
    <t>20,0%</t>
  </si>
  <si>
    <t>11,1%</t>
  </si>
  <si>
    <t>34,2%</t>
  </si>
  <si>
    <t>6,3%</t>
  </si>
  <si>
    <t>41,1%</t>
  </si>
  <si>
    <t>33,3%</t>
  </si>
  <si>
    <t>6,8%</t>
  </si>
  <si>
    <t>36,6%</t>
  </si>
  <si>
    <t>4,3%</t>
  </si>
  <si>
    <t>25,0%</t>
  </si>
  <si>
    <t>28,8%</t>
  </si>
  <si>
    <t>31,2%</t>
  </si>
  <si>
    <t>10,2%</t>
  </si>
  <si>
    <t>9,6%</t>
  </si>
  <si>
    <t>3,4%</t>
  </si>
  <si>
    <t>7,9%</t>
  </si>
  <si>
    <t>20,5%</t>
  </si>
  <si>
    <t>23,5%</t>
  </si>
  <si>
    <t>14,9%</t>
  </si>
  <si>
    <t>24,0%</t>
  </si>
  <si>
    <t>9,7%</t>
  </si>
  <si>
    <t>80,3%</t>
  </si>
  <si>
    <t>12,0%</t>
  </si>
  <si>
    <t>10,3%</t>
  </si>
  <si>
    <t>40,2%</t>
  </si>
  <si>
    <t>16,9%</t>
  </si>
  <si>
    <t>16,8%</t>
  </si>
  <si>
    <t>8,8%</t>
  </si>
  <si>
    <t>12,9%</t>
  </si>
  <si>
    <t>11,6%</t>
  </si>
  <si>
    <t>10,7%</t>
  </si>
  <si>
    <t>9,5%</t>
  </si>
  <si>
    <t>14,0%</t>
  </si>
  <si>
    <t>8,7%</t>
  </si>
  <si>
    <t>12,2%</t>
  </si>
  <si>
    <t>14,4%</t>
  </si>
  <si>
    <t>10,1%</t>
  </si>
  <si>
    <t>8,6%</t>
  </si>
  <si>
    <t>13,2%</t>
  </si>
  <si>
    <t>7,6%</t>
  </si>
  <si>
    <t>7,8%</t>
  </si>
  <si>
    <t>3,7%</t>
  </si>
  <si>
    <t>8,1%</t>
  </si>
  <si>
    <t>7,2%</t>
  </si>
  <si>
    <t>5,1%</t>
  </si>
  <si>
    <t>5,2%</t>
  </si>
  <si>
    <t>5,3%</t>
  </si>
  <si>
    <t>3,3%</t>
  </si>
  <si>
    <t>2,6%</t>
  </si>
  <si>
    <t>6,7%</t>
  </si>
  <si>
    <t>3,8%</t>
  </si>
  <si>
    <t>4,8%</t>
  </si>
  <si>
    <t>3,2%</t>
  </si>
  <si>
    <t>7,0%</t>
  </si>
  <si>
    <t>5,6%</t>
  </si>
  <si>
    <t>8,2%</t>
  </si>
  <si>
    <t>4,9%</t>
  </si>
  <si>
    <t>6,9%</t>
  </si>
  <si>
    <t>12,3%</t>
  </si>
  <si>
    <t>11,7%</t>
  </si>
  <si>
    <t>8,3%</t>
  </si>
  <si>
    <t>7,3%</t>
  </si>
  <si>
    <t>6,1%</t>
  </si>
  <si>
    <t>8,5%</t>
  </si>
  <si>
    <t>7,7%</t>
  </si>
  <si>
    <t>6,4%</t>
  </si>
  <si>
    <t>8,0%</t>
  </si>
  <si>
    <t>11,0%</t>
  </si>
  <si>
    <t>9,8%</t>
  </si>
  <si>
    <t>9,2%</t>
  </si>
  <si>
    <t>5,9%</t>
  </si>
  <si>
    <t>8,4%</t>
  </si>
  <si>
    <t>7,5%</t>
  </si>
  <si>
    <t>5,5%</t>
  </si>
  <si>
    <t>7,1%</t>
  </si>
  <si>
    <t>5,4%</t>
  </si>
  <si>
    <t>10,6%</t>
  </si>
  <si>
    <t>7,4%</t>
  </si>
  <si>
    <t>9,4%</t>
  </si>
  <si>
    <t>10,9%</t>
  </si>
  <si>
    <t>6,6%</t>
  </si>
  <si>
    <t>9,3%</t>
  </si>
  <si>
    <t>10,5%</t>
  </si>
  <si>
    <t>10,0%</t>
  </si>
  <si>
    <t>10,4%</t>
  </si>
  <si>
    <t>8,9%</t>
  </si>
  <si>
    <t>13,9%</t>
  </si>
  <si>
    <t>13,4%</t>
  </si>
  <si>
    <t>11,3%</t>
  </si>
  <si>
    <t>13,1%</t>
  </si>
  <si>
    <t>11,8%</t>
  </si>
  <si>
    <t>14,1%</t>
  </si>
  <si>
    <t>15,2%</t>
  </si>
  <si>
    <t>15,3%</t>
  </si>
  <si>
    <t>16,5%</t>
  </si>
  <si>
    <t>18,4%</t>
  </si>
  <si>
    <t>17,8%</t>
  </si>
  <si>
    <t>15,5%</t>
  </si>
  <si>
    <t>16,7%</t>
  </si>
  <si>
    <t>15,1%</t>
  </si>
  <si>
    <t>16,3%</t>
  </si>
  <si>
    <t>20,7%</t>
  </si>
  <si>
    <t>19,9%</t>
  </si>
  <si>
    <t>18,1%</t>
  </si>
  <si>
    <t>18,5%</t>
  </si>
  <si>
    <t>18,8%</t>
  </si>
  <si>
    <t>17,6%</t>
  </si>
  <si>
    <t>16,4%</t>
  </si>
  <si>
    <t>18,3%</t>
  </si>
  <si>
    <t>18,7%</t>
  </si>
  <si>
    <t>21,6%</t>
  </si>
  <si>
    <t>20,6%</t>
  </si>
  <si>
    <t>20,3%</t>
  </si>
  <si>
    <t>20,4%</t>
  </si>
  <si>
    <t>17,2%</t>
  </si>
  <si>
    <t>17,3%</t>
  </si>
  <si>
    <t>20,1%</t>
  </si>
  <si>
    <t>21,3%</t>
  </si>
  <si>
    <t>16,2%</t>
  </si>
  <si>
    <t>17,7%</t>
  </si>
  <si>
    <t>16,1%</t>
  </si>
  <si>
    <t>19,1%</t>
  </si>
  <si>
    <t>15,7%</t>
  </si>
  <si>
    <t>17,5%</t>
  </si>
  <si>
    <t>18,2%</t>
  </si>
  <si>
    <t>14,5%</t>
  </si>
  <si>
    <t>16,6%</t>
  </si>
  <si>
    <t>15,4%</t>
  </si>
  <si>
    <t>14,8%</t>
  </si>
  <si>
    <t>17,4%</t>
  </si>
  <si>
    <t>13,7%</t>
  </si>
  <si>
    <t>17,0%</t>
  </si>
  <si>
    <t>17,1%</t>
  </si>
  <si>
    <t>12,6%</t>
  </si>
  <si>
    <t>12,8%</t>
  </si>
  <si>
    <t>13,5%</t>
  </si>
  <si>
    <t>13,8%</t>
  </si>
  <si>
    <t>22,1%</t>
  </si>
  <si>
    <t>21,2%</t>
  </si>
  <si>
    <t>19,0%</t>
  </si>
  <si>
    <t>22,7%</t>
  </si>
  <si>
    <t>18,0%</t>
  </si>
  <si>
    <t>20,2%</t>
  </si>
  <si>
    <t>20,9%</t>
  </si>
  <si>
    <t>25,1%</t>
  </si>
  <si>
    <t>19,2%</t>
  </si>
  <si>
    <t>22,9%</t>
  </si>
  <si>
    <t>21,9%</t>
  </si>
  <si>
    <t>22,8%</t>
  </si>
  <si>
    <t>23,7%</t>
  </si>
  <si>
    <t>22,0%</t>
  </si>
  <si>
    <t>22,2%</t>
  </si>
  <si>
    <t>23,3%</t>
  </si>
  <si>
    <t>24,5%</t>
  </si>
  <si>
    <t>29,8%</t>
  </si>
  <si>
    <t>26,6%</t>
  </si>
  <si>
    <t>27,6%</t>
  </si>
  <si>
    <t>25,7%</t>
  </si>
  <si>
    <t>29,3%</t>
  </si>
  <si>
    <t>29,5%</t>
  </si>
  <si>
    <t>32,0%</t>
  </si>
  <si>
    <t>33,7%</t>
  </si>
  <si>
    <t>33,9%</t>
  </si>
  <si>
    <t>30,4%</t>
  </si>
  <si>
    <t>31,7%</t>
  </si>
  <si>
    <t>32,3%</t>
  </si>
  <si>
    <t>35,4%</t>
  </si>
  <si>
    <t>31,4%</t>
  </si>
  <si>
    <t>29,4%</t>
  </si>
  <si>
    <t>30,7%</t>
  </si>
  <si>
    <t>30,0%</t>
  </si>
  <si>
    <t>33,8%</t>
  </si>
  <si>
    <t>35,0%</t>
  </si>
  <si>
    <t>30,8%</t>
  </si>
  <si>
    <t>30,9%</t>
  </si>
  <si>
    <t>33,0%</t>
  </si>
  <si>
    <t>33,6%</t>
  </si>
  <si>
    <t>35,5%</t>
  </si>
  <si>
    <t>28,5%</t>
  </si>
  <si>
    <t>26,2%</t>
  </si>
  <si>
    <t>29,0%</t>
  </si>
  <si>
    <t>29,7%</t>
  </si>
  <si>
    <t>32,8%</t>
  </si>
  <si>
    <t>28,6%</t>
  </si>
  <si>
    <t>30,6%</t>
  </si>
  <si>
    <t>27,5%</t>
  </si>
  <si>
    <t>28,2%</t>
  </si>
  <si>
    <t>27,0%</t>
  </si>
  <si>
    <t>27,2%</t>
  </si>
  <si>
    <t>22,6%</t>
  </si>
  <si>
    <t>26,5%</t>
  </si>
  <si>
    <t>25,2%</t>
  </si>
  <si>
    <t>28,7%</t>
  </si>
  <si>
    <t>25,9%</t>
  </si>
  <si>
    <t>28,0%</t>
  </si>
  <si>
    <t>26,4%</t>
  </si>
  <si>
    <t>27,4%</t>
  </si>
  <si>
    <t>25,5%</t>
  </si>
  <si>
    <t>23,0%</t>
  </si>
  <si>
    <t>27,1%</t>
  </si>
  <si>
    <t>27,3%</t>
  </si>
  <si>
    <t>23,4%</t>
  </si>
  <si>
    <t>25,3%</t>
  </si>
  <si>
    <t>25,4%</t>
  </si>
  <si>
    <t>30,2%</t>
  </si>
  <si>
    <t>24,8%</t>
  </si>
  <si>
    <t>24,7%</t>
  </si>
  <si>
    <t>23,6%</t>
  </si>
  <si>
    <t>34,8%</t>
  </si>
  <si>
    <t>19,5%</t>
  </si>
  <si>
    <t>18,6%</t>
  </si>
  <si>
    <t>14,6%</t>
  </si>
  <si>
    <t>11,9%</t>
  </si>
  <si>
    <t>14,2%</t>
  </si>
  <si>
    <t>14,03%</t>
  </si>
  <si>
    <t>14,71%</t>
  </si>
  <si>
    <t>12,4%</t>
  </si>
  <si>
    <t>19,8%</t>
  </si>
  <si>
    <t>31,8%</t>
  </si>
  <si>
    <t>34,0%</t>
  </si>
  <si>
    <t>39,9%</t>
  </si>
  <si>
    <t>42,0%</t>
  </si>
  <si>
    <t>42,3%</t>
  </si>
  <si>
    <t>46,8%</t>
  </si>
  <si>
    <t>Sasaran Total Indonesia: 181.554.465</t>
  </si>
  <si>
    <t>Sasaran Total DKI Jakarta: 8.815.157</t>
  </si>
  <si>
    <t>DKI</t>
  </si>
  <si>
    <t>Vaksin Gotong Royong</t>
  </si>
  <si>
    <t>Tenaga Kesehatan</t>
  </si>
  <si>
    <t>Lansia</t>
  </si>
  <si>
    <t>Pelayan Publik</t>
  </si>
  <si>
    <t>Vaksinasi Harian</t>
  </si>
  <si>
    <t>Total 18 - 59 Tahun DKI Jakarta</t>
  </si>
  <si>
    <t>Total 12 - 17 Tahun DKI Jakarta</t>
  </si>
  <si>
    <t>Total Indonesia</t>
  </si>
  <si>
    <t>Total 18 - 59 Tahun Indonesia</t>
  </si>
  <si>
    <t>Total 12 - 17 Tahun Indonesia</t>
  </si>
  <si>
    <t>Proposi Vaksin Jakarta D1</t>
  </si>
  <si>
    <t>Proposi Vaksin Jakarta D2</t>
  </si>
  <si>
    <t>Jakarta</t>
  </si>
  <si>
    <t>Indonesia</t>
  </si>
  <si>
    <t>Target Vaksinasi</t>
  </si>
  <si>
    <t>Vaksinasi 1</t>
  </si>
  <si>
    <t>Vaksinasi 2</t>
  </si>
  <si>
    <t>Persentase 1</t>
  </si>
  <si>
    <t>Persentase 2</t>
  </si>
  <si>
    <t>0</t>
  </si>
  <si>
    <t>1045</t>
  </si>
  <si>
    <t>N/A</t>
  </si>
  <si>
    <t>2411</t>
  </si>
  <si>
    <t>3289</t>
  </si>
  <si>
    <t>4753</t>
  </si>
  <si>
    <t>5129</t>
  </si>
  <si>
    <t>7222</t>
  </si>
  <si>
    <t>8274</t>
  </si>
  <si>
    <t>11100</t>
  </si>
  <si>
    <t>12027</t>
  </si>
  <si>
    <t>12538</t>
  </si>
  <si>
    <t>12673</t>
  </si>
  <si>
    <t>13965</t>
  </si>
  <si>
    <t>13968</t>
  </si>
  <si>
    <t>16205</t>
  </si>
  <si>
    <t>18116</t>
  </si>
  <si>
    <t>21451</t>
  </si>
  <si>
    <t>22097</t>
  </si>
  <si>
    <t>32553</t>
  </si>
  <si>
    <t>35612</t>
  </si>
  <si>
    <t>37375</t>
  </si>
  <si>
    <t>3077</t>
  </si>
  <si>
    <t>38891</t>
  </si>
  <si>
    <t>3561</t>
  </si>
  <si>
    <t>41243</t>
  </si>
  <si>
    <t>4851</t>
  </si>
  <si>
    <t>41675</t>
  </si>
  <si>
    <t>5241</t>
  </si>
  <si>
    <t>42573</t>
  </si>
  <si>
    <t>6093</t>
  </si>
  <si>
    <t>42574</t>
  </si>
  <si>
    <t>6094</t>
  </si>
  <si>
    <t>44273</t>
  </si>
  <si>
    <t>6902</t>
  </si>
  <si>
    <t>46121</t>
  </si>
  <si>
    <t>8128</t>
  </si>
  <si>
    <t>48936</t>
  </si>
  <si>
    <t>11200</t>
  </si>
  <si>
    <t>104,6%</t>
  </si>
  <si>
    <t>95,6%</t>
  </si>
  <si>
    <t>19,7%</t>
  </si>
  <si>
    <t>98,8%</t>
  </si>
  <si>
    <t>47,7%</t>
  </si>
  <si>
    <t>51827</t>
  </si>
  <si>
    <t>11313</t>
  </si>
  <si>
    <t>53397</t>
  </si>
  <si>
    <t>11735</t>
  </si>
  <si>
    <t>53398</t>
  </si>
  <si>
    <t>11736</t>
  </si>
  <si>
    <t>53399</t>
  </si>
  <si>
    <t>11737</t>
  </si>
  <si>
    <t>64836</t>
  </si>
  <si>
    <t>16062</t>
  </si>
  <si>
    <t>64837</t>
  </si>
  <si>
    <t>16063</t>
  </si>
  <si>
    <t>72089</t>
  </si>
  <si>
    <t>19991</t>
  </si>
  <si>
    <t>75756</t>
  </si>
  <si>
    <t>23258</t>
  </si>
  <si>
    <t>75757</t>
  </si>
  <si>
    <t>23259</t>
  </si>
  <si>
    <t>83415</t>
  </si>
  <si>
    <t>26605</t>
  </si>
  <si>
    <t>83416</t>
  </si>
  <si>
    <t>26606</t>
  </si>
  <si>
    <t>13528655</t>
  </si>
  <si>
    <t>31245</t>
  </si>
  <si>
    <t>682</t>
  </si>
  <si>
    <t>90852</t>
  </si>
  <si>
    <t>30523</t>
  </si>
  <si>
    <t>13624157</t>
  </si>
  <si>
    <t>31246</t>
  </si>
  <si>
    <t>683</t>
  </si>
  <si>
    <t>92965</t>
  </si>
  <si>
    <t>32769</t>
  </si>
  <si>
    <t>13922732</t>
  </si>
  <si>
    <t>31247</t>
  </si>
  <si>
    <t>684</t>
  </si>
  <si>
    <t>94470</t>
  </si>
  <si>
    <t>34297</t>
  </si>
  <si>
    <t>13970538</t>
  </si>
  <si>
    <t>31248</t>
  </si>
  <si>
    <t>685</t>
  </si>
  <si>
    <t>94471</t>
  </si>
  <si>
    <t>34298</t>
  </si>
  <si>
    <t>13979564</t>
  </si>
  <si>
    <t>40913333</t>
  </si>
  <si>
    <t>94472</t>
  </si>
  <si>
    <t>34299</t>
  </si>
  <si>
    <t>14035934</t>
  </si>
  <si>
    <t>40913334</t>
  </si>
  <si>
    <t>94473</t>
  </si>
  <si>
    <t>34300</t>
  </si>
  <si>
    <t>14357113</t>
  </si>
  <si>
    <t>40913335</t>
  </si>
  <si>
    <t>100685</t>
  </si>
  <si>
    <t>39077</t>
  </si>
  <si>
    <t>14516938</t>
  </si>
  <si>
    <t>40913336</t>
  </si>
  <si>
    <t>100834</t>
  </si>
  <si>
    <t>39078</t>
  </si>
  <si>
    <t>14659369</t>
  </si>
  <si>
    <t>40913337</t>
  </si>
  <si>
    <t>105582</t>
  </si>
  <si>
    <t>40732</t>
  </si>
  <si>
    <t>14868577</t>
  </si>
  <si>
    <t>40913338</t>
  </si>
  <si>
    <t>40733</t>
  </si>
  <si>
    <t>14969330</t>
  </si>
  <si>
    <t>40913339</t>
  </si>
  <si>
    <t>105622</t>
  </si>
  <si>
    <t>40734</t>
  </si>
  <si>
    <t>15016402</t>
  </si>
  <si>
    <t>40913340</t>
  </si>
  <si>
    <t>105641</t>
  </si>
  <si>
    <t>40735</t>
  </si>
  <si>
    <t>15038548</t>
  </si>
  <si>
    <t>40913341</t>
  </si>
  <si>
    <t>109064</t>
  </si>
  <si>
    <t>41052</t>
  </si>
  <si>
    <t>15254221</t>
  </si>
  <si>
    <t>40913342</t>
  </si>
  <si>
    <t>123107</t>
  </si>
  <si>
    <t>41053</t>
  </si>
  <si>
    <t>15685534</t>
  </si>
  <si>
    <t>40913343</t>
  </si>
  <si>
    <t>126643</t>
  </si>
  <si>
    <t>46473</t>
  </si>
  <si>
    <t>15876777</t>
  </si>
  <si>
    <t>40913344</t>
  </si>
  <si>
    <t>21</t>
  </si>
  <si>
    <t>129796</t>
  </si>
  <si>
    <t>49892</t>
  </si>
  <si>
    <t>Pemakaman_COVID19_Harian</t>
  </si>
  <si>
    <t>Total_Pemakaman_COVID19</t>
  </si>
  <si>
    <t>Pemakaman_Umum_Harian</t>
  </si>
  <si>
    <t>Total_Pemakaman_Umum</t>
  </si>
  <si>
    <t>Kecamatan</t>
  </si>
  <si>
    <t>Kota / Kabupaten</t>
  </si>
  <si>
    <t>Target Total per Kecamatan</t>
  </si>
  <si>
    <t>Target Harian per Kecamatan</t>
  </si>
  <si>
    <t>Cakupan 13 Jan - 11 Juni</t>
  </si>
  <si>
    <t>Cakupan 12 Juni</t>
  </si>
  <si>
    <t>Cakupan 13 Juni</t>
  </si>
  <si>
    <t>Cakupan 14 Juni</t>
  </si>
  <si>
    <t>Cakupan 15 Juni</t>
  </si>
  <si>
    <t>Cakupan 16 Juni</t>
  </si>
  <si>
    <t>Cakupan 17 Juni</t>
  </si>
  <si>
    <t>Cakupan 18 Juni</t>
  </si>
  <si>
    <t>Cakupan 19 Juni</t>
  </si>
  <si>
    <t>Cakupan 20 Juni</t>
  </si>
  <si>
    <t>Cakupan 21 Juni</t>
  </si>
  <si>
    <t>Cakupan 22 Juni</t>
  </si>
  <si>
    <t>Cakupan 23 Juni</t>
  </si>
  <si>
    <t>Cakupan 24 Juni</t>
  </si>
  <si>
    <t>Cakupan 25 Juni</t>
  </si>
  <si>
    <t>Cakupan 26 Juni</t>
  </si>
  <si>
    <t>Cakupan 27 Juni</t>
  </si>
  <si>
    <t>Cakupan 28 Juni</t>
  </si>
  <si>
    <t>Cakupan 29 Juni</t>
  </si>
  <si>
    <t>Cakupan 30 Juni</t>
  </si>
  <si>
    <t>Cakupan 1 Juli</t>
  </si>
  <si>
    <t>Cakupan 2 Juli</t>
  </si>
  <si>
    <t>Cakupan 3 Juli</t>
  </si>
  <si>
    <t>Cakupan 4 Juli</t>
  </si>
  <si>
    <t>Cakupan 5 Juli</t>
  </si>
  <si>
    <t>Cakupan 6 Juli</t>
  </si>
  <si>
    <t>Cakupan 7 Juli</t>
  </si>
  <si>
    <t>Cakupan 8 Juli</t>
  </si>
  <si>
    <t>Cakupan 9 Juli</t>
  </si>
  <si>
    <t>Cakupan 10 Juli</t>
  </si>
  <si>
    <t>Cakupan 11 Juli</t>
  </si>
  <si>
    <t>Cakupan 12 Juli</t>
  </si>
  <si>
    <t>Cakupan 13 Juli</t>
  </si>
  <si>
    <t>Cakupan 14 Juli</t>
  </si>
  <si>
    <t>Cakupan 15 Juli</t>
  </si>
  <si>
    <t>Cakupan Suntik 1</t>
  </si>
  <si>
    <t>Keterangan</t>
  </si>
  <si>
    <t>Cakupan Suntik 2</t>
  </si>
  <si>
    <t>Cakung</t>
  </si>
  <si>
    <t>Jakarta Timur</t>
  </si>
  <si>
    <t>Tidak Tercapai</t>
  </si>
  <si>
    <t>Cengkareng</t>
  </si>
  <si>
    <t>Jakarta Barat</t>
  </si>
  <si>
    <t>Kali Deres</t>
  </si>
  <si>
    <t>Cilincing</t>
  </si>
  <si>
    <t>Jakarta Utara</t>
  </si>
  <si>
    <t>Duren Sawit</t>
  </si>
  <si>
    <t>Tanjung Priok</t>
  </si>
  <si>
    <t>Jagakarsa</t>
  </si>
  <si>
    <t>Jakarta Selatan</t>
  </si>
  <si>
    <t>Kebon Jeruk</t>
  </si>
  <si>
    <t>Koja</t>
  </si>
  <si>
    <t>Kebayoran Lama</t>
  </si>
  <si>
    <t>Jatinegara</t>
  </si>
  <si>
    <t>Kramat Jati</t>
  </si>
  <si>
    <t>Pasar Minggu</t>
  </si>
  <si>
    <t>Penjaringan</t>
  </si>
  <si>
    <t>Ciracas</t>
  </si>
  <si>
    <t>Pulo Gadung</t>
  </si>
  <si>
    <t>Kembangan</t>
  </si>
  <si>
    <t>Cipayung</t>
  </si>
  <si>
    <t>Tambora</t>
  </si>
  <si>
    <t>Pesanggrahan</t>
  </si>
  <si>
    <t>Kemayoran</t>
  </si>
  <si>
    <t>Jakarta Pusat</t>
  </si>
  <si>
    <t>Tebet</t>
  </si>
  <si>
    <t>Grogol Petamburan</t>
  </si>
  <si>
    <t>Palmerah</t>
  </si>
  <si>
    <t>Pasar Rebo</t>
  </si>
  <si>
    <t>Cilandak</t>
  </si>
  <si>
    <t>Makasar</t>
  </si>
  <si>
    <t>Matraman</t>
  </si>
  <si>
    <t>Tanah Abang</t>
  </si>
  <si>
    <t>Pancoran</t>
  </si>
  <si>
    <t>Pademangan</t>
  </si>
  <si>
    <t>Mampang Prapatan</t>
  </si>
  <si>
    <t>Kebayoran Baru</t>
  </si>
  <si>
    <t>Taman Sari</t>
  </si>
  <si>
    <t>Sawah Besar</t>
  </si>
  <si>
    <t>Kelapa Gading</t>
  </si>
  <si>
    <t>Johar Baru</t>
  </si>
  <si>
    <t>Senen</t>
  </si>
  <si>
    <t>Setia Budi</t>
  </si>
  <si>
    <t>Cempaka Putih</t>
  </si>
  <si>
    <t>Gambir</t>
  </si>
  <si>
    <t>Menteng</t>
  </si>
  <si>
    <t>Kep. Seribu Utara</t>
  </si>
  <si>
    <t>Kepulauan Seribu</t>
  </si>
  <si>
    <t>Kep. Seribu Selatan</t>
  </si>
  <si>
    <t>Data cakupan akumulasi 13 January - 11 June 2021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</si>
  <si>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</si>
  <si>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</si>
  <si>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</si>
  <si>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</si>
  <si>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</si>
  <si>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</si>
  <si>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</si>
  <si>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</si>
  <si>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</si>
  <si>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</si>
  <si>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</si>
  <si>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</si>
  <si>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</si>
  <si>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</si>
  <si>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</si>
  <si>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</si>
  <si>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</si>
  <si>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</si>
  <si>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</si>
  <si>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</si>
  <si>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</si>
  <si>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</si>
  <si>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</si>
  <si>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X Variable 1</t>
  </si>
  <si>
    <t>y = 0,001247x + 5610,299</t>
  </si>
  <si>
    <t>Pers. Garis</t>
  </si>
  <si>
    <t>REGRESI LINEAR VAKSIKNASI 2 DKI JAKARTA DAN KEMATIAN DKI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</si>
</sst>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/d/yyyy"/>
    <numFmt numFmtId="165" formatCode="m/d/yyyy\ h:mm"/>
    <numFmt numFmtId="166" formatCode="mm/dd/yyyy"/>
    <numFmt numFmtId="167" formatCode="d\-mmm\-yy"/>
    <numFmt numFmtId="168" formatCode="0.0%"/>
    <numFmt numFmtId="169" formatCode="m/d"/>
    <numFmt numFmtId="170" formatCode="d\ mmmm\ yyyy"/>
  </numFmts>
  <fonts count="25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sz val="10"/>
      <color rgb="FF202124"/>
      <name val="Roboto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sz val="10"/>
      <color rgb="FFFFFFFF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i/>
      <sz val="12"/>
      <color rgb="FF000000"/>
      <name val="Arial"/>
      <family val="2"/>
    </font>
    <font>
      <sz val="12"/>
      <color rgb="FF000000"/>
      <name val="Calibri"/>
      <family val="2"/>
    </font>
    <font>
      <sz val="12"/>
      <color theme="1"/>
      <name val="Arial"/>
      <family val="2"/>
    </font>
    <font>
      <sz val="10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i/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B0C10F"/>
        <bgColor rgb="FFB0C10F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5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/>
    <xf numFmtId="0" fontId="5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/>
    <xf numFmtId="0" fontId="7" fillId="0" borderId="0" xfId="0" applyFont="1"/>
    <xf numFmtId="0" fontId="1" fillId="3" borderId="0" xfId="0" applyFont="1" applyFill="1" applyAlignment="1">
      <alignment horizontal="center" wrapText="1"/>
    </xf>
    <xf numFmtId="166" fontId="2" fillId="0" borderId="0" xfId="0" applyNumberFormat="1" applyFont="1" applyAlignment="1"/>
    <xf numFmtId="166" fontId="8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6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166" fontId="5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1" xfId="0" applyFont="1" applyBorder="1" applyAlignment="1">
      <alignment horizontal="right"/>
    </xf>
    <xf numFmtId="0" fontId="9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  <xf numFmtId="166" fontId="3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2" xfId="0" applyFont="1" applyBorder="1" applyAlignment="1">
      <alignment horizontal="right"/>
    </xf>
    <xf numFmtId="164" fontId="10" fillId="0" borderId="0" xfId="0" applyNumberFormat="1" applyFont="1" applyAlignment="1"/>
    <xf numFmtId="0" fontId="1" fillId="0" borderId="0" xfId="0" applyFont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167" fontId="2" fillId="0" borderId="0" xfId="0" applyNumberFormat="1" applyFont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7" fillId="4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11" fillId="6" borderId="0" xfId="0" applyFont="1" applyFill="1" applyAlignment="1">
      <alignment horizontal="right"/>
    </xf>
    <xf numFmtId="167" fontId="5" fillId="0" borderId="0" xfId="0" applyNumberFormat="1" applyFont="1" applyAlignment="1">
      <alignment horizontal="right"/>
    </xf>
    <xf numFmtId="0" fontId="2" fillId="5" borderId="0" xfId="0" applyFont="1" applyFill="1"/>
    <xf numFmtId="0" fontId="5" fillId="0" borderId="0" xfId="0" applyFont="1" applyAlignment="1">
      <alignment horizontal="right"/>
    </xf>
    <xf numFmtId="167" fontId="5" fillId="0" borderId="0" xfId="0" applyNumberFormat="1" applyFont="1" applyAlignment="1"/>
    <xf numFmtId="0" fontId="2" fillId="0" borderId="0" xfId="0" applyFont="1"/>
    <xf numFmtId="0" fontId="2" fillId="4" borderId="0" xfId="0" applyFont="1" applyFill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2" fillId="0" borderId="0" xfId="0" applyFont="1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0" fontId="2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3" fillId="0" borderId="0" xfId="0" applyFont="1" applyAlignment="1">
      <alignment horizontal="center" vertical="center" wrapText="1"/>
    </xf>
    <xf numFmtId="168" fontId="13" fillId="0" borderId="0" xfId="0" applyNumberFormat="1" applyFont="1" applyAlignment="1">
      <alignment horizontal="center" vertical="center" wrapText="1"/>
    </xf>
    <xf numFmtId="10" fontId="13" fillId="0" borderId="0" xfId="0" applyNumberFormat="1" applyFont="1" applyAlignment="1">
      <alignment horizontal="center" vertical="center" wrapText="1"/>
    </xf>
    <xf numFmtId="49" fontId="13" fillId="7" borderId="0" xfId="0" applyNumberFormat="1" applyFont="1" applyFill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left"/>
    </xf>
    <xf numFmtId="164" fontId="14" fillId="0" borderId="0" xfId="0" applyNumberFormat="1" applyFont="1" applyAlignment="1">
      <alignment horizontal="left"/>
    </xf>
    <xf numFmtId="168" fontId="14" fillId="0" borderId="0" xfId="0" applyNumberFormat="1" applyFont="1" applyAlignment="1">
      <alignment horizontal="left"/>
    </xf>
    <xf numFmtId="10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10" fontId="14" fillId="0" borderId="0" xfId="0" applyNumberFormat="1" applyFont="1" applyAlignment="1">
      <alignment horizontal="left"/>
    </xf>
    <xf numFmtId="168" fontId="14" fillId="0" borderId="0" xfId="0" applyNumberFormat="1" applyFont="1" applyAlignment="1">
      <alignment horizontal="left"/>
    </xf>
    <xf numFmtId="1" fontId="15" fillId="8" borderId="1" xfId="0" applyNumberFormat="1" applyFont="1" applyFill="1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168" fontId="16" fillId="8" borderId="1" xfId="0" applyNumberFormat="1" applyFont="1" applyFill="1" applyBorder="1" applyAlignment="1">
      <alignment horizontal="center" vertical="center" wrapText="1"/>
    </xf>
    <xf numFmtId="0" fontId="16" fillId="9" borderId="3" xfId="0" applyFont="1" applyFill="1" applyBorder="1" applyAlignment="1">
      <alignment horizontal="center" vertical="center" wrapText="1"/>
    </xf>
    <xf numFmtId="10" fontId="16" fillId="9" borderId="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17" fillId="0" borderId="1" xfId="0" applyNumberFormat="1" applyFont="1" applyBorder="1" applyAlignment="1">
      <alignment horizontal="right"/>
    </xf>
    <xf numFmtId="0" fontId="17" fillId="0" borderId="4" xfId="0" applyFont="1" applyBorder="1" applyAlignment="1">
      <alignment horizontal="center"/>
    </xf>
    <xf numFmtId="168" fontId="17" fillId="0" borderId="4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0" fontId="17" fillId="10" borderId="1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10" fontId="17" fillId="10" borderId="7" xfId="0" applyNumberFormat="1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68" fontId="17" fillId="0" borderId="1" xfId="0" applyNumberFormat="1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9" fontId="2" fillId="0" borderId="0" xfId="0" applyNumberFormat="1" applyFont="1" applyAlignment="1"/>
    <xf numFmtId="0" fontId="17" fillId="0" borderId="0" xfId="0" applyFont="1" applyAlignment="1">
      <alignment horizontal="center"/>
    </xf>
    <xf numFmtId="1" fontId="17" fillId="0" borderId="1" xfId="0" applyNumberFormat="1" applyFont="1" applyBorder="1" applyAlignment="1">
      <alignment horizontal="center"/>
    </xf>
    <xf numFmtId="1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0" fontId="17" fillId="10" borderId="1" xfId="0" applyNumberFormat="1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68" fontId="17" fillId="0" borderId="2" xfId="0" applyNumberFormat="1" applyFont="1" applyBorder="1" applyAlignment="1">
      <alignment horizontal="center"/>
    </xf>
    <xf numFmtId="0" fontId="17" fillId="10" borderId="7" xfId="0" applyFont="1" applyFill="1" applyBorder="1" applyAlignment="1">
      <alignment horizontal="center"/>
    </xf>
    <xf numFmtId="0" fontId="17" fillId="10" borderId="3" xfId="0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9" fontId="19" fillId="0" borderId="0" xfId="0" applyNumberFormat="1" applyFont="1" applyAlignment="1">
      <alignment horizontal="right"/>
    </xf>
    <xf numFmtId="10" fontId="17" fillId="10" borderId="3" xfId="0" applyNumberFormat="1" applyFont="1" applyFill="1" applyBorder="1" applyAlignment="1">
      <alignment horizontal="center"/>
    </xf>
    <xf numFmtId="1" fontId="20" fillId="0" borderId="1" xfId="0" applyNumberFormat="1" applyFont="1" applyBorder="1" applyAlignment="1">
      <alignment horizontal="center"/>
    </xf>
    <xf numFmtId="1" fontId="20" fillId="0" borderId="1" xfId="0" applyNumberFormat="1" applyFont="1" applyBorder="1" applyAlignment="1">
      <alignment horizontal="center" wrapText="1"/>
    </xf>
    <xf numFmtId="168" fontId="20" fillId="10" borderId="1" xfId="0" applyNumberFormat="1" applyFont="1" applyFill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168" fontId="17" fillId="0" borderId="0" xfId="0" applyNumberFormat="1" applyFont="1" applyAlignment="1">
      <alignment horizontal="center"/>
    </xf>
    <xf numFmtId="10" fontId="17" fillId="0" borderId="0" xfId="0" applyNumberFormat="1" applyFont="1" applyAlignment="1">
      <alignment horizontal="center"/>
    </xf>
    <xf numFmtId="0" fontId="11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8" fontId="3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168" fontId="3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70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168" fontId="3" fillId="0" borderId="1" xfId="0" applyNumberFormat="1" applyFont="1" applyBorder="1" applyAlignment="1">
      <alignment horizontal="left" vertical="top"/>
    </xf>
    <xf numFmtId="168" fontId="3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70" fontId="3" fillId="8" borderId="1" xfId="0" applyNumberFormat="1" applyFont="1" applyFill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49" fontId="3" fillId="0" borderId="3" xfId="0" applyNumberFormat="1" applyFont="1" applyBorder="1" applyAlignment="1">
      <alignment horizontal="left" vertical="top"/>
    </xf>
    <xf numFmtId="168" fontId="3" fillId="0" borderId="3" xfId="0" applyNumberFormat="1" applyFont="1" applyBorder="1" applyAlignment="1">
      <alignment horizontal="left" vertical="top"/>
    </xf>
    <xf numFmtId="49" fontId="2" fillId="0" borderId="3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70" fontId="3" fillId="11" borderId="1" xfId="0" applyNumberFormat="1" applyFont="1" applyFill="1" applyBorder="1" applyAlignment="1">
      <alignment horizontal="left" vertical="top"/>
    </xf>
    <xf numFmtId="0" fontId="3" fillId="11" borderId="3" xfId="0" applyFont="1" applyFill="1" applyBorder="1" applyAlignment="1">
      <alignment horizontal="left" vertical="top"/>
    </xf>
    <xf numFmtId="0" fontId="2" fillId="11" borderId="3" xfId="0" applyFont="1" applyFill="1" applyBorder="1" applyAlignment="1">
      <alignment horizontal="left" vertical="top"/>
    </xf>
    <xf numFmtId="168" fontId="3" fillId="11" borderId="1" xfId="0" applyNumberFormat="1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/>
    </xf>
    <xf numFmtId="168" fontId="3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168" fontId="3" fillId="11" borderId="3" xfId="0" applyNumberFormat="1" applyFont="1" applyFill="1" applyBorder="1" applyAlignment="1">
      <alignment horizontal="left" vertical="top"/>
    </xf>
    <xf numFmtId="49" fontId="2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49" fontId="3" fillId="11" borderId="3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8" fontId="2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3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11" fillId="0" borderId="1" xfId="0" applyFont="1" applyBorder="1" applyAlignment="1">
      <alignment horizontal="left" wrapText="1"/>
    </xf>
    <xf numFmtId="0" fontId="11" fillId="11" borderId="1" xfId="0" applyFont="1" applyFill="1" applyBorder="1" applyAlignment="1">
      <alignment horizontal="left" wrapText="1"/>
    </xf>
    <xf numFmtId="0" fontId="2" fillId="0" borderId="0" xfId="0" applyFont="1" applyAlignment="1">
      <alignment horizontal="center" wrapText="1"/>
    </xf>
    <xf numFmtId="0" fontId="11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9" fillId="0" borderId="1" xfId="0" applyFont="1" applyBorder="1" applyAlignment="1">
      <alignment horizontal="right"/>
    </xf>
    <xf numFmtId="0" fontId="3" fillId="11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3" fillId="12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9" fillId="0" borderId="1" xfId="0" applyFont="1" applyBorder="1" applyAlignment="1">
      <alignment horizontal="right"/>
    </xf>
    <xf numFmtId="0" fontId="3" fillId="12" borderId="1" xfId="0" applyFont="1" applyFill="1" applyBorder="1"/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/>
    <xf numFmtId="0" fontId="3" fillId="0" borderId="5" xfId="0" applyFont="1" applyBorder="1" applyAlignment="1">
      <alignment horizontal="center"/>
    </xf>
    <xf numFmtId="0" fontId="19" fillId="0" borderId="5" xfId="0" applyFont="1" applyBorder="1" applyAlignment="1">
      <alignment horizontal="right"/>
    </xf>
    <xf numFmtId="1" fontId="3" fillId="0" borderId="5" xfId="0" applyNumberFormat="1" applyFont="1" applyBorder="1" applyAlignment="1"/>
    <xf numFmtId="0" fontId="19" fillId="0" borderId="5" xfId="0" applyFont="1" applyBorder="1" applyAlignment="1">
      <alignment horizontal="right"/>
    </xf>
    <xf numFmtId="0" fontId="19" fillId="0" borderId="5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2" fillId="11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70" fontId="2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3" fillId="0" borderId="0" xfId="0" applyFont="1" applyAlignment="1"/>
    <xf numFmtId="1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0" fontId="0" fillId="0" borderId="0" xfId="0" applyFont="1" applyAlignment="1"/>
    <xf numFmtId="0" fontId="13" fillId="7" borderId="0" xfId="0" applyFont="1" applyFill="1" applyAlignment="1">
      <alignment horizontal="center"/>
    </xf>
    <xf numFmtId="0" fontId="3" fillId="11" borderId="8" xfId="0" applyFont="1" applyFill="1" applyBorder="1" applyAlignment="1">
      <alignment horizontal="center" vertical="top"/>
    </xf>
    <xf numFmtId="0" fontId="10" fillId="0" borderId="9" xfId="0" applyFont="1" applyBorder="1"/>
    <xf numFmtId="0" fontId="10" fillId="0" borderId="3" xfId="0" applyFont="1" applyBorder="1"/>
    <xf numFmtId="49" fontId="3" fillId="11" borderId="2" xfId="0" applyNumberFormat="1" applyFont="1" applyFill="1" applyBorder="1" applyAlignment="1">
      <alignment horizontal="center" vertical="top" wrapText="1"/>
    </xf>
    <xf numFmtId="0" fontId="10" fillId="0" borderId="5" xfId="0" applyFont="1" applyBorder="1"/>
    <xf numFmtId="49" fontId="3" fillId="11" borderId="2" xfId="0" applyNumberFormat="1" applyFont="1" applyFill="1" applyBorder="1" applyAlignment="1">
      <alignment horizontal="center" vertical="center" wrapText="1"/>
    </xf>
    <xf numFmtId="49" fontId="3" fillId="11" borderId="8" xfId="0" applyNumberFormat="1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10" fillId="0" borderId="10" xfId="0" applyFont="1" applyBorder="1"/>
    <xf numFmtId="0" fontId="3" fillId="0" borderId="8" xfId="0" applyFont="1" applyBorder="1" applyAlignment="1">
      <alignment horizontal="center" vertical="top"/>
    </xf>
    <xf numFmtId="168" fontId="3" fillId="0" borderId="8" xfId="0" applyNumberFormat="1" applyFont="1" applyBorder="1" applyAlignment="1">
      <alignment horizontal="center" vertical="top"/>
    </xf>
    <xf numFmtId="49" fontId="3" fillId="0" borderId="8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 wrapText="1"/>
    </xf>
    <xf numFmtId="0" fontId="0" fillId="0" borderId="0" xfId="0" applyFill="1" applyBorder="1" applyAlignment="1"/>
    <xf numFmtId="0" fontId="0" fillId="0" borderId="11" xfId="0" applyFill="1" applyBorder="1" applyAlignment="1"/>
    <xf numFmtId="0" fontId="24" fillId="0" borderId="12" xfId="0" applyFont="1" applyFill="1" applyBorder="1" applyAlignment="1">
      <alignment horizontal="center"/>
    </xf>
    <xf numFmtId="0" fontId="24" fillId="0" borderId="12" xfId="0" applyFont="1" applyFill="1" applyBorder="1" applyAlignment="1">
      <alignment horizontal="centerContinuous"/>
    </xf>
    <xf numFmtId="0" fontId="5" fillId="0" borderId="0" xfId="0" applyFont="1" applyAlignment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76465441819772"/>
          <c:y val="0.19027777777777777"/>
          <c:w val="0.79781167979002621"/>
          <c:h val="0.7311111111111111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Vaksinasi!$H$141:$H$274</c:f>
              <c:numCache>
                <c:formatCode>General</c:formatCode>
                <c:ptCount val="134"/>
                <c:pt idx="0">
                  <c:v>5702</c:v>
                </c:pt>
                <c:pt idx="1">
                  <c:v>5748</c:v>
                </c:pt>
                <c:pt idx="2">
                  <c:v>5790</c:v>
                </c:pt>
                <c:pt idx="3">
                  <c:v>5838</c:v>
                </c:pt>
                <c:pt idx="4">
                  <c:v>5883</c:v>
                </c:pt>
                <c:pt idx="5">
                  <c:v>5923</c:v>
                </c:pt>
                <c:pt idx="6">
                  <c:v>5943</c:v>
                </c:pt>
                <c:pt idx="7">
                  <c:v>5969</c:v>
                </c:pt>
                <c:pt idx="8">
                  <c:v>5991</c:v>
                </c:pt>
                <c:pt idx="9">
                  <c:v>6026</c:v>
                </c:pt>
                <c:pt idx="10">
                  <c:v>6038</c:v>
                </c:pt>
                <c:pt idx="11">
                  <c:v>6062</c:v>
                </c:pt>
                <c:pt idx="12">
                  <c:v>6077</c:v>
                </c:pt>
                <c:pt idx="13">
                  <c:v>6100</c:v>
                </c:pt>
                <c:pt idx="14">
                  <c:v>6120</c:v>
                </c:pt>
                <c:pt idx="15">
                  <c:v>6143</c:v>
                </c:pt>
                <c:pt idx="16">
                  <c:v>6160</c:v>
                </c:pt>
                <c:pt idx="17">
                  <c:v>6179</c:v>
                </c:pt>
                <c:pt idx="18">
                  <c:v>6206</c:v>
                </c:pt>
                <c:pt idx="19">
                  <c:v>6224</c:v>
                </c:pt>
                <c:pt idx="20">
                  <c:v>6241</c:v>
                </c:pt>
                <c:pt idx="21">
                  <c:v>6260</c:v>
                </c:pt>
                <c:pt idx="22">
                  <c:v>6281</c:v>
                </c:pt>
                <c:pt idx="23">
                  <c:v>6304</c:v>
                </c:pt>
                <c:pt idx="24">
                  <c:v>6324</c:v>
                </c:pt>
                <c:pt idx="25">
                  <c:v>6327</c:v>
                </c:pt>
                <c:pt idx="26">
                  <c:v>6341</c:v>
                </c:pt>
                <c:pt idx="27">
                  <c:v>6344</c:v>
                </c:pt>
                <c:pt idx="28">
                  <c:v>6351</c:v>
                </c:pt>
                <c:pt idx="29">
                  <c:v>6356</c:v>
                </c:pt>
                <c:pt idx="30">
                  <c:v>6360</c:v>
                </c:pt>
                <c:pt idx="31">
                  <c:v>6372</c:v>
                </c:pt>
                <c:pt idx="32">
                  <c:v>6379</c:v>
                </c:pt>
                <c:pt idx="33">
                  <c:v>6391</c:v>
                </c:pt>
                <c:pt idx="34">
                  <c:v>6410</c:v>
                </c:pt>
                <c:pt idx="35">
                  <c:v>6424</c:v>
                </c:pt>
                <c:pt idx="36">
                  <c:v>6435</c:v>
                </c:pt>
                <c:pt idx="37">
                  <c:v>6450</c:v>
                </c:pt>
                <c:pt idx="38">
                  <c:v>6459</c:v>
                </c:pt>
                <c:pt idx="39">
                  <c:v>6482</c:v>
                </c:pt>
                <c:pt idx="40">
                  <c:v>6489</c:v>
                </c:pt>
                <c:pt idx="41">
                  <c:v>6504</c:v>
                </c:pt>
                <c:pt idx="42">
                  <c:v>6513</c:v>
                </c:pt>
                <c:pt idx="43">
                  <c:v>6520</c:v>
                </c:pt>
                <c:pt idx="44">
                  <c:v>6536</c:v>
                </c:pt>
                <c:pt idx="45">
                  <c:v>6558</c:v>
                </c:pt>
                <c:pt idx="46">
                  <c:v>6569</c:v>
                </c:pt>
                <c:pt idx="47">
                  <c:v>6587</c:v>
                </c:pt>
                <c:pt idx="48">
                  <c:v>6596</c:v>
                </c:pt>
                <c:pt idx="49">
                  <c:v>6612</c:v>
                </c:pt>
                <c:pt idx="50">
                  <c:v>6623</c:v>
                </c:pt>
                <c:pt idx="51">
                  <c:v>6645</c:v>
                </c:pt>
                <c:pt idx="52">
                  <c:v>6660</c:v>
                </c:pt>
                <c:pt idx="53">
                  <c:v>6679</c:v>
                </c:pt>
                <c:pt idx="54">
                  <c:v>6690</c:v>
                </c:pt>
                <c:pt idx="55">
                  <c:v>6710</c:v>
                </c:pt>
                <c:pt idx="56">
                  <c:v>6733</c:v>
                </c:pt>
                <c:pt idx="57">
                  <c:v>6747</c:v>
                </c:pt>
                <c:pt idx="58">
                  <c:v>6767</c:v>
                </c:pt>
                <c:pt idx="59">
                  <c:v>6788</c:v>
                </c:pt>
                <c:pt idx="60">
                  <c:v>6807</c:v>
                </c:pt>
                <c:pt idx="61">
                  <c:v>6830</c:v>
                </c:pt>
                <c:pt idx="62">
                  <c:v>6850</c:v>
                </c:pt>
                <c:pt idx="63">
                  <c:v>6872</c:v>
                </c:pt>
                <c:pt idx="64">
                  <c:v>6896</c:v>
                </c:pt>
                <c:pt idx="65">
                  <c:v>6911</c:v>
                </c:pt>
                <c:pt idx="66">
                  <c:v>6933</c:v>
                </c:pt>
                <c:pt idx="67">
                  <c:v>6952</c:v>
                </c:pt>
                <c:pt idx="68">
                  <c:v>6973</c:v>
                </c:pt>
                <c:pt idx="69">
                  <c:v>6973</c:v>
                </c:pt>
                <c:pt idx="70">
                  <c:v>7003</c:v>
                </c:pt>
                <c:pt idx="71">
                  <c:v>7066</c:v>
                </c:pt>
                <c:pt idx="72">
                  <c:v>7082</c:v>
                </c:pt>
                <c:pt idx="73">
                  <c:v>7107</c:v>
                </c:pt>
                <c:pt idx="74">
                  <c:v>7130</c:v>
                </c:pt>
                <c:pt idx="75">
                  <c:v>7149</c:v>
                </c:pt>
                <c:pt idx="76">
                  <c:v>7169</c:v>
                </c:pt>
                <c:pt idx="77">
                  <c:v>7184</c:v>
                </c:pt>
                <c:pt idx="78">
                  <c:v>7196</c:v>
                </c:pt>
                <c:pt idx="79">
                  <c:v>7207</c:v>
                </c:pt>
                <c:pt idx="80">
                  <c:v>7225</c:v>
                </c:pt>
                <c:pt idx="81">
                  <c:v>7239</c:v>
                </c:pt>
                <c:pt idx="82">
                  <c:v>7250</c:v>
                </c:pt>
                <c:pt idx="83">
                  <c:v>7271</c:v>
                </c:pt>
                <c:pt idx="84">
                  <c:v>7288</c:v>
                </c:pt>
                <c:pt idx="85">
                  <c:v>7296</c:v>
                </c:pt>
                <c:pt idx="86">
                  <c:v>7309</c:v>
                </c:pt>
                <c:pt idx="87">
                  <c:v>7327</c:v>
                </c:pt>
                <c:pt idx="88">
                  <c:v>7349</c:v>
                </c:pt>
                <c:pt idx="89">
                  <c:v>7361</c:v>
                </c:pt>
                <c:pt idx="90">
                  <c:v>7381</c:v>
                </c:pt>
                <c:pt idx="91">
                  <c:v>7402</c:v>
                </c:pt>
                <c:pt idx="92">
                  <c:v>7423</c:v>
                </c:pt>
                <c:pt idx="93">
                  <c:v>7438</c:v>
                </c:pt>
                <c:pt idx="94">
                  <c:v>7457</c:v>
                </c:pt>
                <c:pt idx="95">
                  <c:v>7478</c:v>
                </c:pt>
                <c:pt idx="96">
                  <c:v>7499</c:v>
                </c:pt>
                <c:pt idx="97">
                  <c:v>7523</c:v>
                </c:pt>
                <c:pt idx="98">
                  <c:v>7543</c:v>
                </c:pt>
                <c:pt idx="99">
                  <c:v>7557</c:v>
                </c:pt>
                <c:pt idx="100">
                  <c:v>7571</c:v>
                </c:pt>
                <c:pt idx="101">
                  <c:v>7609</c:v>
                </c:pt>
                <c:pt idx="102">
                  <c:v>7634</c:v>
                </c:pt>
                <c:pt idx="103">
                  <c:v>7665</c:v>
                </c:pt>
                <c:pt idx="104">
                  <c:v>7713</c:v>
                </c:pt>
                <c:pt idx="105">
                  <c:v>7777</c:v>
                </c:pt>
                <c:pt idx="106">
                  <c:v>7836</c:v>
                </c:pt>
                <c:pt idx="107">
                  <c:v>7905</c:v>
                </c:pt>
                <c:pt idx="108">
                  <c:v>7976</c:v>
                </c:pt>
                <c:pt idx="109">
                  <c:v>8014</c:v>
                </c:pt>
                <c:pt idx="110">
                  <c:v>8057</c:v>
                </c:pt>
                <c:pt idx="111">
                  <c:v>8107</c:v>
                </c:pt>
                <c:pt idx="112">
                  <c:v>8177</c:v>
                </c:pt>
                <c:pt idx="113">
                  <c:v>8220</c:v>
                </c:pt>
                <c:pt idx="114">
                  <c:v>8269</c:v>
                </c:pt>
                <c:pt idx="115">
                  <c:v>8348</c:v>
                </c:pt>
                <c:pt idx="116">
                  <c:v>8426</c:v>
                </c:pt>
                <c:pt idx="117">
                  <c:v>8486</c:v>
                </c:pt>
                <c:pt idx="118">
                  <c:v>8528</c:v>
                </c:pt>
                <c:pt idx="119">
                  <c:v>8547</c:v>
                </c:pt>
                <c:pt idx="120">
                  <c:v>8577</c:v>
                </c:pt>
                <c:pt idx="121">
                  <c:v>8652</c:v>
                </c:pt>
                <c:pt idx="122">
                  <c:v>8779</c:v>
                </c:pt>
                <c:pt idx="123">
                  <c:v>8861</c:v>
                </c:pt>
                <c:pt idx="124">
                  <c:v>9042</c:v>
                </c:pt>
                <c:pt idx="125">
                  <c:v>9110</c:v>
                </c:pt>
                <c:pt idx="126">
                  <c:v>9306</c:v>
                </c:pt>
                <c:pt idx="127">
                  <c:v>9357</c:v>
                </c:pt>
                <c:pt idx="128">
                  <c:v>9395</c:v>
                </c:pt>
                <c:pt idx="129">
                  <c:v>9462</c:v>
                </c:pt>
                <c:pt idx="130">
                  <c:v>9541</c:v>
                </c:pt>
                <c:pt idx="131">
                  <c:v>9603</c:v>
                </c:pt>
                <c:pt idx="132">
                  <c:v>9743</c:v>
                </c:pt>
                <c:pt idx="133">
                  <c:v>9845</c:v>
                </c:pt>
              </c:numCache>
            </c:numRef>
          </c:xVal>
          <c:yVal>
            <c:numRef>
              <c:f>Vaksinasi!$I$141:$I$274</c:f>
              <c:numCache>
                <c:formatCode>General</c:formatCode>
                <c:ptCount val="134"/>
                <c:pt idx="0">
                  <c:v>91078</c:v>
                </c:pt>
                <c:pt idx="1">
                  <c:v>91379</c:v>
                </c:pt>
                <c:pt idx="2">
                  <c:v>93974</c:v>
                </c:pt>
                <c:pt idx="3">
                  <c:v>96978</c:v>
                </c:pt>
                <c:pt idx="4">
                  <c:v>119854</c:v>
                </c:pt>
                <c:pt idx="5">
                  <c:v>109554</c:v>
                </c:pt>
                <c:pt idx="6">
                  <c:v>109699</c:v>
                </c:pt>
                <c:pt idx="7">
                  <c:v>113038</c:v>
                </c:pt>
                <c:pt idx="8">
                  <c:v>114464</c:v>
                </c:pt>
                <c:pt idx="9">
                  <c:v>114621</c:v>
                </c:pt>
                <c:pt idx="10">
                  <c:v>124070</c:v>
                </c:pt>
                <c:pt idx="11">
                  <c:v>139204</c:v>
                </c:pt>
                <c:pt idx="12">
                  <c:v>159736</c:v>
                </c:pt>
                <c:pt idx="13">
                  <c:v>184432</c:v>
                </c:pt>
                <c:pt idx="14">
                  <c:v>199342</c:v>
                </c:pt>
                <c:pt idx="15">
                  <c:v>203266</c:v>
                </c:pt>
                <c:pt idx="16">
                  <c:v>204295</c:v>
                </c:pt>
                <c:pt idx="17">
                  <c:v>228255</c:v>
                </c:pt>
                <c:pt idx="18">
                  <c:v>258405</c:v>
                </c:pt>
                <c:pt idx="19">
                  <c:v>294083</c:v>
                </c:pt>
                <c:pt idx="20">
                  <c:v>311135</c:v>
                </c:pt>
                <c:pt idx="21">
                  <c:v>343272</c:v>
                </c:pt>
                <c:pt idx="22">
                  <c:v>351121</c:v>
                </c:pt>
                <c:pt idx="23">
                  <c:v>353105</c:v>
                </c:pt>
                <c:pt idx="24">
                  <c:v>388065</c:v>
                </c:pt>
                <c:pt idx="25">
                  <c:v>425325</c:v>
                </c:pt>
                <c:pt idx="26">
                  <c:v>458982</c:v>
                </c:pt>
                <c:pt idx="27">
                  <c:v>485734</c:v>
                </c:pt>
                <c:pt idx="28">
                  <c:v>490215</c:v>
                </c:pt>
                <c:pt idx="29">
                  <c:v>494227</c:v>
                </c:pt>
                <c:pt idx="30">
                  <c:v>498076</c:v>
                </c:pt>
                <c:pt idx="31">
                  <c:v>546103</c:v>
                </c:pt>
                <c:pt idx="32">
                  <c:v>580965</c:v>
                </c:pt>
                <c:pt idx="33">
                  <c:v>619311</c:v>
                </c:pt>
                <c:pt idx="34">
                  <c:v>644297</c:v>
                </c:pt>
                <c:pt idx="35">
                  <c:v>677132</c:v>
                </c:pt>
                <c:pt idx="36">
                  <c:v>687612</c:v>
                </c:pt>
                <c:pt idx="37">
                  <c:v>697480</c:v>
                </c:pt>
                <c:pt idx="38">
                  <c:v>728994</c:v>
                </c:pt>
                <c:pt idx="39">
                  <c:v>749172</c:v>
                </c:pt>
                <c:pt idx="40">
                  <c:v>783181</c:v>
                </c:pt>
                <c:pt idx="41">
                  <c:v>813687</c:v>
                </c:pt>
                <c:pt idx="42">
                  <c:v>840544</c:v>
                </c:pt>
                <c:pt idx="43">
                  <c:v>849048</c:v>
                </c:pt>
                <c:pt idx="44">
                  <c:v>857137</c:v>
                </c:pt>
                <c:pt idx="45">
                  <c:v>894069</c:v>
                </c:pt>
                <c:pt idx="46">
                  <c:v>911103</c:v>
                </c:pt>
                <c:pt idx="47">
                  <c:v>943905</c:v>
                </c:pt>
                <c:pt idx="48">
                  <c:v>995717</c:v>
                </c:pt>
                <c:pt idx="49">
                  <c:v>1028239</c:v>
                </c:pt>
                <c:pt idx="50">
                  <c:v>1046274</c:v>
                </c:pt>
                <c:pt idx="51">
                  <c:v>1059589</c:v>
                </c:pt>
                <c:pt idx="52">
                  <c:v>1104607</c:v>
                </c:pt>
                <c:pt idx="53">
                  <c:v>1242486</c:v>
                </c:pt>
                <c:pt idx="54">
                  <c:v>1182862</c:v>
                </c:pt>
                <c:pt idx="55">
                  <c:v>1214492</c:v>
                </c:pt>
                <c:pt idx="56">
                  <c:v>1231269</c:v>
                </c:pt>
                <c:pt idx="57">
                  <c:v>1245192</c:v>
                </c:pt>
                <c:pt idx="58">
                  <c:v>1256966</c:v>
                </c:pt>
                <c:pt idx="59">
                  <c:v>1287033</c:v>
                </c:pt>
                <c:pt idx="60">
                  <c:v>1313679</c:v>
                </c:pt>
                <c:pt idx="61">
                  <c:v>1339261</c:v>
                </c:pt>
                <c:pt idx="62">
                  <c:v>1366690</c:v>
                </c:pt>
                <c:pt idx="63">
                  <c:v>1395186</c:v>
                </c:pt>
                <c:pt idx="64">
                  <c:v>1405753</c:v>
                </c:pt>
                <c:pt idx="65">
                  <c:v>1415570</c:v>
                </c:pt>
                <c:pt idx="66">
                  <c:v>1445880</c:v>
                </c:pt>
                <c:pt idx="67">
                  <c:v>1461820</c:v>
                </c:pt>
                <c:pt idx="68">
                  <c:v>1469582</c:v>
                </c:pt>
                <c:pt idx="69">
                  <c:v>1469783</c:v>
                </c:pt>
                <c:pt idx="70">
                  <c:v>1470037</c:v>
                </c:pt>
                <c:pt idx="71">
                  <c:v>1477896</c:v>
                </c:pt>
                <c:pt idx="72">
                  <c:v>1483715</c:v>
                </c:pt>
                <c:pt idx="73">
                  <c:v>1510084</c:v>
                </c:pt>
                <c:pt idx="74">
                  <c:v>1540685</c:v>
                </c:pt>
                <c:pt idx="75">
                  <c:v>1566783</c:v>
                </c:pt>
                <c:pt idx="76">
                  <c:v>1599233</c:v>
                </c:pt>
                <c:pt idx="77">
                  <c:v>1627315</c:v>
                </c:pt>
                <c:pt idx="78">
                  <c:v>1644686</c:v>
                </c:pt>
                <c:pt idx="79">
                  <c:v>1656848</c:v>
                </c:pt>
                <c:pt idx="80">
                  <c:v>1663767</c:v>
                </c:pt>
                <c:pt idx="81">
                  <c:v>1704615</c:v>
                </c:pt>
                <c:pt idx="82">
                  <c:v>1732164</c:v>
                </c:pt>
                <c:pt idx="83">
                  <c:v>1770292</c:v>
                </c:pt>
                <c:pt idx="84">
                  <c:v>1773251</c:v>
                </c:pt>
                <c:pt idx="85">
                  <c:v>1773251</c:v>
                </c:pt>
                <c:pt idx="86">
                  <c:v>1775331</c:v>
                </c:pt>
                <c:pt idx="87">
                  <c:v>1797154</c:v>
                </c:pt>
                <c:pt idx="88">
                  <c:v>1804342</c:v>
                </c:pt>
                <c:pt idx="89">
                  <c:v>1829911</c:v>
                </c:pt>
                <c:pt idx="90">
                  <c:v>1834501</c:v>
                </c:pt>
                <c:pt idx="91">
                  <c:v>1841626</c:v>
                </c:pt>
                <c:pt idx="92">
                  <c:v>1841757</c:v>
                </c:pt>
                <c:pt idx="93">
                  <c:v>1841775</c:v>
                </c:pt>
                <c:pt idx="94">
                  <c:v>1845698</c:v>
                </c:pt>
                <c:pt idx="95">
                  <c:v>1845698</c:v>
                </c:pt>
                <c:pt idx="96">
                  <c:v>1845698</c:v>
                </c:pt>
                <c:pt idx="97">
                  <c:v>1858410</c:v>
                </c:pt>
                <c:pt idx="98">
                  <c:v>1861571</c:v>
                </c:pt>
                <c:pt idx="99">
                  <c:v>1861918</c:v>
                </c:pt>
                <c:pt idx="100">
                  <c:v>1861955</c:v>
                </c:pt>
                <c:pt idx="101">
                  <c:v>1867142</c:v>
                </c:pt>
                <c:pt idx="102">
                  <c:v>1871327</c:v>
                </c:pt>
                <c:pt idx="103">
                  <c:v>1875171</c:v>
                </c:pt>
                <c:pt idx="104">
                  <c:v>1875171</c:v>
                </c:pt>
                <c:pt idx="105">
                  <c:v>1880997</c:v>
                </c:pt>
                <c:pt idx="106">
                  <c:v>1886323</c:v>
                </c:pt>
                <c:pt idx="107">
                  <c:v>1886757</c:v>
                </c:pt>
                <c:pt idx="108">
                  <c:v>1887255</c:v>
                </c:pt>
                <c:pt idx="109">
                  <c:v>1891658</c:v>
                </c:pt>
                <c:pt idx="110">
                  <c:v>1894808</c:v>
                </c:pt>
                <c:pt idx="111">
                  <c:v>1898567</c:v>
                </c:pt>
                <c:pt idx="112">
                  <c:v>1902333</c:v>
                </c:pt>
                <c:pt idx="113">
                  <c:v>1907281</c:v>
                </c:pt>
                <c:pt idx="114">
                  <c:v>1911230</c:v>
                </c:pt>
                <c:pt idx="115">
                  <c:v>1912914</c:v>
                </c:pt>
                <c:pt idx="116">
                  <c:v>1917662</c:v>
                </c:pt>
                <c:pt idx="117">
                  <c:v>1920245</c:v>
                </c:pt>
                <c:pt idx="118">
                  <c:v>1924850</c:v>
                </c:pt>
                <c:pt idx="119">
                  <c:v>1929114</c:v>
                </c:pt>
                <c:pt idx="120">
                  <c:v>1931805</c:v>
                </c:pt>
                <c:pt idx="121">
                  <c:v>1935269</c:v>
                </c:pt>
                <c:pt idx="122">
                  <c:v>1935857</c:v>
                </c:pt>
                <c:pt idx="123">
                  <c:v>1938103</c:v>
                </c:pt>
                <c:pt idx="124">
                  <c:v>1943092</c:v>
                </c:pt>
                <c:pt idx="125">
                  <c:v>1945121</c:v>
                </c:pt>
                <c:pt idx="126">
                  <c:v>1950495</c:v>
                </c:pt>
                <c:pt idx="127">
                  <c:v>1951043</c:v>
                </c:pt>
                <c:pt idx="128">
                  <c:v>1951485</c:v>
                </c:pt>
                <c:pt idx="129">
                  <c:v>1951695</c:v>
                </c:pt>
                <c:pt idx="130">
                  <c:v>1952866</c:v>
                </c:pt>
                <c:pt idx="131">
                  <c:v>1965880</c:v>
                </c:pt>
                <c:pt idx="132">
                  <c:v>1970308</c:v>
                </c:pt>
                <c:pt idx="133">
                  <c:v>1976896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5-48B1-A41E-14D55D0C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77040"/>
        <c:axId val="114684016"/>
      </c:scatterChart>
      <c:valAx>
        <c:axId val="7417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4016"/>
        <c:crosses val="autoZero"/>
        <c:crossBetween val="midCat"/>
      </c:valAx>
      <c:valAx>
        <c:axId val="114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Grafik Vaksinasi 2 DKI Jakarta (x) vs Kematikan DKI</a:t>
            </a:r>
            <a:r>
              <a:rPr lang="en-ID" baseline="0"/>
              <a:t> Jakarta (y)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Vaksinasi!$I$141:$I$274</c:f>
              <c:numCache>
                <c:formatCode>General</c:formatCode>
                <c:ptCount val="134"/>
                <c:pt idx="0">
                  <c:v>91078</c:v>
                </c:pt>
                <c:pt idx="1">
                  <c:v>91379</c:v>
                </c:pt>
                <c:pt idx="2">
                  <c:v>93974</c:v>
                </c:pt>
                <c:pt idx="3">
                  <c:v>96978</c:v>
                </c:pt>
                <c:pt idx="4">
                  <c:v>119854</c:v>
                </c:pt>
                <c:pt idx="5">
                  <c:v>109554</c:v>
                </c:pt>
                <c:pt idx="6">
                  <c:v>109699</c:v>
                </c:pt>
                <c:pt idx="7">
                  <c:v>113038</c:v>
                </c:pt>
                <c:pt idx="8">
                  <c:v>114464</c:v>
                </c:pt>
                <c:pt idx="9">
                  <c:v>114621</c:v>
                </c:pt>
                <c:pt idx="10">
                  <c:v>124070</c:v>
                </c:pt>
                <c:pt idx="11">
                  <c:v>139204</c:v>
                </c:pt>
                <c:pt idx="12">
                  <c:v>159736</c:v>
                </c:pt>
                <c:pt idx="13">
                  <c:v>184432</c:v>
                </c:pt>
                <c:pt idx="14">
                  <c:v>199342</c:v>
                </c:pt>
                <c:pt idx="15">
                  <c:v>203266</c:v>
                </c:pt>
                <c:pt idx="16">
                  <c:v>204295</c:v>
                </c:pt>
                <c:pt idx="17">
                  <c:v>228255</c:v>
                </c:pt>
                <c:pt idx="18">
                  <c:v>258405</c:v>
                </c:pt>
                <c:pt idx="19">
                  <c:v>294083</c:v>
                </c:pt>
                <c:pt idx="20">
                  <c:v>311135</c:v>
                </c:pt>
                <c:pt idx="21">
                  <c:v>343272</c:v>
                </c:pt>
                <c:pt idx="22">
                  <c:v>351121</c:v>
                </c:pt>
                <c:pt idx="23">
                  <c:v>353105</c:v>
                </c:pt>
                <c:pt idx="24">
                  <c:v>388065</c:v>
                </c:pt>
                <c:pt idx="25">
                  <c:v>425325</c:v>
                </c:pt>
                <c:pt idx="26">
                  <c:v>458982</c:v>
                </c:pt>
                <c:pt idx="27">
                  <c:v>485734</c:v>
                </c:pt>
                <c:pt idx="28">
                  <c:v>490215</c:v>
                </c:pt>
                <c:pt idx="29">
                  <c:v>494227</c:v>
                </c:pt>
                <c:pt idx="30">
                  <c:v>498076</c:v>
                </c:pt>
                <c:pt idx="31">
                  <c:v>546103</c:v>
                </c:pt>
                <c:pt idx="32">
                  <c:v>580965</c:v>
                </c:pt>
                <c:pt idx="33">
                  <c:v>619311</c:v>
                </c:pt>
                <c:pt idx="34">
                  <c:v>644297</c:v>
                </c:pt>
                <c:pt idx="35">
                  <c:v>677132</c:v>
                </c:pt>
                <c:pt idx="36">
                  <c:v>687612</c:v>
                </c:pt>
                <c:pt idx="37">
                  <c:v>697480</c:v>
                </c:pt>
                <c:pt idx="38">
                  <c:v>728994</c:v>
                </c:pt>
                <c:pt idx="39">
                  <c:v>749172</c:v>
                </c:pt>
                <c:pt idx="40">
                  <c:v>783181</c:v>
                </c:pt>
                <c:pt idx="41">
                  <c:v>813687</c:v>
                </c:pt>
                <c:pt idx="42">
                  <c:v>840544</c:v>
                </c:pt>
                <c:pt idx="43">
                  <c:v>849048</c:v>
                </c:pt>
                <c:pt idx="44">
                  <c:v>857137</c:v>
                </c:pt>
                <c:pt idx="45">
                  <c:v>894069</c:v>
                </c:pt>
                <c:pt idx="46">
                  <c:v>911103</c:v>
                </c:pt>
                <c:pt idx="47">
                  <c:v>943905</c:v>
                </c:pt>
                <c:pt idx="48">
                  <c:v>995717</c:v>
                </c:pt>
                <c:pt idx="49">
                  <c:v>1028239</c:v>
                </c:pt>
                <c:pt idx="50">
                  <c:v>1046274</c:v>
                </c:pt>
                <c:pt idx="51">
                  <c:v>1059589</c:v>
                </c:pt>
                <c:pt idx="52">
                  <c:v>1104607</c:v>
                </c:pt>
                <c:pt idx="53">
                  <c:v>1242486</c:v>
                </c:pt>
                <c:pt idx="54">
                  <c:v>1182862</c:v>
                </c:pt>
                <c:pt idx="55">
                  <c:v>1214492</c:v>
                </c:pt>
                <c:pt idx="56">
                  <c:v>1231269</c:v>
                </c:pt>
                <c:pt idx="57">
                  <c:v>1245192</c:v>
                </c:pt>
                <c:pt idx="58">
                  <c:v>1256966</c:v>
                </c:pt>
                <c:pt idx="59">
                  <c:v>1287033</c:v>
                </c:pt>
                <c:pt idx="60">
                  <c:v>1313679</c:v>
                </c:pt>
                <c:pt idx="61">
                  <c:v>1339261</c:v>
                </c:pt>
                <c:pt idx="62">
                  <c:v>1366690</c:v>
                </c:pt>
                <c:pt idx="63">
                  <c:v>1395186</c:v>
                </c:pt>
                <c:pt idx="64">
                  <c:v>1405753</c:v>
                </c:pt>
                <c:pt idx="65">
                  <c:v>1415570</c:v>
                </c:pt>
                <c:pt idx="66">
                  <c:v>1445880</c:v>
                </c:pt>
                <c:pt idx="67">
                  <c:v>1461820</c:v>
                </c:pt>
                <c:pt idx="68">
                  <c:v>1469582</c:v>
                </c:pt>
                <c:pt idx="69">
                  <c:v>1469783</c:v>
                </c:pt>
                <c:pt idx="70">
                  <c:v>1470037</c:v>
                </c:pt>
                <c:pt idx="71">
                  <c:v>1477896</c:v>
                </c:pt>
                <c:pt idx="72">
                  <c:v>1483715</c:v>
                </c:pt>
                <c:pt idx="73">
                  <c:v>1510084</c:v>
                </c:pt>
                <c:pt idx="74">
                  <c:v>1540685</c:v>
                </c:pt>
                <c:pt idx="75">
                  <c:v>1566783</c:v>
                </c:pt>
                <c:pt idx="76">
                  <c:v>1599233</c:v>
                </c:pt>
                <c:pt idx="77">
                  <c:v>1627315</c:v>
                </c:pt>
                <c:pt idx="78">
                  <c:v>1644686</c:v>
                </c:pt>
                <c:pt idx="79">
                  <c:v>1656848</c:v>
                </c:pt>
                <c:pt idx="80">
                  <c:v>1663767</c:v>
                </c:pt>
                <c:pt idx="81">
                  <c:v>1704615</c:v>
                </c:pt>
                <c:pt idx="82">
                  <c:v>1732164</c:v>
                </c:pt>
                <c:pt idx="83">
                  <c:v>1770292</c:v>
                </c:pt>
                <c:pt idx="84">
                  <c:v>1773251</c:v>
                </c:pt>
                <c:pt idx="85">
                  <c:v>1773251</c:v>
                </c:pt>
                <c:pt idx="86">
                  <c:v>1775331</c:v>
                </c:pt>
                <c:pt idx="87">
                  <c:v>1797154</c:v>
                </c:pt>
                <c:pt idx="88">
                  <c:v>1804342</c:v>
                </c:pt>
                <c:pt idx="89">
                  <c:v>1829911</c:v>
                </c:pt>
                <c:pt idx="90">
                  <c:v>1834501</c:v>
                </c:pt>
                <c:pt idx="91">
                  <c:v>1841626</c:v>
                </c:pt>
                <c:pt idx="92">
                  <c:v>1841757</c:v>
                </c:pt>
                <c:pt idx="93">
                  <c:v>1841775</c:v>
                </c:pt>
                <c:pt idx="94">
                  <c:v>1845698</c:v>
                </c:pt>
                <c:pt idx="95">
                  <c:v>1845698</c:v>
                </c:pt>
                <c:pt idx="96">
                  <c:v>1845698</c:v>
                </c:pt>
                <c:pt idx="97">
                  <c:v>1858410</c:v>
                </c:pt>
                <c:pt idx="98">
                  <c:v>1861571</c:v>
                </c:pt>
                <c:pt idx="99">
                  <c:v>1861918</c:v>
                </c:pt>
                <c:pt idx="100">
                  <c:v>1861955</c:v>
                </c:pt>
                <c:pt idx="101">
                  <c:v>1867142</c:v>
                </c:pt>
                <c:pt idx="102">
                  <c:v>1871327</c:v>
                </c:pt>
                <c:pt idx="103">
                  <c:v>1875171</c:v>
                </c:pt>
                <c:pt idx="104">
                  <c:v>1875171</c:v>
                </c:pt>
                <c:pt idx="105">
                  <c:v>1880997</c:v>
                </c:pt>
                <c:pt idx="106">
                  <c:v>1886323</c:v>
                </c:pt>
                <c:pt idx="107">
                  <c:v>1886757</c:v>
                </c:pt>
                <c:pt idx="108">
                  <c:v>1887255</c:v>
                </c:pt>
                <c:pt idx="109">
                  <c:v>1891658</c:v>
                </c:pt>
                <c:pt idx="110">
                  <c:v>1894808</c:v>
                </c:pt>
                <c:pt idx="111">
                  <c:v>1898567</c:v>
                </c:pt>
                <c:pt idx="112">
                  <c:v>1902333</c:v>
                </c:pt>
                <c:pt idx="113">
                  <c:v>1907281</c:v>
                </c:pt>
                <c:pt idx="114">
                  <c:v>1911230</c:v>
                </c:pt>
                <c:pt idx="115">
                  <c:v>1912914</c:v>
                </c:pt>
                <c:pt idx="116">
                  <c:v>1917662</c:v>
                </c:pt>
                <c:pt idx="117">
                  <c:v>1920245</c:v>
                </c:pt>
                <c:pt idx="118">
                  <c:v>1924850</c:v>
                </c:pt>
                <c:pt idx="119">
                  <c:v>1929114</c:v>
                </c:pt>
                <c:pt idx="120">
                  <c:v>1931805</c:v>
                </c:pt>
                <c:pt idx="121">
                  <c:v>1935269</c:v>
                </c:pt>
                <c:pt idx="122">
                  <c:v>1935857</c:v>
                </c:pt>
                <c:pt idx="123">
                  <c:v>1938103</c:v>
                </c:pt>
                <c:pt idx="124">
                  <c:v>1943092</c:v>
                </c:pt>
                <c:pt idx="125">
                  <c:v>1945121</c:v>
                </c:pt>
                <c:pt idx="126">
                  <c:v>1950495</c:v>
                </c:pt>
                <c:pt idx="127">
                  <c:v>1951043</c:v>
                </c:pt>
                <c:pt idx="128">
                  <c:v>1951485</c:v>
                </c:pt>
                <c:pt idx="129">
                  <c:v>1951695</c:v>
                </c:pt>
                <c:pt idx="130">
                  <c:v>1952866</c:v>
                </c:pt>
                <c:pt idx="131">
                  <c:v>1965880</c:v>
                </c:pt>
                <c:pt idx="132">
                  <c:v>1970308</c:v>
                </c:pt>
                <c:pt idx="133">
                  <c:v>1976896</c:v>
                </c:pt>
              </c:numCache>
            </c:numRef>
          </c:xVal>
          <c:yVal>
            <c:numRef>
              <c:f>Vaksinasi!$J$141:$J$274</c:f>
              <c:numCache>
                <c:formatCode>General</c:formatCode>
                <c:ptCount val="134"/>
                <c:pt idx="0">
                  <c:v>5702</c:v>
                </c:pt>
                <c:pt idx="1">
                  <c:v>5748</c:v>
                </c:pt>
                <c:pt idx="2">
                  <c:v>5790</c:v>
                </c:pt>
                <c:pt idx="3">
                  <c:v>5838</c:v>
                </c:pt>
                <c:pt idx="4">
                  <c:v>5883</c:v>
                </c:pt>
                <c:pt idx="5">
                  <c:v>5923</c:v>
                </c:pt>
                <c:pt idx="6">
                  <c:v>5943</c:v>
                </c:pt>
                <c:pt idx="7">
                  <c:v>5969</c:v>
                </c:pt>
                <c:pt idx="8">
                  <c:v>5991</c:v>
                </c:pt>
                <c:pt idx="9">
                  <c:v>6026</c:v>
                </c:pt>
                <c:pt idx="10">
                  <c:v>6038</c:v>
                </c:pt>
                <c:pt idx="11">
                  <c:v>6062</c:v>
                </c:pt>
                <c:pt idx="12">
                  <c:v>6077</c:v>
                </c:pt>
                <c:pt idx="13">
                  <c:v>6100</c:v>
                </c:pt>
                <c:pt idx="14">
                  <c:v>6120</c:v>
                </c:pt>
                <c:pt idx="15">
                  <c:v>6143</c:v>
                </c:pt>
                <c:pt idx="16">
                  <c:v>6160</c:v>
                </c:pt>
                <c:pt idx="17">
                  <c:v>6179</c:v>
                </c:pt>
                <c:pt idx="18">
                  <c:v>6206</c:v>
                </c:pt>
                <c:pt idx="19">
                  <c:v>6224</c:v>
                </c:pt>
                <c:pt idx="20">
                  <c:v>6241</c:v>
                </c:pt>
                <c:pt idx="21">
                  <c:v>6260</c:v>
                </c:pt>
                <c:pt idx="22">
                  <c:v>6281</c:v>
                </c:pt>
                <c:pt idx="23">
                  <c:v>6304</c:v>
                </c:pt>
                <c:pt idx="24">
                  <c:v>6324</c:v>
                </c:pt>
                <c:pt idx="25">
                  <c:v>6327</c:v>
                </c:pt>
                <c:pt idx="26">
                  <c:v>6341</c:v>
                </c:pt>
                <c:pt idx="27">
                  <c:v>6344</c:v>
                </c:pt>
                <c:pt idx="28">
                  <c:v>6351</c:v>
                </c:pt>
                <c:pt idx="29">
                  <c:v>6356</c:v>
                </c:pt>
                <c:pt idx="30">
                  <c:v>6360</c:v>
                </c:pt>
                <c:pt idx="31">
                  <c:v>6372</c:v>
                </c:pt>
                <c:pt idx="32">
                  <c:v>6379</c:v>
                </c:pt>
                <c:pt idx="33">
                  <c:v>6391</c:v>
                </c:pt>
                <c:pt idx="34">
                  <c:v>6410</c:v>
                </c:pt>
                <c:pt idx="35">
                  <c:v>6424</c:v>
                </c:pt>
                <c:pt idx="36">
                  <c:v>6435</c:v>
                </c:pt>
                <c:pt idx="37">
                  <c:v>6450</c:v>
                </c:pt>
                <c:pt idx="38">
                  <c:v>6459</c:v>
                </c:pt>
                <c:pt idx="39">
                  <c:v>6482</c:v>
                </c:pt>
                <c:pt idx="40">
                  <c:v>6489</c:v>
                </c:pt>
                <c:pt idx="41">
                  <c:v>6504</c:v>
                </c:pt>
                <c:pt idx="42">
                  <c:v>6513</c:v>
                </c:pt>
                <c:pt idx="43">
                  <c:v>6520</c:v>
                </c:pt>
                <c:pt idx="44">
                  <c:v>6536</c:v>
                </c:pt>
                <c:pt idx="45">
                  <c:v>6558</c:v>
                </c:pt>
                <c:pt idx="46">
                  <c:v>6569</c:v>
                </c:pt>
                <c:pt idx="47">
                  <c:v>6587</c:v>
                </c:pt>
                <c:pt idx="48">
                  <c:v>6596</c:v>
                </c:pt>
                <c:pt idx="49">
                  <c:v>6612</c:v>
                </c:pt>
                <c:pt idx="50">
                  <c:v>6623</c:v>
                </c:pt>
                <c:pt idx="51">
                  <c:v>6645</c:v>
                </c:pt>
                <c:pt idx="52">
                  <c:v>6660</c:v>
                </c:pt>
                <c:pt idx="53">
                  <c:v>6679</c:v>
                </c:pt>
                <c:pt idx="54">
                  <c:v>6690</c:v>
                </c:pt>
                <c:pt idx="55">
                  <c:v>6710</c:v>
                </c:pt>
                <c:pt idx="56">
                  <c:v>6733</c:v>
                </c:pt>
                <c:pt idx="57">
                  <c:v>6747</c:v>
                </c:pt>
                <c:pt idx="58">
                  <c:v>6767</c:v>
                </c:pt>
                <c:pt idx="59">
                  <c:v>6788</c:v>
                </c:pt>
                <c:pt idx="60">
                  <c:v>6807</c:v>
                </c:pt>
                <c:pt idx="61">
                  <c:v>6830</c:v>
                </c:pt>
                <c:pt idx="62">
                  <c:v>6850</c:v>
                </c:pt>
                <c:pt idx="63">
                  <c:v>6872</c:v>
                </c:pt>
                <c:pt idx="64">
                  <c:v>6896</c:v>
                </c:pt>
                <c:pt idx="65">
                  <c:v>6911</c:v>
                </c:pt>
                <c:pt idx="66">
                  <c:v>6933</c:v>
                </c:pt>
                <c:pt idx="67">
                  <c:v>6952</c:v>
                </c:pt>
                <c:pt idx="68">
                  <c:v>6973</c:v>
                </c:pt>
                <c:pt idx="69">
                  <c:v>6973</c:v>
                </c:pt>
                <c:pt idx="70">
                  <c:v>7003</c:v>
                </c:pt>
                <c:pt idx="71">
                  <c:v>7066</c:v>
                </c:pt>
                <c:pt idx="72">
                  <c:v>7082</c:v>
                </c:pt>
                <c:pt idx="73">
                  <c:v>7107</c:v>
                </c:pt>
                <c:pt idx="74">
                  <c:v>7130</c:v>
                </c:pt>
                <c:pt idx="75">
                  <c:v>7149</c:v>
                </c:pt>
                <c:pt idx="76">
                  <c:v>7169</c:v>
                </c:pt>
                <c:pt idx="77">
                  <c:v>7184</c:v>
                </c:pt>
                <c:pt idx="78">
                  <c:v>7196</c:v>
                </c:pt>
                <c:pt idx="79">
                  <c:v>7207</c:v>
                </c:pt>
                <c:pt idx="80">
                  <c:v>7225</c:v>
                </c:pt>
                <c:pt idx="81">
                  <c:v>7239</c:v>
                </c:pt>
                <c:pt idx="82">
                  <c:v>7250</c:v>
                </c:pt>
                <c:pt idx="83">
                  <c:v>7271</c:v>
                </c:pt>
                <c:pt idx="84">
                  <c:v>7288</c:v>
                </c:pt>
                <c:pt idx="85">
                  <c:v>7296</c:v>
                </c:pt>
                <c:pt idx="86">
                  <c:v>7309</c:v>
                </c:pt>
                <c:pt idx="87">
                  <c:v>7327</c:v>
                </c:pt>
                <c:pt idx="88">
                  <c:v>7349</c:v>
                </c:pt>
                <c:pt idx="89">
                  <c:v>7361</c:v>
                </c:pt>
                <c:pt idx="90">
                  <c:v>7381</c:v>
                </c:pt>
                <c:pt idx="91">
                  <c:v>7402</c:v>
                </c:pt>
                <c:pt idx="92">
                  <c:v>7423</c:v>
                </c:pt>
                <c:pt idx="93">
                  <c:v>7438</c:v>
                </c:pt>
                <c:pt idx="94">
                  <c:v>7457</c:v>
                </c:pt>
                <c:pt idx="95">
                  <c:v>7478</c:v>
                </c:pt>
                <c:pt idx="96">
                  <c:v>7499</c:v>
                </c:pt>
                <c:pt idx="97">
                  <c:v>7523</c:v>
                </c:pt>
                <c:pt idx="98">
                  <c:v>7543</c:v>
                </c:pt>
                <c:pt idx="99">
                  <c:v>7557</c:v>
                </c:pt>
                <c:pt idx="100">
                  <c:v>7571</c:v>
                </c:pt>
                <c:pt idx="101">
                  <c:v>7609</c:v>
                </c:pt>
                <c:pt idx="102">
                  <c:v>7634</c:v>
                </c:pt>
                <c:pt idx="103">
                  <c:v>7665</c:v>
                </c:pt>
                <c:pt idx="104">
                  <c:v>7713</c:v>
                </c:pt>
                <c:pt idx="105">
                  <c:v>7777</c:v>
                </c:pt>
                <c:pt idx="106">
                  <c:v>7836</c:v>
                </c:pt>
                <c:pt idx="107">
                  <c:v>7905</c:v>
                </c:pt>
                <c:pt idx="108">
                  <c:v>7976</c:v>
                </c:pt>
                <c:pt idx="109">
                  <c:v>8014</c:v>
                </c:pt>
                <c:pt idx="110">
                  <c:v>8057</c:v>
                </c:pt>
                <c:pt idx="111">
                  <c:v>8107</c:v>
                </c:pt>
                <c:pt idx="112">
                  <c:v>8177</c:v>
                </c:pt>
                <c:pt idx="113">
                  <c:v>8220</c:v>
                </c:pt>
                <c:pt idx="114">
                  <c:v>8269</c:v>
                </c:pt>
                <c:pt idx="115">
                  <c:v>8348</c:v>
                </c:pt>
                <c:pt idx="116">
                  <c:v>8426</c:v>
                </c:pt>
                <c:pt idx="117">
                  <c:v>8486</c:v>
                </c:pt>
                <c:pt idx="118">
                  <c:v>8528</c:v>
                </c:pt>
                <c:pt idx="119">
                  <c:v>8547</c:v>
                </c:pt>
                <c:pt idx="120">
                  <c:v>8577</c:v>
                </c:pt>
                <c:pt idx="121">
                  <c:v>8652</c:v>
                </c:pt>
                <c:pt idx="122">
                  <c:v>8779</c:v>
                </c:pt>
                <c:pt idx="123">
                  <c:v>8861</c:v>
                </c:pt>
                <c:pt idx="124">
                  <c:v>9042</c:v>
                </c:pt>
                <c:pt idx="125">
                  <c:v>9110</c:v>
                </c:pt>
                <c:pt idx="126">
                  <c:v>9306</c:v>
                </c:pt>
                <c:pt idx="127">
                  <c:v>9357</c:v>
                </c:pt>
                <c:pt idx="128">
                  <c:v>9395</c:v>
                </c:pt>
                <c:pt idx="129">
                  <c:v>9462</c:v>
                </c:pt>
                <c:pt idx="130">
                  <c:v>9541</c:v>
                </c:pt>
                <c:pt idx="131">
                  <c:v>9603</c:v>
                </c:pt>
                <c:pt idx="132">
                  <c:v>9743</c:v>
                </c:pt>
                <c:pt idx="133">
                  <c:v>9845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9-4642-BDCF-5490EEE7A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99168"/>
        <c:axId val="68600000"/>
      </c:scatterChart>
      <c:valAx>
        <c:axId val="6859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00000"/>
        <c:crosses val="autoZero"/>
        <c:crossBetween val="midCat"/>
      </c:valAx>
      <c:valAx>
        <c:axId val="686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244938</xdr:colOff>
      <xdr:row>184</xdr:row>
      <xdr:rowOff>136080</xdr:rowOff>
    </xdr:from>
    <xdr:to>
      <xdr:col>5</xdr:col>
      <xdr:colOff>789224</xdr:colOff>
      <xdr:row>201</xdr:row>
      <xdr:rowOff>48994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8F372F-268F-4D00-8592-25953213F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875393</xdr:colOff>
      <xdr:row>162</xdr:row>
      <xdr:rowOff>179615</xdr:rowOff>
    </xdr:from>
    <xdr:to>
      <xdr:col>6</xdr:col>
      <xdr:colOff>412751</xdr:colOff>
      <xdr:row>179</xdr:row>
      <xdr:rowOff>19958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F804D-33B6-45C0-AE3F-BC92D5D8E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504"/>
  <sheetViews>
    <sheetView tabSelected="1" workbookViewId="0">
      <pane xSplit="1" ySplit="1" topLeftCell="B425" activePane="bottomRight" state="frozen"/>
      <selection pane="topRight" activeCell="B1" sqref="B1"/>
      <selection pane="bottomLeft" activeCell="A2" sqref="A2"/>
      <selection pane="bottomRight" activeCell="B436" sqref="B436"/>
    </sheetView>
  </sheetViews>
  <sheetFormatPr defaultColWidth="14.453125" defaultRowHeight="15.75" customHeight="1" x14ac:dyDescent="0.25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 x14ac:dyDescent="0.25">
      <c r="A2" s="2">
        <v>43891</v>
      </c>
      <c r="C2" s="3">
        <v>43891.75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L2" s="4">
        <v>0</v>
      </c>
      <c r="M2" s="4">
        <v>0</v>
      </c>
      <c r="N2" s="4">
        <v>0</v>
      </c>
    </row>
    <row r="3" spans="1:17" ht="15.75" customHeight="1" x14ac:dyDescent="0.25">
      <c r="A3" s="2">
        <v>43892</v>
      </c>
      <c r="C3" s="3">
        <v>43892.75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L3" s="4">
        <v>0</v>
      </c>
      <c r="M3" s="4">
        <v>0</v>
      </c>
      <c r="N3" s="4">
        <v>0</v>
      </c>
    </row>
    <row r="4" spans="1:17" ht="15.75" customHeight="1" x14ac:dyDescent="0.25">
      <c r="A4" s="2">
        <v>43893</v>
      </c>
      <c r="C4" s="3">
        <v>43893.75</v>
      </c>
      <c r="D4" s="4">
        <v>3</v>
      </c>
      <c r="E4" s="4">
        <v>0</v>
      </c>
      <c r="F4" s="4">
        <v>1</v>
      </c>
      <c r="G4" s="4">
        <v>0</v>
      </c>
      <c r="H4" s="4">
        <v>2</v>
      </c>
      <c r="L4" s="4">
        <v>3</v>
      </c>
      <c r="M4" s="4">
        <v>2</v>
      </c>
      <c r="N4" s="4">
        <v>0</v>
      </c>
    </row>
    <row r="5" spans="1:17" ht="15.75" customHeight="1" x14ac:dyDescent="0.25">
      <c r="A5" s="2">
        <v>43894</v>
      </c>
      <c r="C5" s="3">
        <v>43894.75</v>
      </c>
      <c r="D5" s="4">
        <v>3</v>
      </c>
      <c r="E5" s="4">
        <v>0</v>
      </c>
      <c r="F5" s="4">
        <v>1</v>
      </c>
      <c r="G5" s="4">
        <v>0</v>
      </c>
      <c r="H5" s="4">
        <v>2</v>
      </c>
      <c r="L5" s="4">
        <v>0</v>
      </c>
      <c r="M5" s="4">
        <v>2</v>
      </c>
      <c r="N5" s="4">
        <v>0</v>
      </c>
    </row>
    <row r="6" spans="1:17" ht="15.75" customHeight="1" x14ac:dyDescent="0.25">
      <c r="A6" s="2">
        <v>43895</v>
      </c>
      <c r="C6" s="3">
        <v>43895.75</v>
      </c>
      <c r="D6" s="4">
        <v>7</v>
      </c>
      <c r="E6" s="4">
        <v>0</v>
      </c>
      <c r="F6" s="4">
        <v>3</v>
      </c>
      <c r="G6" s="4">
        <v>0</v>
      </c>
      <c r="H6" s="4">
        <v>4</v>
      </c>
      <c r="L6" s="4">
        <v>4</v>
      </c>
      <c r="M6" s="4">
        <v>4</v>
      </c>
      <c r="N6" s="4">
        <v>0</v>
      </c>
    </row>
    <row r="7" spans="1:17" ht="15.75" customHeight="1" x14ac:dyDescent="0.25">
      <c r="A7" s="2">
        <v>43896</v>
      </c>
      <c r="C7" s="3">
        <v>43896.75</v>
      </c>
      <c r="D7" s="4">
        <v>7</v>
      </c>
      <c r="E7" s="4">
        <v>0</v>
      </c>
      <c r="F7" s="4">
        <v>3</v>
      </c>
      <c r="G7" s="4">
        <v>0</v>
      </c>
      <c r="H7" s="4">
        <v>4</v>
      </c>
      <c r="L7" s="4">
        <v>0</v>
      </c>
      <c r="M7" s="4">
        <v>4</v>
      </c>
      <c r="N7" s="4">
        <v>0</v>
      </c>
    </row>
    <row r="8" spans="1:17" ht="15.75" customHeight="1" x14ac:dyDescent="0.25">
      <c r="A8" s="2">
        <v>43897</v>
      </c>
      <c r="C8" s="3">
        <v>43897.75</v>
      </c>
      <c r="D8" s="4">
        <v>7</v>
      </c>
      <c r="E8" s="4">
        <v>0</v>
      </c>
      <c r="F8" s="4">
        <v>3</v>
      </c>
      <c r="G8" s="4">
        <v>0</v>
      </c>
      <c r="H8" s="4">
        <v>4</v>
      </c>
      <c r="L8" s="4">
        <v>0</v>
      </c>
      <c r="M8" s="4">
        <v>4</v>
      </c>
      <c r="N8" s="4">
        <v>0</v>
      </c>
    </row>
    <row r="9" spans="1:17" ht="15.75" customHeight="1" x14ac:dyDescent="0.25">
      <c r="A9" s="2">
        <v>43898</v>
      </c>
      <c r="C9" s="3">
        <v>43898.75</v>
      </c>
      <c r="D9" s="4">
        <v>7</v>
      </c>
      <c r="E9" s="4">
        <v>0</v>
      </c>
      <c r="F9" s="4">
        <v>3</v>
      </c>
      <c r="G9" s="4">
        <v>0</v>
      </c>
      <c r="H9" s="4">
        <v>4</v>
      </c>
      <c r="L9" s="4">
        <v>0</v>
      </c>
      <c r="M9" s="4">
        <v>4</v>
      </c>
      <c r="N9" s="4">
        <v>0</v>
      </c>
    </row>
    <row r="10" spans="1:17" ht="15.75" customHeight="1" x14ac:dyDescent="0.25">
      <c r="A10" s="2">
        <v>43899</v>
      </c>
      <c r="C10" s="3">
        <v>43899.75</v>
      </c>
      <c r="D10" s="4">
        <v>34</v>
      </c>
      <c r="E10" s="4">
        <v>0</v>
      </c>
      <c r="F10" s="4">
        <v>3</v>
      </c>
      <c r="G10" s="4">
        <v>0</v>
      </c>
      <c r="H10" s="4">
        <v>31</v>
      </c>
      <c r="L10" s="4">
        <v>27</v>
      </c>
      <c r="M10" s="4">
        <v>31</v>
      </c>
      <c r="N10" s="4">
        <v>0</v>
      </c>
    </row>
    <row r="11" spans="1:17" ht="15.75" customHeight="1" x14ac:dyDescent="0.25">
      <c r="A11" s="2">
        <v>43900</v>
      </c>
      <c r="C11" s="3">
        <v>43900.75</v>
      </c>
      <c r="D11" s="4">
        <v>34</v>
      </c>
      <c r="E11" s="4">
        <v>0</v>
      </c>
      <c r="F11" s="4">
        <v>3</v>
      </c>
      <c r="G11" s="4">
        <v>0</v>
      </c>
      <c r="H11" s="4">
        <v>31</v>
      </c>
      <c r="L11" s="4">
        <v>0</v>
      </c>
      <c r="M11" s="4">
        <v>31</v>
      </c>
      <c r="N11" s="4">
        <v>0</v>
      </c>
    </row>
    <row r="12" spans="1:17" ht="15.75" customHeight="1" x14ac:dyDescent="0.25">
      <c r="A12" s="2">
        <v>43901</v>
      </c>
      <c r="C12" s="3">
        <v>43901.75</v>
      </c>
      <c r="D12" s="4">
        <v>36</v>
      </c>
      <c r="E12" s="4">
        <v>0</v>
      </c>
      <c r="F12" s="4">
        <v>3</v>
      </c>
      <c r="G12" s="4">
        <v>0</v>
      </c>
      <c r="H12" s="4">
        <v>33</v>
      </c>
      <c r="L12" s="4">
        <v>2</v>
      </c>
      <c r="M12" s="4">
        <v>33</v>
      </c>
      <c r="N12" s="4">
        <v>0</v>
      </c>
    </row>
    <row r="13" spans="1:17" ht="15.75" customHeight="1" x14ac:dyDescent="0.25">
      <c r="A13" s="2">
        <v>43902</v>
      </c>
      <c r="C13" s="3">
        <v>43902.75</v>
      </c>
      <c r="D13" s="4">
        <v>62</v>
      </c>
      <c r="E13" s="4">
        <v>0</v>
      </c>
      <c r="F13" s="4">
        <v>5</v>
      </c>
      <c r="G13" s="4">
        <v>0</v>
      </c>
      <c r="H13" s="4">
        <v>57</v>
      </c>
      <c r="L13" s="4">
        <v>26</v>
      </c>
      <c r="M13" s="4">
        <v>57</v>
      </c>
      <c r="N13" s="4">
        <v>0</v>
      </c>
    </row>
    <row r="14" spans="1:17" ht="15.75" customHeight="1" x14ac:dyDescent="0.25">
      <c r="A14" s="2">
        <v>43903</v>
      </c>
      <c r="C14" s="3">
        <v>43903.75</v>
      </c>
      <c r="D14" s="4">
        <v>72</v>
      </c>
      <c r="E14" s="4">
        <v>0</v>
      </c>
      <c r="F14" s="4">
        <v>7</v>
      </c>
      <c r="G14" s="4">
        <v>0</v>
      </c>
      <c r="H14" s="4">
        <v>65</v>
      </c>
      <c r="L14" s="4">
        <v>10</v>
      </c>
      <c r="M14" s="4">
        <v>65</v>
      </c>
      <c r="N14" s="4">
        <v>0</v>
      </c>
    </row>
    <row r="15" spans="1:17" ht="15.75" customHeight="1" x14ac:dyDescent="0.25">
      <c r="A15" s="2">
        <v>43904</v>
      </c>
      <c r="C15" s="3">
        <v>43904.75</v>
      </c>
      <c r="D15" s="4">
        <v>79</v>
      </c>
      <c r="E15" s="4">
        <v>0</v>
      </c>
      <c r="F15" s="4">
        <v>9</v>
      </c>
      <c r="G15" s="4">
        <v>0</v>
      </c>
      <c r="H15" s="4">
        <v>70</v>
      </c>
      <c r="L15" s="4">
        <v>7</v>
      </c>
      <c r="M15" s="4">
        <v>70</v>
      </c>
      <c r="N15" s="4">
        <v>0</v>
      </c>
    </row>
    <row r="16" spans="1:17" ht="15.75" customHeight="1" x14ac:dyDescent="0.25">
      <c r="A16" s="2">
        <v>43905</v>
      </c>
      <c r="C16" s="3">
        <v>43905.75</v>
      </c>
      <c r="D16" s="4">
        <v>95</v>
      </c>
      <c r="E16" s="4">
        <v>0</v>
      </c>
      <c r="F16" s="4">
        <v>11</v>
      </c>
      <c r="G16" s="4">
        <v>0</v>
      </c>
      <c r="H16" s="4">
        <v>84</v>
      </c>
      <c r="L16" s="4">
        <v>16</v>
      </c>
      <c r="M16" s="4">
        <v>84</v>
      </c>
      <c r="N16" s="4">
        <v>0</v>
      </c>
    </row>
    <row r="17" spans="1:14" ht="15.75" customHeight="1" x14ac:dyDescent="0.25">
      <c r="A17" s="2">
        <v>43906</v>
      </c>
      <c r="C17" s="3">
        <v>43906.75</v>
      </c>
      <c r="D17" s="4">
        <v>97</v>
      </c>
      <c r="E17" s="4">
        <v>0</v>
      </c>
      <c r="F17" s="4">
        <v>12</v>
      </c>
      <c r="G17" s="4">
        <v>7</v>
      </c>
      <c r="H17" s="4">
        <v>78</v>
      </c>
      <c r="L17" s="4">
        <v>2</v>
      </c>
      <c r="M17" s="4">
        <v>85</v>
      </c>
      <c r="N17" s="4">
        <v>0</v>
      </c>
    </row>
    <row r="18" spans="1:14" ht="15.75" customHeight="1" x14ac:dyDescent="0.25">
      <c r="A18" s="2">
        <v>43907</v>
      </c>
      <c r="C18" s="3">
        <v>43907.75</v>
      </c>
      <c r="D18" s="4">
        <v>122</v>
      </c>
      <c r="E18" s="4">
        <v>0</v>
      </c>
      <c r="F18" s="4">
        <v>12</v>
      </c>
      <c r="G18" s="4">
        <v>27</v>
      </c>
      <c r="H18" s="4">
        <v>83</v>
      </c>
      <c r="L18" s="4">
        <v>25</v>
      </c>
      <c r="M18" s="4">
        <v>110</v>
      </c>
      <c r="N18" s="4">
        <v>0</v>
      </c>
    </row>
    <row r="19" spans="1:14" ht="15.75" customHeight="1" x14ac:dyDescent="0.25">
      <c r="A19" s="2">
        <v>43908</v>
      </c>
      <c r="C19" s="3">
        <v>43908.75</v>
      </c>
      <c r="D19" s="4">
        <v>160</v>
      </c>
      <c r="E19" s="4">
        <v>12</v>
      </c>
      <c r="F19" s="4">
        <v>15</v>
      </c>
      <c r="G19" s="4">
        <v>42</v>
      </c>
      <c r="H19" s="4">
        <v>91</v>
      </c>
      <c r="L19" s="4">
        <v>38</v>
      </c>
      <c r="M19" s="4">
        <v>133</v>
      </c>
      <c r="N19" s="4">
        <v>12</v>
      </c>
    </row>
    <row r="20" spans="1:14" ht="15.75" customHeight="1" x14ac:dyDescent="0.25">
      <c r="A20" s="2">
        <v>43909</v>
      </c>
      <c r="C20" s="3">
        <v>43909.75</v>
      </c>
      <c r="D20" s="4">
        <v>210</v>
      </c>
      <c r="E20" s="4">
        <v>13</v>
      </c>
      <c r="F20" s="4">
        <v>19</v>
      </c>
      <c r="G20" s="4">
        <v>57</v>
      </c>
      <c r="H20" s="4">
        <v>121</v>
      </c>
      <c r="L20" s="4">
        <v>50</v>
      </c>
      <c r="M20" s="4">
        <v>178</v>
      </c>
      <c r="N20" s="4">
        <v>1</v>
      </c>
    </row>
    <row r="21" spans="1:14" ht="15.75" customHeight="1" x14ac:dyDescent="0.25">
      <c r="A21" s="2">
        <v>43910</v>
      </c>
      <c r="B21" s="4">
        <v>18</v>
      </c>
      <c r="C21" s="3">
        <v>43910.75</v>
      </c>
      <c r="D21" s="4">
        <v>224</v>
      </c>
      <c r="E21" s="4">
        <v>13</v>
      </c>
      <c r="F21" s="4">
        <v>20</v>
      </c>
      <c r="G21" s="4">
        <v>66</v>
      </c>
      <c r="H21" s="4">
        <v>125</v>
      </c>
      <c r="J21" s="4">
        <v>345</v>
      </c>
      <c r="K21" s="4">
        <v>25</v>
      </c>
      <c r="L21" s="4">
        <v>14</v>
      </c>
      <c r="M21" s="4">
        <v>191</v>
      </c>
      <c r="N21" s="4">
        <v>0</v>
      </c>
    </row>
    <row r="22" spans="1:14" ht="15.75" customHeight="1" x14ac:dyDescent="0.25">
      <c r="A22" s="2">
        <v>43911</v>
      </c>
      <c r="B22" s="4">
        <v>8</v>
      </c>
      <c r="C22" s="3">
        <v>43911.333333333336</v>
      </c>
      <c r="D22" s="4">
        <v>268</v>
      </c>
      <c r="E22" s="4">
        <v>17</v>
      </c>
      <c r="F22" s="4">
        <v>23</v>
      </c>
      <c r="G22" s="4">
        <v>71</v>
      </c>
      <c r="H22" s="4">
        <v>157</v>
      </c>
      <c r="J22" s="4">
        <v>375</v>
      </c>
      <c r="K22" s="4">
        <v>28</v>
      </c>
      <c r="L22" s="4">
        <v>44</v>
      </c>
      <c r="M22" s="4">
        <v>228</v>
      </c>
      <c r="N22" s="4">
        <v>4</v>
      </c>
    </row>
    <row r="23" spans="1:14" ht="12.5" x14ac:dyDescent="0.25">
      <c r="A23" s="2">
        <v>43912</v>
      </c>
      <c r="B23" s="4">
        <v>8</v>
      </c>
      <c r="C23" s="3">
        <v>43912.333333333336</v>
      </c>
      <c r="D23" s="4">
        <v>304</v>
      </c>
      <c r="E23" s="4">
        <v>21</v>
      </c>
      <c r="F23" s="4">
        <v>29</v>
      </c>
      <c r="G23" s="4">
        <v>77</v>
      </c>
      <c r="H23" s="4">
        <v>177</v>
      </c>
      <c r="J23" s="4">
        <v>393</v>
      </c>
      <c r="K23" s="4">
        <v>37</v>
      </c>
      <c r="L23" s="4">
        <v>36</v>
      </c>
      <c r="M23" s="4">
        <v>254</v>
      </c>
      <c r="N23" s="4">
        <v>4</v>
      </c>
    </row>
    <row r="24" spans="1:14" ht="12.5" x14ac:dyDescent="0.25">
      <c r="A24" s="2">
        <v>43913</v>
      </c>
      <c r="B24" s="4">
        <v>8</v>
      </c>
      <c r="C24" s="3">
        <v>43913.333333333336</v>
      </c>
      <c r="D24" s="4">
        <v>355</v>
      </c>
      <c r="E24" s="4">
        <v>22</v>
      </c>
      <c r="F24" s="4">
        <v>29</v>
      </c>
      <c r="G24" s="4">
        <v>79</v>
      </c>
      <c r="H24" s="4">
        <v>225</v>
      </c>
      <c r="J24" s="4">
        <v>431</v>
      </c>
      <c r="K24" s="4">
        <v>42</v>
      </c>
      <c r="L24" s="4">
        <v>51</v>
      </c>
      <c r="M24" s="4">
        <v>304</v>
      </c>
      <c r="N24" s="4">
        <v>1</v>
      </c>
    </row>
    <row r="25" spans="1:14" ht="12.5" x14ac:dyDescent="0.25">
      <c r="A25" s="2">
        <v>43914</v>
      </c>
      <c r="B25" s="4">
        <v>18</v>
      </c>
      <c r="C25" s="3">
        <v>43914.75</v>
      </c>
      <c r="D25" s="4">
        <v>426</v>
      </c>
      <c r="E25" s="4">
        <v>23</v>
      </c>
      <c r="F25" s="4">
        <v>34</v>
      </c>
      <c r="G25" s="4">
        <v>109</v>
      </c>
      <c r="H25" s="4">
        <v>260</v>
      </c>
      <c r="J25" s="4">
        <v>445</v>
      </c>
      <c r="K25" s="4">
        <v>44</v>
      </c>
      <c r="L25" s="4">
        <v>71</v>
      </c>
      <c r="M25" s="4">
        <v>369</v>
      </c>
      <c r="N25" s="4">
        <v>1</v>
      </c>
    </row>
    <row r="26" spans="1:14" ht="12.5" x14ac:dyDescent="0.25">
      <c r="A26" s="2">
        <v>43915</v>
      </c>
      <c r="B26" s="4">
        <v>18</v>
      </c>
      <c r="C26" s="3">
        <v>43915.75</v>
      </c>
      <c r="D26" s="4">
        <v>472</v>
      </c>
      <c r="E26" s="4">
        <v>27</v>
      </c>
      <c r="F26" s="4">
        <v>43</v>
      </c>
      <c r="G26" s="4">
        <v>112</v>
      </c>
      <c r="H26" s="4">
        <v>290</v>
      </c>
      <c r="J26" s="4">
        <v>479</v>
      </c>
      <c r="K26" s="4">
        <v>47</v>
      </c>
      <c r="L26" s="4">
        <v>46</v>
      </c>
      <c r="M26" s="4">
        <v>402</v>
      </c>
      <c r="N26" s="4">
        <v>4</v>
      </c>
    </row>
    <row r="27" spans="1:14" ht="12.5" x14ac:dyDescent="0.25">
      <c r="A27" s="2">
        <v>43916</v>
      </c>
      <c r="B27" s="4">
        <v>18</v>
      </c>
      <c r="C27" s="3">
        <v>43916.75</v>
      </c>
      <c r="D27" s="4">
        <v>515</v>
      </c>
      <c r="E27" s="4">
        <v>29</v>
      </c>
      <c r="F27" s="4">
        <v>49</v>
      </c>
      <c r="G27" s="4">
        <v>113</v>
      </c>
      <c r="H27" s="4">
        <v>324</v>
      </c>
      <c r="L27" s="4">
        <v>43</v>
      </c>
      <c r="M27" s="4">
        <v>437</v>
      </c>
      <c r="N27" s="4">
        <v>2</v>
      </c>
    </row>
    <row r="28" spans="1:14" ht="12.5" x14ac:dyDescent="0.25">
      <c r="A28" s="2">
        <v>43917</v>
      </c>
      <c r="B28" s="4">
        <v>18</v>
      </c>
      <c r="C28" s="3">
        <v>43917.75</v>
      </c>
      <c r="D28" s="4">
        <v>566</v>
      </c>
      <c r="E28" s="4">
        <v>31</v>
      </c>
      <c r="F28" s="4">
        <v>57</v>
      </c>
      <c r="G28" s="4">
        <v>132</v>
      </c>
      <c r="H28" s="4">
        <v>346</v>
      </c>
      <c r="L28" s="4">
        <v>51</v>
      </c>
      <c r="M28" s="4">
        <v>478</v>
      </c>
      <c r="N28" s="4">
        <v>2</v>
      </c>
    </row>
    <row r="29" spans="1:14" ht="12.5" x14ac:dyDescent="0.25">
      <c r="A29" s="2">
        <v>43918</v>
      </c>
      <c r="B29" s="4">
        <v>18</v>
      </c>
      <c r="C29" s="3">
        <v>43918.75</v>
      </c>
      <c r="D29" s="4">
        <v>603</v>
      </c>
      <c r="E29" s="4">
        <v>43</v>
      </c>
      <c r="F29" s="4">
        <v>62</v>
      </c>
      <c r="G29" s="4">
        <v>134</v>
      </c>
      <c r="H29" s="4">
        <v>364</v>
      </c>
      <c r="L29" s="4">
        <v>37</v>
      </c>
      <c r="M29" s="4">
        <v>498</v>
      </c>
      <c r="N29" s="4">
        <v>12</v>
      </c>
    </row>
    <row r="30" spans="1:14" ht="12.5" x14ac:dyDescent="0.25">
      <c r="A30" s="2">
        <v>43919</v>
      </c>
      <c r="B30" s="4">
        <v>18</v>
      </c>
      <c r="C30" s="3">
        <v>43919.75</v>
      </c>
      <c r="D30" s="4">
        <v>701</v>
      </c>
      <c r="E30" s="4">
        <v>48</v>
      </c>
      <c r="F30" s="4">
        <v>67</v>
      </c>
      <c r="G30" s="4">
        <v>151</v>
      </c>
      <c r="H30" s="4">
        <v>435</v>
      </c>
      <c r="L30" s="4">
        <v>98</v>
      </c>
      <c r="M30" s="4">
        <v>586</v>
      </c>
      <c r="N30" s="4">
        <v>5</v>
      </c>
    </row>
    <row r="31" spans="1:14" ht="12.5" x14ac:dyDescent="0.25">
      <c r="A31" s="2">
        <v>43920</v>
      </c>
      <c r="B31" s="4">
        <v>18</v>
      </c>
      <c r="C31" s="3">
        <v>43920.75</v>
      </c>
      <c r="D31" s="4">
        <v>727</v>
      </c>
      <c r="E31" s="4">
        <v>49</v>
      </c>
      <c r="F31" s="4">
        <v>78</v>
      </c>
      <c r="G31" s="4">
        <v>151</v>
      </c>
      <c r="H31" s="4">
        <v>449</v>
      </c>
      <c r="L31" s="4">
        <v>26</v>
      </c>
      <c r="M31" s="4">
        <v>600</v>
      </c>
      <c r="N31" s="4">
        <v>1</v>
      </c>
    </row>
    <row r="32" spans="1:14" ht="12.5" x14ac:dyDescent="0.25">
      <c r="A32" s="2">
        <v>43921</v>
      </c>
      <c r="B32" s="4">
        <v>18</v>
      </c>
      <c r="C32" s="3">
        <v>43921.75</v>
      </c>
      <c r="D32" s="4">
        <v>741</v>
      </c>
      <c r="E32" s="4">
        <v>49</v>
      </c>
      <c r="F32" s="4">
        <v>84</v>
      </c>
      <c r="G32" s="4">
        <v>157</v>
      </c>
      <c r="H32" s="4">
        <v>451</v>
      </c>
      <c r="L32" s="4">
        <v>14</v>
      </c>
      <c r="M32" s="4">
        <v>608</v>
      </c>
      <c r="N32" s="4">
        <v>0</v>
      </c>
    </row>
    <row r="33" spans="1:14" ht="12.5" x14ac:dyDescent="0.25">
      <c r="A33" s="2">
        <v>43922</v>
      </c>
      <c r="B33" s="4">
        <v>18</v>
      </c>
      <c r="C33" s="3">
        <v>43922.75</v>
      </c>
      <c r="D33" s="4">
        <v>816</v>
      </c>
      <c r="E33" s="4">
        <v>51</v>
      </c>
      <c r="F33" s="4">
        <v>90</v>
      </c>
      <c r="G33" s="4">
        <v>176</v>
      </c>
      <c r="H33" s="4">
        <v>499</v>
      </c>
      <c r="L33" s="4">
        <v>75</v>
      </c>
      <c r="M33" s="4">
        <v>675</v>
      </c>
      <c r="N33" s="4">
        <v>2</v>
      </c>
    </row>
    <row r="34" spans="1:14" ht="12.5" x14ac:dyDescent="0.25">
      <c r="A34" s="2">
        <v>43923</v>
      </c>
      <c r="B34" s="4">
        <v>18</v>
      </c>
      <c r="C34" s="3">
        <v>43923.75</v>
      </c>
      <c r="D34" s="4">
        <v>909</v>
      </c>
      <c r="E34" s="4">
        <v>54</v>
      </c>
      <c r="F34" s="4">
        <v>95</v>
      </c>
      <c r="G34" s="4">
        <v>195</v>
      </c>
      <c r="H34" s="4">
        <v>565</v>
      </c>
      <c r="L34" s="4">
        <v>93</v>
      </c>
      <c r="M34" s="4">
        <v>760</v>
      </c>
      <c r="N34" s="4">
        <v>3</v>
      </c>
    </row>
    <row r="35" spans="1:14" ht="12.5" x14ac:dyDescent="0.25">
      <c r="A35" s="2">
        <v>43924</v>
      </c>
      <c r="B35" s="4">
        <v>8</v>
      </c>
      <c r="C35" s="3">
        <v>43924.333333333336</v>
      </c>
      <c r="D35" s="4">
        <v>990</v>
      </c>
      <c r="E35" s="4">
        <v>56</v>
      </c>
      <c r="F35" s="4">
        <v>98</v>
      </c>
      <c r="G35" s="4">
        <v>209</v>
      </c>
      <c r="H35" s="4">
        <v>627</v>
      </c>
      <c r="L35" s="4">
        <v>81</v>
      </c>
      <c r="M35" s="4">
        <v>836</v>
      </c>
      <c r="N35" s="4">
        <v>2</v>
      </c>
    </row>
    <row r="36" spans="1:14" ht="12.5" x14ac:dyDescent="0.25">
      <c r="A36" s="2">
        <v>43925</v>
      </c>
      <c r="B36" s="4">
        <v>18</v>
      </c>
      <c r="C36" s="3">
        <v>43925.75</v>
      </c>
      <c r="D36" s="4">
        <v>1071</v>
      </c>
      <c r="E36" s="4">
        <v>58</v>
      </c>
      <c r="F36" s="4">
        <v>99</v>
      </c>
      <c r="G36" s="4">
        <v>223</v>
      </c>
      <c r="H36" s="4">
        <v>691</v>
      </c>
      <c r="L36" s="4">
        <v>81</v>
      </c>
      <c r="M36" s="4">
        <v>914</v>
      </c>
      <c r="N36" s="4">
        <v>2</v>
      </c>
    </row>
    <row r="37" spans="1:14" ht="12.5" x14ac:dyDescent="0.25">
      <c r="A37" s="2">
        <v>43926</v>
      </c>
      <c r="B37" s="4">
        <v>18</v>
      </c>
      <c r="C37" s="3">
        <v>43926.75</v>
      </c>
      <c r="D37" s="4">
        <v>1151</v>
      </c>
      <c r="E37" s="4">
        <v>64</v>
      </c>
      <c r="F37" s="4">
        <v>123</v>
      </c>
      <c r="G37" s="4">
        <v>279</v>
      </c>
      <c r="H37" s="4">
        <v>685</v>
      </c>
      <c r="L37" s="4">
        <v>80</v>
      </c>
      <c r="M37" s="4">
        <v>964</v>
      </c>
      <c r="N37" s="4">
        <v>6</v>
      </c>
    </row>
    <row r="38" spans="1:14" ht="12.5" x14ac:dyDescent="0.25">
      <c r="A38" s="2">
        <v>43927</v>
      </c>
      <c r="B38" s="4">
        <v>18</v>
      </c>
      <c r="C38" s="3">
        <v>43927.75</v>
      </c>
      <c r="D38" s="4">
        <v>1299</v>
      </c>
      <c r="E38" s="4">
        <v>68</v>
      </c>
      <c r="F38" s="4">
        <v>131</v>
      </c>
      <c r="G38" s="4">
        <v>317</v>
      </c>
      <c r="H38" s="4">
        <v>783</v>
      </c>
      <c r="L38" s="4">
        <v>148</v>
      </c>
      <c r="M38" s="4">
        <v>1100</v>
      </c>
      <c r="N38" s="4">
        <v>4</v>
      </c>
    </row>
    <row r="39" spans="1:14" ht="12.5" x14ac:dyDescent="0.25">
      <c r="A39" s="2">
        <v>43928</v>
      </c>
      <c r="B39" s="4">
        <v>18</v>
      </c>
      <c r="C39" s="3">
        <v>43928.75</v>
      </c>
      <c r="D39" s="4">
        <v>1443</v>
      </c>
      <c r="E39" s="4">
        <v>69</v>
      </c>
      <c r="F39" s="4">
        <v>141</v>
      </c>
      <c r="G39" s="4">
        <v>338</v>
      </c>
      <c r="H39" s="4">
        <v>895</v>
      </c>
      <c r="L39" s="4">
        <v>144</v>
      </c>
      <c r="M39" s="4">
        <v>1233</v>
      </c>
      <c r="N39" s="4">
        <v>1</v>
      </c>
    </row>
    <row r="40" spans="1:14" ht="12.5" x14ac:dyDescent="0.25">
      <c r="A40" s="2">
        <v>43929</v>
      </c>
      <c r="B40" s="4">
        <v>18</v>
      </c>
      <c r="C40" s="3">
        <v>43929.75</v>
      </c>
      <c r="D40" s="4">
        <v>1552</v>
      </c>
      <c r="E40" s="4">
        <v>75</v>
      </c>
      <c r="F40" s="4">
        <v>144</v>
      </c>
      <c r="G40" s="4">
        <v>357</v>
      </c>
      <c r="H40" s="4">
        <v>976</v>
      </c>
      <c r="L40" s="4">
        <v>109</v>
      </c>
      <c r="M40" s="4">
        <v>1333</v>
      </c>
      <c r="N40" s="4">
        <v>6</v>
      </c>
    </row>
    <row r="41" spans="1:14" ht="12.5" x14ac:dyDescent="0.25">
      <c r="A41" s="2">
        <v>43930</v>
      </c>
      <c r="B41" s="4">
        <v>18</v>
      </c>
      <c r="C41" s="3">
        <v>43930.75</v>
      </c>
      <c r="D41" s="4">
        <v>1719</v>
      </c>
      <c r="E41" s="4">
        <v>82</v>
      </c>
      <c r="F41" s="4">
        <v>155</v>
      </c>
      <c r="G41" s="4">
        <v>405</v>
      </c>
      <c r="H41" s="4">
        <v>1077</v>
      </c>
      <c r="L41" s="4">
        <v>167</v>
      </c>
      <c r="M41" s="4">
        <v>1482</v>
      </c>
      <c r="N41" s="4">
        <v>7</v>
      </c>
    </row>
    <row r="42" spans="1:14" ht="12.5" x14ac:dyDescent="0.25">
      <c r="A42" s="2">
        <v>43931</v>
      </c>
      <c r="B42" s="4">
        <v>18</v>
      </c>
      <c r="C42" s="3">
        <v>43931.75</v>
      </c>
      <c r="D42" s="4">
        <v>1810</v>
      </c>
      <c r="E42" s="4">
        <v>82</v>
      </c>
      <c r="F42" s="4">
        <v>156</v>
      </c>
      <c r="G42" s="4">
        <v>433</v>
      </c>
      <c r="H42" s="4">
        <v>1139</v>
      </c>
      <c r="L42" s="4">
        <v>91</v>
      </c>
      <c r="M42" s="4">
        <v>1572</v>
      </c>
      <c r="N42" s="4">
        <v>0</v>
      </c>
    </row>
    <row r="43" spans="1:14" ht="12.5" x14ac:dyDescent="0.25">
      <c r="A43" s="2">
        <v>43932</v>
      </c>
      <c r="B43" s="4">
        <v>8</v>
      </c>
      <c r="C43" s="3">
        <v>43932.333333333336</v>
      </c>
      <c r="D43" s="4">
        <v>1903</v>
      </c>
      <c r="E43" s="4">
        <v>142</v>
      </c>
      <c r="F43" s="4">
        <v>168</v>
      </c>
      <c r="G43" s="4">
        <v>441</v>
      </c>
      <c r="H43" s="4">
        <v>1152</v>
      </c>
      <c r="L43" s="4">
        <v>93</v>
      </c>
      <c r="M43" s="4">
        <v>1593</v>
      </c>
      <c r="N43" s="4">
        <v>60</v>
      </c>
    </row>
    <row r="44" spans="1:14" ht="12.5" x14ac:dyDescent="0.25">
      <c r="A44" s="2">
        <v>43933</v>
      </c>
      <c r="B44" s="4">
        <v>8</v>
      </c>
      <c r="C44" s="3">
        <v>43933.333333333336</v>
      </c>
      <c r="D44" s="4">
        <v>2082</v>
      </c>
      <c r="E44" s="4">
        <v>142</v>
      </c>
      <c r="F44" s="4">
        <v>195</v>
      </c>
      <c r="G44" s="4">
        <v>468</v>
      </c>
      <c r="H44" s="4">
        <v>1277</v>
      </c>
      <c r="L44" s="4">
        <v>179</v>
      </c>
      <c r="M44" s="4">
        <v>1745</v>
      </c>
      <c r="N44" s="4">
        <v>0</v>
      </c>
    </row>
    <row r="45" spans="1:14" ht="12.5" x14ac:dyDescent="0.25">
      <c r="A45" s="2">
        <v>43934</v>
      </c>
      <c r="B45" s="4">
        <v>8</v>
      </c>
      <c r="C45" s="3">
        <v>43934.333333333336</v>
      </c>
      <c r="D45" s="4">
        <v>2242</v>
      </c>
      <c r="E45" s="4">
        <v>142</v>
      </c>
      <c r="F45" s="4">
        <v>209</v>
      </c>
      <c r="G45" s="4">
        <v>521</v>
      </c>
      <c r="H45" s="4">
        <v>1370</v>
      </c>
      <c r="L45" s="4">
        <v>160</v>
      </c>
      <c r="M45" s="4">
        <v>1891</v>
      </c>
      <c r="N45" s="4">
        <v>0</v>
      </c>
    </row>
    <row r="46" spans="1:14" ht="12.5" x14ac:dyDescent="0.25">
      <c r="A46" s="2">
        <v>43935</v>
      </c>
      <c r="B46" s="4">
        <v>8</v>
      </c>
      <c r="C46" s="3">
        <v>43935.333333333336</v>
      </c>
      <c r="D46" s="4">
        <v>2349</v>
      </c>
      <c r="E46" s="4">
        <v>163</v>
      </c>
      <c r="F46" s="4">
        <v>243</v>
      </c>
      <c r="G46" s="4">
        <v>558</v>
      </c>
      <c r="H46" s="4">
        <v>1385</v>
      </c>
      <c r="L46" s="4">
        <v>107</v>
      </c>
      <c r="M46" s="4">
        <v>1943</v>
      </c>
      <c r="N46" s="4">
        <v>21</v>
      </c>
    </row>
    <row r="47" spans="1:14" ht="12.5" x14ac:dyDescent="0.25">
      <c r="A47" s="2">
        <v>43936</v>
      </c>
      <c r="B47" s="4">
        <v>8</v>
      </c>
      <c r="C47" s="3">
        <v>43936.333333333336</v>
      </c>
      <c r="D47" s="4">
        <v>2447</v>
      </c>
      <c r="E47" s="4">
        <v>164</v>
      </c>
      <c r="F47" s="4">
        <v>246</v>
      </c>
      <c r="G47" s="4">
        <v>613</v>
      </c>
      <c r="H47" s="4">
        <v>1424</v>
      </c>
      <c r="L47" s="4">
        <v>98</v>
      </c>
      <c r="M47" s="4">
        <v>2037</v>
      </c>
      <c r="N47" s="4">
        <v>1</v>
      </c>
    </row>
    <row r="48" spans="1:14" ht="12.5" x14ac:dyDescent="0.25">
      <c r="A48" s="2">
        <v>43937</v>
      </c>
      <c r="B48" s="4">
        <v>8</v>
      </c>
      <c r="C48" s="3">
        <v>43937.333333333336</v>
      </c>
      <c r="D48" s="4">
        <v>2670</v>
      </c>
      <c r="E48" s="4">
        <v>202</v>
      </c>
      <c r="F48" s="4">
        <v>248</v>
      </c>
      <c r="G48" s="4">
        <v>619</v>
      </c>
      <c r="H48" s="4">
        <v>1601</v>
      </c>
      <c r="L48" s="4">
        <v>223</v>
      </c>
      <c r="M48" s="4">
        <v>2220</v>
      </c>
      <c r="N48" s="4">
        <v>38</v>
      </c>
    </row>
    <row r="49" spans="1:14" ht="12.5" x14ac:dyDescent="0.25">
      <c r="A49" s="2">
        <v>43938</v>
      </c>
      <c r="B49" s="4">
        <v>8</v>
      </c>
      <c r="C49" s="3">
        <v>43938.333333333336</v>
      </c>
      <c r="D49" s="4">
        <v>2823</v>
      </c>
      <c r="E49" s="4">
        <v>203</v>
      </c>
      <c r="F49" s="4">
        <v>250</v>
      </c>
      <c r="G49" s="4">
        <v>643</v>
      </c>
      <c r="H49" s="4">
        <v>1727</v>
      </c>
      <c r="L49" s="4">
        <v>153</v>
      </c>
      <c r="M49" s="4">
        <v>2370</v>
      </c>
      <c r="N49" s="4">
        <v>1</v>
      </c>
    </row>
    <row r="50" spans="1:14" ht="12.5" x14ac:dyDescent="0.25">
      <c r="A50" s="2">
        <v>43939</v>
      </c>
      <c r="B50" s="4">
        <v>8</v>
      </c>
      <c r="C50" s="3">
        <v>43939.333333333336</v>
      </c>
      <c r="D50" s="4">
        <v>2902</v>
      </c>
      <c r="E50" s="4">
        <v>206</v>
      </c>
      <c r="F50" s="4">
        <v>257</v>
      </c>
      <c r="G50" s="4">
        <v>670</v>
      </c>
      <c r="H50" s="4">
        <v>1769</v>
      </c>
      <c r="L50" s="4">
        <v>79</v>
      </c>
      <c r="M50" s="4">
        <v>2439</v>
      </c>
      <c r="N50" s="4">
        <v>3</v>
      </c>
    </row>
    <row r="51" spans="1:14" ht="12.5" x14ac:dyDescent="0.25">
      <c r="A51" s="2">
        <v>43940</v>
      </c>
      <c r="B51" s="4">
        <v>8</v>
      </c>
      <c r="C51" s="3">
        <v>43940.333333333336</v>
      </c>
      <c r="D51" s="4">
        <v>3033</v>
      </c>
      <c r="E51" s="4">
        <v>207</v>
      </c>
      <c r="F51" s="4">
        <v>292</v>
      </c>
      <c r="G51" s="4">
        <v>695</v>
      </c>
      <c r="H51" s="4">
        <v>1839</v>
      </c>
      <c r="L51" s="4">
        <v>131</v>
      </c>
      <c r="M51" s="4">
        <v>2534</v>
      </c>
      <c r="N51" s="4">
        <v>1</v>
      </c>
    </row>
    <row r="52" spans="1:14" ht="12.5" x14ac:dyDescent="0.25">
      <c r="A52" s="2">
        <v>43941</v>
      </c>
      <c r="B52" s="4">
        <v>8</v>
      </c>
      <c r="C52" s="3">
        <v>43941.333333333336</v>
      </c>
      <c r="D52" s="4">
        <v>3112</v>
      </c>
      <c r="E52" s="4">
        <v>237</v>
      </c>
      <c r="F52" s="4">
        <v>297</v>
      </c>
      <c r="G52" s="4">
        <v>752</v>
      </c>
      <c r="H52" s="4">
        <v>1826</v>
      </c>
      <c r="L52" s="4">
        <v>79</v>
      </c>
      <c r="M52" s="4">
        <v>2578</v>
      </c>
      <c r="N52" s="4">
        <v>30</v>
      </c>
    </row>
    <row r="53" spans="1:14" ht="12.5" x14ac:dyDescent="0.25">
      <c r="A53" s="2">
        <v>43942</v>
      </c>
      <c r="B53" s="4">
        <v>8</v>
      </c>
      <c r="C53" s="3">
        <v>43942.333333333336</v>
      </c>
      <c r="D53" s="4">
        <v>3279</v>
      </c>
      <c r="E53" s="4">
        <v>286</v>
      </c>
      <c r="F53" s="4">
        <v>305</v>
      </c>
      <c r="G53" s="4">
        <v>753</v>
      </c>
      <c r="H53" s="4">
        <v>1935</v>
      </c>
      <c r="L53" s="4">
        <v>167</v>
      </c>
      <c r="M53" s="4">
        <v>2688</v>
      </c>
      <c r="N53" s="4">
        <v>49</v>
      </c>
    </row>
    <row r="54" spans="1:14" ht="12.5" x14ac:dyDescent="0.25">
      <c r="A54" s="2">
        <v>43943</v>
      </c>
      <c r="B54" s="4">
        <v>8</v>
      </c>
      <c r="C54" s="3">
        <v>43943.333333333336</v>
      </c>
      <c r="D54" s="4">
        <v>3399</v>
      </c>
      <c r="E54" s="4">
        <v>291</v>
      </c>
      <c r="F54" s="4">
        <v>308</v>
      </c>
      <c r="G54" s="4">
        <v>815</v>
      </c>
      <c r="H54" s="4">
        <v>1985</v>
      </c>
      <c r="L54" s="4">
        <v>120</v>
      </c>
      <c r="M54" s="4">
        <v>2800</v>
      </c>
      <c r="N54" s="4">
        <v>5</v>
      </c>
    </row>
    <row r="55" spans="1:14" ht="12.5" x14ac:dyDescent="0.25">
      <c r="A55" s="2">
        <v>43944</v>
      </c>
      <c r="B55" s="4">
        <v>8</v>
      </c>
      <c r="C55" s="3">
        <v>43944.333333333336</v>
      </c>
      <c r="D55" s="4">
        <v>3506</v>
      </c>
      <c r="E55" s="4">
        <v>292</v>
      </c>
      <c r="F55" s="4">
        <v>316</v>
      </c>
      <c r="G55" s="4">
        <v>888</v>
      </c>
      <c r="H55" s="4">
        <v>2010</v>
      </c>
      <c r="L55" s="4">
        <v>107</v>
      </c>
      <c r="M55" s="4">
        <v>2898</v>
      </c>
      <c r="N55" s="4">
        <v>1</v>
      </c>
    </row>
    <row r="56" spans="1:14" ht="12.5" x14ac:dyDescent="0.25">
      <c r="A56" s="2">
        <v>43945</v>
      </c>
      <c r="B56" s="4">
        <v>8</v>
      </c>
      <c r="C56" s="3">
        <v>43945.333333333336</v>
      </c>
      <c r="D56" s="4">
        <v>3605</v>
      </c>
      <c r="E56" s="4">
        <v>327</v>
      </c>
      <c r="F56" s="4">
        <v>331</v>
      </c>
      <c r="G56" s="4">
        <v>959</v>
      </c>
      <c r="H56" s="4">
        <v>1988</v>
      </c>
      <c r="L56" s="4">
        <v>99</v>
      </c>
      <c r="M56" s="4">
        <v>2947</v>
      </c>
      <c r="N56" s="4">
        <v>35</v>
      </c>
    </row>
    <row r="57" spans="1:14" ht="12.5" x14ac:dyDescent="0.25">
      <c r="A57" s="2">
        <v>43946</v>
      </c>
      <c r="B57" s="4">
        <v>8</v>
      </c>
      <c r="C57" s="3">
        <v>43946.333333333336</v>
      </c>
      <c r="D57" s="4">
        <v>3681</v>
      </c>
      <c r="E57" s="4">
        <v>334</v>
      </c>
      <c r="F57" s="4">
        <v>350</v>
      </c>
      <c r="G57" s="4">
        <v>1050</v>
      </c>
      <c r="H57" s="4">
        <v>1947</v>
      </c>
      <c r="L57" s="4">
        <v>76</v>
      </c>
      <c r="M57" s="4">
        <v>2997</v>
      </c>
      <c r="N57" s="4">
        <v>7</v>
      </c>
    </row>
    <row r="58" spans="1:14" ht="12.5" x14ac:dyDescent="0.25">
      <c r="A58" s="2">
        <v>43947</v>
      </c>
      <c r="B58" s="4">
        <v>8</v>
      </c>
      <c r="C58" s="3">
        <v>43947.333333333336</v>
      </c>
      <c r="D58" s="4">
        <v>3746</v>
      </c>
      <c r="E58" s="4">
        <v>338</v>
      </c>
      <c r="F58" s="4">
        <v>357</v>
      </c>
      <c r="G58" s="4">
        <v>1099</v>
      </c>
      <c r="H58" s="4">
        <v>1952</v>
      </c>
      <c r="L58" s="4">
        <v>65</v>
      </c>
      <c r="M58" s="4">
        <v>3051</v>
      </c>
      <c r="N58" s="4">
        <v>4</v>
      </c>
    </row>
    <row r="59" spans="1:14" ht="12.5" x14ac:dyDescent="0.25">
      <c r="A59" s="2">
        <v>43948</v>
      </c>
      <c r="B59" s="4">
        <v>8</v>
      </c>
      <c r="C59" s="3">
        <v>43948.333333333336</v>
      </c>
      <c r="D59" s="4">
        <v>3832</v>
      </c>
      <c r="E59" s="4">
        <v>338</v>
      </c>
      <c r="F59" s="4">
        <v>375</v>
      </c>
      <c r="G59" s="4">
        <v>1169</v>
      </c>
      <c r="H59" s="4">
        <v>1950</v>
      </c>
      <c r="L59" s="4">
        <v>86</v>
      </c>
      <c r="M59" s="4">
        <v>3119</v>
      </c>
      <c r="N59" s="4">
        <v>0</v>
      </c>
    </row>
    <row r="60" spans="1:14" ht="12.5" x14ac:dyDescent="0.25">
      <c r="A60" s="2">
        <v>43949</v>
      </c>
      <c r="B60" s="4">
        <v>8</v>
      </c>
      <c r="C60" s="3">
        <v>43949.333333333336</v>
      </c>
      <c r="D60" s="4">
        <v>3950</v>
      </c>
      <c r="E60" s="4">
        <v>341</v>
      </c>
      <c r="F60" s="4">
        <v>379</v>
      </c>
      <c r="G60" s="4">
        <v>1206</v>
      </c>
      <c r="H60" s="4">
        <v>2024</v>
      </c>
      <c r="L60" s="4">
        <v>118</v>
      </c>
      <c r="M60" s="4">
        <v>3230</v>
      </c>
      <c r="N60" s="4">
        <v>3</v>
      </c>
    </row>
    <row r="61" spans="1:14" ht="12.5" x14ac:dyDescent="0.25">
      <c r="A61" s="2">
        <v>43950</v>
      </c>
      <c r="B61" s="4">
        <v>8</v>
      </c>
      <c r="C61" s="3">
        <v>43950.333333333336</v>
      </c>
      <c r="D61" s="4">
        <v>4033</v>
      </c>
      <c r="E61" s="4">
        <v>412</v>
      </c>
      <c r="F61" s="4">
        <v>381</v>
      </c>
      <c r="G61" s="4">
        <v>1238</v>
      </c>
      <c r="H61" s="4">
        <v>2002</v>
      </c>
      <c r="L61" s="4">
        <v>83</v>
      </c>
      <c r="M61" s="4">
        <v>3240</v>
      </c>
      <c r="N61" s="4">
        <v>71</v>
      </c>
    </row>
    <row r="62" spans="1:14" ht="12.5" x14ac:dyDescent="0.25">
      <c r="A62" s="2">
        <v>43951</v>
      </c>
      <c r="B62" s="4">
        <v>8</v>
      </c>
      <c r="C62" s="3">
        <v>43951.333333333336</v>
      </c>
      <c r="D62" s="4">
        <v>4138</v>
      </c>
      <c r="E62" s="4">
        <v>412</v>
      </c>
      <c r="F62" s="4">
        <v>381</v>
      </c>
      <c r="G62" s="4">
        <v>1272</v>
      </c>
      <c r="H62" s="4">
        <v>2073</v>
      </c>
      <c r="L62" s="4">
        <v>105</v>
      </c>
      <c r="M62" s="4">
        <v>3345</v>
      </c>
      <c r="N62" s="4">
        <v>0</v>
      </c>
    </row>
    <row r="63" spans="1:14" ht="12.5" x14ac:dyDescent="0.25">
      <c r="A63" s="2">
        <v>43952</v>
      </c>
      <c r="B63" s="4">
        <v>8</v>
      </c>
      <c r="C63" s="3">
        <v>43952.333333333336</v>
      </c>
      <c r="D63" s="4">
        <v>4283</v>
      </c>
      <c r="E63" s="4">
        <v>427</v>
      </c>
      <c r="F63" s="4">
        <v>393</v>
      </c>
      <c r="G63" s="4">
        <v>1312</v>
      </c>
      <c r="H63" s="4">
        <v>2151</v>
      </c>
      <c r="L63" s="4">
        <v>145</v>
      </c>
      <c r="M63" s="4">
        <v>3463</v>
      </c>
      <c r="N63" s="4">
        <v>15</v>
      </c>
    </row>
    <row r="64" spans="1:14" ht="12.5" x14ac:dyDescent="0.25">
      <c r="A64" s="2">
        <v>43953</v>
      </c>
      <c r="B64" s="4">
        <v>8</v>
      </c>
      <c r="C64" s="3">
        <v>43953.333333333336</v>
      </c>
      <c r="D64" s="4">
        <v>4355</v>
      </c>
      <c r="E64" s="4">
        <v>562</v>
      </c>
      <c r="F64" s="4">
        <v>400</v>
      </c>
      <c r="G64" s="4">
        <v>1304</v>
      </c>
      <c r="H64" s="4">
        <v>2089</v>
      </c>
      <c r="L64" s="4">
        <v>72</v>
      </c>
      <c r="M64" s="4">
        <v>3393</v>
      </c>
      <c r="N64" s="4">
        <v>135</v>
      </c>
    </row>
    <row r="65" spans="1:14" ht="12.5" x14ac:dyDescent="0.25">
      <c r="A65" s="2">
        <v>43954</v>
      </c>
      <c r="B65" s="4">
        <v>8</v>
      </c>
      <c r="C65" s="3">
        <v>43954.333333333336</v>
      </c>
      <c r="D65" s="4">
        <v>4417</v>
      </c>
      <c r="E65" s="4">
        <v>622</v>
      </c>
      <c r="F65" s="4">
        <v>410</v>
      </c>
      <c r="G65" s="4">
        <v>1323</v>
      </c>
      <c r="H65" s="4">
        <v>2062</v>
      </c>
      <c r="L65" s="4">
        <v>62</v>
      </c>
      <c r="M65" s="4">
        <v>3385</v>
      </c>
      <c r="N65" s="4">
        <v>60</v>
      </c>
    </row>
    <row r="66" spans="1:14" ht="12.5" x14ac:dyDescent="0.25">
      <c r="A66" s="2">
        <v>43955</v>
      </c>
      <c r="B66" s="4">
        <v>8</v>
      </c>
      <c r="C66" s="3">
        <v>43955.333333333336</v>
      </c>
      <c r="D66" s="4">
        <v>4472</v>
      </c>
      <c r="E66" s="4">
        <v>650</v>
      </c>
      <c r="F66" s="4">
        <v>412</v>
      </c>
      <c r="G66" s="4">
        <v>1330</v>
      </c>
      <c r="H66" s="4">
        <v>2080</v>
      </c>
      <c r="L66" s="4">
        <v>55</v>
      </c>
      <c r="M66" s="4">
        <v>3410</v>
      </c>
      <c r="N66" s="4">
        <v>28</v>
      </c>
    </row>
    <row r="67" spans="1:14" ht="12.5" x14ac:dyDescent="0.25">
      <c r="A67" s="2">
        <v>43956</v>
      </c>
      <c r="B67" s="4">
        <v>8</v>
      </c>
      <c r="C67" s="3">
        <v>43956.333333333336</v>
      </c>
      <c r="D67" s="4">
        <v>4641</v>
      </c>
      <c r="E67" s="4">
        <v>711</v>
      </c>
      <c r="F67" s="4">
        <v>414</v>
      </c>
      <c r="G67" s="4">
        <v>1370</v>
      </c>
      <c r="H67" s="4">
        <v>2146</v>
      </c>
      <c r="L67" s="4">
        <v>169</v>
      </c>
      <c r="M67" s="4">
        <v>3516</v>
      </c>
      <c r="N67" s="4">
        <v>61</v>
      </c>
    </row>
    <row r="68" spans="1:14" ht="12.5" x14ac:dyDescent="0.25">
      <c r="A68" s="2">
        <v>43957</v>
      </c>
      <c r="B68" s="4">
        <v>8</v>
      </c>
      <c r="C68" s="3">
        <v>43957.333333333336</v>
      </c>
      <c r="D68" s="4">
        <v>4709</v>
      </c>
      <c r="E68" s="4">
        <v>713</v>
      </c>
      <c r="F68" s="4">
        <v>420</v>
      </c>
      <c r="G68" s="4">
        <v>1381</v>
      </c>
      <c r="H68" s="4">
        <v>2195</v>
      </c>
      <c r="L68" s="4">
        <v>68</v>
      </c>
      <c r="M68" s="4">
        <v>3576</v>
      </c>
      <c r="N68" s="4">
        <v>2</v>
      </c>
    </row>
    <row r="69" spans="1:14" ht="12.5" x14ac:dyDescent="0.25">
      <c r="A69" s="2">
        <v>43958</v>
      </c>
      <c r="B69" s="4">
        <v>8</v>
      </c>
      <c r="C69" s="3">
        <v>43958.333333333336</v>
      </c>
      <c r="D69" s="4">
        <v>4775</v>
      </c>
      <c r="E69" s="4">
        <v>718</v>
      </c>
      <c r="F69" s="4">
        <v>430</v>
      </c>
      <c r="G69" s="4">
        <v>1431</v>
      </c>
      <c r="H69" s="4">
        <v>2196</v>
      </c>
      <c r="L69" s="4">
        <v>66</v>
      </c>
      <c r="M69" s="4">
        <v>3627</v>
      </c>
      <c r="N69" s="4">
        <v>5</v>
      </c>
    </row>
    <row r="70" spans="1:14" ht="12.5" x14ac:dyDescent="0.25">
      <c r="A70" s="2">
        <v>43959</v>
      </c>
      <c r="B70" s="4">
        <v>8</v>
      </c>
      <c r="C70" s="3">
        <v>43959.333333333336</v>
      </c>
      <c r="D70" s="4">
        <v>4901</v>
      </c>
      <c r="E70" s="4">
        <v>763</v>
      </c>
      <c r="F70" s="4">
        <v>431</v>
      </c>
      <c r="G70" s="4">
        <v>1426</v>
      </c>
      <c r="H70" s="4">
        <v>2281</v>
      </c>
      <c r="L70" s="4">
        <v>126</v>
      </c>
      <c r="M70" s="4">
        <v>3707</v>
      </c>
      <c r="N70" s="4">
        <v>45</v>
      </c>
    </row>
    <row r="71" spans="1:14" ht="12.5" x14ac:dyDescent="0.25">
      <c r="A71" s="2">
        <v>43960</v>
      </c>
      <c r="B71" s="4">
        <v>8</v>
      </c>
      <c r="C71" s="3">
        <v>43960.333333333336</v>
      </c>
      <c r="D71" s="4">
        <v>4958</v>
      </c>
      <c r="E71" s="4">
        <v>767</v>
      </c>
      <c r="F71" s="4">
        <v>437</v>
      </c>
      <c r="G71" s="4">
        <v>1442</v>
      </c>
      <c r="H71" s="4">
        <v>2312</v>
      </c>
      <c r="L71" s="4">
        <v>57</v>
      </c>
      <c r="M71" s="4">
        <v>3754</v>
      </c>
      <c r="N71" s="4">
        <v>4</v>
      </c>
    </row>
    <row r="72" spans="1:14" ht="12.5" x14ac:dyDescent="0.25">
      <c r="A72" s="2">
        <v>43961</v>
      </c>
      <c r="B72" s="4">
        <v>8</v>
      </c>
      <c r="C72" s="3">
        <v>43961.333333333336</v>
      </c>
      <c r="D72" s="4">
        <v>5140</v>
      </c>
      <c r="E72" s="4">
        <v>803</v>
      </c>
      <c r="F72" s="4">
        <v>444</v>
      </c>
      <c r="G72" s="4">
        <v>1533</v>
      </c>
      <c r="H72" s="4">
        <v>2360</v>
      </c>
      <c r="L72" s="4">
        <v>182</v>
      </c>
      <c r="M72" s="4">
        <v>3893</v>
      </c>
      <c r="N72" s="4">
        <v>36</v>
      </c>
    </row>
    <row r="73" spans="1:14" ht="12.5" x14ac:dyDescent="0.25">
      <c r="A73" s="2">
        <v>43962</v>
      </c>
      <c r="B73" s="4">
        <v>8</v>
      </c>
      <c r="C73" s="3">
        <v>43962.333333333336</v>
      </c>
      <c r="D73" s="4">
        <v>5195</v>
      </c>
      <c r="E73" s="4">
        <v>836</v>
      </c>
      <c r="F73" s="4">
        <v>453</v>
      </c>
      <c r="G73" s="4">
        <v>1648</v>
      </c>
      <c r="H73" s="4">
        <v>2258</v>
      </c>
      <c r="L73" s="4">
        <v>55</v>
      </c>
      <c r="M73" s="4">
        <v>3906</v>
      </c>
      <c r="N73" s="4">
        <v>33</v>
      </c>
    </row>
    <row r="74" spans="1:14" ht="12.5" x14ac:dyDescent="0.25">
      <c r="A74" s="2">
        <v>43963</v>
      </c>
      <c r="B74" s="4">
        <v>8</v>
      </c>
      <c r="C74" s="3">
        <v>43963.333333333336</v>
      </c>
      <c r="D74" s="4">
        <v>5303</v>
      </c>
      <c r="E74" s="4">
        <v>1262</v>
      </c>
      <c r="F74" s="4">
        <v>457</v>
      </c>
      <c r="G74" s="4">
        <v>1741</v>
      </c>
      <c r="H74" s="4">
        <v>1843</v>
      </c>
      <c r="L74" s="4">
        <v>108</v>
      </c>
      <c r="M74" s="4">
        <v>3584</v>
      </c>
      <c r="N74" s="4">
        <v>426</v>
      </c>
    </row>
    <row r="75" spans="1:14" ht="12.5" x14ac:dyDescent="0.25">
      <c r="A75" s="2">
        <v>43964</v>
      </c>
      <c r="B75" s="4">
        <v>8</v>
      </c>
      <c r="C75" s="3">
        <v>43964.333333333336</v>
      </c>
      <c r="D75" s="4">
        <v>5437</v>
      </c>
      <c r="E75" s="4">
        <v>1277</v>
      </c>
      <c r="F75" s="4">
        <v>461</v>
      </c>
      <c r="G75" s="4">
        <v>1866</v>
      </c>
      <c r="H75" s="4">
        <v>1833</v>
      </c>
      <c r="L75" s="4">
        <v>134</v>
      </c>
      <c r="M75" s="4">
        <v>3699</v>
      </c>
      <c r="N75" s="4">
        <v>15</v>
      </c>
    </row>
    <row r="76" spans="1:14" ht="12.5" x14ac:dyDescent="0.25">
      <c r="A76" s="2">
        <v>43965</v>
      </c>
      <c r="B76" s="4">
        <v>8</v>
      </c>
      <c r="C76" s="3">
        <v>43965.333333333336</v>
      </c>
      <c r="D76" s="4">
        <v>5617</v>
      </c>
      <c r="E76" s="4">
        <v>1279</v>
      </c>
      <c r="F76" s="4">
        <v>466</v>
      </c>
      <c r="G76" s="4">
        <v>1995</v>
      </c>
      <c r="H76" s="4">
        <v>1877</v>
      </c>
      <c r="L76" s="4">
        <v>180</v>
      </c>
      <c r="M76" s="4">
        <v>3872</v>
      </c>
      <c r="N76" s="4">
        <v>2</v>
      </c>
    </row>
    <row r="77" spans="1:14" ht="12.5" x14ac:dyDescent="0.25">
      <c r="A77" s="2">
        <v>43966</v>
      </c>
      <c r="B77" s="4">
        <v>8</v>
      </c>
      <c r="C77" s="3">
        <v>43966.333333333336</v>
      </c>
      <c r="D77" s="4">
        <v>5679</v>
      </c>
      <c r="E77" s="4">
        <v>1286</v>
      </c>
      <c r="F77" s="4">
        <v>474</v>
      </c>
      <c r="G77" s="4">
        <v>2019</v>
      </c>
      <c r="H77" s="4">
        <v>1900</v>
      </c>
      <c r="L77" s="4">
        <v>62</v>
      </c>
      <c r="M77" s="4">
        <v>3919</v>
      </c>
      <c r="N77" s="4">
        <v>7</v>
      </c>
    </row>
    <row r="78" spans="1:14" ht="12.5" x14ac:dyDescent="0.25">
      <c r="A78" s="2">
        <v>43967</v>
      </c>
      <c r="B78" s="4">
        <v>8</v>
      </c>
      <c r="C78" s="3">
        <v>43967.333333333336</v>
      </c>
      <c r="D78" s="4">
        <v>5795</v>
      </c>
      <c r="E78" s="4">
        <v>1292</v>
      </c>
      <c r="F78" s="4">
        <v>475</v>
      </c>
      <c r="G78" s="4">
        <v>2120</v>
      </c>
      <c r="H78" s="4">
        <v>1908</v>
      </c>
      <c r="L78" s="4">
        <v>116</v>
      </c>
      <c r="M78" s="4">
        <v>4028</v>
      </c>
      <c r="N78" s="4">
        <v>6</v>
      </c>
    </row>
    <row r="79" spans="1:14" ht="12.5" x14ac:dyDescent="0.25">
      <c r="A79" s="2">
        <v>43968</v>
      </c>
      <c r="B79" s="4">
        <v>8</v>
      </c>
      <c r="C79" s="3">
        <v>43968.333333333336</v>
      </c>
      <c r="D79" s="4">
        <v>5922</v>
      </c>
      <c r="E79" s="4">
        <v>1295</v>
      </c>
      <c r="F79" s="4">
        <v>478</v>
      </c>
      <c r="G79" s="4">
        <v>2217</v>
      </c>
      <c r="H79" s="4">
        <v>1932</v>
      </c>
      <c r="L79" s="4">
        <v>127</v>
      </c>
      <c r="M79" s="4">
        <v>4149</v>
      </c>
      <c r="N79" s="4">
        <v>3</v>
      </c>
    </row>
    <row r="80" spans="1:14" ht="12.5" x14ac:dyDescent="0.25">
      <c r="A80" s="2">
        <v>43969</v>
      </c>
      <c r="B80" s="4">
        <v>8</v>
      </c>
      <c r="C80" s="3">
        <v>43969.333333333336</v>
      </c>
      <c r="D80" s="4">
        <v>5996</v>
      </c>
      <c r="E80" s="4">
        <v>1301</v>
      </c>
      <c r="F80" s="4">
        <v>483</v>
      </c>
      <c r="G80" s="4">
        <v>2266</v>
      </c>
      <c r="H80" s="4">
        <v>1946</v>
      </c>
      <c r="L80" s="4">
        <v>74</v>
      </c>
      <c r="M80" s="4">
        <v>4212</v>
      </c>
      <c r="N80" s="4">
        <v>6</v>
      </c>
    </row>
    <row r="81" spans="1:14" ht="12.5" x14ac:dyDescent="0.25">
      <c r="A81" s="2">
        <v>43970</v>
      </c>
      <c r="B81" s="4">
        <v>8</v>
      </c>
      <c r="C81" s="3">
        <v>43970.333333333336</v>
      </c>
      <c r="D81" s="4">
        <v>6053</v>
      </c>
      <c r="E81" s="4">
        <v>1417</v>
      </c>
      <c r="F81" s="4">
        <v>487</v>
      </c>
      <c r="G81" s="4">
        <v>2213</v>
      </c>
      <c r="H81" s="4">
        <v>1936</v>
      </c>
      <c r="L81" s="4">
        <v>57</v>
      </c>
      <c r="M81" s="4">
        <v>4149</v>
      </c>
      <c r="N81" s="4">
        <v>116</v>
      </c>
    </row>
    <row r="82" spans="1:14" ht="12.5" x14ac:dyDescent="0.25">
      <c r="A82" s="2">
        <v>43971</v>
      </c>
      <c r="B82" s="4">
        <v>8</v>
      </c>
      <c r="C82" s="3">
        <v>43971.333333333336</v>
      </c>
      <c r="D82" s="4">
        <v>6150</v>
      </c>
      <c r="E82" s="4">
        <v>1425</v>
      </c>
      <c r="F82" s="4">
        <v>493</v>
      </c>
      <c r="G82" s="4">
        <v>2263</v>
      </c>
      <c r="H82" s="4">
        <v>1969</v>
      </c>
      <c r="L82" s="4">
        <v>97</v>
      </c>
      <c r="M82" s="4">
        <v>4232</v>
      </c>
      <c r="N82" s="4">
        <v>8</v>
      </c>
    </row>
    <row r="83" spans="1:14" ht="12.5" x14ac:dyDescent="0.25">
      <c r="A83" s="2">
        <v>43972</v>
      </c>
      <c r="B83" s="4">
        <v>8</v>
      </c>
      <c r="C83" s="3">
        <v>43972.333333333336</v>
      </c>
      <c r="D83" s="4">
        <v>6220</v>
      </c>
      <c r="E83" s="4">
        <v>1536</v>
      </c>
      <c r="F83" s="4">
        <v>498</v>
      </c>
      <c r="G83" s="4">
        <v>2231</v>
      </c>
      <c r="H83" s="4">
        <v>1955</v>
      </c>
      <c r="L83" s="4">
        <v>70</v>
      </c>
      <c r="M83" s="4">
        <v>4186</v>
      </c>
      <c r="N83" s="4">
        <v>111</v>
      </c>
    </row>
    <row r="84" spans="1:14" ht="12.5" x14ac:dyDescent="0.25">
      <c r="A84" s="2">
        <v>43973</v>
      </c>
      <c r="B84" s="4">
        <v>8</v>
      </c>
      <c r="C84" s="3">
        <v>43973.333333333336</v>
      </c>
      <c r="D84" s="4">
        <v>6316</v>
      </c>
      <c r="E84" s="4">
        <v>1558</v>
      </c>
      <c r="F84" s="4">
        <v>501</v>
      </c>
      <c r="G84" s="4">
        <v>2282</v>
      </c>
      <c r="H84" s="4">
        <v>1975</v>
      </c>
      <c r="L84" s="4">
        <v>96</v>
      </c>
      <c r="M84" s="4">
        <v>4257</v>
      </c>
      <c r="N84" s="4">
        <v>22</v>
      </c>
    </row>
    <row r="85" spans="1:14" ht="12.5" x14ac:dyDescent="0.25">
      <c r="A85" s="2">
        <v>43974</v>
      </c>
      <c r="B85" s="4">
        <v>8</v>
      </c>
      <c r="C85" s="3">
        <v>43974.333333333336</v>
      </c>
      <c r="D85" s="4">
        <v>6443</v>
      </c>
      <c r="E85" s="4">
        <v>1587</v>
      </c>
      <c r="F85" s="4">
        <v>504</v>
      </c>
      <c r="G85" s="4">
        <v>2346</v>
      </c>
      <c r="H85" s="4">
        <v>2006</v>
      </c>
      <c r="L85" s="4">
        <v>127</v>
      </c>
      <c r="M85" s="4">
        <v>4352</v>
      </c>
      <c r="N85" s="4">
        <v>29</v>
      </c>
    </row>
    <row r="86" spans="1:14" ht="12.5" x14ac:dyDescent="0.25">
      <c r="A86" s="2">
        <v>43975</v>
      </c>
      <c r="B86" s="4">
        <v>8</v>
      </c>
      <c r="C86" s="3">
        <v>43975.333333333336</v>
      </c>
      <c r="D86" s="4">
        <v>6561</v>
      </c>
      <c r="E86" s="4">
        <v>1594</v>
      </c>
      <c r="F86" s="4">
        <v>505</v>
      </c>
      <c r="G86" s="4">
        <v>2431</v>
      </c>
      <c r="H86" s="4">
        <v>2031</v>
      </c>
      <c r="L86" s="4">
        <v>118</v>
      </c>
      <c r="M86" s="4">
        <v>4462</v>
      </c>
      <c r="N86" s="4">
        <v>7</v>
      </c>
    </row>
    <row r="87" spans="1:14" ht="12.5" x14ac:dyDescent="0.25">
      <c r="A87" s="2">
        <v>43976</v>
      </c>
      <c r="B87" s="4">
        <v>8</v>
      </c>
      <c r="C87" s="3">
        <v>43976.333333333336</v>
      </c>
      <c r="D87" s="4">
        <v>6628</v>
      </c>
      <c r="E87" s="4">
        <v>1648</v>
      </c>
      <c r="F87" s="4">
        <v>506</v>
      </c>
      <c r="G87" s="4">
        <v>2430</v>
      </c>
      <c r="H87" s="4">
        <v>2044</v>
      </c>
      <c r="L87" s="4">
        <v>67</v>
      </c>
      <c r="M87" s="4">
        <v>4474</v>
      </c>
      <c r="N87" s="4">
        <v>54</v>
      </c>
    </row>
    <row r="88" spans="1:14" ht="12.5" x14ac:dyDescent="0.25">
      <c r="A88" s="2">
        <v>43977</v>
      </c>
      <c r="B88" s="4">
        <v>8</v>
      </c>
      <c r="C88" s="3">
        <v>43977.333333333336</v>
      </c>
      <c r="D88" s="4">
        <v>6689</v>
      </c>
      <c r="E88" s="4">
        <v>1678</v>
      </c>
      <c r="F88" s="4">
        <v>508</v>
      </c>
      <c r="G88" s="4">
        <v>2459</v>
      </c>
      <c r="H88" s="4">
        <v>2044</v>
      </c>
      <c r="L88" s="4">
        <v>61</v>
      </c>
      <c r="M88" s="4">
        <v>4503</v>
      </c>
      <c r="N88" s="4">
        <v>30</v>
      </c>
    </row>
    <row r="89" spans="1:14" ht="12.5" x14ac:dyDescent="0.25">
      <c r="A89" s="2">
        <v>43978</v>
      </c>
      <c r="B89" s="4">
        <v>8</v>
      </c>
      <c r="C89" s="3">
        <v>43978.333333333336</v>
      </c>
      <c r="D89" s="4">
        <v>6826</v>
      </c>
      <c r="E89" s="4">
        <v>1698</v>
      </c>
      <c r="F89" s="4">
        <v>510</v>
      </c>
      <c r="G89" s="4">
        <v>2584</v>
      </c>
      <c r="H89" s="4">
        <v>2034</v>
      </c>
      <c r="L89" s="4">
        <v>137</v>
      </c>
      <c r="M89" s="4">
        <v>4618</v>
      </c>
      <c r="N89" s="4">
        <v>20</v>
      </c>
    </row>
    <row r="90" spans="1:14" ht="12.5" x14ac:dyDescent="0.25">
      <c r="A90" s="2">
        <v>43979</v>
      </c>
      <c r="B90" s="4">
        <v>8</v>
      </c>
      <c r="C90" s="3">
        <v>43979.333333333336</v>
      </c>
      <c r="D90" s="4">
        <v>6929</v>
      </c>
      <c r="E90" s="4">
        <v>1719</v>
      </c>
      <c r="F90" s="4">
        <v>514</v>
      </c>
      <c r="G90" s="4">
        <v>2641</v>
      </c>
      <c r="H90" s="4">
        <v>2055</v>
      </c>
      <c r="L90" s="4">
        <v>103</v>
      </c>
      <c r="M90" s="4">
        <v>4696</v>
      </c>
      <c r="N90" s="4">
        <v>21</v>
      </c>
    </row>
    <row r="91" spans="1:14" ht="12.5" x14ac:dyDescent="0.25">
      <c r="A91" s="2">
        <v>43980</v>
      </c>
      <c r="B91" s="4">
        <v>8</v>
      </c>
      <c r="C91" s="3">
        <v>43980.333333333336</v>
      </c>
      <c r="D91" s="4">
        <v>7053</v>
      </c>
      <c r="E91" s="4">
        <v>1807</v>
      </c>
      <c r="F91" s="4">
        <v>517</v>
      </c>
      <c r="G91" s="4">
        <v>2722</v>
      </c>
      <c r="H91" s="4">
        <v>2007</v>
      </c>
      <c r="L91" s="4">
        <v>124</v>
      </c>
      <c r="M91" s="4">
        <v>4729</v>
      </c>
      <c r="N91" s="4">
        <v>88</v>
      </c>
    </row>
    <row r="92" spans="1:14" ht="12.5" x14ac:dyDescent="0.25">
      <c r="A92" s="2">
        <v>43981</v>
      </c>
      <c r="B92" s="4">
        <v>8</v>
      </c>
      <c r="C92" s="3">
        <v>43981.333333333336</v>
      </c>
      <c r="D92" s="4">
        <v>7151</v>
      </c>
      <c r="E92" s="4">
        <v>2003</v>
      </c>
      <c r="F92" s="4">
        <v>519</v>
      </c>
      <c r="G92" s="4">
        <v>2781</v>
      </c>
      <c r="H92" s="4">
        <v>1848</v>
      </c>
      <c r="L92" s="4">
        <v>98</v>
      </c>
      <c r="M92" s="4">
        <v>4629</v>
      </c>
      <c r="N92" s="4">
        <v>196</v>
      </c>
    </row>
    <row r="93" spans="1:14" ht="12.5" x14ac:dyDescent="0.25">
      <c r="A93" s="2">
        <v>43982</v>
      </c>
      <c r="B93" s="4">
        <v>8</v>
      </c>
      <c r="C93" s="3">
        <v>43982.333333333336</v>
      </c>
      <c r="D93" s="4">
        <v>7272</v>
      </c>
      <c r="E93" s="4">
        <v>2102</v>
      </c>
      <c r="F93" s="4">
        <v>520</v>
      </c>
      <c r="G93" s="4">
        <v>2827</v>
      </c>
      <c r="H93" s="4">
        <v>1823</v>
      </c>
      <c r="L93" s="4">
        <v>121</v>
      </c>
      <c r="M93" s="4">
        <v>4650</v>
      </c>
      <c r="N93" s="4">
        <v>99</v>
      </c>
    </row>
    <row r="94" spans="1:14" ht="12.5" x14ac:dyDescent="0.25">
      <c r="A94" s="2">
        <v>43983</v>
      </c>
      <c r="B94" s="4">
        <v>8</v>
      </c>
      <c r="C94" s="3">
        <v>43983.333333333336</v>
      </c>
      <c r="D94" s="4">
        <v>7383</v>
      </c>
      <c r="E94" s="4">
        <v>2246</v>
      </c>
      <c r="F94" s="4">
        <v>521</v>
      </c>
      <c r="G94" s="4">
        <v>2822</v>
      </c>
      <c r="H94" s="4">
        <v>1794</v>
      </c>
      <c r="L94" s="4">
        <v>111</v>
      </c>
      <c r="M94" s="4">
        <v>4616</v>
      </c>
      <c r="N94" s="4">
        <v>144</v>
      </c>
    </row>
    <row r="95" spans="1:14" ht="12.5" x14ac:dyDescent="0.25">
      <c r="A95" s="2">
        <v>43984</v>
      </c>
      <c r="B95" s="4">
        <v>8</v>
      </c>
      <c r="C95" s="3">
        <v>43984.333333333336</v>
      </c>
      <c r="D95" s="4">
        <v>7459</v>
      </c>
      <c r="E95" s="4">
        <v>2405</v>
      </c>
      <c r="F95" s="4">
        <v>525</v>
      </c>
      <c r="G95" s="4">
        <v>2786</v>
      </c>
      <c r="H95" s="4">
        <v>1743</v>
      </c>
      <c r="L95" s="4">
        <v>76</v>
      </c>
      <c r="M95" s="4">
        <v>4529</v>
      </c>
      <c r="N95" s="4">
        <v>159</v>
      </c>
    </row>
    <row r="96" spans="1:14" ht="12.5" x14ac:dyDescent="0.25">
      <c r="A96" s="2">
        <v>43985</v>
      </c>
      <c r="B96" s="4">
        <v>8</v>
      </c>
      <c r="C96" s="3">
        <v>43985.333333333336</v>
      </c>
      <c r="D96" s="4">
        <v>7539</v>
      </c>
      <c r="E96" s="4">
        <v>2534</v>
      </c>
      <c r="F96" s="4">
        <v>529</v>
      </c>
      <c r="G96" s="4">
        <v>2777</v>
      </c>
      <c r="H96" s="4">
        <v>1699</v>
      </c>
      <c r="L96" s="4">
        <v>80</v>
      </c>
      <c r="M96" s="4">
        <v>4476</v>
      </c>
      <c r="N96" s="4">
        <v>129</v>
      </c>
    </row>
    <row r="97" spans="1:14" ht="12.5" x14ac:dyDescent="0.25">
      <c r="A97" s="2">
        <v>43986</v>
      </c>
      <c r="B97" s="4">
        <v>8</v>
      </c>
      <c r="C97" s="3">
        <v>43986.333333333336</v>
      </c>
      <c r="D97" s="4">
        <v>7600</v>
      </c>
      <c r="E97" s="4">
        <v>2607</v>
      </c>
      <c r="F97" s="4">
        <v>530</v>
      </c>
      <c r="G97" s="4">
        <v>2793</v>
      </c>
      <c r="H97" s="4">
        <v>1670</v>
      </c>
      <c r="L97" s="4">
        <v>61</v>
      </c>
      <c r="M97" s="4">
        <v>4463</v>
      </c>
      <c r="N97" s="4">
        <v>73</v>
      </c>
    </row>
    <row r="98" spans="1:14" ht="12.5" x14ac:dyDescent="0.25">
      <c r="A98" s="2">
        <v>43987</v>
      </c>
      <c r="B98" s="4">
        <v>8</v>
      </c>
      <c r="C98" s="3">
        <v>43987.333333333336</v>
      </c>
      <c r="D98" s="4">
        <v>7684</v>
      </c>
      <c r="E98" s="4">
        <v>2751</v>
      </c>
      <c r="F98" s="4">
        <v>532</v>
      </c>
      <c r="G98" s="4">
        <v>2768</v>
      </c>
      <c r="H98" s="4">
        <v>1633</v>
      </c>
      <c r="L98" s="4">
        <v>84</v>
      </c>
      <c r="M98" s="4">
        <v>4401</v>
      </c>
      <c r="N98" s="4">
        <v>144</v>
      </c>
    </row>
    <row r="99" spans="1:14" ht="12.5" x14ac:dyDescent="0.25">
      <c r="A99" s="2">
        <v>43988</v>
      </c>
      <c r="B99" s="4">
        <v>8</v>
      </c>
      <c r="C99" s="3">
        <v>43988.333333333336</v>
      </c>
      <c r="D99" s="4">
        <v>7786</v>
      </c>
      <c r="E99" s="4">
        <v>2840</v>
      </c>
      <c r="F99" s="4">
        <v>535</v>
      </c>
      <c r="G99" s="4">
        <v>2776</v>
      </c>
      <c r="H99" s="4">
        <v>1635</v>
      </c>
      <c r="L99" s="4">
        <v>102</v>
      </c>
      <c r="M99" s="4">
        <v>4411</v>
      </c>
      <c r="N99" s="4">
        <v>89</v>
      </c>
    </row>
    <row r="100" spans="1:14" ht="12.5" x14ac:dyDescent="0.25">
      <c r="A100" s="2">
        <v>43989</v>
      </c>
      <c r="B100" s="4">
        <v>8</v>
      </c>
      <c r="C100" s="3">
        <v>43989.333333333336</v>
      </c>
      <c r="D100" s="4">
        <v>7946</v>
      </c>
      <c r="E100" s="4">
        <v>3170</v>
      </c>
      <c r="F100" s="4">
        <v>537</v>
      </c>
      <c r="G100" s="4">
        <v>2794</v>
      </c>
      <c r="H100" s="4">
        <v>1445</v>
      </c>
      <c r="L100" s="4">
        <v>160</v>
      </c>
      <c r="M100" s="4">
        <v>4239</v>
      </c>
      <c r="N100" s="4">
        <v>330</v>
      </c>
    </row>
    <row r="101" spans="1:14" ht="12.5" x14ac:dyDescent="0.25">
      <c r="A101" s="2">
        <v>43990</v>
      </c>
      <c r="B101" s="4">
        <v>8</v>
      </c>
      <c r="C101" s="3">
        <v>43990.333333333336</v>
      </c>
      <c r="D101" s="4">
        <v>8037</v>
      </c>
      <c r="E101" s="4">
        <v>3205</v>
      </c>
      <c r="F101" s="4">
        <v>538</v>
      </c>
      <c r="G101" s="4">
        <v>2846</v>
      </c>
      <c r="H101" s="4">
        <v>1448</v>
      </c>
      <c r="L101" s="4">
        <v>91</v>
      </c>
      <c r="M101" s="4">
        <v>4294</v>
      </c>
      <c r="N101" s="4">
        <v>35</v>
      </c>
    </row>
    <row r="102" spans="1:14" ht="12.5" x14ac:dyDescent="0.25">
      <c r="A102" s="2">
        <v>43991</v>
      </c>
      <c r="B102" s="4">
        <v>8</v>
      </c>
      <c r="C102" s="3">
        <v>43991.333333333336</v>
      </c>
      <c r="D102" s="4">
        <v>8276</v>
      </c>
      <c r="E102" s="4">
        <v>3369</v>
      </c>
      <c r="F102" s="4">
        <v>547</v>
      </c>
      <c r="G102" s="4">
        <v>2918</v>
      </c>
      <c r="H102" s="4">
        <v>1442</v>
      </c>
      <c r="L102" s="4">
        <v>239</v>
      </c>
      <c r="M102" s="4">
        <v>4360</v>
      </c>
      <c r="N102" s="4">
        <v>164</v>
      </c>
    </row>
    <row r="103" spans="1:14" ht="12.5" x14ac:dyDescent="0.25">
      <c r="A103" s="2">
        <v>43992</v>
      </c>
      <c r="B103" s="4">
        <v>8</v>
      </c>
      <c r="C103" s="3">
        <v>43992.333333333336</v>
      </c>
      <c r="D103" s="4">
        <v>8423</v>
      </c>
      <c r="E103" s="4">
        <v>3517</v>
      </c>
      <c r="F103" s="4">
        <v>551</v>
      </c>
      <c r="G103" s="4">
        <v>2928</v>
      </c>
      <c r="H103" s="4">
        <v>1427</v>
      </c>
      <c r="L103" s="4">
        <v>147</v>
      </c>
      <c r="M103" s="4">
        <v>4355</v>
      </c>
      <c r="N103" s="4">
        <v>148</v>
      </c>
    </row>
    <row r="104" spans="1:14" ht="12.5" x14ac:dyDescent="0.25">
      <c r="A104" s="2">
        <v>43993</v>
      </c>
      <c r="B104" s="4">
        <v>8</v>
      </c>
      <c r="C104" s="3">
        <v>43993.333333333336</v>
      </c>
      <c r="D104" s="4">
        <v>8552</v>
      </c>
      <c r="E104" s="4">
        <v>3664</v>
      </c>
      <c r="F104" s="4">
        <v>555</v>
      </c>
      <c r="G104" s="4">
        <v>2887</v>
      </c>
      <c r="H104" s="4">
        <v>1446</v>
      </c>
      <c r="L104" s="4">
        <v>129</v>
      </c>
      <c r="M104" s="4">
        <v>4333</v>
      </c>
      <c r="N104" s="4">
        <v>147</v>
      </c>
    </row>
    <row r="105" spans="1:14" ht="12.5" x14ac:dyDescent="0.25">
      <c r="A105" s="2">
        <v>43994</v>
      </c>
      <c r="B105" s="4">
        <v>8</v>
      </c>
      <c r="C105" s="3">
        <v>43994.333333333336</v>
      </c>
      <c r="D105" s="4">
        <v>8628</v>
      </c>
      <c r="E105" s="4">
        <v>3780</v>
      </c>
      <c r="F105" s="4">
        <v>561</v>
      </c>
      <c r="G105" s="4">
        <v>2863</v>
      </c>
      <c r="H105" s="4">
        <v>1424</v>
      </c>
      <c r="L105" s="4">
        <v>76</v>
      </c>
      <c r="M105" s="4">
        <v>4287</v>
      </c>
      <c r="N105" s="4">
        <v>116</v>
      </c>
    </row>
    <row r="106" spans="1:14" ht="12.5" x14ac:dyDescent="0.25">
      <c r="A106" s="2">
        <v>43995</v>
      </c>
      <c r="B106" s="4">
        <v>8</v>
      </c>
      <c r="C106" s="3">
        <v>43995.333333333336</v>
      </c>
      <c r="D106" s="4">
        <v>8748</v>
      </c>
      <c r="E106" s="4">
        <v>3840</v>
      </c>
      <c r="F106" s="4">
        <v>564</v>
      </c>
      <c r="G106" s="4">
        <v>2925</v>
      </c>
      <c r="H106" s="4">
        <v>1419</v>
      </c>
      <c r="L106" s="4">
        <v>120</v>
      </c>
      <c r="M106" s="4">
        <v>4344</v>
      </c>
      <c r="N106" s="4">
        <v>60</v>
      </c>
    </row>
    <row r="107" spans="1:14" ht="12.5" x14ac:dyDescent="0.25">
      <c r="A107" s="2">
        <v>43996</v>
      </c>
      <c r="B107" s="4">
        <v>8</v>
      </c>
      <c r="C107" s="3">
        <v>43996.333333333336</v>
      </c>
      <c r="D107" s="4">
        <v>8863</v>
      </c>
      <c r="E107" s="4">
        <v>4091</v>
      </c>
      <c r="F107" s="4">
        <v>571</v>
      </c>
      <c r="G107" s="4">
        <v>2833</v>
      </c>
      <c r="H107" s="4">
        <v>1368</v>
      </c>
      <c r="L107" s="4">
        <v>115</v>
      </c>
      <c r="M107" s="4">
        <v>4201</v>
      </c>
      <c r="N107" s="4">
        <v>251</v>
      </c>
    </row>
    <row r="108" spans="1:14" ht="12.5" x14ac:dyDescent="0.25">
      <c r="A108" s="2">
        <v>43997</v>
      </c>
      <c r="B108" s="4">
        <v>8</v>
      </c>
      <c r="C108" s="3">
        <v>43997.333333333336</v>
      </c>
      <c r="D108" s="4">
        <v>8968</v>
      </c>
      <c r="E108" s="4">
        <v>4198</v>
      </c>
      <c r="F108" s="4">
        <v>580</v>
      </c>
      <c r="G108" s="4">
        <v>2800</v>
      </c>
      <c r="H108" s="4">
        <v>1390</v>
      </c>
      <c r="L108" s="4">
        <v>105</v>
      </c>
      <c r="M108" s="4">
        <v>4190</v>
      </c>
      <c r="N108" s="4">
        <v>107</v>
      </c>
    </row>
    <row r="109" spans="1:14" ht="12.5" x14ac:dyDescent="0.25">
      <c r="A109" s="2">
        <v>43998</v>
      </c>
      <c r="B109" s="4">
        <v>8</v>
      </c>
      <c r="C109" s="3">
        <v>43998.333333333336</v>
      </c>
      <c r="D109" s="4">
        <v>9092</v>
      </c>
      <c r="E109" s="4">
        <v>4329</v>
      </c>
      <c r="F109" s="4">
        <v>583</v>
      </c>
      <c r="G109" s="4">
        <v>2764</v>
      </c>
      <c r="H109" s="4">
        <v>1416</v>
      </c>
      <c r="L109" s="4">
        <v>124</v>
      </c>
      <c r="M109" s="4">
        <v>4180</v>
      </c>
      <c r="N109" s="4">
        <v>131</v>
      </c>
    </row>
    <row r="110" spans="1:14" ht="12.5" x14ac:dyDescent="0.25">
      <c r="A110" s="2">
        <v>43999</v>
      </c>
      <c r="B110" s="4">
        <v>8</v>
      </c>
      <c r="C110" s="3">
        <v>43999.333333333336</v>
      </c>
      <c r="D110" s="4">
        <v>9209</v>
      </c>
      <c r="E110" s="4">
        <v>4444</v>
      </c>
      <c r="F110" s="4">
        <v>588</v>
      </c>
      <c r="G110" s="4">
        <v>2775</v>
      </c>
      <c r="H110" s="4">
        <v>1402</v>
      </c>
      <c r="L110" s="4">
        <v>117</v>
      </c>
      <c r="M110" s="4">
        <v>4177</v>
      </c>
      <c r="N110" s="4">
        <v>115</v>
      </c>
    </row>
    <row r="111" spans="1:14" ht="12.5" x14ac:dyDescent="0.25">
      <c r="A111" s="2">
        <v>44000</v>
      </c>
      <c r="B111" s="4">
        <v>8</v>
      </c>
      <c r="C111" s="3">
        <v>44000.333333333336</v>
      </c>
      <c r="D111" s="4">
        <v>9385</v>
      </c>
      <c r="E111" s="4">
        <v>4592</v>
      </c>
      <c r="F111" s="4">
        <v>594</v>
      </c>
      <c r="G111" s="4">
        <v>2822</v>
      </c>
      <c r="H111" s="4">
        <v>1377</v>
      </c>
      <c r="L111" s="4">
        <v>176</v>
      </c>
      <c r="M111" s="4">
        <v>4199</v>
      </c>
      <c r="N111" s="4">
        <v>148</v>
      </c>
    </row>
    <row r="112" spans="1:14" ht="12.5" x14ac:dyDescent="0.25">
      <c r="A112" s="2">
        <v>44001</v>
      </c>
      <c r="B112" s="4">
        <v>8</v>
      </c>
      <c r="C112" s="3">
        <v>44001.333333333336</v>
      </c>
      <c r="D112" s="4">
        <v>9525</v>
      </c>
      <c r="E112" s="4">
        <v>4682</v>
      </c>
      <c r="F112" s="4">
        <v>599</v>
      </c>
      <c r="G112" s="4">
        <v>2862</v>
      </c>
      <c r="H112" s="4">
        <v>1382</v>
      </c>
      <c r="L112" s="4">
        <v>140</v>
      </c>
      <c r="M112" s="4">
        <v>4244</v>
      </c>
      <c r="N112" s="4">
        <v>90</v>
      </c>
    </row>
    <row r="113" spans="1:14" ht="12.5" x14ac:dyDescent="0.25">
      <c r="A113" s="2">
        <v>44002</v>
      </c>
      <c r="B113" s="4">
        <v>8</v>
      </c>
      <c r="C113" s="3">
        <v>44002.333333333336</v>
      </c>
      <c r="D113" s="4">
        <v>9703</v>
      </c>
      <c r="E113" s="4">
        <v>4821</v>
      </c>
      <c r="F113" s="4">
        <v>603</v>
      </c>
      <c r="G113" s="4">
        <v>2939</v>
      </c>
      <c r="H113" s="4">
        <v>1340</v>
      </c>
      <c r="L113" s="4">
        <v>178</v>
      </c>
      <c r="M113" s="4">
        <v>4279</v>
      </c>
      <c r="N113" s="4">
        <v>139</v>
      </c>
    </row>
    <row r="114" spans="1:14" ht="12.5" x14ac:dyDescent="0.25">
      <c r="A114" s="2">
        <v>44003</v>
      </c>
      <c r="B114" s="4">
        <v>8</v>
      </c>
      <c r="C114" s="3">
        <v>44003.333333333336</v>
      </c>
      <c r="D114" s="4">
        <v>9830</v>
      </c>
      <c r="E114" s="4">
        <v>5054</v>
      </c>
      <c r="F114" s="4">
        <v>615</v>
      </c>
      <c r="G114" s="4">
        <v>2874</v>
      </c>
      <c r="H114" s="4">
        <v>1287</v>
      </c>
      <c r="L114" s="4">
        <v>127</v>
      </c>
      <c r="M114" s="4">
        <v>4161</v>
      </c>
      <c r="N114" s="4">
        <v>233</v>
      </c>
    </row>
    <row r="115" spans="1:14" ht="12.5" x14ac:dyDescent="0.25">
      <c r="A115" s="2">
        <v>44004</v>
      </c>
      <c r="B115" s="4">
        <v>8</v>
      </c>
      <c r="C115" s="3">
        <v>44004.333333333336</v>
      </c>
      <c r="D115" s="4">
        <v>9957</v>
      </c>
      <c r="E115" s="4">
        <v>5128</v>
      </c>
      <c r="F115" s="4">
        <v>618</v>
      </c>
      <c r="G115" s="4">
        <v>2901</v>
      </c>
      <c r="H115" s="4">
        <v>1310</v>
      </c>
      <c r="L115" s="4">
        <v>127</v>
      </c>
      <c r="M115" s="4">
        <v>4211</v>
      </c>
      <c r="N115" s="4">
        <v>74</v>
      </c>
    </row>
    <row r="116" spans="1:14" ht="12.5" x14ac:dyDescent="0.25">
      <c r="A116" s="2">
        <v>44005</v>
      </c>
      <c r="B116" s="4">
        <v>8</v>
      </c>
      <c r="C116" s="3">
        <v>44005.333333333336</v>
      </c>
      <c r="D116" s="4">
        <v>10123</v>
      </c>
      <c r="E116" s="4">
        <v>5228</v>
      </c>
      <c r="F116" s="4">
        <v>619</v>
      </c>
      <c r="G116" s="4">
        <v>2957</v>
      </c>
      <c r="H116" s="4">
        <v>1319</v>
      </c>
      <c r="L116" s="4">
        <v>166</v>
      </c>
      <c r="M116" s="4">
        <v>4276</v>
      </c>
      <c r="N116" s="4">
        <v>100</v>
      </c>
    </row>
    <row r="117" spans="1:14" ht="12.5" x14ac:dyDescent="0.25">
      <c r="A117" s="2">
        <v>44006</v>
      </c>
      <c r="B117" s="4">
        <v>8</v>
      </c>
      <c r="C117" s="3">
        <v>44006.333333333336</v>
      </c>
      <c r="D117" s="4">
        <v>10277</v>
      </c>
      <c r="E117" s="4">
        <v>5322</v>
      </c>
      <c r="F117" s="4">
        <v>628</v>
      </c>
      <c r="G117" s="4">
        <v>2978</v>
      </c>
      <c r="H117" s="4">
        <v>1349</v>
      </c>
      <c r="L117" s="4">
        <v>154</v>
      </c>
      <c r="M117" s="4">
        <v>4327</v>
      </c>
      <c r="N117" s="4">
        <v>94</v>
      </c>
    </row>
    <row r="118" spans="1:14" ht="12.5" x14ac:dyDescent="0.25">
      <c r="A118" s="2">
        <v>44007</v>
      </c>
      <c r="B118" s="4">
        <v>8</v>
      </c>
      <c r="C118" s="3">
        <v>44007.333333333336</v>
      </c>
      <c r="D118" s="4">
        <v>10472</v>
      </c>
      <c r="E118" s="4">
        <v>5435</v>
      </c>
      <c r="F118" s="4">
        <v>631</v>
      </c>
      <c r="G118" s="4">
        <v>3068</v>
      </c>
      <c r="H118" s="4">
        <v>1338</v>
      </c>
      <c r="L118" s="4">
        <v>195</v>
      </c>
      <c r="M118" s="4">
        <v>4406</v>
      </c>
      <c r="N118" s="4">
        <v>113</v>
      </c>
    </row>
    <row r="119" spans="1:14" ht="12.5" x14ac:dyDescent="0.25">
      <c r="A119" s="2">
        <v>44008</v>
      </c>
      <c r="B119" s="4">
        <v>8</v>
      </c>
      <c r="C119" s="3">
        <v>44008.333333333336</v>
      </c>
      <c r="D119" s="4">
        <v>10640</v>
      </c>
      <c r="E119" s="4">
        <v>5542</v>
      </c>
      <c r="F119" s="4">
        <v>632</v>
      </c>
      <c r="G119" s="4">
        <v>3136</v>
      </c>
      <c r="H119" s="4">
        <v>1330</v>
      </c>
      <c r="L119" s="4">
        <v>168</v>
      </c>
      <c r="M119" s="4">
        <v>4466</v>
      </c>
      <c r="N119" s="4">
        <v>107</v>
      </c>
    </row>
    <row r="120" spans="1:14" ht="12.5" x14ac:dyDescent="0.25">
      <c r="A120" s="2">
        <v>44009</v>
      </c>
      <c r="B120" s="4">
        <v>8</v>
      </c>
      <c r="C120" s="3">
        <v>44009.333333333336</v>
      </c>
      <c r="D120" s="4">
        <v>10853</v>
      </c>
      <c r="E120" s="4">
        <v>5610</v>
      </c>
      <c r="F120" s="4">
        <v>632</v>
      </c>
      <c r="G120" s="4">
        <v>3256</v>
      </c>
      <c r="H120" s="4">
        <v>1355</v>
      </c>
      <c r="L120" s="4">
        <v>213</v>
      </c>
      <c r="M120" s="4">
        <v>4611</v>
      </c>
      <c r="N120" s="4">
        <v>68</v>
      </c>
    </row>
    <row r="121" spans="1:14" ht="12.5" x14ac:dyDescent="0.25">
      <c r="A121" s="2">
        <v>44010</v>
      </c>
      <c r="B121" s="4">
        <v>8</v>
      </c>
      <c r="C121" s="3">
        <v>44010.333333333336</v>
      </c>
      <c r="D121" s="4">
        <v>10985</v>
      </c>
      <c r="E121" s="4">
        <v>5865</v>
      </c>
      <c r="F121" s="4">
        <v>635</v>
      </c>
      <c r="G121" s="4">
        <v>3163</v>
      </c>
      <c r="H121" s="4">
        <v>1322</v>
      </c>
      <c r="L121" s="4">
        <v>132</v>
      </c>
      <c r="M121" s="4">
        <v>4485</v>
      </c>
      <c r="N121" s="4">
        <v>255</v>
      </c>
    </row>
    <row r="122" spans="1:14" ht="12.5" x14ac:dyDescent="0.25">
      <c r="A122" s="2">
        <v>44011</v>
      </c>
      <c r="B122" s="4">
        <v>8</v>
      </c>
      <c r="C122" s="3">
        <v>44011.333333333336</v>
      </c>
      <c r="D122" s="4">
        <v>11080</v>
      </c>
      <c r="E122" s="4">
        <v>6118</v>
      </c>
      <c r="F122" s="4">
        <v>636</v>
      </c>
      <c r="G122" s="4">
        <v>3299</v>
      </c>
      <c r="H122" s="4">
        <v>1027</v>
      </c>
      <c r="L122" s="4">
        <v>95</v>
      </c>
      <c r="M122" s="4">
        <v>4326</v>
      </c>
      <c r="N122" s="4">
        <v>253</v>
      </c>
    </row>
    <row r="123" spans="1:14" ht="12.5" x14ac:dyDescent="0.25">
      <c r="A123" s="2">
        <v>44012</v>
      </c>
      <c r="B123" s="4">
        <v>8</v>
      </c>
      <c r="C123" s="3">
        <v>44012.333333333336</v>
      </c>
      <c r="D123" s="4">
        <v>11276</v>
      </c>
      <c r="E123" s="4">
        <v>6512</v>
      </c>
      <c r="F123" s="4">
        <v>641</v>
      </c>
      <c r="G123" s="4">
        <v>3172</v>
      </c>
      <c r="H123" s="4">
        <v>951</v>
      </c>
      <c r="L123" s="4">
        <v>196</v>
      </c>
      <c r="M123" s="4">
        <v>4123</v>
      </c>
      <c r="N123" s="4">
        <v>394</v>
      </c>
    </row>
    <row r="124" spans="1:14" ht="12.5" x14ac:dyDescent="0.25">
      <c r="A124" s="2">
        <v>44013</v>
      </c>
      <c r="B124" s="4">
        <v>8</v>
      </c>
      <c r="C124" s="3">
        <v>44013.333333333336</v>
      </c>
      <c r="D124" s="4">
        <v>11482</v>
      </c>
      <c r="E124" s="4">
        <v>6680</v>
      </c>
      <c r="F124" s="4">
        <v>644</v>
      </c>
      <c r="G124" s="4">
        <v>3269</v>
      </c>
      <c r="H124" s="4">
        <v>889</v>
      </c>
      <c r="L124" s="4">
        <v>206</v>
      </c>
      <c r="M124" s="4">
        <v>4158</v>
      </c>
      <c r="N124" s="4">
        <v>168</v>
      </c>
    </row>
    <row r="125" spans="1:14" ht="12.5" x14ac:dyDescent="0.25">
      <c r="A125" s="2">
        <v>44014</v>
      </c>
      <c r="B125" s="4">
        <v>8</v>
      </c>
      <c r="C125" s="3">
        <v>44014.333333333336</v>
      </c>
      <c r="D125" s="4">
        <v>11677</v>
      </c>
      <c r="E125" s="4">
        <v>6871</v>
      </c>
      <c r="F125" s="4">
        <v>646</v>
      </c>
      <c r="G125" s="4">
        <v>3356</v>
      </c>
      <c r="H125" s="4">
        <v>804</v>
      </c>
      <c r="L125" s="4">
        <v>195</v>
      </c>
      <c r="M125" s="4">
        <v>4160</v>
      </c>
      <c r="N125" s="4">
        <v>191</v>
      </c>
    </row>
    <row r="126" spans="1:14" ht="12.5" x14ac:dyDescent="0.25">
      <c r="A126" s="2">
        <v>44015</v>
      </c>
      <c r="B126" s="4">
        <v>8</v>
      </c>
      <c r="C126" s="3">
        <v>44015.333333333336</v>
      </c>
      <c r="D126" s="4">
        <v>11824</v>
      </c>
      <c r="E126" s="4">
        <v>7109</v>
      </c>
      <c r="F126" s="4">
        <v>648</v>
      </c>
      <c r="G126" s="4">
        <v>3331</v>
      </c>
      <c r="H126" s="4">
        <v>736</v>
      </c>
      <c r="L126" s="4">
        <v>147</v>
      </c>
      <c r="M126" s="4">
        <v>4067</v>
      </c>
      <c r="N126" s="4">
        <v>238</v>
      </c>
    </row>
    <row r="127" spans="1:14" ht="12.5" x14ac:dyDescent="0.25">
      <c r="A127" s="2">
        <v>44016</v>
      </c>
      <c r="B127" s="4">
        <v>8</v>
      </c>
      <c r="C127" s="3">
        <v>44016.333333333336</v>
      </c>
      <c r="D127" s="4">
        <v>12039</v>
      </c>
      <c r="E127" s="4">
        <v>7377</v>
      </c>
      <c r="F127" s="4">
        <v>650</v>
      </c>
      <c r="G127" s="4">
        <v>3366</v>
      </c>
      <c r="H127" s="4">
        <v>646</v>
      </c>
      <c r="L127" s="4">
        <v>215</v>
      </c>
      <c r="M127" s="4">
        <v>4012</v>
      </c>
      <c r="N127" s="4">
        <v>268</v>
      </c>
    </row>
    <row r="128" spans="1:14" ht="12.5" x14ac:dyDescent="0.25">
      <c r="A128" s="2">
        <v>44017</v>
      </c>
      <c r="B128" s="4">
        <v>8</v>
      </c>
      <c r="C128" s="3">
        <v>44017.333333333336</v>
      </c>
      <c r="D128" s="4">
        <v>12295</v>
      </c>
      <c r="E128" s="4">
        <v>7663</v>
      </c>
      <c r="F128" s="4">
        <v>658</v>
      </c>
      <c r="G128" s="4">
        <v>3390</v>
      </c>
      <c r="H128" s="4">
        <v>584</v>
      </c>
      <c r="L128" s="4">
        <v>256</v>
      </c>
      <c r="M128" s="4">
        <v>3974</v>
      </c>
      <c r="N128" s="4">
        <v>286</v>
      </c>
    </row>
    <row r="129" spans="1:17" ht="12.5" x14ac:dyDescent="0.25">
      <c r="A129" s="2">
        <v>44018</v>
      </c>
      <c r="B129" s="4">
        <v>8</v>
      </c>
      <c r="C129" s="3">
        <v>44018.333333333336</v>
      </c>
      <c r="D129" s="4">
        <v>12526</v>
      </c>
      <c r="E129" s="4">
        <v>8033</v>
      </c>
      <c r="F129" s="4">
        <v>658</v>
      </c>
      <c r="G129" s="4">
        <v>3340</v>
      </c>
      <c r="H129" s="4">
        <v>495</v>
      </c>
      <c r="L129" s="4">
        <v>231</v>
      </c>
      <c r="M129" s="4">
        <v>3835</v>
      </c>
      <c r="N129" s="4">
        <v>370</v>
      </c>
    </row>
    <row r="130" spans="1:17" ht="12.5" x14ac:dyDescent="0.25">
      <c r="A130" s="2">
        <v>44019</v>
      </c>
      <c r="B130" s="4">
        <v>8</v>
      </c>
      <c r="C130" s="3">
        <v>44019.333333333336</v>
      </c>
      <c r="D130" s="4">
        <v>12725</v>
      </c>
      <c r="E130" s="4">
        <v>8277</v>
      </c>
      <c r="F130" s="4">
        <v>664</v>
      </c>
      <c r="G130" s="4">
        <v>3379</v>
      </c>
      <c r="H130" s="4">
        <v>405</v>
      </c>
      <c r="L130" s="4">
        <v>199</v>
      </c>
      <c r="M130" s="4">
        <v>3784</v>
      </c>
      <c r="N130" s="4">
        <v>244</v>
      </c>
    </row>
    <row r="131" spans="1:17" ht="12.5" x14ac:dyDescent="0.25">
      <c r="A131" s="2">
        <v>44020</v>
      </c>
      <c r="B131" s="4">
        <v>8</v>
      </c>
      <c r="C131" s="3">
        <v>44020.333333333336</v>
      </c>
      <c r="D131" s="4">
        <v>13069</v>
      </c>
      <c r="E131" s="4">
        <v>8429</v>
      </c>
      <c r="F131" s="4">
        <v>667</v>
      </c>
      <c r="G131" s="4">
        <v>3556</v>
      </c>
      <c r="H131" s="4">
        <v>417</v>
      </c>
      <c r="L131" s="4">
        <v>344</v>
      </c>
      <c r="M131" s="4">
        <v>3973</v>
      </c>
      <c r="N131" s="4">
        <v>152</v>
      </c>
    </row>
    <row r="132" spans="1:17" ht="12.5" x14ac:dyDescent="0.25">
      <c r="A132" s="2">
        <v>44021</v>
      </c>
      <c r="B132" s="4">
        <v>8</v>
      </c>
      <c r="C132" s="3">
        <v>44021.333333333336</v>
      </c>
      <c r="D132" s="4">
        <v>13359</v>
      </c>
      <c r="E132" s="4">
        <v>8647</v>
      </c>
      <c r="F132" s="4">
        <v>677</v>
      </c>
      <c r="G132" s="4">
        <v>3584</v>
      </c>
      <c r="H132" s="4">
        <v>451</v>
      </c>
      <c r="L132" s="4">
        <v>290</v>
      </c>
      <c r="M132" s="4">
        <v>4035</v>
      </c>
      <c r="N132" s="4">
        <v>218</v>
      </c>
    </row>
    <row r="133" spans="1:17" ht="12.5" x14ac:dyDescent="0.25">
      <c r="A133" s="2">
        <v>44022</v>
      </c>
      <c r="B133" s="4">
        <v>8</v>
      </c>
      <c r="C133" s="3">
        <v>44022.333333333336</v>
      </c>
      <c r="D133" s="4">
        <v>13598</v>
      </c>
      <c r="E133" s="4">
        <v>8825</v>
      </c>
      <c r="F133" s="4">
        <v>684</v>
      </c>
      <c r="G133" s="4">
        <v>3613</v>
      </c>
      <c r="H133" s="4">
        <v>476</v>
      </c>
      <c r="L133" s="4">
        <v>239</v>
      </c>
      <c r="M133" s="4">
        <v>4089</v>
      </c>
      <c r="N133" s="4">
        <v>178</v>
      </c>
    </row>
    <row r="134" spans="1:17" ht="12.5" x14ac:dyDescent="0.25">
      <c r="A134" s="2">
        <v>44023</v>
      </c>
      <c r="B134" s="4">
        <v>8</v>
      </c>
      <c r="C134" s="3">
        <v>44023.333333333336</v>
      </c>
      <c r="D134" s="4">
        <v>13957</v>
      </c>
      <c r="E134" s="4">
        <v>9040</v>
      </c>
      <c r="F134" s="4">
        <v>690</v>
      </c>
      <c r="G134" s="4">
        <v>3732</v>
      </c>
      <c r="H134" s="4">
        <v>495</v>
      </c>
      <c r="L134" s="4">
        <v>359</v>
      </c>
      <c r="M134" s="4">
        <v>4227</v>
      </c>
      <c r="N134" s="4">
        <v>215</v>
      </c>
    </row>
    <row r="135" spans="1:17" ht="12.5" x14ac:dyDescent="0.25">
      <c r="A135" s="2">
        <v>44024</v>
      </c>
      <c r="B135" s="4">
        <v>8</v>
      </c>
      <c r="C135" s="3">
        <v>44024.333333333336</v>
      </c>
      <c r="D135" s="4">
        <v>14361</v>
      </c>
      <c r="E135" s="4">
        <v>9200</v>
      </c>
      <c r="F135" s="4">
        <v>702</v>
      </c>
      <c r="G135" s="4">
        <v>3905</v>
      </c>
      <c r="H135" s="4">
        <v>554</v>
      </c>
      <c r="L135" s="4">
        <v>404</v>
      </c>
      <c r="M135" s="4">
        <v>4459</v>
      </c>
      <c r="N135" s="4">
        <v>160</v>
      </c>
    </row>
    <row r="136" spans="1:17" ht="12.5" x14ac:dyDescent="0.25">
      <c r="A136" s="2">
        <v>44025</v>
      </c>
      <c r="B136" s="4">
        <v>8</v>
      </c>
      <c r="C136" s="3">
        <v>44025.333333333336</v>
      </c>
      <c r="D136" s="4">
        <v>14639</v>
      </c>
      <c r="E136" s="4">
        <v>9408</v>
      </c>
      <c r="F136" s="4">
        <v>710</v>
      </c>
      <c r="G136" s="4">
        <v>3924</v>
      </c>
      <c r="H136" s="4">
        <v>597</v>
      </c>
      <c r="L136" s="4">
        <v>278</v>
      </c>
      <c r="M136" s="4">
        <v>4521</v>
      </c>
      <c r="N136" s="4">
        <v>208</v>
      </c>
    </row>
    <row r="137" spans="1:17" ht="12.5" x14ac:dyDescent="0.25">
      <c r="A137" s="2">
        <v>44026</v>
      </c>
      <c r="B137" s="4">
        <v>8</v>
      </c>
      <c r="C137" s="3">
        <v>44026.333333333336</v>
      </c>
      <c r="D137" s="4">
        <v>14914</v>
      </c>
      <c r="E137" s="4">
        <v>9528</v>
      </c>
      <c r="F137" s="4">
        <v>714</v>
      </c>
      <c r="G137" s="4">
        <v>4053</v>
      </c>
      <c r="H137" s="4">
        <v>619</v>
      </c>
      <c r="L137" s="4">
        <v>275</v>
      </c>
      <c r="M137" s="4">
        <v>4672</v>
      </c>
      <c r="N137" s="4">
        <v>120</v>
      </c>
    </row>
    <row r="138" spans="1:17" ht="12.5" x14ac:dyDescent="0.25">
      <c r="A138" s="2">
        <v>44027</v>
      </c>
      <c r="B138" s="4">
        <v>8</v>
      </c>
      <c r="C138" s="3">
        <v>44027.333333333336</v>
      </c>
      <c r="D138" s="4">
        <v>15173</v>
      </c>
      <c r="E138" s="4">
        <v>9721</v>
      </c>
      <c r="F138" s="4">
        <v>720</v>
      </c>
      <c r="G138" s="4">
        <v>4041</v>
      </c>
      <c r="H138" s="4">
        <v>691</v>
      </c>
      <c r="L138" s="4">
        <v>259</v>
      </c>
      <c r="M138" s="4">
        <v>4732</v>
      </c>
      <c r="N138" s="4">
        <v>193</v>
      </c>
    </row>
    <row r="139" spans="1:17" ht="12.5" x14ac:dyDescent="0.25">
      <c r="A139" s="2">
        <v>44028</v>
      </c>
      <c r="B139" s="4">
        <v>8</v>
      </c>
      <c r="C139" s="3">
        <v>44028.333333333336</v>
      </c>
      <c r="D139" s="4">
        <v>15466</v>
      </c>
      <c r="E139" s="4">
        <v>9857</v>
      </c>
      <c r="F139" s="4">
        <v>722</v>
      </c>
      <c r="G139" s="4">
        <v>4110</v>
      </c>
      <c r="H139" s="4">
        <v>777</v>
      </c>
      <c r="L139" s="4">
        <v>293</v>
      </c>
      <c r="M139" s="4">
        <v>4887</v>
      </c>
      <c r="N139" s="4">
        <v>136</v>
      </c>
    </row>
    <row r="140" spans="1:17" ht="12.5" x14ac:dyDescent="0.25">
      <c r="A140" s="2">
        <v>44029</v>
      </c>
      <c r="B140" s="4">
        <v>8</v>
      </c>
      <c r="C140" s="3">
        <v>44029.333333333336</v>
      </c>
      <c r="D140" s="4">
        <v>15707</v>
      </c>
      <c r="E140" s="4">
        <v>9994</v>
      </c>
      <c r="F140" s="4">
        <v>731</v>
      </c>
      <c r="G140" s="4">
        <v>4156</v>
      </c>
      <c r="H140" s="4">
        <v>826</v>
      </c>
      <c r="L140" s="4">
        <v>241</v>
      </c>
      <c r="M140" s="4">
        <v>4982</v>
      </c>
      <c r="N140" s="4">
        <v>137</v>
      </c>
    </row>
    <row r="141" spans="1:17" ht="12.5" x14ac:dyDescent="0.25">
      <c r="A141" s="2">
        <v>44030</v>
      </c>
      <c r="B141" s="4">
        <v>8</v>
      </c>
      <c r="C141" s="3">
        <v>44030.333333333336</v>
      </c>
      <c r="D141" s="4">
        <v>16038</v>
      </c>
      <c r="E141" s="4">
        <v>10117</v>
      </c>
      <c r="F141" s="4">
        <v>740</v>
      </c>
      <c r="G141" s="4">
        <v>4289</v>
      </c>
      <c r="H141" s="4">
        <v>892</v>
      </c>
      <c r="L141" s="4">
        <v>331</v>
      </c>
      <c r="M141" s="4">
        <v>5181</v>
      </c>
      <c r="N141" s="4">
        <v>123</v>
      </c>
    </row>
    <row r="142" spans="1:17" ht="12.5" x14ac:dyDescent="0.25">
      <c r="A142" s="2">
        <v>44031</v>
      </c>
      <c r="B142" s="4">
        <v>8</v>
      </c>
      <c r="C142" s="3">
        <v>44031.333333333336</v>
      </c>
      <c r="D142" s="4">
        <v>16351</v>
      </c>
      <c r="E142" s="4">
        <v>10444</v>
      </c>
      <c r="F142" s="4">
        <v>748</v>
      </c>
      <c r="G142" s="4">
        <v>4236</v>
      </c>
      <c r="H142" s="4">
        <v>923</v>
      </c>
      <c r="L142" s="4">
        <v>313</v>
      </c>
      <c r="M142" s="4">
        <v>5159</v>
      </c>
      <c r="N142" s="4">
        <v>327</v>
      </c>
      <c r="O142" s="4">
        <v>8503</v>
      </c>
      <c r="P142" s="4">
        <v>5362</v>
      </c>
      <c r="Q142" s="4">
        <v>2486</v>
      </c>
    </row>
    <row r="143" spans="1:17" ht="12.5" x14ac:dyDescent="0.25">
      <c r="A143" s="2">
        <v>44032</v>
      </c>
      <c r="B143" s="4">
        <v>8</v>
      </c>
      <c r="C143" s="3">
        <v>44032.333333333336</v>
      </c>
      <c r="D143" s="4">
        <v>16712</v>
      </c>
      <c r="E143" s="4">
        <v>10602</v>
      </c>
      <c r="F143" s="4">
        <v>749</v>
      </c>
      <c r="G143" s="4">
        <v>4335</v>
      </c>
      <c r="H143" s="4">
        <v>1026</v>
      </c>
      <c r="L143" s="4">
        <v>361</v>
      </c>
      <c r="M143" s="4">
        <v>5361</v>
      </c>
      <c r="N143" s="4">
        <v>158</v>
      </c>
      <c r="O143" s="4">
        <v>8356</v>
      </c>
      <c r="P143" s="4">
        <v>5760</v>
      </c>
      <c r="Q143" s="4">
        <v>2596</v>
      </c>
    </row>
    <row r="144" spans="1:17" ht="12.5" x14ac:dyDescent="0.25">
      <c r="A144" s="2">
        <v>44033</v>
      </c>
      <c r="B144" s="4">
        <v>8</v>
      </c>
      <c r="C144" s="3">
        <v>44033.333333333336</v>
      </c>
      <c r="D144" s="4">
        <v>17153</v>
      </c>
      <c r="E144" s="4">
        <v>10864</v>
      </c>
      <c r="F144" s="4">
        <v>758</v>
      </c>
      <c r="G144" s="4">
        <v>4458</v>
      </c>
      <c r="H144" s="4">
        <v>1073</v>
      </c>
      <c r="L144" s="4">
        <v>441</v>
      </c>
      <c r="M144" s="4">
        <v>5531</v>
      </c>
      <c r="N144" s="4">
        <v>262</v>
      </c>
      <c r="O144" s="4">
        <v>8577</v>
      </c>
      <c r="P144" s="4">
        <v>5832</v>
      </c>
      <c r="Q144" s="4">
        <v>2744</v>
      </c>
    </row>
    <row r="145" spans="1:17" ht="12.5" x14ac:dyDescent="0.25">
      <c r="A145" s="2">
        <v>44034</v>
      </c>
      <c r="B145" s="4">
        <v>8</v>
      </c>
      <c r="C145" s="3">
        <v>44034.333333333336</v>
      </c>
      <c r="D145" s="4">
        <v>17529</v>
      </c>
      <c r="E145" s="4">
        <v>11187</v>
      </c>
      <c r="F145" s="4">
        <v>766</v>
      </c>
      <c r="G145" s="4">
        <v>4383</v>
      </c>
      <c r="H145" s="4">
        <v>1193</v>
      </c>
      <c r="L145" s="4">
        <v>376</v>
      </c>
      <c r="M145" s="4">
        <v>5576</v>
      </c>
      <c r="N145" s="4">
        <v>323</v>
      </c>
      <c r="O145" s="4">
        <v>8767</v>
      </c>
      <c r="P145" s="4">
        <v>5962</v>
      </c>
      <c r="Q145" s="4">
        <v>2800</v>
      </c>
    </row>
    <row r="146" spans="1:17" ht="12.5" x14ac:dyDescent="0.25">
      <c r="A146" s="2">
        <v>44035</v>
      </c>
      <c r="B146" s="4">
        <v>8</v>
      </c>
      <c r="C146" s="3">
        <v>44035.333333333336</v>
      </c>
      <c r="D146" s="4">
        <v>17945</v>
      </c>
      <c r="E146" s="4">
        <v>11302</v>
      </c>
      <c r="F146" s="4">
        <v>767</v>
      </c>
      <c r="G146" s="4">
        <v>4675</v>
      </c>
      <c r="H146" s="4">
        <v>1201</v>
      </c>
      <c r="L146" s="4">
        <v>416</v>
      </c>
      <c r="M146" s="4">
        <v>5876</v>
      </c>
      <c r="N146" s="4">
        <v>115</v>
      </c>
      <c r="O146" s="4">
        <v>8770</v>
      </c>
      <c r="P146" s="4">
        <v>6283</v>
      </c>
      <c r="Q146" s="4">
        <v>2892</v>
      </c>
    </row>
    <row r="147" spans="1:17" ht="12.5" x14ac:dyDescent="0.25">
      <c r="A147" s="2">
        <v>44036</v>
      </c>
      <c r="B147" s="4">
        <v>8</v>
      </c>
      <c r="C147" s="3">
        <v>44036.333333333336</v>
      </c>
      <c r="D147" s="4">
        <v>18230</v>
      </c>
      <c r="E147" s="4">
        <v>11585</v>
      </c>
      <c r="F147" s="4">
        <v>768</v>
      </c>
      <c r="G147" s="4">
        <v>4577</v>
      </c>
      <c r="H147" s="4">
        <v>1300</v>
      </c>
      <c r="L147" s="4">
        <v>285</v>
      </c>
      <c r="M147" s="4">
        <v>5877</v>
      </c>
      <c r="N147" s="4">
        <v>283</v>
      </c>
      <c r="O147" s="4">
        <v>8770</v>
      </c>
      <c r="P147" s="4">
        <v>6283</v>
      </c>
      <c r="Q147" s="4">
        <v>3177</v>
      </c>
    </row>
    <row r="148" spans="1:17" ht="12.5" x14ac:dyDescent="0.25">
      <c r="A148" s="2">
        <v>44037</v>
      </c>
      <c r="B148" s="4">
        <v>8</v>
      </c>
      <c r="C148" s="3">
        <v>44037.333333333336</v>
      </c>
      <c r="D148" s="4">
        <v>18623</v>
      </c>
      <c r="E148" s="4">
        <v>11715</v>
      </c>
      <c r="F148" s="4">
        <v>769</v>
      </c>
      <c r="G148" s="4">
        <v>4729</v>
      </c>
      <c r="H148" s="4">
        <v>1410</v>
      </c>
      <c r="L148" s="4">
        <v>393</v>
      </c>
      <c r="M148" s="4">
        <v>6139</v>
      </c>
      <c r="N148" s="4">
        <v>130</v>
      </c>
      <c r="O148" s="4">
        <v>8939</v>
      </c>
      <c r="P148" s="4">
        <v>6332</v>
      </c>
      <c r="Q148" s="4">
        <v>3352</v>
      </c>
    </row>
    <row r="149" spans="1:17" ht="12.5" x14ac:dyDescent="0.25">
      <c r="A149" s="2">
        <v>44038</v>
      </c>
      <c r="B149" s="4">
        <v>8</v>
      </c>
      <c r="C149" s="3">
        <v>44038.333333333336</v>
      </c>
      <c r="D149" s="4">
        <v>19001</v>
      </c>
      <c r="E149" s="4">
        <v>11889</v>
      </c>
      <c r="F149" s="4">
        <v>779</v>
      </c>
      <c r="G149" s="4">
        <v>4842</v>
      </c>
      <c r="H149" s="4">
        <v>1491</v>
      </c>
      <c r="L149" s="4">
        <v>378</v>
      </c>
      <c r="M149" s="4">
        <v>6333</v>
      </c>
      <c r="N149" s="4">
        <v>174</v>
      </c>
      <c r="O149" s="4">
        <v>9120</v>
      </c>
      <c r="P149" s="4">
        <v>6460</v>
      </c>
      <c r="Q149" s="4">
        <v>3421</v>
      </c>
    </row>
    <row r="150" spans="1:17" ht="12.5" x14ac:dyDescent="0.25">
      <c r="A150" s="2">
        <v>44039</v>
      </c>
      <c r="B150" s="4">
        <v>8</v>
      </c>
      <c r="C150" s="3">
        <v>44039.333333333336</v>
      </c>
      <c r="D150" s="4">
        <v>19473</v>
      </c>
      <c r="E150" s="4">
        <v>11996</v>
      </c>
      <c r="F150" s="4">
        <v>782</v>
      </c>
      <c r="G150" s="4">
        <v>4993</v>
      </c>
      <c r="H150" s="4">
        <v>1702</v>
      </c>
      <c r="L150" s="4">
        <v>472</v>
      </c>
      <c r="M150" s="4">
        <v>6695</v>
      </c>
      <c r="N150" s="4">
        <v>107</v>
      </c>
      <c r="O150" s="4">
        <v>9348</v>
      </c>
      <c r="P150" s="4">
        <v>6621</v>
      </c>
      <c r="Q150" s="4">
        <v>3504</v>
      </c>
    </row>
    <row r="151" spans="1:17" ht="12.5" x14ac:dyDescent="0.25">
      <c r="A151" s="2">
        <v>44040</v>
      </c>
      <c r="B151" s="4">
        <v>8</v>
      </c>
      <c r="C151" s="3">
        <v>44040.333333333336</v>
      </c>
      <c r="D151" s="4">
        <v>19885</v>
      </c>
      <c r="E151" s="4">
        <v>12373</v>
      </c>
      <c r="F151" s="4">
        <v>795</v>
      </c>
      <c r="G151" s="4">
        <v>4869</v>
      </c>
      <c r="H151" s="4">
        <v>1848</v>
      </c>
      <c r="L151" s="4">
        <v>412</v>
      </c>
      <c r="M151" s="4">
        <v>6717</v>
      </c>
      <c r="N151" s="4">
        <v>377</v>
      </c>
      <c r="O151" s="4">
        <v>9348</v>
      </c>
      <c r="P151" s="4">
        <v>6621</v>
      </c>
      <c r="Q151" s="4">
        <v>3916</v>
      </c>
    </row>
    <row r="152" spans="1:17" ht="12.5" x14ac:dyDescent="0.25">
      <c r="A152" s="2">
        <v>44041</v>
      </c>
      <c r="B152" s="4">
        <v>8</v>
      </c>
      <c r="C152" s="3">
        <v>44041.333333333336</v>
      </c>
      <c r="D152" s="4">
        <v>20470</v>
      </c>
      <c r="E152" s="4">
        <v>12613</v>
      </c>
      <c r="F152" s="4">
        <v>820</v>
      </c>
      <c r="G152" s="4">
        <v>5093</v>
      </c>
      <c r="H152" s="4">
        <v>1944</v>
      </c>
      <c r="L152" s="4">
        <v>585</v>
      </c>
      <c r="M152" s="4">
        <v>7037</v>
      </c>
      <c r="N152" s="4">
        <v>240</v>
      </c>
      <c r="O152" s="4">
        <v>9620</v>
      </c>
      <c r="P152" s="4">
        <v>6960</v>
      </c>
      <c r="Q152" s="4">
        <v>3890</v>
      </c>
    </row>
    <row r="153" spans="1:17" ht="12.5" x14ac:dyDescent="0.25">
      <c r="A153" s="2">
        <v>44042</v>
      </c>
      <c r="B153" s="4">
        <v>8</v>
      </c>
      <c r="C153" s="3">
        <v>44042.333333333336</v>
      </c>
      <c r="D153" s="4">
        <v>20769</v>
      </c>
      <c r="E153" s="4">
        <v>12801</v>
      </c>
      <c r="F153" s="4">
        <v>821</v>
      </c>
      <c r="G153" s="4">
        <v>5098</v>
      </c>
      <c r="H153" s="4">
        <v>2049</v>
      </c>
      <c r="L153" s="4">
        <v>299</v>
      </c>
      <c r="M153" s="4">
        <v>7147</v>
      </c>
      <c r="N153" s="4">
        <v>188</v>
      </c>
      <c r="O153" s="4">
        <v>9625</v>
      </c>
      <c r="P153" s="4">
        <v>6854</v>
      </c>
      <c r="Q153" s="4">
        <v>4290</v>
      </c>
    </row>
    <row r="154" spans="1:17" ht="12.5" x14ac:dyDescent="0.25">
      <c r="A154" s="2">
        <v>44043</v>
      </c>
      <c r="B154" s="4">
        <v>8</v>
      </c>
      <c r="C154" s="3">
        <v>44043.333333333336</v>
      </c>
      <c r="D154" s="4">
        <v>21201</v>
      </c>
      <c r="E154" s="4">
        <v>13208</v>
      </c>
      <c r="F154" s="4">
        <v>836</v>
      </c>
      <c r="G154" s="4">
        <v>4974</v>
      </c>
      <c r="H154" s="4">
        <v>2183</v>
      </c>
      <c r="L154" s="4">
        <v>432</v>
      </c>
      <c r="M154" s="4">
        <v>7157</v>
      </c>
      <c r="N154" s="4">
        <v>407</v>
      </c>
      <c r="O154" s="4">
        <v>9753</v>
      </c>
      <c r="P154" s="4">
        <v>6996</v>
      </c>
      <c r="Q154" s="4">
        <v>4452</v>
      </c>
    </row>
    <row r="155" spans="1:17" ht="12.5" x14ac:dyDescent="0.25">
      <c r="A155" s="2">
        <v>44044</v>
      </c>
      <c r="B155" s="4">
        <v>8</v>
      </c>
      <c r="C155" s="3">
        <v>44044.333333333336</v>
      </c>
      <c r="D155" s="4">
        <v>21575</v>
      </c>
      <c r="E155" s="4">
        <v>13887</v>
      </c>
      <c r="F155" s="4">
        <v>852</v>
      </c>
      <c r="G155" s="4">
        <v>4683</v>
      </c>
      <c r="H155" s="4">
        <v>2153</v>
      </c>
      <c r="L155" s="4">
        <v>374</v>
      </c>
      <c r="M155" s="4">
        <v>6836</v>
      </c>
      <c r="N155" s="4">
        <v>679</v>
      </c>
      <c r="O155" s="4">
        <v>9718</v>
      </c>
      <c r="P155" s="4">
        <v>7110</v>
      </c>
      <c r="Q155" s="4">
        <v>4747</v>
      </c>
    </row>
    <row r="156" spans="1:17" ht="12.5" x14ac:dyDescent="0.25">
      <c r="A156" s="2">
        <v>44045</v>
      </c>
      <c r="B156" s="4">
        <v>8</v>
      </c>
      <c r="C156" s="3">
        <v>44045.333333333336</v>
      </c>
      <c r="D156" s="4">
        <v>21954</v>
      </c>
      <c r="E156" s="4">
        <v>14027</v>
      </c>
      <c r="F156" s="4">
        <v>852</v>
      </c>
      <c r="G156" s="4">
        <v>4916</v>
      </c>
      <c r="H156" s="4">
        <v>2159</v>
      </c>
      <c r="L156" s="4">
        <v>379</v>
      </c>
      <c r="M156" s="4">
        <v>7075</v>
      </c>
      <c r="N156" s="4">
        <v>140</v>
      </c>
      <c r="O156" s="4">
        <v>9879</v>
      </c>
      <c r="P156" s="4">
        <v>7245</v>
      </c>
      <c r="Q156" s="4">
        <v>4830</v>
      </c>
    </row>
    <row r="157" spans="1:17" ht="12.5" x14ac:dyDescent="0.25">
      <c r="A157" s="2">
        <v>44046</v>
      </c>
      <c r="B157" s="4">
        <v>8</v>
      </c>
      <c r="C157" s="3">
        <v>44046.333333333336</v>
      </c>
      <c r="D157" s="4">
        <v>22443</v>
      </c>
      <c r="E157" s="4">
        <v>14165</v>
      </c>
      <c r="F157" s="4">
        <v>867</v>
      </c>
      <c r="G157" s="4">
        <v>5084</v>
      </c>
      <c r="H157" s="4">
        <v>2327</v>
      </c>
      <c r="L157" s="4">
        <v>489</v>
      </c>
      <c r="M157" s="4">
        <v>7411</v>
      </c>
      <c r="N157" s="4">
        <v>138</v>
      </c>
      <c r="O157" s="4">
        <v>10099</v>
      </c>
      <c r="P157" s="4">
        <v>7406</v>
      </c>
      <c r="Q157" s="4">
        <v>4938</v>
      </c>
    </row>
    <row r="158" spans="1:17" ht="12.5" x14ac:dyDescent="0.25">
      <c r="A158" s="2">
        <v>44047</v>
      </c>
      <c r="B158" s="4">
        <v>8</v>
      </c>
      <c r="C158" s="3">
        <v>44047.333333333336</v>
      </c>
      <c r="D158" s="4">
        <v>22909</v>
      </c>
      <c r="E158" s="4">
        <v>14381</v>
      </c>
      <c r="F158" s="4">
        <v>880</v>
      </c>
      <c r="G158" s="4">
        <v>5216</v>
      </c>
      <c r="H158" s="4">
        <v>2432</v>
      </c>
      <c r="L158" s="4">
        <v>466</v>
      </c>
      <c r="M158" s="4">
        <v>7648</v>
      </c>
      <c r="N158" s="4">
        <v>216</v>
      </c>
      <c r="O158" s="4">
        <v>10079</v>
      </c>
      <c r="P158" s="4">
        <v>7560</v>
      </c>
      <c r="Q158" s="4">
        <v>5270</v>
      </c>
    </row>
    <row r="159" spans="1:17" ht="12.5" x14ac:dyDescent="0.25">
      <c r="A159" s="2">
        <v>44048</v>
      </c>
      <c r="B159" s="4">
        <v>8</v>
      </c>
      <c r="C159" s="3">
        <v>44048.333333333336</v>
      </c>
      <c r="D159" s="4">
        <v>23266</v>
      </c>
      <c r="E159" s="4">
        <v>14760</v>
      </c>
      <c r="F159" s="4">
        <v>895</v>
      </c>
      <c r="G159" s="4">
        <v>5128</v>
      </c>
      <c r="H159" s="4">
        <v>2483</v>
      </c>
      <c r="L159" s="4">
        <v>357</v>
      </c>
      <c r="M159" s="4">
        <v>7611</v>
      </c>
      <c r="N159" s="4">
        <v>379</v>
      </c>
      <c r="O159" s="4">
        <v>10279</v>
      </c>
      <c r="P159" s="4">
        <v>7617</v>
      </c>
      <c r="Q159" s="4">
        <v>5370</v>
      </c>
    </row>
    <row r="160" spans="1:17" ht="12.5" x14ac:dyDescent="0.25">
      <c r="A160" s="2">
        <v>44049</v>
      </c>
      <c r="B160" s="4">
        <v>8</v>
      </c>
      <c r="C160" s="3">
        <v>44049.333333333336</v>
      </c>
      <c r="D160" s="4">
        <v>23863</v>
      </c>
      <c r="E160" s="4">
        <v>15006</v>
      </c>
      <c r="F160" s="4">
        <v>908</v>
      </c>
      <c r="G160" s="4">
        <v>5397</v>
      </c>
      <c r="H160" s="4">
        <v>2552</v>
      </c>
      <c r="L160" s="4">
        <v>597</v>
      </c>
      <c r="M160" s="4">
        <v>7949</v>
      </c>
      <c r="N160" s="4">
        <v>246</v>
      </c>
      <c r="O160" s="4">
        <v>10450</v>
      </c>
      <c r="P160" s="4">
        <v>7636</v>
      </c>
      <c r="Q160" s="4">
        <v>5777</v>
      </c>
    </row>
    <row r="161" spans="1:17" ht="12.5" x14ac:dyDescent="0.25">
      <c r="A161" s="2">
        <v>44050</v>
      </c>
      <c r="B161" s="4">
        <v>8</v>
      </c>
      <c r="C161" s="3">
        <v>44050.333333333336</v>
      </c>
      <c r="D161" s="4">
        <v>24521</v>
      </c>
      <c r="E161" s="4">
        <v>15201</v>
      </c>
      <c r="F161" s="4">
        <v>922</v>
      </c>
      <c r="G161" s="4">
        <v>5803</v>
      </c>
      <c r="H161" s="4">
        <v>2595</v>
      </c>
      <c r="L161" s="4">
        <v>658</v>
      </c>
      <c r="M161" s="4">
        <v>8398</v>
      </c>
      <c r="N161" s="4">
        <v>195</v>
      </c>
      <c r="O161" s="4">
        <v>10570</v>
      </c>
      <c r="P161" s="4">
        <v>7836</v>
      </c>
      <c r="Q161" s="4">
        <v>6115</v>
      </c>
    </row>
    <row r="162" spans="1:17" ht="12.5" x14ac:dyDescent="0.25">
      <c r="A162" s="2">
        <v>44051</v>
      </c>
      <c r="B162" s="4">
        <v>8</v>
      </c>
      <c r="C162" s="3">
        <v>44051.333333333336</v>
      </c>
      <c r="D162" s="4">
        <v>25242</v>
      </c>
      <c r="E162" s="4">
        <v>15710</v>
      </c>
      <c r="F162" s="4">
        <v>934</v>
      </c>
      <c r="G162" s="4">
        <v>6110</v>
      </c>
      <c r="H162" s="4">
        <v>2488</v>
      </c>
      <c r="L162" s="4">
        <v>721</v>
      </c>
      <c r="M162" s="4">
        <v>8598</v>
      </c>
      <c r="N162" s="4">
        <v>509</v>
      </c>
      <c r="O162" s="4">
        <v>11106</v>
      </c>
      <c r="P162" s="4">
        <v>8077</v>
      </c>
      <c r="Q162" s="4">
        <v>6059</v>
      </c>
    </row>
    <row r="163" spans="1:17" ht="12.5" x14ac:dyDescent="0.25">
      <c r="A163" s="2">
        <v>44052</v>
      </c>
      <c r="B163" s="4">
        <v>8</v>
      </c>
      <c r="C163" s="3">
        <v>44052.333333333336</v>
      </c>
      <c r="D163" s="4">
        <v>25714</v>
      </c>
      <c r="E163" s="4">
        <v>16268</v>
      </c>
      <c r="F163" s="4">
        <v>939</v>
      </c>
      <c r="G163" s="4">
        <v>6091</v>
      </c>
      <c r="H163" s="4">
        <v>2416</v>
      </c>
      <c r="L163" s="4">
        <v>472</v>
      </c>
      <c r="M163" s="4">
        <v>8507</v>
      </c>
      <c r="N163" s="4">
        <v>558</v>
      </c>
      <c r="O163" s="4">
        <v>14143</v>
      </c>
      <c r="P163" s="4">
        <v>8077</v>
      </c>
      <c r="Q163" s="4">
        <v>3494</v>
      </c>
    </row>
    <row r="164" spans="1:17" ht="12.5" x14ac:dyDescent="0.25">
      <c r="A164" s="2">
        <v>44053</v>
      </c>
      <c r="B164" s="4">
        <v>8</v>
      </c>
      <c r="C164" s="3">
        <v>44053.333333333336</v>
      </c>
      <c r="D164" s="4">
        <v>26193</v>
      </c>
      <c r="E164" s="4">
        <v>16446</v>
      </c>
      <c r="F164" s="4">
        <v>940</v>
      </c>
      <c r="G164" s="4">
        <v>6252</v>
      </c>
      <c r="H164" s="4">
        <v>2555</v>
      </c>
      <c r="L164" s="4">
        <v>479</v>
      </c>
      <c r="M164" s="4">
        <v>8807</v>
      </c>
      <c r="N164" s="4">
        <v>178</v>
      </c>
      <c r="O164" s="4">
        <v>14400</v>
      </c>
      <c r="P164" s="4">
        <v>8381</v>
      </c>
      <c r="Q164" s="4">
        <v>3412</v>
      </c>
    </row>
    <row r="165" spans="1:17" ht="12.5" x14ac:dyDescent="0.25">
      <c r="A165" s="2">
        <v>44054</v>
      </c>
      <c r="B165" s="4">
        <v>8</v>
      </c>
      <c r="C165" s="3">
        <v>44054.333333333336</v>
      </c>
      <c r="D165" s="4">
        <v>26664</v>
      </c>
      <c r="E165" s="4">
        <v>16927</v>
      </c>
      <c r="F165" s="4">
        <v>953</v>
      </c>
      <c r="G165" s="4">
        <v>6236</v>
      </c>
      <c r="H165" s="4">
        <v>2548</v>
      </c>
      <c r="L165" s="4">
        <v>471</v>
      </c>
      <c r="M165" s="4">
        <v>8784</v>
      </c>
      <c r="N165" s="4">
        <v>481</v>
      </c>
      <c r="O165" s="4">
        <v>14665</v>
      </c>
      <c r="P165" s="4">
        <v>8532</v>
      </c>
      <c r="Q165" s="4">
        <v>3467</v>
      </c>
    </row>
    <row r="166" spans="1:17" ht="12.5" x14ac:dyDescent="0.25">
      <c r="A166" s="2">
        <v>44055</v>
      </c>
      <c r="B166" s="4">
        <v>8</v>
      </c>
      <c r="C166" s="3">
        <v>44055.333333333336</v>
      </c>
      <c r="D166" s="4">
        <v>27242</v>
      </c>
      <c r="E166" s="4">
        <v>17349</v>
      </c>
      <c r="F166" s="4">
        <v>968</v>
      </c>
      <c r="G166" s="4">
        <v>6208</v>
      </c>
      <c r="H166" s="4">
        <v>2717</v>
      </c>
      <c r="L166" s="4">
        <v>578</v>
      </c>
      <c r="M166" s="4">
        <v>8925</v>
      </c>
      <c r="N166" s="4">
        <v>422</v>
      </c>
      <c r="O166" s="4">
        <v>14983</v>
      </c>
      <c r="P166" s="4">
        <v>8717</v>
      </c>
      <c r="Q166" s="4">
        <v>3542</v>
      </c>
    </row>
    <row r="167" spans="1:17" ht="12.5" x14ac:dyDescent="0.25">
      <c r="A167" s="2">
        <v>44056</v>
      </c>
      <c r="B167" s="4">
        <v>8</v>
      </c>
      <c r="C167" s="3">
        <v>44056.333333333336</v>
      </c>
      <c r="D167" s="4">
        <v>27863</v>
      </c>
      <c r="E167" s="4">
        <v>17838</v>
      </c>
      <c r="F167" s="4">
        <v>981</v>
      </c>
      <c r="G167" s="4">
        <v>6330</v>
      </c>
      <c r="H167" s="4">
        <v>2714</v>
      </c>
      <c r="L167" s="4">
        <v>621</v>
      </c>
      <c r="M167" s="4">
        <v>9044</v>
      </c>
      <c r="N167" s="4">
        <v>489</v>
      </c>
      <c r="O167" s="4">
        <v>15324</v>
      </c>
      <c r="P167" s="4">
        <v>8916</v>
      </c>
      <c r="Q167" s="4">
        <v>3623</v>
      </c>
    </row>
    <row r="168" spans="1:17" ht="12.5" x14ac:dyDescent="0.25">
      <c r="A168" s="2">
        <v>44057</v>
      </c>
      <c r="B168" s="4">
        <v>8</v>
      </c>
      <c r="C168" s="3">
        <v>44057.333333333336</v>
      </c>
      <c r="D168" s="4">
        <v>28438</v>
      </c>
      <c r="E168" s="4">
        <v>18528</v>
      </c>
      <c r="F168" s="4">
        <v>985</v>
      </c>
      <c r="G168" s="4">
        <v>6331</v>
      </c>
      <c r="H168" s="4">
        <v>2594</v>
      </c>
      <c r="L168" s="4">
        <v>575</v>
      </c>
      <c r="M168" s="4">
        <v>8925</v>
      </c>
      <c r="N168" s="4">
        <v>690</v>
      </c>
      <c r="O168" s="4">
        <v>15324</v>
      </c>
      <c r="P168" s="4">
        <v>8916</v>
      </c>
      <c r="Q168" s="4">
        <v>4198</v>
      </c>
    </row>
    <row r="169" spans="1:17" ht="12.5" x14ac:dyDescent="0.25">
      <c r="A169" s="2">
        <v>44058</v>
      </c>
      <c r="B169" s="4">
        <v>8</v>
      </c>
      <c r="C169" s="3">
        <v>44058.333333333336</v>
      </c>
      <c r="D169" s="4">
        <v>29036</v>
      </c>
      <c r="E169" s="4">
        <v>18974</v>
      </c>
      <c r="F169" s="4">
        <v>991</v>
      </c>
      <c r="G169" s="4">
        <v>6457</v>
      </c>
      <c r="H169" s="4">
        <v>2614</v>
      </c>
      <c r="L169" s="4">
        <v>598</v>
      </c>
      <c r="M169" s="4">
        <v>9071</v>
      </c>
      <c r="N169" s="4">
        <v>446</v>
      </c>
      <c r="O169" s="4">
        <v>16118</v>
      </c>
      <c r="P169" s="4">
        <v>8992</v>
      </c>
      <c r="Q169" s="4">
        <v>3926</v>
      </c>
    </row>
    <row r="170" spans="1:17" ht="12.5" x14ac:dyDescent="0.25">
      <c r="A170" s="2">
        <v>44059</v>
      </c>
      <c r="B170" s="4">
        <v>8</v>
      </c>
      <c r="C170" s="3">
        <v>44059.333333333336</v>
      </c>
      <c r="D170" s="4">
        <v>29554</v>
      </c>
      <c r="E170" s="4">
        <v>19708</v>
      </c>
      <c r="F170" s="4">
        <v>995</v>
      </c>
      <c r="G170" s="4">
        <v>6284</v>
      </c>
      <c r="H170" s="4">
        <v>2567</v>
      </c>
      <c r="L170" s="4">
        <v>518</v>
      </c>
      <c r="M170" s="4">
        <v>8851</v>
      </c>
      <c r="N170" s="4">
        <v>734</v>
      </c>
      <c r="O170" s="4">
        <v>16250</v>
      </c>
      <c r="P170" s="4">
        <v>9457</v>
      </c>
      <c r="Q170" s="5">
        <v>3847</v>
      </c>
    </row>
    <row r="171" spans="1:17" ht="12.5" x14ac:dyDescent="0.25">
      <c r="A171" s="2">
        <v>44060</v>
      </c>
      <c r="B171" s="4">
        <v>8</v>
      </c>
      <c r="C171" s="3">
        <v>44060.333333333336</v>
      </c>
      <c r="D171" s="4">
        <v>30092</v>
      </c>
      <c r="E171" s="4">
        <v>19916</v>
      </c>
      <c r="F171" s="4">
        <v>1011</v>
      </c>
      <c r="G171" s="4">
        <v>6514</v>
      </c>
      <c r="H171" s="4">
        <v>2651</v>
      </c>
      <c r="L171" s="4">
        <v>538</v>
      </c>
      <c r="M171" s="4">
        <v>9165</v>
      </c>
      <c r="N171" s="4">
        <v>208</v>
      </c>
      <c r="O171" s="4">
        <v>16551</v>
      </c>
      <c r="P171" s="4">
        <v>9630</v>
      </c>
      <c r="Q171" s="4">
        <v>3911</v>
      </c>
    </row>
    <row r="172" spans="1:17" ht="12.5" x14ac:dyDescent="0.25">
      <c r="A172" s="2">
        <v>44061</v>
      </c>
      <c r="B172" s="4">
        <v>8</v>
      </c>
      <c r="C172" s="3">
        <v>44061.333333333336</v>
      </c>
      <c r="D172" s="4">
        <v>30597</v>
      </c>
      <c r="E172" s="4">
        <v>20505</v>
      </c>
      <c r="F172" s="4">
        <v>1028</v>
      </c>
      <c r="G172" s="4">
        <v>6602</v>
      </c>
      <c r="H172" s="4">
        <v>2462</v>
      </c>
      <c r="L172" s="4">
        <v>505</v>
      </c>
      <c r="M172" s="4">
        <v>9064</v>
      </c>
      <c r="N172" s="4">
        <v>589</v>
      </c>
      <c r="O172" s="4">
        <v>16820</v>
      </c>
      <c r="P172" s="4">
        <v>9680</v>
      </c>
      <c r="Q172" s="4">
        <v>4097</v>
      </c>
    </row>
    <row r="173" spans="1:17" ht="12.5" x14ac:dyDescent="0.25">
      <c r="A173" s="2">
        <v>44062</v>
      </c>
      <c r="B173" s="4">
        <v>8</v>
      </c>
      <c r="C173" s="3">
        <v>44062.333333333336</v>
      </c>
      <c r="D173" s="4">
        <v>31162</v>
      </c>
      <c r="E173" s="4">
        <v>21069</v>
      </c>
      <c r="F173" s="4">
        <v>1046</v>
      </c>
      <c r="G173" s="4">
        <v>6488</v>
      </c>
      <c r="H173" s="4">
        <v>2559</v>
      </c>
      <c r="L173" s="4">
        <v>565</v>
      </c>
      <c r="M173" s="4">
        <v>9047</v>
      </c>
      <c r="N173" s="4">
        <v>564</v>
      </c>
      <c r="O173" s="4">
        <v>17099</v>
      </c>
      <c r="P173" s="4">
        <v>9972</v>
      </c>
      <c r="Q173" s="4">
        <v>4091</v>
      </c>
    </row>
    <row r="174" spans="1:17" ht="12.5" x14ac:dyDescent="0.25">
      <c r="A174" s="2">
        <v>44063</v>
      </c>
      <c r="B174" s="4">
        <v>8</v>
      </c>
      <c r="C174" s="3">
        <v>44063.333333333336</v>
      </c>
      <c r="D174" s="4">
        <v>31757</v>
      </c>
      <c r="E174" s="4">
        <v>21795</v>
      </c>
      <c r="F174" s="4">
        <v>1061</v>
      </c>
      <c r="G174" s="4">
        <v>6357</v>
      </c>
      <c r="H174" s="4">
        <v>2544</v>
      </c>
      <c r="L174" s="4">
        <v>595</v>
      </c>
      <c r="M174" s="4">
        <v>8901</v>
      </c>
      <c r="N174" s="4">
        <v>726</v>
      </c>
      <c r="O174" s="4">
        <v>17300</v>
      </c>
      <c r="P174" s="4">
        <v>10102</v>
      </c>
      <c r="Q174" s="4">
        <v>4355</v>
      </c>
    </row>
    <row r="175" spans="1:17" ht="12.5" x14ac:dyDescent="0.25">
      <c r="A175" s="2">
        <v>44064</v>
      </c>
      <c r="B175" s="4">
        <v>8</v>
      </c>
      <c r="C175" s="3">
        <v>44064.333333333336</v>
      </c>
      <c r="D175" s="4">
        <v>32398</v>
      </c>
      <c r="E175" s="4">
        <v>22228</v>
      </c>
      <c r="F175" s="4">
        <v>1076</v>
      </c>
      <c r="G175" s="4">
        <v>6518</v>
      </c>
      <c r="H175" s="4">
        <v>2576</v>
      </c>
      <c r="L175" s="4">
        <v>641</v>
      </c>
      <c r="M175" s="4">
        <v>9094</v>
      </c>
      <c r="N175" s="4">
        <v>433</v>
      </c>
      <c r="O175" s="4">
        <v>17500</v>
      </c>
      <c r="P175" s="4">
        <v>10102</v>
      </c>
      <c r="Q175" s="4">
        <v>4796</v>
      </c>
    </row>
    <row r="176" spans="1:17" ht="12.5" x14ac:dyDescent="0.25">
      <c r="A176" s="2">
        <v>44065</v>
      </c>
      <c r="B176" s="4">
        <v>8</v>
      </c>
      <c r="C176" s="3">
        <v>44065.333333333336</v>
      </c>
      <c r="D176" s="4">
        <v>32999</v>
      </c>
      <c r="E176" s="4">
        <v>22877</v>
      </c>
      <c r="F176" s="4">
        <v>1091</v>
      </c>
      <c r="G176" s="4">
        <v>6269</v>
      </c>
      <c r="H176" s="4">
        <v>2762</v>
      </c>
      <c r="L176" s="4">
        <v>601</v>
      </c>
      <c r="M176" s="4">
        <v>9031</v>
      </c>
      <c r="N176" s="4">
        <v>649</v>
      </c>
      <c r="O176" s="4">
        <v>18100</v>
      </c>
      <c r="P176" s="4">
        <v>10409</v>
      </c>
      <c r="Q176" s="4">
        <v>4490</v>
      </c>
    </row>
    <row r="177" spans="1:17" ht="12.5" x14ac:dyDescent="0.25">
      <c r="A177" s="2">
        <v>44066</v>
      </c>
      <c r="B177" s="4">
        <v>8</v>
      </c>
      <c r="C177" s="3">
        <v>44066.333333333336</v>
      </c>
      <c r="D177" s="4">
        <v>33636</v>
      </c>
      <c r="E177" s="4">
        <v>23567</v>
      </c>
      <c r="F177" s="4">
        <v>1107</v>
      </c>
      <c r="G177" s="4">
        <v>6040</v>
      </c>
      <c r="H177" s="4">
        <v>2922</v>
      </c>
      <c r="L177" s="4">
        <v>637</v>
      </c>
      <c r="M177" s="4">
        <v>8962</v>
      </c>
      <c r="N177" s="4">
        <v>690</v>
      </c>
      <c r="O177" s="4">
        <v>18399</v>
      </c>
      <c r="P177" s="4">
        <v>10633</v>
      </c>
      <c r="Q177" s="4">
        <v>4604</v>
      </c>
    </row>
    <row r="178" spans="1:17" ht="12.5" x14ac:dyDescent="0.25">
      <c r="A178" s="2">
        <v>44067</v>
      </c>
      <c r="B178" s="4">
        <v>8</v>
      </c>
      <c r="C178" s="3">
        <v>44067.333333333336</v>
      </c>
      <c r="D178" s="4">
        <v>34295</v>
      </c>
      <c r="E178" s="4">
        <v>25463</v>
      </c>
      <c r="F178" s="4">
        <v>1112</v>
      </c>
      <c r="G178" s="4">
        <v>5090</v>
      </c>
      <c r="H178" s="4">
        <v>2630</v>
      </c>
      <c r="L178" s="4">
        <v>659</v>
      </c>
      <c r="M178" s="4">
        <v>7720</v>
      </c>
      <c r="N178" s="4">
        <v>1896</v>
      </c>
      <c r="O178" s="4">
        <v>18688</v>
      </c>
      <c r="P178" s="4">
        <v>10874</v>
      </c>
      <c r="Q178" s="4">
        <v>4733</v>
      </c>
    </row>
    <row r="179" spans="1:17" ht="12.5" x14ac:dyDescent="0.25">
      <c r="A179" s="2">
        <v>44068</v>
      </c>
      <c r="B179" s="4">
        <v>8</v>
      </c>
      <c r="C179" s="3">
        <v>44068.333333333336</v>
      </c>
      <c r="D179" s="4">
        <v>34931</v>
      </c>
      <c r="E179" s="4">
        <v>25986</v>
      </c>
      <c r="F179" s="4">
        <v>1129</v>
      </c>
      <c r="G179" s="4">
        <v>5130</v>
      </c>
      <c r="H179" s="4">
        <v>2686</v>
      </c>
      <c r="L179" s="4">
        <v>636</v>
      </c>
      <c r="M179" s="4">
        <v>7816</v>
      </c>
      <c r="N179" s="4">
        <v>523</v>
      </c>
      <c r="O179" s="4">
        <v>18788</v>
      </c>
      <c r="P179" s="4">
        <v>10913</v>
      </c>
      <c r="Q179" s="5">
        <v>5230</v>
      </c>
    </row>
    <row r="180" spans="1:17" ht="12.5" x14ac:dyDescent="0.25">
      <c r="A180" s="2">
        <v>44069</v>
      </c>
      <c r="B180" s="4">
        <v>8</v>
      </c>
      <c r="C180" s="3">
        <v>44069.333333333336</v>
      </c>
      <c r="D180" s="4">
        <v>35642</v>
      </c>
      <c r="E180" s="4">
        <v>26750</v>
      </c>
      <c r="F180" s="4">
        <v>1144</v>
      </c>
      <c r="G180" s="4">
        <v>4978</v>
      </c>
      <c r="H180" s="4">
        <v>2770</v>
      </c>
      <c r="L180" s="4">
        <v>711</v>
      </c>
      <c r="M180" s="4">
        <v>7748</v>
      </c>
      <c r="N180" s="4">
        <v>764</v>
      </c>
      <c r="O180" s="4">
        <v>19088</v>
      </c>
      <c r="P180" s="4">
        <v>11113</v>
      </c>
      <c r="Q180" s="4">
        <v>5441</v>
      </c>
    </row>
    <row r="181" spans="1:17" ht="12.5" x14ac:dyDescent="0.25">
      <c r="A181" s="2">
        <v>44070</v>
      </c>
      <c r="B181" s="4">
        <v>8</v>
      </c>
      <c r="C181" s="3">
        <v>44070.333333333336</v>
      </c>
      <c r="D181" s="4">
        <v>36462</v>
      </c>
      <c r="E181" s="4">
        <v>28288</v>
      </c>
      <c r="F181" s="4">
        <v>1147</v>
      </c>
      <c r="G181" s="4">
        <v>4499</v>
      </c>
      <c r="H181" s="4">
        <v>2528</v>
      </c>
      <c r="L181" s="4">
        <v>820</v>
      </c>
      <c r="M181" s="4">
        <v>7027</v>
      </c>
      <c r="N181" s="4">
        <v>1538</v>
      </c>
      <c r="O181" s="4">
        <v>19308</v>
      </c>
      <c r="P181" s="4">
        <v>11313</v>
      </c>
      <c r="Q181" s="4">
        <v>5841</v>
      </c>
    </row>
    <row r="182" spans="1:17" ht="12.5" x14ac:dyDescent="0.25">
      <c r="A182" s="2">
        <v>44071</v>
      </c>
      <c r="B182" s="4">
        <v>8</v>
      </c>
      <c r="C182" s="3">
        <v>44071.333333333336</v>
      </c>
      <c r="D182" s="4">
        <v>37278</v>
      </c>
      <c r="E182" s="4">
        <v>29169</v>
      </c>
      <c r="F182" s="4">
        <v>1154</v>
      </c>
      <c r="G182" s="4">
        <v>4128</v>
      </c>
      <c r="H182" s="4">
        <v>2827</v>
      </c>
      <c r="L182" s="4">
        <v>816</v>
      </c>
      <c r="M182" s="4">
        <v>6955</v>
      </c>
      <c r="N182" s="4">
        <v>881</v>
      </c>
      <c r="O182" s="4">
        <v>20500</v>
      </c>
      <c r="P182" s="4">
        <v>11513</v>
      </c>
      <c r="Q182" s="4">
        <v>5265</v>
      </c>
    </row>
    <row r="183" spans="1:17" ht="12.5" x14ac:dyDescent="0.25">
      <c r="A183" s="2">
        <v>44072</v>
      </c>
      <c r="B183" s="4">
        <v>8</v>
      </c>
      <c r="C183" s="3">
        <v>44072.333333333336</v>
      </c>
      <c r="D183" s="4">
        <v>38166</v>
      </c>
      <c r="E183" s="4">
        <v>29768</v>
      </c>
      <c r="F183" s="4">
        <v>1172</v>
      </c>
      <c r="G183" s="4">
        <v>4414</v>
      </c>
      <c r="H183" s="4">
        <v>2812</v>
      </c>
      <c r="L183" s="4">
        <v>888</v>
      </c>
      <c r="M183" s="4">
        <v>7226</v>
      </c>
      <c r="N183" s="4">
        <v>599</v>
      </c>
      <c r="O183" s="4">
        <v>20991</v>
      </c>
      <c r="P183" s="4">
        <v>11713</v>
      </c>
      <c r="Q183" s="4">
        <v>5462</v>
      </c>
    </row>
    <row r="184" spans="1:17" ht="12.5" x14ac:dyDescent="0.25">
      <c r="A184" s="2">
        <v>44073</v>
      </c>
      <c r="B184" s="4">
        <v>8</v>
      </c>
      <c r="C184" s="3">
        <v>44073.333333333336</v>
      </c>
      <c r="D184" s="4">
        <v>39280</v>
      </c>
      <c r="E184" s="4">
        <v>30134</v>
      </c>
      <c r="F184" s="4">
        <v>1186</v>
      </c>
      <c r="G184" s="4">
        <v>4945</v>
      </c>
      <c r="H184" s="4">
        <v>3015</v>
      </c>
      <c r="L184" s="4">
        <v>1114</v>
      </c>
      <c r="M184" s="4">
        <v>7960</v>
      </c>
      <c r="N184" s="4">
        <v>366</v>
      </c>
      <c r="O184" s="4">
        <v>21491</v>
      </c>
      <c r="P184" s="4">
        <v>11827</v>
      </c>
      <c r="Q184" s="4">
        <v>5962</v>
      </c>
    </row>
    <row r="185" spans="1:17" ht="12.5" x14ac:dyDescent="0.25">
      <c r="A185" s="2">
        <v>44074</v>
      </c>
      <c r="B185" s="4">
        <v>8</v>
      </c>
      <c r="C185" s="3">
        <v>44074.333333333336</v>
      </c>
      <c r="D185" s="4">
        <v>40309</v>
      </c>
      <c r="E185" s="4">
        <v>30538</v>
      </c>
      <c r="F185" s="4">
        <v>1202</v>
      </c>
      <c r="G185" s="4">
        <v>5281</v>
      </c>
      <c r="H185" s="4">
        <v>3288</v>
      </c>
      <c r="L185" s="4">
        <v>1029</v>
      </c>
      <c r="M185" s="4">
        <v>8569</v>
      </c>
      <c r="N185" s="4">
        <v>404</v>
      </c>
      <c r="O185" s="4">
        <v>20500</v>
      </c>
      <c r="P185" s="4">
        <v>12027</v>
      </c>
      <c r="Q185" s="4">
        <v>7782</v>
      </c>
    </row>
    <row r="186" spans="1:17" ht="12.5" x14ac:dyDescent="0.25">
      <c r="A186" s="2">
        <v>44075</v>
      </c>
      <c r="B186" s="4">
        <v>8</v>
      </c>
      <c r="C186" s="3">
        <v>44075.333333333336</v>
      </c>
      <c r="D186" s="4">
        <v>41250</v>
      </c>
      <c r="E186" s="4">
        <v>31267</v>
      </c>
      <c r="F186" s="4">
        <v>1219</v>
      </c>
      <c r="G186" s="4">
        <v>5423</v>
      </c>
      <c r="H186" s="4">
        <v>3341</v>
      </c>
      <c r="L186" s="4">
        <v>941</v>
      </c>
      <c r="M186" s="4">
        <v>8764</v>
      </c>
      <c r="N186" s="4">
        <v>729</v>
      </c>
      <c r="O186" s="4">
        <v>20500</v>
      </c>
      <c r="P186" s="4">
        <v>12027</v>
      </c>
      <c r="Q186" s="4">
        <v>8723</v>
      </c>
    </row>
    <row r="187" spans="1:17" ht="12.5" x14ac:dyDescent="0.25">
      <c r="A187" s="2">
        <v>44076</v>
      </c>
      <c r="B187" s="4">
        <v>8</v>
      </c>
      <c r="C187" s="3">
        <v>44076.333333333336</v>
      </c>
      <c r="D187" s="4">
        <v>42303</v>
      </c>
      <c r="E187" s="4">
        <v>31741</v>
      </c>
      <c r="F187" s="4">
        <v>1237</v>
      </c>
      <c r="G187" s="4">
        <v>5757</v>
      </c>
      <c r="H187" s="4">
        <v>3568</v>
      </c>
      <c r="L187" s="4">
        <v>1053</v>
      </c>
      <c r="M187" s="4">
        <v>9325</v>
      </c>
      <c r="N187" s="4">
        <v>474</v>
      </c>
      <c r="O187" s="4">
        <v>23553</v>
      </c>
      <c r="P187" s="4">
        <v>12327</v>
      </c>
      <c r="Q187" s="4">
        <v>6423</v>
      </c>
    </row>
    <row r="188" spans="1:17" ht="12.5" x14ac:dyDescent="0.25">
      <c r="A188" s="2">
        <v>44077</v>
      </c>
      <c r="B188" s="4">
        <v>8</v>
      </c>
      <c r="C188" s="3">
        <v>44077.333333333336</v>
      </c>
      <c r="D188" s="4">
        <v>43709</v>
      </c>
      <c r="E188" s="4">
        <v>32424</v>
      </c>
      <c r="F188" s="4">
        <v>1253</v>
      </c>
      <c r="G188" s="4">
        <v>6323</v>
      </c>
      <c r="H188" s="4">
        <v>3709</v>
      </c>
      <c r="L188" s="4">
        <v>1406</v>
      </c>
      <c r="M188" s="4">
        <v>10032</v>
      </c>
      <c r="N188" s="4">
        <v>683</v>
      </c>
      <c r="O188" s="4">
        <v>23953</v>
      </c>
      <c r="P188" s="4">
        <v>12827</v>
      </c>
      <c r="Q188" s="4">
        <v>6929</v>
      </c>
    </row>
    <row r="189" spans="1:17" ht="12.5" x14ac:dyDescent="0.25">
      <c r="A189" s="2">
        <v>44078</v>
      </c>
      <c r="B189" s="4">
        <v>8</v>
      </c>
      <c r="C189" s="3">
        <v>44078.333333333336</v>
      </c>
      <c r="D189" s="4">
        <v>44604</v>
      </c>
      <c r="E189" s="4">
        <v>33260</v>
      </c>
      <c r="F189" s="4">
        <v>1260</v>
      </c>
      <c r="G189" s="4">
        <v>6257</v>
      </c>
      <c r="H189" s="4">
        <v>3827</v>
      </c>
      <c r="L189" s="4">
        <v>895</v>
      </c>
      <c r="M189" s="4">
        <v>10084</v>
      </c>
      <c r="N189" s="4">
        <v>836</v>
      </c>
      <c r="O189" s="4">
        <v>24507</v>
      </c>
      <c r="P189" s="4">
        <v>13027</v>
      </c>
      <c r="Q189" s="5">
        <v>7070</v>
      </c>
    </row>
    <row r="190" spans="1:17" ht="12.5" x14ac:dyDescent="0.25">
      <c r="A190" s="2">
        <v>44079</v>
      </c>
      <c r="B190" s="4">
        <v>8</v>
      </c>
      <c r="C190" s="3">
        <v>44079.333333333336</v>
      </c>
      <c r="D190" s="4">
        <v>45446</v>
      </c>
      <c r="E190" s="4">
        <v>33991</v>
      </c>
      <c r="F190" s="4">
        <v>1277</v>
      </c>
      <c r="G190" s="4">
        <v>6501</v>
      </c>
      <c r="H190" s="4">
        <v>3677</v>
      </c>
      <c r="L190" s="4">
        <v>842</v>
      </c>
      <c r="M190" s="4">
        <v>10178</v>
      </c>
      <c r="N190" s="4">
        <v>731</v>
      </c>
      <c r="O190" s="4">
        <v>25000</v>
      </c>
      <c r="P190" s="4">
        <v>14409</v>
      </c>
      <c r="Q190" s="4">
        <v>6037</v>
      </c>
    </row>
    <row r="191" spans="1:17" ht="12.5" x14ac:dyDescent="0.25">
      <c r="A191" s="2">
        <v>44080</v>
      </c>
      <c r="B191" s="4">
        <v>8</v>
      </c>
      <c r="C191" s="3">
        <v>44080.333333333336</v>
      </c>
      <c r="D191" s="4">
        <v>46691</v>
      </c>
      <c r="E191" s="4">
        <v>34738</v>
      </c>
      <c r="F191" s="4">
        <v>1289</v>
      </c>
      <c r="G191" s="4">
        <v>6582</v>
      </c>
      <c r="H191" s="4">
        <v>4082</v>
      </c>
      <c r="L191" s="4">
        <v>1245</v>
      </c>
      <c r="M191" s="4">
        <v>10664</v>
      </c>
      <c r="N191" s="4">
        <v>747</v>
      </c>
      <c r="O191" s="4">
        <v>25600</v>
      </c>
      <c r="P191" s="4">
        <v>13941</v>
      </c>
      <c r="Q191" s="4">
        <v>7150</v>
      </c>
    </row>
    <row r="192" spans="1:17" ht="12.5" x14ac:dyDescent="0.25">
      <c r="A192" s="2">
        <v>44081</v>
      </c>
      <c r="B192" s="4">
        <v>8</v>
      </c>
      <c r="C192" s="3">
        <v>44081.333333333336</v>
      </c>
      <c r="D192" s="4">
        <v>47796</v>
      </c>
      <c r="E192" s="4">
        <v>35431</v>
      </c>
      <c r="F192" s="4">
        <v>1318</v>
      </c>
      <c r="G192" s="4">
        <v>6706</v>
      </c>
      <c r="H192" s="4">
        <v>4341</v>
      </c>
      <c r="L192" s="4">
        <v>1105</v>
      </c>
      <c r="M192" s="4">
        <v>11047</v>
      </c>
      <c r="N192" s="4">
        <v>693</v>
      </c>
      <c r="O192" s="4">
        <v>26005</v>
      </c>
      <c r="P192" s="4">
        <v>14241</v>
      </c>
      <c r="Q192" s="4">
        <v>7550</v>
      </c>
    </row>
    <row r="193" spans="1:17" ht="12.5" x14ac:dyDescent="0.25">
      <c r="A193" s="2">
        <v>44082</v>
      </c>
      <c r="B193" s="4">
        <v>8</v>
      </c>
      <c r="C193" s="3">
        <v>44082.333333333336</v>
      </c>
      <c r="D193" s="4">
        <v>48811</v>
      </c>
      <c r="E193" s="4">
        <v>36451</v>
      </c>
      <c r="F193" s="4">
        <v>1330</v>
      </c>
      <c r="G193" s="4">
        <v>6598</v>
      </c>
      <c r="H193" s="4">
        <v>4432</v>
      </c>
      <c r="L193" s="4">
        <v>1015</v>
      </c>
      <c r="M193" s="4">
        <v>11030</v>
      </c>
      <c r="N193" s="4">
        <v>1020</v>
      </c>
      <c r="O193" s="4">
        <v>26005</v>
      </c>
      <c r="P193" s="4">
        <v>14241</v>
      </c>
      <c r="Q193" s="4">
        <v>8565</v>
      </c>
    </row>
    <row r="194" spans="1:17" ht="12.5" x14ac:dyDescent="0.25">
      <c r="A194" s="2">
        <v>44083</v>
      </c>
      <c r="B194" s="4">
        <v>8</v>
      </c>
      <c r="C194" s="3">
        <v>44083.333333333336</v>
      </c>
      <c r="D194" s="4">
        <v>49837</v>
      </c>
      <c r="E194" s="4">
        <v>37245</v>
      </c>
      <c r="F194" s="4">
        <v>1347</v>
      </c>
      <c r="G194" s="4">
        <v>6691</v>
      </c>
      <c r="H194" s="4">
        <v>4554</v>
      </c>
      <c r="L194" s="4">
        <v>1026</v>
      </c>
      <c r="M194" s="4">
        <v>11245</v>
      </c>
      <c r="N194" s="4">
        <v>794</v>
      </c>
      <c r="O194" s="4">
        <v>27502</v>
      </c>
      <c r="P194" s="4">
        <v>14441</v>
      </c>
      <c r="Q194" s="4">
        <v>7894</v>
      </c>
    </row>
    <row r="195" spans="1:17" ht="12.5" x14ac:dyDescent="0.25">
      <c r="A195" s="2">
        <v>44084</v>
      </c>
      <c r="B195" s="4">
        <v>8</v>
      </c>
      <c r="C195" s="3">
        <v>44084.333333333336</v>
      </c>
      <c r="D195" s="4">
        <v>51287</v>
      </c>
      <c r="E195" s="4">
        <v>38226</v>
      </c>
      <c r="F195" s="4">
        <v>1365</v>
      </c>
      <c r="G195" s="4">
        <v>6968</v>
      </c>
      <c r="H195" s="4">
        <v>4728</v>
      </c>
      <c r="L195" s="4">
        <v>1450</v>
      </c>
      <c r="M195" s="4">
        <v>11696</v>
      </c>
      <c r="N195" s="4">
        <v>981</v>
      </c>
      <c r="O195" s="4">
        <v>28502</v>
      </c>
      <c r="P195" s="4">
        <v>14841</v>
      </c>
      <c r="Q195" s="4">
        <v>7944</v>
      </c>
    </row>
    <row r="196" spans="1:17" ht="12.5" x14ac:dyDescent="0.25">
      <c r="A196" s="2">
        <v>44085</v>
      </c>
      <c r="B196" s="4">
        <v>8</v>
      </c>
      <c r="C196" s="3">
        <v>44085.333333333336</v>
      </c>
      <c r="D196" s="4">
        <v>52321</v>
      </c>
      <c r="E196" s="4">
        <v>39115</v>
      </c>
      <c r="F196" s="4">
        <v>1382</v>
      </c>
      <c r="G196" s="4">
        <v>7143</v>
      </c>
      <c r="H196" s="4">
        <v>4681</v>
      </c>
      <c r="L196" s="4">
        <v>1034</v>
      </c>
      <c r="M196" s="4">
        <v>11824</v>
      </c>
      <c r="N196" s="4">
        <v>889</v>
      </c>
      <c r="O196" s="4">
        <v>28902</v>
      </c>
      <c r="P196" s="4">
        <v>18741</v>
      </c>
      <c r="Q196" s="4">
        <v>4678</v>
      </c>
    </row>
    <row r="197" spans="1:17" ht="12.5" x14ac:dyDescent="0.25">
      <c r="A197" s="2">
        <v>44086</v>
      </c>
      <c r="B197" s="4">
        <v>8</v>
      </c>
      <c r="C197" s="3">
        <v>44086.333333333336</v>
      </c>
      <c r="D197" s="4">
        <v>53761</v>
      </c>
      <c r="E197" s="4">
        <v>40183</v>
      </c>
      <c r="F197" s="4">
        <v>1404</v>
      </c>
      <c r="G197" s="4">
        <v>7490</v>
      </c>
      <c r="H197" s="4">
        <v>4684</v>
      </c>
      <c r="L197" s="4">
        <v>1440</v>
      </c>
      <c r="M197" s="4">
        <v>12174</v>
      </c>
      <c r="N197" s="4">
        <v>1068</v>
      </c>
      <c r="O197" s="4">
        <v>29253</v>
      </c>
      <c r="P197" s="4">
        <v>19041</v>
      </c>
      <c r="Q197" s="4">
        <v>5467</v>
      </c>
    </row>
    <row r="198" spans="1:17" ht="14.5" x14ac:dyDescent="0.35">
      <c r="A198" s="2">
        <v>44087</v>
      </c>
      <c r="B198" s="6">
        <v>8</v>
      </c>
      <c r="C198" s="3">
        <v>44087.333333333336</v>
      </c>
      <c r="D198" s="7">
        <v>54864</v>
      </c>
      <c r="E198" s="7">
        <v>41014</v>
      </c>
      <c r="F198" s="7">
        <v>1410</v>
      </c>
      <c r="G198" s="7">
        <v>7791</v>
      </c>
      <c r="H198" s="7">
        <v>4649</v>
      </c>
      <c r="I198" s="8"/>
      <c r="J198" s="8"/>
      <c r="K198" s="8"/>
      <c r="L198" s="6">
        <v>1103</v>
      </c>
      <c r="M198" s="6">
        <v>12440</v>
      </c>
      <c r="N198" s="6">
        <v>831</v>
      </c>
      <c r="O198" s="6">
        <v>29553</v>
      </c>
      <c r="P198" s="6">
        <v>19733</v>
      </c>
      <c r="Q198" s="6">
        <v>5578</v>
      </c>
    </row>
    <row r="199" spans="1:17" ht="12.5" x14ac:dyDescent="0.25">
      <c r="A199" s="2">
        <v>44088</v>
      </c>
      <c r="B199" s="4">
        <v>8</v>
      </c>
      <c r="C199" s="3">
        <v>44088.333333333336</v>
      </c>
      <c r="D199" s="4">
        <v>55926</v>
      </c>
      <c r="E199" s="4">
        <v>42325</v>
      </c>
      <c r="F199" s="4">
        <v>1440</v>
      </c>
      <c r="G199" s="4">
        <v>7530</v>
      </c>
      <c r="H199" s="4">
        <v>4631</v>
      </c>
      <c r="L199" s="4">
        <v>1062</v>
      </c>
      <c r="M199" s="4">
        <v>12161</v>
      </c>
      <c r="N199" s="4">
        <v>1311</v>
      </c>
      <c r="O199" s="4">
        <v>6885</v>
      </c>
      <c r="P199" s="4">
        <v>1947</v>
      </c>
      <c r="Q199" s="4">
        <v>3329</v>
      </c>
    </row>
    <row r="200" spans="1:17" ht="12.5" x14ac:dyDescent="0.25">
      <c r="A200" s="2">
        <v>44089</v>
      </c>
      <c r="B200" s="4">
        <v>8</v>
      </c>
      <c r="C200" s="3">
        <v>44089.333333333336</v>
      </c>
      <c r="D200" s="4">
        <v>56953</v>
      </c>
      <c r="E200" s="4">
        <v>43306</v>
      </c>
      <c r="F200" s="4">
        <v>1468</v>
      </c>
      <c r="G200" s="4">
        <v>7711</v>
      </c>
      <c r="H200" s="4">
        <v>4468</v>
      </c>
      <c r="L200" s="4">
        <v>1027</v>
      </c>
      <c r="M200" s="4">
        <v>12179</v>
      </c>
      <c r="N200" s="4">
        <v>981</v>
      </c>
      <c r="O200" s="4">
        <v>7058</v>
      </c>
      <c r="P200" s="4">
        <v>1947</v>
      </c>
      <c r="Q200" s="4">
        <v>3174</v>
      </c>
    </row>
    <row r="201" spans="1:17" ht="12.5" x14ac:dyDescent="0.25">
      <c r="A201" s="2">
        <v>44090</v>
      </c>
      <c r="B201" s="4">
        <v>8</v>
      </c>
      <c r="C201" s="3">
        <v>44090.333333333336</v>
      </c>
      <c r="D201" s="4">
        <v>58458</v>
      </c>
      <c r="E201" s="4">
        <v>44251</v>
      </c>
      <c r="F201" s="4">
        <v>1498</v>
      </c>
      <c r="G201" s="4">
        <v>7907</v>
      </c>
      <c r="H201" s="4">
        <v>4802</v>
      </c>
      <c r="L201" s="4">
        <v>1505</v>
      </c>
      <c r="M201" s="4">
        <v>12709</v>
      </c>
      <c r="N201" s="4">
        <v>945</v>
      </c>
      <c r="O201" s="4">
        <v>1673</v>
      </c>
      <c r="P201" s="4">
        <v>6900</v>
      </c>
      <c r="Q201" s="4">
        <v>4136</v>
      </c>
    </row>
    <row r="202" spans="1:17" ht="12.5" x14ac:dyDescent="0.25">
      <c r="A202" s="2">
        <v>44091</v>
      </c>
      <c r="B202" s="4">
        <v>8</v>
      </c>
      <c r="C202" s="3">
        <v>44091.333333333336</v>
      </c>
      <c r="D202" s="4">
        <v>59472</v>
      </c>
      <c r="E202" s="4">
        <v>45207</v>
      </c>
      <c r="F202" s="4">
        <v>1513</v>
      </c>
      <c r="G202" s="4">
        <v>8013</v>
      </c>
      <c r="H202" s="4">
        <v>4739</v>
      </c>
      <c r="L202" s="4">
        <v>1014</v>
      </c>
      <c r="M202" s="4">
        <v>12752</v>
      </c>
      <c r="N202" s="4">
        <v>956</v>
      </c>
      <c r="O202" s="4">
        <v>6128</v>
      </c>
      <c r="P202" s="4">
        <v>1749</v>
      </c>
      <c r="Q202" s="4">
        <v>4875</v>
      </c>
    </row>
    <row r="203" spans="1:17" ht="14.5" x14ac:dyDescent="0.35">
      <c r="A203" s="2">
        <v>44092</v>
      </c>
      <c r="B203" s="4">
        <v>8</v>
      </c>
      <c r="C203" s="3">
        <v>44092.333333333336</v>
      </c>
      <c r="D203" s="6">
        <v>60875</v>
      </c>
      <c r="E203" s="6">
        <v>46235</v>
      </c>
      <c r="F203" s="6">
        <v>1535</v>
      </c>
      <c r="G203" s="6">
        <v>8450</v>
      </c>
      <c r="H203" s="6">
        <v>4655</v>
      </c>
      <c r="L203" s="6">
        <v>1403</v>
      </c>
      <c r="M203" s="6">
        <v>13105</v>
      </c>
      <c r="N203" s="6">
        <v>1028</v>
      </c>
      <c r="O203" s="6">
        <v>6989</v>
      </c>
      <c r="P203" s="6">
        <v>2638</v>
      </c>
      <c r="Q203" s="6">
        <v>3478</v>
      </c>
    </row>
    <row r="204" spans="1:17" ht="12.5" x14ac:dyDescent="0.25">
      <c r="A204" s="2">
        <v>44093</v>
      </c>
      <c r="B204" s="4">
        <v>8</v>
      </c>
      <c r="C204" s="3">
        <v>44093.333333333336</v>
      </c>
      <c r="D204" s="4">
        <v>61807</v>
      </c>
      <c r="E204" s="4">
        <v>47260</v>
      </c>
      <c r="F204" s="4">
        <v>1546</v>
      </c>
      <c r="G204" s="4">
        <v>8696</v>
      </c>
      <c r="H204" s="4">
        <v>4305</v>
      </c>
      <c r="L204" s="4">
        <v>932</v>
      </c>
      <c r="M204" s="4">
        <v>13001</v>
      </c>
      <c r="N204" s="4">
        <v>1025</v>
      </c>
      <c r="O204" s="4">
        <v>6296</v>
      </c>
      <c r="P204" s="4">
        <v>5873</v>
      </c>
      <c r="Q204" s="4">
        <v>832</v>
      </c>
    </row>
    <row r="205" spans="1:17" ht="14.5" x14ac:dyDescent="0.35">
      <c r="A205" s="2">
        <v>44094</v>
      </c>
      <c r="B205" s="6">
        <v>8</v>
      </c>
      <c r="C205" s="3">
        <v>44094.333333333336</v>
      </c>
      <c r="D205" s="9">
        <v>62886</v>
      </c>
      <c r="E205" s="9">
        <v>49209</v>
      </c>
      <c r="F205" s="9">
        <v>1561</v>
      </c>
      <c r="G205" s="9">
        <v>8297</v>
      </c>
      <c r="H205" s="6">
        <v>3819</v>
      </c>
      <c r="I205" s="8"/>
      <c r="J205" s="8"/>
      <c r="K205" s="8"/>
      <c r="L205" s="6">
        <v>1079</v>
      </c>
      <c r="M205" s="6">
        <v>12116</v>
      </c>
      <c r="N205" s="6">
        <v>1949</v>
      </c>
      <c r="O205" s="9">
        <v>6278</v>
      </c>
      <c r="P205" s="9">
        <v>5301</v>
      </c>
      <c r="Q205" s="6">
        <v>537</v>
      </c>
    </row>
    <row r="206" spans="1:17" ht="12.5" x14ac:dyDescent="0.25">
      <c r="A206" s="2">
        <v>44095</v>
      </c>
      <c r="B206" s="4">
        <v>8</v>
      </c>
      <c r="C206" s="3">
        <v>44095.333333333336</v>
      </c>
      <c r="D206" s="4">
        <v>64196</v>
      </c>
      <c r="E206" s="4">
        <v>49630</v>
      </c>
      <c r="F206" s="4">
        <v>1592</v>
      </c>
      <c r="G206" s="4">
        <v>9225</v>
      </c>
      <c r="H206" s="4">
        <v>3749</v>
      </c>
      <c r="L206" s="4">
        <v>1310</v>
      </c>
      <c r="M206" s="4">
        <v>12974</v>
      </c>
      <c r="N206" s="4">
        <v>421</v>
      </c>
      <c r="O206" s="4">
        <v>6278</v>
      </c>
      <c r="P206" s="4">
        <v>5301</v>
      </c>
      <c r="Q206" s="4">
        <v>1395</v>
      </c>
    </row>
    <row r="207" spans="1:17" ht="12.5" x14ac:dyDescent="0.25">
      <c r="A207" s="2">
        <v>44096</v>
      </c>
      <c r="B207" s="4">
        <v>8</v>
      </c>
      <c r="C207" s="3">
        <v>44096.333333333336</v>
      </c>
      <c r="D207" s="4">
        <v>65318</v>
      </c>
      <c r="E207" s="4">
        <v>50473</v>
      </c>
      <c r="F207" s="4">
        <v>1624</v>
      </c>
      <c r="G207" s="4">
        <v>9380</v>
      </c>
      <c r="H207" s="4">
        <v>3841</v>
      </c>
      <c r="L207" s="4">
        <v>1122</v>
      </c>
      <c r="M207" s="4">
        <v>13221</v>
      </c>
      <c r="N207" s="4">
        <v>843</v>
      </c>
      <c r="O207" s="4">
        <v>6871</v>
      </c>
      <c r="P207" s="4">
        <v>4917</v>
      </c>
      <c r="Q207" s="4">
        <v>1433</v>
      </c>
    </row>
    <row r="208" spans="1:17" ht="12.5" x14ac:dyDescent="0.25">
      <c r="A208" s="2">
        <v>44097</v>
      </c>
      <c r="B208" s="4">
        <v>8</v>
      </c>
      <c r="C208" s="3">
        <v>44097.333333333336</v>
      </c>
      <c r="D208" s="4">
        <v>66505</v>
      </c>
      <c r="E208" s="4">
        <v>51578</v>
      </c>
      <c r="F208" s="4">
        <v>1650</v>
      </c>
      <c r="G208" s="4">
        <v>9611</v>
      </c>
      <c r="H208" s="4">
        <v>3666</v>
      </c>
      <c r="L208" s="4">
        <v>1187</v>
      </c>
      <c r="M208" s="4">
        <v>13277</v>
      </c>
      <c r="N208" s="4">
        <v>1105</v>
      </c>
      <c r="O208" s="4">
        <v>6278</v>
      </c>
      <c r="P208" s="4">
        <v>5301</v>
      </c>
      <c r="Q208" s="4">
        <v>1698</v>
      </c>
    </row>
    <row r="209" spans="1:29" ht="12.5" x14ac:dyDescent="0.25">
      <c r="A209" s="2">
        <v>44098</v>
      </c>
      <c r="B209" s="4">
        <v>8</v>
      </c>
      <c r="C209" s="3">
        <v>44098.333333333336</v>
      </c>
      <c r="D209" s="4">
        <v>67638</v>
      </c>
      <c r="E209" s="4">
        <v>52742</v>
      </c>
      <c r="F209" s="4">
        <v>1664</v>
      </c>
      <c r="G209" s="4">
        <v>9714</v>
      </c>
      <c r="H209" s="4">
        <v>3518</v>
      </c>
      <c r="L209" s="4">
        <v>1133</v>
      </c>
      <c r="M209" s="4">
        <v>13232</v>
      </c>
      <c r="N209" s="4">
        <v>1164</v>
      </c>
      <c r="O209" s="4">
        <v>6555</v>
      </c>
      <c r="P209" s="4">
        <v>4277</v>
      </c>
      <c r="Q209" s="4">
        <v>2400</v>
      </c>
    </row>
    <row r="210" spans="1:29" ht="14.5" x14ac:dyDescent="0.35">
      <c r="A210" s="2">
        <v>44099</v>
      </c>
      <c r="B210" s="4">
        <v>8</v>
      </c>
      <c r="C210" s="3">
        <v>44099.333333333336</v>
      </c>
      <c r="D210" s="9">
        <v>68927</v>
      </c>
      <c r="E210" s="9">
        <v>54352</v>
      </c>
      <c r="F210" s="9">
        <v>1677</v>
      </c>
      <c r="G210" s="9">
        <v>10027</v>
      </c>
      <c r="H210" s="6">
        <v>2871</v>
      </c>
      <c r="I210" s="8"/>
      <c r="J210" s="8"/>
      <c r="K210" s="8"/>
      <c r="L210" s="6">
        <v>1289</v>
      </c>
      <c r="M210" s="6">
        <v>12898</v>
      </c>
      <c r="N210" s="6">
        <v>1610</v>
      </c>
      <c r="O210" s="9">
        <v>6334</v>
      </c>
      <c r="P210" s="9">
        <v>4076</v>
      </c>
      <c r="Q210" s="6">
        <v>2488</v>
      </c>
    </row>
    <row r="211" spans="1:29" ht="12.5" x14ac:dyDescent="0.25">
      <c r="A211" s="2">
        <v>44100</v>
      </c>
      <c r="B211" s="4">
        <v>8</v>
      </c>
      <c r="C211" s="3">
        <v>44100.333333333336</v>
      </c>
      <c r="D211" s="4">
        <v>70184</v>
      </c>
      <c r="E211" s="4">
        <v>55350</v>
      </c>
      <c r="F211" s="4">
        <v>1679</v>
      </c>
      <c r="G211" s="4">
        <v>10594</v>
      </c>
      <c r="H211" s="4">
        <v>2561</v>
      </c>
      <c r="L211" s="4">
        <v>1257</v>
      </c>
      <c r="M211" s="4">
        <v>13155</v>
      </c>
      <c r="N211" s="4">
        <v>998</v>
      </c>
      <c r="O211" s="4">
        <v>7220</v>
      </c>
      <c r="P211" s="4">
        <v>3550</v>
      </c>
      <c r="Q211" s="4">
        <v>2385</v>
      </c>
    </row>
    <row r="212" spans="1:29" ht="14.5" x14ac:dyDescent="0.35">
      <c r="A212" s="2">
        <v>44101</v>
      </c>
      <c r="B212" s="4">
        <v>8</v>
      </c>
      <c r="C212" s="3">
        <v>44101.333333333336</v>
      </c>
      <c r="D212" s="9">
        <v>71370</v>
      </c>
      <c r="E212" s="9">
        <v>56413</v>
      </c>
      <c r="F212" s="9">
        <v>1692</v>
      </c>
      <c r="G212" s="9">
        <v>10915</v>
      </c>
      <c r="H212" s="6">
        <v>2350</v>
      </c>
      <c r="I212" s="8"/>
      <c r="J212" s="8"/>
      <c r="K212" s="8"/>
      <c r="L212" s="6">
        <v>1186</v>
      </c>
      <c r="M212" s="6">
        <v>13265</v>
      </c>
      <c r="N212" s="6">
        <v>1063</v>
      </c>
      <c r="O212" s="9">
        <v>6976</v>
      </c>
      <c r="P212" s="9">
        <v>3738</v>
      </c>
      <c r="Q212" s="6">
        <v>2551</v>
      </c>
    </row>
    <row r="213" spans="1:29" ht="12.5" x14ac:dyDescent="0.25">
      <c r="A213" s="2">
        <v>44102</v>
      </c>
      <c r="B213" s="4">
        <v>8</v>
      </c>
      <c r="C213" s="3">
        <v>44102.333333333336</v>
      </c>
      <c r="D213" s="4">
        <v>72177</v>
      </c>
      <c r="E213" s="4">
        <v>57741</v>
      </c>
      <c r="F213" s="4">
        <v>1704</v>
      </c>
      <c r="G213" s="4">
        <v>10474</v>
      </c>
      <c r="H213" s="4">
        <v>2258</v>
      </c>
      <c r="L213" s="4">
        <v>807</v>
      </c>
      <c r="M213" s="4">
        <v>12732</v>
      </c>
      <c r="N213" s="4">
        <v>1328</v>
      </c>
      <c r="O213" s="4">
        <v>6678</v>
      </c>
      <c r="P213" s="4">
        <v>5701</v>
      </c>
      <c r="Q213" s="4">
        <v>353</v>
      </c>
    </row>
    <row r="214" spans="1:29" ht="14.5" x14ac:dyDescent="0.35">
      <c r="A214" s="2">
        <v>44103</v>
      </c>
      <c r="B214" s="4">
        <v>8</v>
      </c>
      <c r="C214" s="3">
        <v>44103.333333333336</v>
      </c>
      <c r="D214" s="9">
        <v>73309</v>
      </c>
      <c r="E214" s="9">
        <v>58865</v>
      </c>
      <c r="F214" s="9">
        <v>1718</v>
      </c>
      <c r="G214" s="9">
        <v>10659</v>
      </c>
      <c r="H214" s="6">
        <v>2067</v>
      </c>
      <c r="I214" s="8"/>
      <c r="J214" s="8"/>
      <c r="K214" s="8"/>
      <c r="L214" s="6">
        <v>1132</v>
      </c>
      <c r="M214" s="6">
        <v>12726</v>
      </c>
      <c r="N214" s="6">
        <v>1124</v>
      </c>
      <c r="O214" s="9">
        <v>7001</v>
      </c>
      <c r="P214" s="9">
        <v>3226</v>
      </c>
      <c r="Q214" s="6">
        <v>2499</v>
      </c>
    </row>
    <row r="215" spans="1:29" ht="12.5" x14ac:dyDescent="0.25">
      <c r="A215" s="2">
        <v>44104</v>
      </c>
      <c r="B215" s="4">
        <v>8</v>
      </c>
      <c r="C215" s="3">
        <v>44104.333333333336</v>
      </c>
      <c r="D215" s="4">
        <v>74368</v>
      </c>
      <c r="E215" s="4">
        <v>60320</v>
      </c>
      <c r="F215" s="4">
        <v>1731</v>
      </c>
      <c r="G215" s="4">
        <v>10353</v>
      </c>
      <c r="H215" s="4">
        <v>1964</v>
      </c>
      <c r="L215" s="4">
        <v>1059</v>
      </c>
      <c r="M215" s="4">
        <v>12317</v>
      </c>
      <c r="N215" s="4">
        <v>1455</v>
      </c>
      <c r="O215" s="4">
        <v>5962</v>
      </c>
      <c r="P215" s="4">
        <v>3124</v>
      </c>
      <c r="Q215" s="4">
        <v>3231</v>
      </c>
    </row>
    <row r="216" spans="1:29" ht="12.5" x14ac:dyDescent="0.25">
      <c r="A216" s="2">
        <v>44105</v>
      </c>
      <c r="B216" s="4">
        <v>8</v>
      </c>
      <c r="C216" s="3">
        <v>44105.333333333336</v>
      </c>
      <c r="D216" s="4">
        <v>75521</v>
      </c>
      <c r="E216" s="4">
        <v>61444</v>
      </c>
      <c r="F216" s="4">
        <v>1737</v>
      </c>
      <c r="G216" s="4">
        <v>10545</v>
      </c>
      <c r="H216" s="4">
        <v>1795</v>
      </c>
      <c r="L216" s="4">
        <v>1153</v>
      </c>
      <c r="M216" s="4">
        <v>12340</v>
      </c>
      <c r="N216" s="4">
        <v>1124</v>
      </c>
      <c r="O216" s="4">
        <v>5972</v>
      </c>
      <c r="P216" s="4">
        <v>3826</v>
      </c>
      <c r="Q216" s="4">
        <v>2542</v>
      </c>
    </row>
    <row r="217" spans="1:29" ht="14.5" x14ac:dyDescent="0.35">
      <c r="A217" s="2">
        <v>44106</v>
      </c>
      <c r="B217" s="4">
        <v>8</v>
      </c>
      <c r="C217" s="3">
        <v>44106.333333333336</v>
      </c>
      <c r="D217" s="9">
        <v>76619</v>
      </c>
      <c r="E217" s="9">
        <v>62279</v>
      </c>
      <c r="F217" s="9">
        <v>1740</v>
      </c>
      <c r="G217" s="9">
        <v>10496</v>
      </c>
      <c r="H217" s="6">
        <v>2104</v>
      </c>
      <c r="I217" s="8"/>
      <c r="J217" s="8"/>
      <c r="K217" s="8"/>
      <c r="L217" s="6">
        <v>1098</v>
      </c>
      <c r="M217" s="6">
        <v>12600</v>
      </c>
      <c r="N217" s="6">
        <v>835</v>
      </c>
      <c r="O217" s="9">
        <v>5932</v>
      </c>
      <c r="P217" s="9">
        <v>3726</v>
      </c>
      <c r="Q217" s="6">
        <v>2942</v>
      </c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1:29" ht="12.5" x14ac:dyDescent="0.25">
      <c r="A218" s="2">
        <v>44107</v>
      </c>
      <c r="B218" s="4">
        <v>8</v>
      </c>
      <c r="C218" s="3">
        <v>44107.333333333336</v>
      </c>
      <c r="D218" s="4">
        <v>77784</v>
      </c>
      <c r="E218" s="4">
        <v>63286</v>
      </c>
      <c r="F218" s="4">
        <v>1743</v>
      </c>
      <c r="G218" s="4">
        <v>10652</v>
      </c>
      <c r="H218" s="4">
        <v>2103</v>
      </c>
      <c r="L218" s="4">
        <v>1165</v>
      </c>
      <c r="M218" s="4">
        <v>12755</v>
      </c>
      <c r="N218" s="4">
        <v>1007</v>
      </c>
      <c r="O218" s="4">
        <v>5773</v>
      </c>
      <c r="P218" s="4">
        <v>3747</v>
      </c>
      <c r="Q218" s="4">
        <v>3235</v>
      </c>
    </row>
    <row r="219" spans="1:29" ht="14.5" x14ac:dyDescent="0.35">
      <c r="A219" s="2">
        <v>44108</v>
      </c>
      <c r="B219" s="9">
        <v>8</v>
      </c>
      <c r="C219" s="3">
        <v>44108.333333333336</v>
      </c>
      <c r="D219" s="9">
        <v>79214</v>
      </c>
      <c r="E219" s="9">
        <v>64319</v>
      </c>
      <c r="F219" s="9">
        <v>1761</v>
      </c>
      <c r="G219" s="9">
        <v>11091</v>
      </c>
      <c r="H219" s="6">
        <v>2043</v>
      </c>
      <c r="I219" s="8"/>
      <c r="J219" s="8"/>
      <c r="K219" s="8"/>
      <c r="L219" s="6">
        <v>1430</v>
      </c>
      <c r="M219" s="6">
        <v>13134</v>
      </c>
      <c r="N219" s="6">
        <v>1033</v>
      </c>
      <c r="O219" s="9">
        <v>6329</v>
      </c>
      <c r="P219" s="9">
        <v>3552</v>
      </c>
      <c r="Q219" s="6">
        <v>3253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1:29" ht="12.5" x14ac:dyDescent="0.25">
      <c r="A220" s="2">
        <v>44109</v>
      </c>
      <c r="B220" s="4">
        <v>8</v>
      </c>
      <c r="C220" s="3">
        <v>44109.333333333336</v>
      </c>
      <c r="D220" s="4">
        <v>80036</v>
      </c>
      <c r="E220" s="4">
        <v>65295</v>
      </c>
      <c r="F220" s="4">
        <v>1772</v>
      </c>
      <c r="G220" s="4">
        <v>10912</v>
      </c>
      <c r="H220" s="4">
        <v>2057</v>
      </c>
      <c r="L220" s="4">
        <v>822</v>
      </c>
      <c r="M220" s="4">
        <v>12969</v>
      </c>
      <c r="N220" s="4">
        <v>976</v>
      </c>
      <c r="O220" s="4">
        <v>6565</v>
      </c>
      <c r="P220" s="4">
        <v>3260</v>
      </c>
      <c r="Q220" s="4">
        <v>3144</v>
      </c>
    </row>
    <row r="221" spans="1:29" ht="12.5" x14ac:dyDescent="0.25">
      <c r="A221" s="2">
        <v>44110</v>
      </c>
      <c r="B221" s="4">
        <v>8</v>
      </c>
      <c r="C221" s="3">
        <v>44110.333333333336</v>
      </c>
      <c r="D221" s="4">
        <v>81043</v>
      </c>
      <c r="E221" s="4">
        <v>66315</v>
      </c>
      <c r="F221" s="4">
        <v>1806</v>
      </c>
      <c r="G221" s="4">
        <v>10787</v>
      </c>
      <c r="H221" s="4">
        <v>2135</v>
      </c>
      <c r="L221" s="4">
        <v>1007</v>
      </c>
      <c r="M221" s="4">
        <v>12922</v>
      </c>
      <c r="N221" s="4">
        <v>1020</v>
      </c>
      <c r="O221" s="4">
        <v>6714</v>
      </c>
      <c r="P221" s="4">
        <v>3228</v>
      </c>
      <c r="Q221" s="4">
        <v>2980</v>
      </c>
    </row>
    <row r="222" spans="1:29" ht="12.5" x14ac:dyDescent="0.25">
      <c r="A222" s="2">
        <v>44111</v>
      </c>
      <c r="B222" s="4">
        <v>8</v>
      </c>
      <c r="C222" s="3">
        <v>44111.333333333336</v>
      </c>
      <c r="D222" s="4">
        <v>82383</v>
      </c>
      <c r="E222" s="4">
        <v>67310</v>
      </c>
      <c r="F222" s="4">
        <v>1819</v>
      </c>
      <c r="G222" s="4">
        <v>10807</v>
      </c>
      <c r="H222" s="4">
        <v>2447</v>
      </c>
      <c r="L222" s="4">
        <v>1340</v>
      </c>
      <c r="M222" s="4">
        <v>13254</v>
      </c>
      <c r="N222" s="4">
        <v>995</v>
      </c>
      <c r="O222" s="4">
        <v>6671</v>
      </c>
      <c r="P222" s="4">
        <v>3465</v>
      </c>
      <c r="Q222" s="4">
        <v>3118</v>
      </c>
    </row>
    <row r="223" spans="1:29" ht="12.5" x14ac:dyDescent="0.25">
      <c r="A223" s="2">
        <v>44112</v>
      </c>
      <c r="B223" s="4">
        <v>8</v>
      </c>
      <c r="C223" s="3">
        <v>44112.333333333336</v>
      </c>
      <c r="D223" s="4">
        <v>83392</v>
      </c>
      <c r="E223" s="4">
        <v>68352</v>
      </c>
      <c r="F223" s="4">
        <v>1838</v>
      </c>
      <c r="G223" s="4">
        <v>10717</v>
      </c>
      <c r="H223" s="4">
        <v>2485</v>
      </c>
      <c r="L223" s="4">
        <v>1009</v>
      </c>
      <c r="M223" s="4">
        <v>13202</v>
      </c>
      <c r="N223" s="4">
        <v>1042</v>
      </c>
      <c r="O223" s="4">
        <v>7041</v>
      </c>
      <c r="P223" s="4">
        <v>3280</v>
      </c>
      <c r="Q223" s="4">
        <v>2881</v>
      </c>
    </row>
    <row r="224" spans="1:29" ht="14.5" x14ac:dyDescent="0.35">
      <c r="A224" s="2">
        <v>44113</v>
      </c>
      <c r="B224" s="9">
        <v>8</v>
      </c>
      <c r="C224" s="3">
        <v>44113.333333333336</v>
      </c>
      <c r="D224" s="9">
        <v>84364</v>
      </c>
      <c r="E224" s="9">
        <v>69203</v>
      </c>
      <c r="F224" s="9">
        <v>1860</v>
      </c>
      <c r="G224" s="9">
        <v>10746</v>
      </c>
      <c r="H224" s="6">
        <v>2555</v>
      </c>
      <c r="I224" s="8"/>
      <c r="J224" s="8"/>
      <c r="K224" s="8"/>
      <c r="L224" s="6">
        <v>972</v>
      </c>
      <c r="M224" s="6">
        <v>13301</v>
      </c>
      <c r="N224" s="6">
        <v>851</v>
      </c>
      <c r="O224" s="9">
        <v>7008</v>
      </c>
      <c r="P224" s="9">
        <v>3362</v>
      </c>
      <c r="Q224" s="6">
        <v>2931</v>
      </c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1:29" ht="12.5" x14ac:dyDescent="0.25">
      <c r="A225" s="2">
        <v>44114</v>
      </c>
      <c r="B225" s="4">
        <v>8</v>
      </c>
      <c r="C225" s="3">
        <v>44114.333333333336</v>
      </c>
      <c r="D225" s="4">
        <v>85617</v>
      </c>
      <c r="E225" s="4">
        <v>70487</v>
      </c>
      <c r="F225" s="4">
        <v>1877</v>
      </c>
      <c r="G225" s="4">
        <v>10698</v>
      </c>
      <c r="H225" s="4">
        <v>2555</v>
      </c>
      <c r="L225" s="4">
        <v>1253</v>
      </c>
      <c r="M225" s="4">
        <v>13253</v>
      </c>
      <c r="N225" s="4">
        <v>1284</v>
      </c>
      <c r="O225" s="4">
        <v>6779</v>
      </c>
      <c r="P225" s="4">
        <v>3164</v>
      </c>
      <c r="Q225" s="4">
        <v>3310</v>
      </c>
    </row>
    <row r="226" spans="1:29" ht="14.5" x14ac:dyDescent="0.35">
      <c r="A226" s="2">
        <v>44115</v>
      </c>
      <c r="B226" s="9">
        <v>8</v>
      </c>
      <c r="C226" s="3">
        <v>44115.333333333336</v>
      </c>
      <c r="D226" s="9">
        <v>87006</v>
      </c>
      <c r="E226" s="9">
        <v>71549</v>
      </c>
      <c r="F226" s="9">
        <v>1901</v>
      </c>
      <c r="G226" s="9">
        <v>10863</v>
      </c>
      <c r="H226" s="6">
        <v>2693</v>
      </c>
      <c r="I226" s="8"/>
      <c r="J226" s="8"/>
      <c r="K226" s="8"/>
      <c r="L226" s="6">
        <v>1389</v>
      </c>
      <c r="M226" s="6">
        <v>13556</v>
      </c>
      <c r="N226" s="6">
        <v>1062</v>
      </c>
      <c r="O226" s="9">
        <v>6802</v>
      </c>
      <c r="P226" s="9">
        <v>4018</v>
      </c>
      <c r="Q226" s="6">
        <v>2736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1:29" ht="12.5" x14ac:dyDescent="0.25">
      <c r="A227" s="2">
        <v>44116</v>
      </c>
      <c r="B227" s="4">
        <v>8</v>
      </c>
      <c r="C227" s="3">
        <v>44116.333333333336</v>
      </c>
      <c r="D227" s="4">
        <v>88174</v>
      </c>
      <c r="E227" s="4">
        <v>72633</v>
      </c>
      <c r="F227" s="4">
        <v>1922</v>
      </c>
      <c r="G227" s="4">
        <v>10814</v>
      </c>
      <c r="H227" s="4">
        <v>2805</v>
      </c>
      <c r="L227" s="4">
        <v>1168</v>
      </c>
      <c r="M227" s="4">
        <v>13619</v>
      </c>
      <c r="N227" s="4">
        <v>1084</v>
      </c>
      <c r="O227" s="4">
        <v>6867</v>
      </c>
      <c r="P227" s="4">
        <v>4160</v>
      </c>
      <c r="Q227" s="4">
        <v>2592</v>
      </c>
    </row>
    <row r="228" spans="1:29" ht="14.5" x14ac:dyDescent="0.35">
      <c r="A228" s="2">
        <v>44117</v>
      </c>
      <c r="B228" s="9">
        <v>8</v>
      </c>
      <c r="C228" s="3">
        <v>44117.333333333336</v>
      </c>
      <c r="D228" s="9">
        <v>89228</v>
      </c>
      <c r="E228" s="9">
        <v>73733</v>
      </c>
      <c r="F228" s="9">
        <v>1944</v>
      </c>
      <c r="G228" s="9">
        <v>10908</v>
      </c>
      <c r="H228" s="9">
        <v>2643</v>
      </c>
      <c r="I228" s="8"/>
      <c r="J228" s="8"/>
      <c r="K228" s="8"/>
      <c r="L228" s="6">
        <v>1054</v>
      </c>
      <c r="M228" s="6">
        <v>13551</v>
      </c>
      <c r="N228" s="6">
        <v>1100</v>
      </c>
      <c r="O228" s="9">
        <v>7393</v>
      </c>
      <c r="P228" s="9">
        <v>4150</v>
      </c>
      <c r="Q228" s="6">
        <v>2008</v>
      </c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1:29" ht="12.5" x14ac:dyDescent="0.25">
      <c r="A229" s="2">
        <v>44118</v>
      </c>
      <c r="B229" s="4">
        <v>8</v>
      </c>
      <c r="C229" s="3">
        <v>44118.333333333336</v>
      </c>
      <c r="D229" s="4">
        <v>90266</v>
      </c>
      <c r="E229" s="4">
        <v>74924</v>
      </c>
      <c r="F229" s="4">
        <v>1961</v>
      </c>
      <c r="G229" s="4">
        <v>10822</v>
      </c>
      <c r="H229" s="4">
        <v>2559</v>
      </c>
      <c r="L229" s="4">
        <v>1038</v>
      </c>
      <c r="M229" s="4">
        <v>13381</v>
      </c>
      <c r="N229" s="4">
        <v>1191</v>
      </c>
      <c r="O229" s="4">
        <v>7023</v>
      </c>
      <c r="P229" s="4">
        <v>4633</v>
      </c>
      <c r="Q229" s="4">
        <v>1725</v>
      </c>
    </row>
    <row r="230" spans="1:29" ht="12.5" x14ac:dyDescent="0.25">
      <c r="A230" s="2">
        <v>44119</v>
      </c>
      <c r="B230" s="4">
        <v>8</v>
      </c>
      <c r="C230" s="3">
        <v>44119.333333333336</v>
      </c>
      <c r="D230" s="4">
        <v>91337</v>
      </c>
      <c r="E230" s="4">
        <v>75974</v>
      </c>
      <c r="F230" s="4">
        <v>1984</v>
      </c>
      <c r="G230" s="4">
        <v>10636</v>
      </c>
      <c r="H230" s="4">
        <v>2743</v>
      </c>
      <c r="L230" s="4">
        <v>1071</v>
      </c>
      <c r="M230" s="4">
        <v>13379</v>
      </c>
      <c r="N230" s="4">
        <v>1050</v>
      </c>
      <c r="O230" s="4">
        <v>6900</v>
      </c>
      <c r="P230" s="4">
        <v>4804</v>
      </c>
      <c r="Q230" s="4">
        <v>1675</v>
      </c>
    </row>
    <row r="231" spans="1:29" ht="14.5" x14ac:dyDescent="0.35">
      <c r="A231" s="2">
        <v>44120</v>
      </c>
      <c r="B231" s="9">
        <v>8</v>
      </c>
      <c r="C231" s="3">
        <v>44120.333333333336</v>
      </c>
      <c r="D231" s="9">
        <v>92382</v>
      </c>
      <c r="E231" s="9">
        <v>76956</v>
      </c>
      <c r="F231" s="9">
        <v>2008</v>
      </c>
      <c r="G231" s="9">
        <v>10498</v>
      </c>
      <c r="H231" s="9">
        <v>2920</v>
      </c>
      <c r="I231" s="8"/>
      <c r="J231" s="8"/>
      <c r="K231" s="8"/>
      <c r="L231" s="6">
        <v>1045</v>
      </c>
      <c r="M231" s="6">
        <v>13418</v>
      </c>
      <c r="N231" s="6">
        <v>982</v>
      </c>
      <c r="O231" s="9">
        <v>6753</v>
      </c>
      <c r="P231" s="9">
        <v>5174</v>
      </c>
      <c r="Q231" s="6">
        <v>1491</v>
      </c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1:29" ht="12.5" x14ac:dyDescent="0.25">
      <c r="A232" s="2">
        <v>44121</v>
      </c>
      <c r="B232" s="4">
        <v>8</v>
      </c>
      <c r="C232" s="3">
        <v>44121.333333333336</v>
      </c>
      <c r="D232" s="4">
        <v>93356</v>
      </c>
      <c r="E232" s="4">
        <v>78062</v>
      </c>
      <c r="F232" s="4">
        <v>2032</v>
      </c>
      <c r="G232" s="4">
        <v>10591</v>
      </c>
      <c r="H232" s="4">
        <v>2671</v>
      </c>
      <c r="L232" s="4">
        <v>974</v>
      </c>
      <c r="M232" s="4">
        <v>13262</v>
      </c>
      <c r="N232" s="4">
        <v>1106</v>
      </c>
      <c r="O232" s="4">
        <v>6376</v>
      </c>
      <c r="P232" s="4">
        <v>5611</v>
      </c>
      <c r="Q232" s="4">
        <v>1275</v>
      </c>
    </row>
    <row r="233" spans="1:29" ht="14.5" x14ac:dyDescent="0.35">
      <c r="A233" s="2">
        <v>44122</v>
      </c>
      <c r="B233" s="9">
        <v>8</v>
      </c>
      <c r="C233" s="3">
        <v>44122.333333333336</v>
      </c>
      <c r="D233" s="9">
        <v>94327</v>
      </c>
      <c r="E233" s="9">
        <v>79136</v>
      </c>
      <c r="F233" s="9">
        <v>2051</v>
      </c>
      <c r="G233" s="9">
        <v>10782</v>
      </c>
      <c r="H233" s="9">
        <v>2358</v>
      </c>
      <c r="I233" s="8"/>
      <c r="J233" s="8"/>
      <c r="K233" s="8"/>
      <c r="L233" s="6">
        <v>971</v>
      </c>
      <c r="M233" s="6">
        <v>13140</v>
      </c>
      <c r="N233" s="6">
        <v>1074</v>
      </c>
      <c r="O233" s="9">
        <v>6505</v>
      </c>
      <c r="P233" s="9">
        <v>5891</v>
      </c>
      <c r="Q233" s="6">
        <v>744</v>
      </c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1:29" ht="12.5" x14ac:dyDescent="0.25">
      <c r="A234" s="2">
        <v>44123</v>
      </c>
      <c r="B234" s="4">
        <v>8</v>
      </c>
      <c r="C234" s="3">
        <v>44123.333333333336</v>
      </c>
      <c r="D234" s="4">
        <v>95253</v>
      </c>
      <c r="E234" s="4">
        <v>80261</v>
      </c>
      <c r="F234" s="4">
        <v>2064</v>
      </c>
      <c r="G234" s="4">
        <v>10325</v>
      </c>
      <c r="H234" s="4">
        <v>2603</v>
      </c>
      <c r="L234" s="4">
        <v>926</v>
      </c>
      <c r="M234" s="4">
        <v>12928</v>
      </c>
      <c r="N234" s="4">
        <v>1125</v>
      </c>
      <c r="O234" s="4">
        <v>6185</v>
      </c>
      <c r="P234" s="4">
        <v>5755</v>
      </c>
      <c r="Q234" s="4">
        <v>988</v>
      </c>
    </row>
    <row r="235" spans="1:29" ht="12.5" x14ac:dyDescent="0.25">
      <c r="A235" s="2">
        <v>44124</v>
      </c>
      <c r="B235" s="9">
        <v>8</v>
      </c>
      <c r="C235" s="3">
        <v>44124.333333333336</v>
      </c>
      <c r="D235" s="4">
        <v>96217</v>
      </c>
      <c r="E235" s="4">
        <v>81107</v>
      </c>
      <c r="F235" s="4">
        <v>2086</v>
      </c>
      <c r="G235" s="4">
        <v>10292</v>
      </c>
      <c r="H235" s="4">
        <v>2732</v>
      </c>
      <c r="L235" s="4">
        <v>964</v>
      </c>
      <c r="M235" s="4">
        <v>13024</v>
      </c>
      <c r="N235" s="4">
        <v>846</v>
      </c>
      <c r="O235" s="4">
        <v>6557</v>
      </c>
      <c r="P235" s="4">
        <v>5747</v>
      </c>
      <c r="Q235" s="4">
        <v>720</v>
      </c>
    </row>
    <row r="236" spans="1:29" ht="12.5" x14ac:dyDescent="0.25">
      <c r="A236" s="2">
        <v>44125</v>
      </c>
      <c r="B236" s="4">
        <v>8</v>
      </c>
      <c r="C236" s="3">
        <v>44125.333333333336</v>
      </c>
      <c r="D236" s="4">
        <v>97217</v>
      </c>
      <c r="E236" s="4">
        <v>82178</v>
      </c>
      <c r="F236" s="4">
        <v>2105</v>
      </c>
      <c r="G236" s="4">
        <v>10273</v>
      </c>
      <c r="H236" s="4">
        <v>2661</v>
      </c>
      <c r="L236" s="4">
        <v>1000</v>
      </c>
      <c r="M236" s="4">
        <v>12934</v>
      </c>
      <c r="N236" s="4">
        <v>1071</v>
      </c>
      <c r="O236" s="4">
        <v>6577</v>
      </c>
      <c r="P236" s="4">
        <v>5568</v>
      </c>
      <c r="Q236" s="4">
        <v>789</v>
      </c>
    </row>
    <row r="237" spans="1:29" ht="12.5" x14ac:dyDescent="0.25">
      <c r="A237" s="2">
        <v>44126</v>
      </c>
      <c r="B237" s="4">
        <v>8</v>
      </c>
      <c r="C237" s="3">
        <v>44126.333333333336</v>
      </c>
      <c r="D237" s="4">
        <v>98206</v>
      </c>
      <c r="E237" s="4">
        <v>83338</v>
      </c>
      <c r="F237" s="4">
        <v>2120</v>
      </c>
      <c r="G237" s="4">
        <v>9980</v>
      </c>
      <c r="H237" s="4">
        <v>2768</v>
      </c>
      <c r="L237" s="4">
        <v>989</v>
      </c>
      <c r="M237" s="4">
        <v>12748</v>
      </c>
      <c r="N237" s="4">
        <v>1160</v>
      </c>
      <c r="O237" s="4">
        <v>6530</v>
      </c>
      <c r="P237" s="4">
        <v>5475</v>
      </c>
      <c r="Q237" s="4">
        <v>743</v>
      </c>
    </row>
    <row r="238" spans="1:29" ht="14.5" x14ac:dyDescent="0.35">
      <c r="A238" s="2">
        <v>44127</v>
      </c>
      <c r="B238" s="9">
        <v>8</v>
      </c>
      <c r="C238" s="3">
        <v>44127.333333333336</v>
      </c>
      <c r="D238" s="9">
        <v>99158</v>
      </c>
      <c r="E238" s="9">
        <v>84430</v>
      </c>
      <c r="F238" s="9">
        <v>2138</v>
      </c>
      <c r="G238" s="9">
        <v>9604</v>
      </c>
      <c r="H238" s="9">
        <v>2986</v>
      </c>
      <c r="I238" s="8"/>
      <c r="J238" s="8"/>
      <c r="K238" s="8"/>
      <c r="L238" s="6">
        <v>952</v>
      </c>
      <c r="M238" s="6">
        <v>12590</v>
      </c>
      <c r="N238" s="6">
        <v>1092</v>
      </c>
      <c r="O238" s="9">
        <v>6366</v>
      </c>
      <c r="P238" s="9">
        <v>5428</v>
      </c>
      <c r="Q238" s="6">
        <v>796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ht="12.5" x14ac:dyDescent="0.25">
      <c r="A239" s="2">
        <v>44128</v>
      </c>
      <c r="B239" s="4">
        <v>8</v>
      </c>
      <c r="C239" s="3">
        <v>44128.333333333336</v>
      </c>
      <c r="D239" s="4">
        <v>100220</v>
      </c>
      <c r="E239" s="4">
        <v>85586</v>
      </c>
      <c r="F239" s="4">
        <v>2153</v>
      </c>
      <c r="G239" s="4">
        <v>9557</v>
      </c>
      <c r="H239" s="4">
        <v>2924</v>
      </c>
      <c r="L239" s="4">
        <v>1062</v>
      </c>
      <c r="M239" s="4">
        <v>12481</v>
      </c>
      <c r="N239" s="4">
        <v>1156</v>
      </c>
      <c r="O239" s="4">
        <v>5974</v>
      </c>
      <c r="P239" s="4">
        <v>5541</v>
      </c>
      <c r="Q239" s="4">
        <v>966</v>
      </c>
    </row>
    <row r="240" spans="1:29" ht="14.5" x14ac:dyDescent="0.35">
      <c r="A240" s="2">
        <v>44129</v>
      </c>
      <c r="B240" s="9">
        <v>8</v>
      </c>
      <c r="C240" s="3">
        <v>44129.333333333336</v>
      </c>
      <c r="D240" s="9">
        <v>100991</v>
      </c>
      <c r="E240" s="9">
        <v>86815</v>
      </c>
      <c r="F240" s="9">
        <v>2164</v>
      </c>
      <c r="G240" s="9">
        <v>9151</v>
      </c>
      <c r="H240" s="9">
        <v>2861</v>
      </c>
      <c r="I240" s="8"/>
      <c r="J240" s="8"/>
      <c r="K240" s="8"/>
      <c r="L240" s="6">
        <v>771</v>
      </c>
      <c r="M240" s="6">
        <v>12012</v>
      </c>
      <c r="N240" s="6">
        <v>1229</v>
      </c>
      <c r="O240" s="9">
        <v>6137</v>
      </c>
      <c r="P240" s="9">
        <v>5091</v>
      </c>
      <c r="Q240" s="6">
        <v>784</v>
      </c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1:29" ht="12.5" x14ac:dyDescent="0.25">
      <c r="A241" s="2">
        <v>44130</v>
      </c>
      <c r="B241" s="4">
        <v>8</v>
      </c>
      <c r="C241" s="3">
        <v>44130.333333333336</v>
      </c>
      <c r="D241" s="4">
        <v>101897</v>
      </c>
      <c r="E241" s="4">
        <v>87977</v>
      </c>
      <c r="F241" s="4">
        <v>2185</v>
      </c>
      <c r="G241" s="4">
        <v>8960</v>
      </c>
      <c r="H241" s="4">
        <v>2775</v>
      </c>
      <c r="L241" s="4">
        <v>906</v>
      </c>
      <c r="M241" s="4">
        <v>11735</v>
      </c>
      <c r="N241" s="4">
        <v>1162</v>
      </c>
      <c r="O241" s="4">
        <v>6083</v>
      </c>
      <c r="P241" s="4">
        <v>4900</v>
      </c>
      <c r="Q241" s="4">
        <v>752</v>
      </c>
    </row>
    <row r="242" spans="1:29" ht="14.5" x14ac:dyDescent="0.35">
      <c r="A242" s="2">
        <v>44131</v>
      </c>
      <c r="B242" s="9">
        <v>8</v>
      </c>
      <c r="C242" s="3">
        <v>44131.333333333336</v>
      </c>
      <c r="D242" s="9">
        <v>102678</v>
      </c>
      <c r="E242" s="9">
        <v>89060</v>
      </c>
      <c r="F242" s="9">
        <v>2195</v>
      </c>
      <c r="G242" s="9">
        <v>8743</v>
      </c>
      <c r="H242" s="9">
        <v>2680</v>
      </c>
      <c r="I242" s="8"/>
      <c r="J242" s="8"/>
      <c r="K242" s="8"/>
      <c r="L242" s="6">
        <v>781</v>
      </c>
      <c r="M242" s="6">
        <v>11423</v>
      </c>
      <c r="N242" s="6">
        <v>1083</v>
      </c>
      <c r="O242" s="9">
        <v>5947</v>
      </c>
      <c r="P242" s="9">
        <v>4834</v>
      </c>
      <c r="Q242" s="6">
        <v>642</v>
      </c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1:29" ht="12.5" x14ac:dyDescent="0.25">
      <c r="A243" s="2">
        <v>44132</v>
      </c>
      <c r="B243" s="4">
        <v>8</v>
      </c>
      <c r="C243" s="3">
        <v>44132.333333333336</v>
      </c>
      <c r="D243" s="4">
        <v>103522</v>
      </c>
      <c r="E243" s="4">
        <v>90157</v>
      </c>
      <c r="F243" s="4">
        <v>2211</v>
      </c>
      <c r="G243" s="4">
        <v>8438</v>
      </c>
      <c r="H243" s="4">
        <v>2716</v>
      </c>
      <c r="L243" s="4">
        <v>844</v>
      </c>
      <c r="M243" s="4">
        <v>11154</v>
      </c>
      <c r="N243" s="4">
        <v>1097</v>
      </c>
      <c r="O243" s="4">
        <v>5630</v>
      </c>
      <c r="P243" s="4">
        <v>4955</v>
      </c>
      <c r="Q243" s="4">
        <v>569</v>
      </c>
    </row>
    <row r="244" spans="1:29" ht="12.5" x14ac:dyDescent="0.25">
      <c r="A244" s="2">
        <v>44133</v>
      </c>
      <c r="B244" s="4">
        <v>8</v>
      </c>
      <c r="C244" s="3">
        <v>44133.333333333336</v>
      </c>
      <c r="D244" s="4">
        <v>104235</v>
      </c>
      <c r="E244" s="4">
        <v>91235</v>
      </c>
      <c r="F244" s="4">
        <v>2225</v>
      </c>
      <c r="G244" s="4">
        <v>7951</v>
      </c>
      <c r="H244" s="4">
        <v>2824</v>
      </c>
      <c r="L244" s="4">
        <v>713</v>
      </c>
      <c r="M244" s="4">
        <v>10775</v>
      </c>
      <c r="N244" s="4">
        <v>1078</v>
      </c>
      <c r="O244" s="4">
        <v>5410</v>
      </c>
      <c r="P244" s="4">
        <v>4478</v>
      </c>
      <c r="Q244" s="4">
        <v>887</v>
      </c>
    </row>
    <row r="245" spans="1:29" ht="14.5" x14ac:dyDescent="0.35">
      <c r="A245" s="2">
        <v>44134</v>
      </c>
      <c r="B245" s="9">
        <v>8</v>
      </c>
      <c r="C245" s="3">
        <v>44134.333333333336</v>
      </c>
      <c r="D245" s="9">
        <v>104847</v>
      </c>
      <c r="E245" s="9">
        <v>92312</v>
      </c>
      <c r="F245" s="9">
        <v>2239</v>
      </c>
      <c r="G245" s="9">
        <v>7457</v>
      </c>
      <c r="H245" s="9">
        <v>2839</v>
      </c>
      <c r="I245" s="8"/>
      <c r="J245" s="8"/>
      <c r="K245" s="8"/>
      <c r="L245" s="6">
        <v>612</v>
      </c>
      <c r="M245" s="6">
        <v>10296</v>
      </c>
      <c r="N245" s="6">
        <v>1077</v>
      </c>
      <c r="O245" s="9">
        <v>5410</v>
      </c>
      <c r="P245" s="9">
        <v>4478</v>
      </c>
      <c r="Q245" s="6">
        <v>408</v>
      </c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1:29" ht="12.5" x14ac:dyDescent="0.25">
      <c r="A246" s="2">
        <v>44135</v>
      </c>
      <c r="B246" s="4">
        <v>8</v>
      </c>
      <c r="C246" s="3">
        <v>44135.333333333336</v>
      </c>
      <c r="D246" s="4">
        <v>105597</v>
      </c>
      <c r="E246" s="4">
        <v>94434</v>
      </c>
      <c r="F246" s="4">
        <v>2255</v>
      </c>
      <c r="G246" s="4">
        <v>6524</v>
      </c>
      <c r="H246" s="4">
        <v>2384</v>
      </c>
      <c r="L246" s="4">
        <v>750</v>
      </c>
      <c r="M246" s="4">
        <v>8908</v>
      </c>
      <c r="N246" s="4">
        <v>2122</v>
      </c>
      <c r="O246" s="4">
        <v>4462</v>
      </c>
      <c r="P246" s="4">
        <v>4446</v>
      </c>
      <c r="Q246" s="4">
        <v>0</v>
      </c>
    </row>
    <row r="247" spans="1:29" ht="14.5" x14ac:dyDescent="0.35">
      <c r="A247" s="2">
        <v>44136</v>
      </c>
      <c r="B247" s="9">
        <v>8</v>
      </c>
      <c r="C247" s="3">
        <v>44136.333333333336</v>
      </c>
      <c r="D247" s="9">
        <v>106205</v>
      </c>
      <c r="E247" s="9">
        <v>94819</v>
      </c>
      <c r="F247" s="9">
        <v>2273</v>
      </c>
      <c r="G247" s="9">
        <v>6935</v>
      </c>
      <c r="H247" s="9">
        <v>2178</v>
      </c>
      <c r="I247" s="8"/>
      <c r="J247" s="8"/>
      <c r="K247" s="8"/>
      <c r="L247" s="6">
        <v>608</v>
      </c>
      <c r="M247" s="6">
        <v>9113</v>
      </c>
      <c r="N247" s="6">
        <v>385</v>
      </c>
      <c r="O247" s="9">
        <v>4106</v>
      </c>
      <c r="P247" s="9">
        <v>4142</v>
      </c>
      <c r="Q247" s="6">
        <v>865</v>
      </c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ht="12.5" x14ac:dyDescent="0.25">
      <c r="A248" s="2">
        <v>44137</v>
      </c>
      <c r="B248" s="4">
        <v>8</v>
      </c>
      <c r="C248" s="3">
        <v>44137.333333333336</v>
      </c>
      <c r="D248" s="4">
        <v>107229</v>
      </c>
      <c r="E248" s="4">
        <v>95876</v>
      </c>
      <c r="F248" s="4">
        <v>2291</v>
      </c>
      <c r="G248" s="4">
        <v>7312</v>
      </c>
      <c r="H248" s="4">
        <v>1750</v>
      </c>
      <c r="L248" s="4">
        <v>1024</v>
      </c>
      <c r="M248" s="4">
        <v>9062</v>
      </c>
      <c r="N248" s="4">
        <v>1057</v>
      </c>
      <c r="O248" s="4">
        <v>3987</v>
      </c>
      <c r="P248" s="4">
        <v>4258</v>
      </c>
      <c r="Q248" s="4">
        <v>817</v>
      </c>
    </row>
    <row r="249" spans="1:29" ht="12.5" x14ac:dyDescent="0.25">
      <c r="A249" s="2">
        <v>44138</v>
      </c>
      <c r="B249" s="4">
        <v>8</v>
      </c>
      <c r="C249" s="3">
        <v>44138.333333333336</v>
      </c>
      <c r="D249" s="4">
        <v>107846</v>
      </c>
      <c r="E249" s="4">
        <v>96902</v>
      </c>
      <c r="F249" s="4">
        <v>2300</v>
      </c>
      <c r="G249" s="4">
        <v>6844</v>
      </c>
      <c r="H249" s="4">
        <v>1800</v>
      </c>
      <c r="L249" s="4">
        <v>617</v>
      </c>
      <c r="M249" s="4">
        <v>8644</v>
      </c>
      <c r="N249" s="4">
        <v>1026</v>
      </c>
      <c r="O249" s="4">
        <v>3935</v>
      </c>
      <c r="P249" s="4">
        <v>4108</v>
      </c>
      <c r="Q249" s="4">
        <v>601</v>
      </c>
    </row>
    <row r="250" spans="1:29" ht="12.5" x14ac:dyDescent="0.25">
      <c r="A250" s="2">
        <v>44139</v>
      </c>
      <c r="B250" s="4">
        <v>8</v>
      </c>
      <c r="C250" s="3">
        <v>44139.333333333336</v>
      </c>
      <c r="D250" s="4">
        <v>108620</v>
      </c>
      <c r="E250" s="4">
        <v>97833</v>
      </c>
      <c r="F250" s="4">
        <v>2315</v>
      </c>
      <c r="G250" s="4">
        <v>6665</v>
      </c>
      <c r="H250" s="4">
        <v>1807</v>
      </c>
      <c r="L250" s="4">
        <v>774</v>
      </c>
      <c r="M250" s="4">
        <v>8472</v>
      </c>
      <c r="N250" s="4">
        <v>931</v>
      </c>
      <c r="O250" s="4">
        <v>3627</v>
      </c>
      <c r="P250" s="4">
        <v>4456</v>
      </c>
      <c r="Q250" s="4">
        <v>389</v>
      </c>
    </row>
    <row r="251" spans="1:29" ht="12.5" x14ac:dyDescent="0.25">
      <c r="A251" s="2">
        <v>44140</v>
      </c>
      <c r="B251" s="4">
        <v>8</v>
      </c>
      <c r="C251" s="3">
        <v>44140.333333333336</v>
      </c>
      <c r="D251" s="4">
        <v>109411</v>
      </c>
      <c r="E251" s="4">
        <v>98806</v>
      </c>
      <c r="F251" s="4">
        <v>2331</v>
      </c>
      <c r="G251" s="4">
        <v>6260</v>
      </c>
      <c r="H251" s="4">
        <v>2014</v>
      </c>
      <c r="L251" s="4">
        <v>791</v>
      </c>
      <c r="M251" s="4">
        <v>8274</v>
      </c>
      <c r="N251" s="4">
        <v>973</v>
      </c>
      <c r="O251" s="4">
        <v>3398</v>
      </c>
      <c r="P251" s="4">
        <v>4262</v>
      </c>
      <c r="Q251" s="4">
        <v>614</v>
      </c>
    </row>
    <row r="252" spans="1:29" ht="14.5" x14ac:dyDescent="0.35">
      <c r="A252" s="2">
        <v>44141</v>
      </c>
      <c r="B252" s="9">
        <v>8</v>
      </c>
      <c r="C252" s="3">
        <v>44141.333333333336</v>
      </c>
      <c r="D252" s="9">
        <v>110083</v>
      </c>
      <c r="E252" s="9">
        <v>99830</v>
      </c>
      <c r="F252" s="9">
        <v>2348</v>
      </c>
      <c r="G252" s="9">
        <v>6050</v>
      </c>
      <c r="H252" s="9">
        <v>1855</v>
      </c>
      <c r="I252" s="8"/>
      <c r="J252" s="8"/>
      <c r="K252" s="8"/>
      <c r="L252" s="6">
        <v>672</v>
      </c>
      <c r="M252" s="6">
        <v>7905</v>
      </c>
      <c r="N252" s="6">
        <v>1024</v>
      </c>
      <c r="O252" s="9">
        <v>3266</v>
      </c>
      <c r="P252" s="9">
        <v>4257</v>
      </c>
      <c r="Q252" s="6">
        <v>382</v>
      </c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ht="12.5" x14ac:dyDescent="0.25">
      <c r="A253" s="2">
        <v>44142</v>
      </c>
      <c r="B253" s="4">
        <v>8</v>
      </c>
      <c r="C253" s="3">
        <v>44142.333333333336</v>
      </c>
      <c r="D253" s="4">
        <v>111201</v>
      </c>
      <c r="E253" s="4">
        <v>100816</v>
      </c>
      <c r="F253" s="4">
        <v>2359</v>
      </c>
      <c r="G253" s="4">
        <v>6159</v>
      </c>
      <c r="H253" s="4">
        <v>1867</v>
      </c>
      <c r="L253" s="4">
        <v>1118</v>
      </c>
      <c r="M253" s="4">
        <v>8026</v>
      </c>
      <c r="N253" s="4">
        <v>986</v>
      </c>
      <c r="O253" s="4">
        <v>3049</v>
      </c>
      <c r="P253" s="4">
        <v>4205</v>
      </c>
      <c r="Q253" s="4">
        <v>772</v>
      </c>
    </row>
    <row r="254" spans="1:29" ht="14.5" x14ac:dyDescent="0.35">
      <c r="A254" s="2">
        <v>44143</v>
      </c>
      <c r="B254" s="9">
        <v>8</v>
      </c>
      <c r="C254" s="3">
        <v>44143.333333333336</v>
      </c>
      <c r="D254" s="9">
        <v>112027</v>
      </c>
      <c r="E254" s="9">
        <v>101791</v>
      </c>
      <c r="F254" s="9">
        <v>2366</v>
      </c>
      <c r="G254" s="9">
        <v>6338</v>
      </c>
      <c r="H254" s="9">
        <v>1532</v>
      </c>
      <c r="I254" s="8"/>
      <c r="J254" s="8"/>
      <c r="K254" s="8"/>
      <c r="L254" s="6">
        <v>826</v>
      </c>
      <c r="M254" s="6">
        <v>7870</v>
      </c>
      <c r="N254" s="6">
        <v>975</v>
      </c>
      <c r="O254" s="9">
        <v>2640</v>
      </c>
      <c r="P254" s="9">
        <v>3833</v>
      </c>
      <c r="Q254" s="6">
        <v>1397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ht="12.5" x14ac:dyDescent="0.25">
      <c r="A255" s="2">
        <v>44144</v>
      </c>
      <c r="B255" s="4">
        <v>8</v>
      </c>
      <c r="C255" s="3">
        <v>44144.333333333336</v>
      </c>
      <c r="D255" s="4">
        <v>112743</v>
      </c>
      <c r="E255" s="4">
        <v>102844</v>
      </c>
      <c r="F255" s="4">
        <v>2377</v>
      </c>
      <c r="G255" s="4">
        <v>6050</v>
      </c>
      <c r="H255" s="4">
        <v>1472</v>
      </c>
      <c r="L255" s="4">
        <v>716</v>
      </c>
      <c r="M255" s="4">
        <v>7522</v>
      </c>
      <c r="N255" s="4">
        <v>1053</v>
      </c>
      <c r="O255" s="4">
        <v>3336</v>
      </c>
      <c r="P255" s="4">
        <v>3628</v>
      </c>
      <c r="Q255" s="4">
        <v>558</v>
      </c>
    </row>
    <row r="256" spans="1:29" ht="14.5" x14ac:dyDescent="0.35">
      <c r="A256" s="2">
        <v>44145</v>
      </c>
      <c r="B256" s="9">
        <v>8</v>
      </c>
      <c r="C256" s="3">
        <v>44145.333333333336</v>
      </c>
      <c r="D256" s="9">
        <v>113756</v>
      </c>
      <c r="E256" s="9">
        <v>104144</v>
      </c>
      <c r="F256" s="9">
        <v>2391</v>
      </c>
      <c r="G256" s="9">
        <v>5724</v>
      </c>
      <c r="H256" s="9">
        <v>1497</v>
      </c>
      <c r="I256" s="8"/>
      <c r="J256" s="8"/>
      <c r="K256" s="8"/>
      <c r="L256" s="6">
        <v>1013</v>
      </c>
      <c r="M256" s="6">
        <v>7221</v>
      </c>
      <c r="N256" s="6">
        <v>1300</v>
      </c>
      <c r="O256" s="9">
        <v>3213</v>
      </c>
      <c r="P256" s="9">
        <v>3580</v>
      </c>
      <c r="Q256" s="6">
        <v>428</v>
      </c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ht="12.5" x14ac:dyDescent="0.25">
      <c r="A257" s="2">
        <v>44146</v>
      </c>
      <c r="B257" s="4">
        <v>8</v>
      </c>
      <c r="C257" s="3">
        <v>44146.333333333336</v>
      </c>
      <c r="D257" s="4">
        <v>114343</v>
      </c>
      <c r="E257" s="4">
        <v>105117</v>
      </c>
      <c r="F257" s="4">
        <v>2403</v>
      </c>
      <c r="G257" s="4">
        <v>5161</v>
      </c>
      <c r="H257" s="4">
        <v>1662</v>
      </c>
      <c r="L257" s="4">
        <v>587</v>
      </c>
      <c r="M257" s="4">
        <v>6823</v>
      </c>
      <c r="N257" s="4">
        <v>973</v>
      </c>
      <c r="O257" s="4">
        <v>2915</v>
      </c>
      <c r="P257" s="4">
        <v>3518</v>
      </c>
      <c r="Q257" s="4">
        <v>390</v>
      </c>
    </row>
    <row r="258" spans="1:29" ht="14.5" x14ac:dyDescent="0.35">
      <c r="A258" s="2">
        <v>44147</v>
      </c>
      <c r="B258" s="9">
        <v>8</v>
      </c>
      <c r="C258" s="3">
        <v>44147.333333333336</v>
      </c>
      <c r="D258" s="9">
        <v>115174</v>
      </c>
      <c r="E258" s="9">
        <v>106189</v>
      </c>
      <c r="F258" s="9">
        <v>2414</v>
      </c>
      <c r="G258" s="9">
        <v>4878</v>
      </c>
      <c r="H258" s="9">
        <v>1693</v>
      </c>
      <c r="I258" s="8"/>
      <c r="J258" s="8"/>
      <c r="K258" s="8"/>
      <c r="L258" s="6">
        <v>831</v>
      </c>
      <c r="M258" s="6">
        <v>6571</v>
      </c>
      <c r="N258" s="6">
        <v>1072</v>
      </c>
      <c r="O258" s="9">
        <v>2884</v>
      </c>
      <c r="P258" s="9">
        <v>3204</v>
      </c>
      <c r="Q258" s="6">
        <v>483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1:29" ht="12.5" x14ac:dyDescent="0.25">
      <c r="A259" s="2">
        <v>44148</v>
      </c>
      <c r="B259" s="4">
        <v>8</v>
      </c>
      <c r="C259" s="3">
        <v>44148.333333333336</v>
      </c>
      <c r="D259" s="4">
        <v>116207</v>
      </c>
      <c r="E259" s="4">
        <v>107147</v>
      </c>
      <c r="F259" s="4">
        <v>2428</v>
      </c>
      <c r="G259" s="4">
        <v>5028</v>
      </c>
      <c r="H259" s="4">
        <v>1604</v>
      </c>
      <c r="L259" s="4">
        <v>1033</v>
      </c>
      <c r="M259" s="4">
        <v>6632</v>
      </c>
      <c r="N259" s="4">
        <v>958</v>
      </c>
      <c r="O259" s="4">
        <v>2821</v>
      </c>
      <c r="P259" s="4">
        <v>3193</v>
      </c>
      <c r="Q259" s="4">
        <v>618</v>
      </c>
    </row>
    <row r="260" spans="1:29" ht="12.5" x14ac:dyDescent="0.25">
      <c r="A260" s="2">
        <v>44149</v>
      </c>
      <c r="B260" s="4">
        <v>8</v>
      </c>
      <c r="C260" s="3">
        <v>44149.333333333336</v>
      </c>
      <c r="D260" s="4">
        <v>117462</v>
      </c>
      <c r="E260" s="4">
        <v>108209</v>
      </c>
      <c r="F260" s="4">
        <v>2441</v>
      </c>
      <c r="G260" s="4">
        <v>4710</v>
      </c>
      <c r="H260" s="4">
        <v>2102</v>
      </c>
      <c r="L260" s="4">
        <v>1255</v>
      </c>
      <c r="M260" s="4">
        <v>6812</v>
      </c>
      <c r="N260" s="4">
        <v>1062</v>
      </c>
      <c r="O260" s="4">
        <v>2714</v>
      </c>
      <c r="P260" s="4">
        <v>3197</v>
      </c>
      <c r="Q260" s="4">
        <v>901</v>
      </c>
    </row>
    <row r="261" spans="1:29" ht="14.5" x14ac:dyDescent="0.35">
      <c r="A261" s="2">
        <v>44150</v>
      </c>
      <c r="B261" s="9">
        <v>8</v>
      </c>
      <c r="C261" s="3">
        <v>44150.333333333336</v>
      </c>
      <c r="D261" s="9">
        <v>118627</v>
      </c>
      <c r="E261" s="9">
        <v>109181</v>
      </c>
      <c r="F261" s="9">
        <v>2448</v>
      </c>
      <c r="G261" s="9">
        <v>4952</v>
      </c>
      <c r="H261" s="9">
        <v>2046</v>
      </c>
      <c r="I261" s="8"/>
      <c r="J261" s="8"/>
      <c r="K261" s="8"/>
      <c r="L261" s="6">
        <v>1165</v>
      </c>
      <c r="M261" s="6">
        <v>6998</v>
      </c>
      <c r="N261" s="6">
        <v>972</v>
      </c>
      <c r="O261" s="9">
        <v>2556</v>
      </c>
      <c r="P261" s="9">
        <v>3659</v>
      </c>
      <c r="Q261" s="6">
        <v>783</v>
      </c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ht="12.5" x14ac:dyDescent="0.25">
      <c r="A262" s="2">
        <v>44151</v>
      </c>
      <c r="B262" s="4">
        <v>8</v>
      </c>
      <c r="C262" s="3">
        <v>44151.333333333336</v>
      </c>
      <c r="D262" s="4">
        <v>119633</v>
      </c>
      <c r="E262" s="4">
        <v>110221</v>
      </c>
      <c r="F262" s="4">
        <v>2455</v>
      </c>
      <c r="G262" s="4">
        <v>4420</v>
      </c>
      <c r="H262" s="4">
        <v>2537</v>
      </c>
      <c r="L262" s="4">
        <v>1006</v>
      </c>
      <c r="M262" s="4">
        <v>6957</v>
      </c>
      <c r="N262" s="4">
        <v>1040</v>
      </c>
      <c r="O262" s="4">
        <v>2540</v>
      </c>
      <c r="P262" s="4">
        <v>3784</v>
      </c>
      <c r="Q262" s="4">
        <v>633</v>
      </c>
    </row>
    <row r="263" spans="1:29" ht="12.5" x14ac:dyDescent="0.25">
      <c r="A263" s="2">
        <v>44152</v>
      </c>
      <c r="B263" s="4">
        <v>8</v>
      </c>
      <c r="C263" s="3">
        <v>44152.333333333336</v>
      </c>
      <c r="D263" s="4">
        <v>120671</v>
      </c>
      <c r="E263" s="4">
        <v>111096</v>
      </c>
      <c r="F263" s="4">
        <v>2459</v>
      </c>
      <c r="G263" s="4">
        <v>4355</v>
      </c>
      <c r="H263" s="4">
        <v>2761</v>
      </c>
      <c r="L263" s="4">
        <v>1038</v>
      </c>
      <c r="M263" s="4">
        <v>7116</v>
      </c>
      <c r="N263" s="4">
        <v>875</v>
      </c>
      <c r="O263" s="4">
        <v>2652</v>
      </c>
      <c r="P263" s="4">
        <v>3732</v>
      </c>
      <c r="Q263" s="4">
        <v>732</v>
      </c>
    </row>
    <row r="264" spans="1:29" ht="12.5" x14ac:dyDescent="0.25">
      <c r="A264" s="2">
        <v>44153</v>
      </c>
      <c r="B264" s="4">
        <v>8</v>
      </c>
      <c r="C264" s="3">
        <v>44153.333333333336</v>
      </c>
      <c r="D264" s="4">
        <v>121818</v>
      </c>
      <c r="E264" s="4">
        <v>111948</v>
      </c>
      <c r="F264" s="4">
        <v>2470</v>
      </c>
      <c r="G264" s="4">
        <v>4619</v>
      </c>
      <c r="H264" s="4">
        <v>2781</v>
      </c>
      <c r="L264" s="4">
        <v>1147</v>
      </c>
      <c r="M264" s="4">
        <v>7400</v>
      </c>
      <c r="N264" s="4">
        <v>852</v>
      </c>
      <c r="O264" s="4">
        <v>2325</v>
      </c>
      <c r="P264" s="4">
        <v>3757</v>
      </c>
      <c r="Q264" s="4">
        <v>1318</v>
      </c>
    </row>
    <row r="265" spans="1:29" ht="12.5" x14ac:dyDescent="0.25">
      <c r="A265" s="2">
        <v>44154</v>
      </c>
      <c r="B265" s="4">
        <v>8</v>
      </c>
      <c r="C265" s="3">
        <v>44154.333333333336</v>
      </c>
      <c r="D265" s="4">
        <v>123003</v>
      </c>
      <c r="E265" s="4">
        <v>112833</v>
      </c>
      <c r="F265" s="4">
        <v>2484</v>
      </c>
      <c r="G265" s="4">
        <v>4633</v>
      </c>
      <c r="H265" s="4">
        <v>3053</v>
      </c>
      <c r="L265" s="4">
        <v>1185</v>
      </c>
      <c r="M265" s="4">
        <v>7686</v>
      </c>
      <c r="N265" s="4">
        <v>885</v>
      </c>
      <c r="O265" s="4">
        <v>2788</v>
      </c>
      <c r="P265" s="4">
        <v>4099</v>
      </c>
      <c r="Q265" s="4">
        <v>799</v>
      </c>
    </row>
    <row r="266" spans="1:29" ht="14.5" x14ac:dyDescent="0.35">
      <c r="A266" s="2">
        <v>44155</v>
      </c>
      <c r="B266" s="9">
        <v>8</v>
      </c>
      <c r="C266" s="3">
        <v>44155.333333333336</v>
      </c>
      <c r="D266" s="9">
        <v>124243</v>
      </c>
      <c r="E266" s="9">
        <v>113739</v>
      </c>
      <c r="F266" s="9">
        <v>2501</v>
      </c>
      <c r="G266" s="9">
        <v>4616</v>
      </c>
      <c r="H266" s="9">
        <v>3387</v>
      </c>
      <c r="I266" s="8"/>
      <c r="J266" s="8"/>
      <c r="K266" s="8"/>
      <c r="L266" s="6">
        <v>1240</v>
      </c>
      <c r="M266" s="6">
        <v>8003</v>
      </c>
      <c r="N266" s="6">
        <v>906</v>
      </c>
      <c r="O266" s="9">
        <v>3024</v>
      </c>
      <c r="P266" s="9">
        <v>4198</v>
      </c>
      <c r="Q266" s="6">
        <v>781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1:29" ht="12.5" x14ac:dyDescent="0.25">
      <c r="A267" s="2">
        <v>44156</v>
      </c>
      <c r="B267" s="4">
        <v>8</v>
      </c>
      <c r="C267" s="3">
        <v>44156.333333333336</v>
      </c>
      <c r="D267" s="4">
        <v>125822</v>
      </c>
      <c r="E267" s="4">
        <v>114863</v>
      </c>
      <c r="F267" s="4">
        <v>2515</v>
      </c>
      <c r="G267" s="4">
        <v>5323</v>
      </c>
      <c r="H267" s="4">
        <v>3121</v>
      </c>
      <c r="L267" s="4">
        <v>1579</v>
      </c>
      <c r="M267" s="4">
        <v>8444</v>
      </c>
      <c r="N267" s="4">
        <v>1124</v>
      </c>
      <c r="O267" s="4">
        <v>3160</v>
      </c>
      <c r="P267" s="4">
        <v>4255</v>
      </c>
      <c r="Q267" s="4">
        <v>1029</v>
      </c>
    </row>
    <row r="268" spans="1:29" ht="14.5" x14ac:dyDescent="0.35">
      <c r="A268" s="2">
        <v>44157</v>
      </c>
      <c r="B268" s="9">
        <v>8</v>
      </c>
      <c r="C268" s="3">
        <v>44157.333333333336</v>
      </c>
      <c r="D268" s="9">
        <v>127164</v>
      </c>
      <c r="E268" s="9">
        <v>115939</v>
      </c>
      <c r="F268" s="9">
        <v>2531</v>
      </c>
      <c r="G268" s="9">
        <v>5529</v>
      </c>
      <c r="H268" s="9">
        <v>3165</v>
      </c>
      <c r="I268" s="8"/>
      <c r="J268" s="8"/>
      <c r="K268" s="8"/>
      <c r="L268" s="6">
        <v>1342</v>
      </c>
      <c r="M268" s="6">
        <v>8694</v>
      </c>
      <c r="N268" s="6">
        <v>1076</v>
      </c>
      <c r="O268" s="9">
        <v>3322</v>
      </c>
      <c r="P268" s="9">
        <v>4550</v>
      </c>
      <c r="Q268" s="6">
        <v>822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1:29" ht="12.5" x14ac:dyDescent="0.25">
      <c r="A269" s="2">
        <v>44158</v>
      </c>
      <c r="B269" s="4">
        <v>8</v>
      </c>
      <c r="C269" s="3">
        <v>44158.333333333336</v>
      </c>
      <c r="D269" s="4">
        <v>128173</v>
      </c>
      <c r="E269" s="4">
        <v>117003</v>
      </c>
      <c r="F269" s="4">
        <v>2548</v>
      </c>
      <c r="G269" s="4">
        <v>5592</v>
      </c>
      <c r="H269" s="4">
        <v>3030</v>
      </c>
      <c r="L269" s="4">
        <v>1009</v>
      </c>
      <c r="M269" s="4">
        <v>8622</v>
      </c>
      <c r="N269" s="4">
        <v>1064</v>
      </c>
      <c r="O269" s="4">
        <v>2816</v>
      </c>
      <c r="P269" s="4">
        <v>4185</v>
      </c>
      <c r="Q269" s="4">
        <v>1621</v>
      </c>
    </row>
    <row r="270" spans="1:29" ht="14.5" x14ac:dyDescent="0.35">
      <c r="A270" s="2">
        <v>44159</v>
      </c>
      <c r="B270" s="9">
        <v>8</v>
      </c>
      <c r="C270" s="3">
        <v>44159.333333333336</v>
      </c>
      <c r="D270" s="9">
        <v>129188</v>
      </c>
      <c r="E270" s="9">
        <v>118062</v>
      </c>
      <c r="F270" s="9">
        <v>2567</v>
      </c>
      <c r="G270" s="9">
        <v>5518</v>
      </c>
      <c r="H270" s="9">
        <v>3041</v>
      </c>
      <c r="I270" s="8"/>
      <c r="J270" s="8"/>
      <c r="K270" s="8"/>
      <c r="L270" s="6">
        <v>1015</v>
      </c>
      <c r="M270" s="6">
        <v>8559</v>
      </c>
      <c r="N270" s="6">
        <v>1059</v>
      </c>
      <c r="O270" s="9">
        <v>3438</v>
      </c>
      <c r="P270" s="9">
        <v>4556</v>
      </c>
      <c r="Q270" s="6">
        <v>565</v>
      </c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1:29" ht="12.5" x14ac:dyDescent="0.25">
      <c r="A271" s="2">
        <v>44160</v>
      </c>
      <c r="B271" s="4">
        <v>8</v>
      </c>
      <c r="C271" s="3">
        <v>44160.333333333336</v>
      </c>
      <c r="D271" s="4">
        <v>130461</v>
      </c>
      <c r="E271" s="4">
        <v>119099</v>
      </c>
      <c r="F271" s="4">
        <v>2584</v>
      </c>
      <c r="G271" s="4">
        <v>6000</v>
      </c>
      <c r="H271" s="4">
        <v>2778</v>
      </c>
      <c r="L271" s="4">
        <v>1273</v>
      </c>
      <c r="M271" s="4">
        <v>8778</v>
      </c>
      <c r="N271" s="4">
        <v>1037</v>
      </c>
      <c r="O271" s="4">
        <v>3527</v>
      </c>
      <c r="P271" s="4">
        <v>4520</v>
      </c>
      <c r="Q271" s="4">
        <v>731</v>
      </c>
    </row>
    <row r="272" spans="1:29" ht="12.5" x14ac:dyDescent="0.25">
      <c r="A272" s="2">
        <v>44161</v>
      </c>
      <c r="B272" s="4">
        <v>8</v>
      </c>
      <c r="C272" s="3">
        <v>44161.333333333336</v>
      </c>
      <c r="D272" s="4">
        <v>131525</v>
      </c>
      <c r="E272" s="4">
        <v>120287</v>
      </c>
      <c r="F272" s="4">
        <v>2597</v>
      </c>
      <c r="G272" s="4">
        <v>5876</v>
      </c>
      <c r="H272" s="4">
        <v>2765</v>
      </c>
      <c r="L272" s="4">
        <v>1064</v>
      </c>
      <c r="M272" s="4">
        <v>8641</v>
      </c>
      <c r="N272" s="4">
        <v>1188</v>
      </c>
      <c r="O272" s="4">
        <v>3710</v>
      </c>
      <c r="P272" s="4">
        <v>4292</v>
      </c>
      <c r="Q272" s="4">
        <v>639</v>
      </c>
    </row>
    <row r="273" spans="1:29" ht="14.5" x14ac:dyDescent="0.35">
      <c r="A273" s="2">
        <v>44162</v>
      </c>
      <c r="B273" s="9">
        <v>8</v>
      </c>
      <c r="C273" s="3">
        <v>44162.333333333336</v>
      </c>
      <c r="D273" s="9">
        <v>132961</v>
      </c>
      <c r="E273" s="9">
        <v>121082</v>
      </c>
      <c r="F273" s="9">
        <v>2614</v>
      </c>
      <c r="G273" s="9">
        <v>6653</v>
      </c>
      <c r="H273" s="9">
        <v>2612</v>
      </c>
      <c r="I273" s="8"/>
      <c r="J273" s="8"/>
      <c r="K273" s="8"/>
      <c r="L273" s="6">
        <v>1436</v>
      </c>
      <c r="M273" s="6">
        <v>9265</v>
      </c>
      <c r="N273" s="6">
        <v>795</v>
      </c>
      <c r="O273" s="9">
        <v>3711</v>
      </c>
      <c r="P273" s="9">
        <v>4647</v>
      </c>
      <c r="Q273" s="6">
        <v>907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14.5" x14ac:dyDescent="0.35">
      <c r="A274" s="2">
        <v>44163</v>
      </c>
      <c r="B274" s="9">
        <v>8</v>
      </c>
      <c r="C274" s="3">
        <v>44163.333333333336</v>
      </c>
      <c r="D274" s="9">
        <v>134331</v>
      </c>
      <c r="E274" s="9">
        <v>122328</v>
      </c>
      <c r="F274" s="9">
        <v>2632</v>
      </c>
      <c r="G274" s="9">
        <v>6921</v>
      </c>
      <c r="H274" s="9">
        <v>2450</v>
      </c>
      <c r="I274" s="8"/>
      <c r="J274" s="8"/>
      <c r="K274" s="8"/>
      <c r="L274" s="6">
        <v>1370</v>
      </c>
      <c r="M274" s="6">
        <v>9371</v>
      </c>
      <c r="N274" s="6">
        <v>1246</v>
      </c>
      <c r="O274" s="9">
        <v>3938</v>
      </c>
      <c r="P274" s="9">
        <v>4524</v>
      </c>
      <c r="Q274" s="6">
        <v>909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ht="12.5" x14ac:dyDescent="0.25">
      <c r="A275" s="2">
        <v>44164</v>
      </c>
      <c r="B275" s="4">
        <v>8</v>
      </c>
      <c r="C275" s="3">
        <v>44164.333333333336</v>
      </c>
      <c r="D275" s="4">
        <v>135762</v>
      </c>
      <c r="E275" s="4">
        <v>123163</v>
      </c>
      <c r="F275" s="4">
        <v>2652</v>
      </c>
      <c r="G275" s="4">
        <v>7608</v>
      </c>
      <c r="H275" s="4">
        <v>2339</v>
      </c>
      <c r="L275" s="4">
        <v>1431</v>
      </c>
      <c r="M275" s="4">
        <v>9947</v>
      </c>
      <c r="N275" s="4">
        <v>835</v>
      </c>
      <c r="O275" s="4">
        <v>3536</v>
      </c>
      <c r="P275" s="4">
        <v>4544</v>
      </c>
      <c r="Q275" s="4">
        <v>1867</v>
      </c>
    </row>
    <row r="276" spans="1:29" ht="12.5" x14ac:dyDescent="0.25">
      <c r="A276" s="2">
        <v>44165</v>
      </c>
      <c r="B276" s="9">
        <v>8</v>
      </c>
      <c r="C276" s="3">
        <v>44165.333333333336</v>
      </c>
      <c r="D276" s="4">
        <v>136861</v>
      </c>
      <c r="E276" s="4">
        <v>124078</v>
      </c>
      <c r="F276" s="4">
        <v>2671</v>
      </c>
      <c r="G276" s="4">
        <v>7823</v>
      </c>
      <c r="H276" s="4">
        <v>2289</v>
      </c>
      <c r="L276" s="4">
        <v>1099</v>
      </c>
      <c r="M276" s="4">
        <v>10112</v>
      </c>
      <c r="N276" s="4">
        <v>915</v>
      </c>
      <c r="O276" s="4">
        <v>4307</v>
      </c>
      <c r="P276" s="4">
        <v>5027</v>
      </c>
      <c r="Q276" s="4">
        <v>778</v>
      </c>
    </row>
    <row r="277" spans="1:29" ht="12.5" x14ac:dyDescent="0.25">
      <c r="A277" s="2">
        <v>44166</v>
      </c>
      <c r="B277" s="4">
        <v>8</v>
      </c>
      <c r="C277" s="3">
        <v>44166.333333333336</v>
      </c>
      <c r="D277" s="4">
        <v>137919</v>
      </c>
      <c r="E277" s="4">
        <v>125102</v>
      </c>
      <c r="F277" s="4">
        <v>2689</v>
      </c>
      <c r="G277" s="4">
        <v>7937</v>
      </c>
      <c r="H277" s="4">
        <v>2191</v>
      </c>
      <c r="L277" s="4">
        <v>1058</v>
      </c>
      <c r="M277" s="4">
        <v>10128</v>
      </c>
      <c r="N277" s="4">
        <v>1024</v>
      </c>
      <c r="O277" s="4">
        <v>2655</v>
      </c>
      <c r="P277" s="4">
        <v>5973</v>
      </c>
      <c r="Q277" s="4">
        <v>1500</v>
      </c>
    </row>
    <row r="278" spans="1:29" ht="12.5" x14ac:dyDescent="0.25">
      <c r="A278" s="2">
        <v>44167</v>
      </c>
      <c r="B278" s="4">
        <v>8</v>
      </c>
      <c r="C278" s="3">
        <v>44167.333333333336</v>
      </c>
      <c r="D278" s="4">
        <v>139085</v>
      </c>
      <c r="E278" s="4">
        <v>126163</v>
      </c>
      <c r="F278" s="4">
        <v>2710</v>
      </c>
      <c r="G278" s="4">
        <v>8202</v>
      </c>
      <c r="H278" s="4">
        <v>2010</v>
      </c>
      <c r="L278" s="4">
        <v>1166</v>
      </c>
      <c r="M278" s="4">
        <v>10212</v>
      </c>
      <c r="N278" s="4">
        <v>1061</v>
      </c>
      <c r="O278" s="4">
        <v>1067</v>
      </c>
      <c r="P278" s="4">
        <v>8586</v>
      </c>
      <c r="Q278" s="4">
        <v>559</v>
      </c>
    </row>
    <row r="279" spans="1:29" ht="12.5" x14ac:dyDescent="0.25">
      <c r="A279" s="2">
        <v>44168</v>
      </c>
      <c r="B279" s="4">
        <v>8</v>
      </c>
      <c r="C279" s="3">
        <v>44168.333333333336</v>
      </c>
      <c r="D279" s="4">
        <v>140238</v>
      </c>
      <c r="E279" s="4">
        <v>127136</v>
      </c>
      <c r="F279" s="4">
        <v>2734</v>
      </c>
      <c r="G279" s="4">
        <v>8155</v>
      </c>
      <c r="H279" s="4">
        <v>2213</v>
      </c>
      <c r="L279" s="4">
        <v>1153</v>
      </c>
      <c r="M279" s="4">
        <v>10368</v>
      </c>
      <c r="N279" s="4">
        <v>973</v>
      </c>
      <c r="O279" s="4">
        <v>1542</v>
      </c>
      <c r="P279" s="4">
        <v>8082</v>
      </c>
      <c r="Q279" s="4">
        <v>744</v>
      </c>
    </row>
    <row r="280" spans="1:29" ht="14.5" x14ac:dyDescent="0.35">
      <c r="A280" s="2">
        <v>44169</v>
      </c>
      <c r="B280" s="9">
        <v>8</v>
      </c>
      <c r="C280" s="3">
        <v>44169.333333333336</v>
      </c>
      <c r="D280" s="9">
        <v>141270</v>
      </c>
      <c r="E280" s="9">
        <v>128051</v>
      </c>
      <c r="F280" s="9">
        <v>2757</v>
      </c>
      <c r="G280" s="9">
        <v>8073</v>
      </c>
      <c r="H280" s="9">
        <v>2389</v>
      </c>
      <c r="I280" s="8"/>
      <c r="J280" s="8"/>
      <c r="K280" s="8"/>
      <c r="L280" s="6">
        <v>1032</v>
      </c>
      <c r="M280" s="6">
        <v>10462</v>
      </c>
      <c r="N280" s="6">
        <v>915</v>
      </c>
      <c r="O280" s="9">
        <v>2094</v>
      </c>
      <c r="P280" s="9">
        <v>7764</v>
      </c>
      <c r="Q280" s="6">
        <v>604</v>
      </c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1:29" ht="14.5" x14ac:dyDescent="0.35">
      <c r="A281" s="2">
        <v>44170</v>
      </c>
      <c r="B281" s="9">
        <v>8</v>
      </c>
      <c r="C281" s="3">
        <v>44170.333333333336</v>
      </c>
      <c r="D281" s="9">
        <v>142630</v>
      </c>
      <c r="E281" s="9">
        <v>129067</v>
      </c>
      <c r="F281" s="9">
        <v>2779</v>
      </c>
      <c r="G281" s="9">
        <v>8623</v>
      </c>
      <c r="H281" s="9">
        <v>2161</v>
      </c>
      <c r="I281" s="8"/>
      <c r="J281" s="8"/>
      <c r="K281" s="8"/>
      <c r="L281" s="6">
        <v>1360</v>
      </c>
      <c r="M281" s="6">
        <v>10784</v>
      </c>
      <c r="N281" s="6">
        <v>1016</v>
      </c>
      <c r="O281" s="9">
        <v>2622</v>
      </c>
      <c r="P281" s="9">
        <v>7195</v>
      </c>
      <c r="Q281" s="6">
        <v>967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1:29" ht="12.5" x14ac:dyDescent="0.25">
      <c r="A282" s="2">
        <v>44171</v>
      </c>
      <c r="B282" s="4">
        <v>8</v>
      </c>
      <c r="C282" s="3">
        <v>44171.333333333336</v>
      </c>
      <c r="D282" s="4">
        <v>143961</v>
      </c>
      <c r="E282" s="4">
        <v>130136</v>
      </c>
      <c r="F282" s="4">
        <v>2799</v>
      </c>
      <c r="G282" s="4">
        <v>8819</v>
      </c>
      <c r="H282" s="4">
        <v>2207</v>
      </c>
      <c r="L282" s="4">
        <v>1331</v>
      </c>
      <c r="M282" s="4">
        <v>11026</v>
      </c>
      <c r="N282" s="4">
        <v>1069</v>
      </c>
      <c r="O282" s="4">
        <v>2622</v>
      </c>
      <c r="P282" s="4">
        <v>6359</v>
      </c>
      <c r="Q282" s="4">
        <v>2045</v>
      </c>
    </row>
    <row r="283" spans="1:29" ht="12.5" x14ac:dyDescent="0.25">
      <c r="A283" s="2">
        <v>44172</v>
      </c>
      <c r="B283" s="9">
        <v>8</v>
      </c>
      <c r="C283" s="3">
        <v>44172.333333333336</v>
      </c>
      <c r="D283" s="4">
        <v>145427</v>
      </c>
      <c r="E283" s="4">
        <v>131071</v>
      </c>
      <c r="F283" s="4">
        <v>2823</v>
      </c>
      <c r="G283" s="4">
        <v>9473</v>
      </c>
      <c r="H283" s="4">
        <v>2060</v>
      </c>
      <c r="L283" s="4">
        <v>1466</v>
      </c>
      <c r="M283" s="4">
        <v>11533</v>
      </c>
      <c r="N283" s="4">
        <v>935</v>
      </c>
      <c r="O283" s="4">
        <v>4058</v>
      </c>
      <c r="P283" s="4">
        <v>6696</v>
      </c>
      <c r="Q283" s="4">
        <v>779</v>
      </c>
    </row>
    <row r="284" spans="1:29" ht="12.5" x14ac:dyDescent="0.25">
      <c r="A284" s="2">
        <v>44173</v>
      </c>
      <c r="B284" s="4">
        <v>8</v>
      </c>
      <c r="C284" s="3">
        <v>44173.333333333336</v>
      </c>
      <c r="D284" s="4">
        <v>146601</v>
      </c>
      <c r="E284" s="4">
        <v>132248</v>
      </c>
      <c r="F284" s="4">
        <v>2842</v>
      </c>
      <c r="G284" s="4">
        <v>9650</v>
      </c>
      <c r="H284" s="4">
        <v>1861</v>
      </c>
      <c r="L284" s="4">
        <v>1174</v>
      </c>
      <c r="M284" s="4">
        <v>11511</v>
      </c>
      <c r="N284" s="4">
        <v>1177</v>
      </c>
      <c r="O284" s="4">
        <v>4550</v>
      </c>
      <c r="P284" s="4">
        <v>6276</v>
      </c>
      <c r="Q284" s="4">
        <v>685</v>
      </c>
    </row>
    <row r="285" spans="1:29" ht="14.5" x14ac:dyDescent="0.35">
      <c r="A285" s="2">
        <v>44174</v>
      </c>
      <c r="B285" s="9">
        <v>8</v>
      </c>
      <c r="C285" s="3">
        <v>44174.333333333336</v>
      </c>
      <c r="D285" s="9">
        <v>147838</v>
      </c>
      <c r="E285" s="9">
        <v>133318</v>
      </c>
      <c r="F285" s="9">
        <v>2860</v>
      </c>
      <c r="G285" s="9">
        <v>9703</v>
      </c>
      <c r="H285" s="9">
        <v>1957</v>
      </c>
      <c r="I285" s="8"/>
      <c r="J285" s="8"/>
      <c r="K285" s="8"/>
      <c r="L285" s="6">
        <v>1237</v>
      </c>
      <c r="M285" s="6">
        <v>11660</v>
      </c>
      <c r="N285" s="6">
        <v>1070</v>
      </c>
      <c r="O285" s="9">
        <v>5308</v>
      </c>
      <c r="P285" s="9">
        <v>6015</v>
      </c>
      <c r="Q285" s="6">
        <v>337</v>
      </c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ht="12.5" x14ac:dyDescent="0.25">
      <c r="A286" s="2">
        <v>44175</v>
      </c>
      <c r="B286" s="4">
        <v>8</v>
      </c>
      <c r="C286" s="3">
        <v>44175.333333333336</v>
      </c>
      <c r="D286" s="4">
        <v>149018</v>
      </c>
      <c r="E286" s="4">
        <v>134366</v>
      </c>
      <c r="F286" s="4">
        <v>2880</v>
      </c>
      <c r="G286" s="4">
        <v>9391</v>
      </c>
      <c r="H286" s="4">
        <v>2381</v>
      </c>
      <c r="L286" s="4">
        <v>1180</v>
      </c>
      <c r="M286" s="4">
        <v>11772</v>
      </c>
      <c r="N286" s="4">
        <v>1048</v>
      </c>
      <c r="O286" s="4">
        <v>4801</v>
      </c>
      <c r="P286" s="4">
        <v>5773</v>
      </c>
      <c r="Q286" s="4">
        <v>1198</v>
      </c>
    </row>
    <row r="287" spans="1:29" ht="14.5" x14ac:dyDescent="0.35">
      <c r="A287" s="2">
        <v>44176</v>
      </c>
      <c r="B287" s="9">
        <v>8</v>
      </c>
      <c r="C287" s="3">
        <v>44176.333333333336</v>
      </c>
      <c r="D287" s="9">
        <v>150250</v>
      </c>
      <c r="E287" s="9">
        <v>135545</v>
      </c>
      <c r="F287" s="9">
        <v>2902</v>
      </c>
      <c r="G287" s="9">
        <v>9078</v>
      </c>
      <c r="H287" s="9">
        <v>2725</v>
      </c>
      <c r="I287" s="8"/>
      <c r="J287" s="8"/>
      <c r="K287" s="8"/>
      <c r="L287" s="6">
        <v>1232</v>
      </c>
      <c r="M287" s="6">
        <v>11803</v>
      </c>
      <c r="N287" s="6">
        <v>1179</v>
      </c>
      <c r="O287" s="9">
        <v>5016</v>
      </c>
      <c r="P287" s="9">
        <v>5939</v>
      </c>
      <c r="Q287" s="6">
        <v>848</v>
      </c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ht="12.5" x14ac:dyDescent="0.25">
      <c r="A288" s="2">
        <v>44177</v>
      </c>
      <c r="B288" s="4">
        <v>8</v>
      </c>
      <c r="C288" s="3">
        <v>44177.333333333336</v>
      </c>
      <c r="D288" s="4">
        <v>151201</v>
      </c>
      <c r="E288" s="4">
        <v>136489</v>
      </c>
      <c r="F288" s="4">
        <v>2922</v>
      </c>
      <c r="G288" s="4">
        <v>8822</v>
      </c>
      <c r="H288" s="4">
        <v>2968</v>
      </c>
      <c r="L288" s="4">
        <v>951</v>
      </c>
      <c r="M288" s="4">
        <v>11790</v>
      </c>
      <c r="N288" s="4">
        <v>944</v>
      </c>
      <c r="O288" s="4">
        <v>5189</v>
      </c>
      <c r="P288" s="4">
        <v>5782</v>
      </c>
      <c r="Q288" s="4">
        <v>819</v>
      </c>
    </row>
    <row r="289" spans="1:29" ht="14.5" x14ac:dyDescent="0.35">
      <c r="A289" s="2">
        <v>44178</v>
      </c>
      <c r="B289" s="9">
        <v>8</v>
      </c>
      <c r="C289" s="3">
        <v>44178.333333333336</v>
      </c>
      <c r="D289" s="6">
        <v>152499</v>
      </c>
      <c r="E289" s="6">
        <v>137605</v>
      </c>
      <c r="F289" s="9">
        <v>2941</v>
      </c>
      <c r="G289" s="9">
        <v>8679</v>
      </c>
      <c r="H289" s="9">
        <v>3274</v>
      </c>
      <c r="I289" s="8"/>
      <c r="J289" s="8"/>
      <c r="K289" s="8"/>
      <c r="L289" s="6">
        <v>1298</v>
      </c>
      <c r="M289" s="6">
        <v>11953</v>
      </c>
      <c r="N289" s="6">
        <v>1116</v>
      </c>
      <c r="O289" s="9">
        <v>4585</v>
      </c>
      <c r="P289" s="9">
        <v>5653</v>
      </c>
      <c r="Q289" s="6">
        <v>1715</v>
      </c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ht="12.5" x14ac:dyDescent="0.25">
      <c r="A290" s="2">
        <v>44179</v>
      </c>
      <c r="B290" s="4">
        <v>8</v>
      </c>
      <c r="C290" s="3">
        <v>44179.333333333336</v>
      </c>
      <c r="D290" s="4">
        <v>154065</v>
      </c>
      <c r="E290" s="4">
        <v>138988</v>
      </c>
      <c r="F290" s="4">
        <v>2963</v>
      </c>
      <c r="G290" s="4">
        <v>8994</v>
      </c>
      <c r="H290" s="4">
        <v>3120</v>
      </c>
      <c r="L290" s="4">
        <v>1566</v>
      </c>
      <c r="M290" s="4">
        <v>12114</v>
      </c>
      <c r="N290" s="4">
        <v>1383</v>
      </c>
      <c r="O290" s="4">
        <v>3776</v>
      </c>
      <c r="P290" s="4">
        <v>5697</v>
      </c>
      <c r="Q290" s="4">
        <v>2641</v>
      </c>
    </row>
    <row r="291" spans="1:29" ht="12.5" x14ac:dyDescent="0.25">
      <c r="A291" s="2">
        <v>44180</v>
      </c>
      <c r="B291" s="4">
        <v>8</v>
      </c>
      <c r="C291" s="3">
        <v>44180.333333333336</v>
      </c>
      <c r="D291" s="4">
        <v>155122</v>
      </c>
      <c r="E291" s="4">
        <v>140225</v>
      </c>
      <c r="F291" s="4">
        <v>2990</v>
      </c>
      <c r="G291" s="4">
        <v>8643</v>
      </c>
      <c r="H291" s="4">
        <v>3264</v>
      </c>
      <c r="L291" s="4">
        <v>1057</v>
      </c>
      <c r="M291" s="4">
        <v>11907</v>
      </c>
      <c r="N291" s="4">
        <v>1237</v>
      </c>
      <c r="O291" s="4">
        <v>5008</v>
      </c>
      <c r="P291" s="4">
        <v>6217</v>
      </c>
      <c r="Q291" s="4">
        <v>682</v>
      </c>
    </row>
    <row r="292" spans="1:29" ht="12.5" x14ac:dyDescent="0.25">
      <c r="A292" s="2">
        <v>44181</v>
      </c>
      <c r="B292" s="4">
        <v>8</v>
      </c>
      <c r="C292" s="3">
        <v>44181.333333333336</v>
      </c>
      <c r="D292" s="4">
        <v>156343</v>
      </c>
      <c r="E292" s="4">
        <v>141365</v>
      </c>
      <c r="F292" s="4">
        <v>3010</v>
      </c>
      <c r="G292" s="4">
        <v>8263</v>
      </c>
      <c r="H292" s="4">
        <v>3705</v>
      </c>
      <c r="L292" s="4">
        <v>1221</v>
      </c>
      <c r="M292" s="4">
        <v>11968</v>
      </c>
      <c r="N292" s="4">
        <v>1140</v>
      </c>
      <c r="O292" s="4">
        <v>5054</v>
      </c>
      <c r="P292" s="4">
        <v>6224</v>
      </c>
      <c r="Q292" s="4">
        <v>690</v>
      </c>
    </row>
    <row r="293" spans="1:29" ht="12.5" x14ac:dyDescent="0.25">
      <c r="A293" s="2">
        <v>44182</v>
      </c>
      <c r="B293" s="4">
        <v>8</v>
      </c>
      <c r="C293" s="3">
        <v>44182.333333333336</v>
      </c>
      <c r="D293" s="4">
        <v>158033</v>
      </c>
      <c r="E293" s="4">
        <v>142741</v>
      </c>
      <c r="F293" s="4">
        <v>3027</v>
      </c>
      <c r="G293" s="4">
        <v>7851</v>
      </c>
      <c r="H293" s="4">
        <v>4414</v>
      </c>
      <c r="L293" s="4">
        <v>1690</v>
      </c>
      <c r="M293" s="4">
        <v>12265</v>
      </c>
      <c r="N293" s="4">
        <v>1376</v>
      </c>
      <c r="O293" s="4">
        <v>5082</v>
      </c>
      <c r="P293" s="4">
        <v>5985</v>
      </c>
      <c r="Q293" s="4">
        <v>1198</v>
      </c>
    </row>
    <row r="294" spans="1:29" ht="14.5" x14ac:dyDescent="0.35">
      <c r="A294" s="2">
        <v>44183</v>
      </c>
      <c r="B294" s="9">
        <v>8</v>
      </c>
      <c r="C294" s="3">
        <v>44183.333333333336</v>
      </c>
      <c r="D294" s="9">
        <v>159620</v>
      </c>
      <c r="E294" s="9">
        <v>143959</v>
      </c>
      <c r="F294" s="9">
        <v>3048</v>
      </c>
      <c r="G294" s="9">
        <v>7673</v>
      </c>
      <c r="H294" s="9">
        <v>4940</v>
      </c>
      <c r="I294" s="8"/>
      <c r="J294" s="8"/>
      <c r="K294" s="8"/>
      <c r="L294" s="6">
        <v>1587</v>
      </c>
      <c r="M294" s="6">
        <v>12613</v>
      </c>
      <c r="N294" s="6">
        <v>1218</v>
      </c>
      <c r="O294" s="9">
        <v>4568</v>
      </c>
      <c r="P294" s="9">
        <v>5792</v>
      </c>
      <c r="Q294" s="6">
        <v>2253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1:29" ht="14.5" x14ac:dyDescent="0.35">
      <c r="A295" s="2">
        <v>44184</v>
      </c>
      <c r="B295" s="9">
        <v>8</v>
      </c>
      <c r="C295" s="3">
        <v>44184.333333333336</v>
      </c>
      <c r="D295" s="9">
        <v>161519</v>
      </c>
      <c r="E295" s="9">
        <v>145066</v>
      </c>
      <c r="F295" s="9">
        <v>3068</v>
      </c>
      <c r="G295" s="9">
        <v>8112</v>
      </c>
      <c r="H295" s="9">
        <v>5273</v>
      </c>
      <c r="I295" s="8"/>
      <c r="J295" s="8"/>
      <c r="K295" s="8"/>
      <c r="L295" s="6">
        <v>1899</v>
      </c>
      <c r="M295" s="6">
        <v>13385</v>
      </c>
      <c r="N295" s="6">
        <v>1107</v>
      </c>
      <c r="O295" s="9">
        <v>5825</v>
      </c>
      <c r="P295" s="9">
        <v>6099</v>
      </c>
      <c r="Q295" s="6">
        <v>1461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ht="12.5" x14ac:dyDescent="0.25">
      <c r="A296" s="2">
        <v>44185</v>
      </c>
      <c r="B296" s="4">
        <v>8</v>
      </c>
      <c r="C296" s="3">
        <v>44185.333333333336</v>
      </c>
      <c r="D296" s="4">
        <v>163111</v>
      </c>
      <c r="E296" s="4">
        <v>146958</v>
      </c>
      <c r="F296" s="4">
        <v>3087</v>
      </c>
      <c r="G296" s="4">
        <v>8057</v>
      </c>
      <c r="H296" s="4">
        <v>5009</v>
      </c>
      <c r="L296" s="4">
        <v>1592</v>
      </c>
      <c r="M296" s="4">
        <v>13066</v>
      </c>
      <c r="N296" s="4">
        <v>1892</v>
      </c>
      <c r="O296" s="4">
        <v>6216</v>
      </c>
      <c r="P296" s="4">
        <v>5831</v>
      </c>
      <c r="Q296" s="4">
        <v>1019</v>
      </c>
    </row>
    <row r="297" spans="1:29" ht="12.5" x14ac:dyDescent="0.25">
      <c r="A297" s="2">
        <v>44186</v>
      </c>
      <c r="B297" s="9">
        <v>8</v>
      </c>
      <c r="C297" s="3">
        <v>44186.333333333336</v>
      </c>
      <c r="D297" s="4">
        <v>164577</v>
      </c>
      <c r="E297" s="4">
        <v>148308</v>
      </c>
      <c r="F297" s="4">
        <v>3097</v>
      </c>
      <c r="G297" s="4">
        <v>8366</v>
      </c>
      <c r="H297" s="4">
        <v>4806</v>
      </c>
      <c r="L297" s="4">
        <v>1466</v>
      </c>
      <c r="M297" s="4">
        <v>13172</v>
      </c>
      <c r="N297" s="4">
        <v>1350</v>
      </c>
      <c r="O297" s="4">
        <v>6200</v>
      </c>
      <c r="P297" s="4">
        <v>6046</v>
      </c>
      <c r="Q297" s="4">
        <v>926</v>
      </c>
    </row>
    <row r="298" spans="1:29" ht="12.5" x14ac:dyDescent="0.25">
      <c r="A298" s="2">
        <v>44187</v>
      </c>
      <c r="B298" s="4">
        <v>8</v>
      </c>
      <c r="C298" s="3">
        <v>44187.333333333336</v>
      </c>
      <c r="D298" s="4">
        <v>165888</v>
      </c>
      <c r="E298" s="4">
        <v>149691</v>
      </c>
      <c r="F298" s="4">
        <v>3115</v>
      </c>
      <c r="G298" s="4">
        <v>8620</v>
      </c>
      <c r="H298" s="4">
        <v>4462</v>
      </c>
      <c r="L298" s="4">
        <v>1311</v>
      </c>
      <c r="M298" s="4">
        <v>13082</v>
      </c>
      <c r="N298" s="4">
        <v>1383</v>
      </c>
      <c r="O298" s="4">
        <v>6119</v>
      </c>
      <c r="P298" s="4">
        <v>6078</v>
      </c>
      <c r="Q298" s="4">
        <v>885</v>
      </c>
    </row>
    <row r="299" spans="1:29" ht="14.5" x14ac:dyDescent="0.35">
      <c r="A299" s="2">
        <v>44188</v>
      </c>
      <c r="B299" s="9">
        <v>8</v>
      </c>
      <c r="C299" s="3">
        <v>44188.333333333336</v>
      </c>
      <c r="D299" s="6">
        <v>167842</v>
      </c>
      <c r="E299" s="6">
        <v>151122</v>
      </c>
      <c r="F299" s="9">
        <v>3130</v>
      </c>
      <c r="G299" s="9">
        <v>8643</v>
      </c>
      <c r="H299" s="9">
        <v>4947</v>
      </c>
      <c r="I299" s="8"/>
      <c r="J299" s="8"/>
      <c r="K299" s="8"/>
      <c r="L299" s="6">
        <v>1954</v>
      </c>
      <c r="M299" s="6">
        <v>13590</v>
      </c>
      <c r="N299" s="6">
        <v>1431</v>
      </c>
      <c r="O299" s="9">
        <v>6110</v>
      </c>
      <c r="P299" s="9">
        <v>6391</v>
      </c>
      <c r="Q299" s="6">
        <v>1089</v>
      </c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ht="14.5" x14ac:dyDescent="0.35">
      <c r="A300" s="2">
        <v>44189</v>
      </c>
      <c r="B300" s="9">
        <v>8</v>
      </c>
      <c r="C300" s="3">
        <v>44189.333333333336</v>
      </c>
      <c r="D300" s="6">
        <v>169775</v>
      </c>
      <c r="E300" s="6">
        <v>152491</v>
      </c>
      <c r="F300" s="9">
        <v>3146</v>
      </c>
      <c r="G300" s="9">
        <v>8833</v>
      </c>
      <c r="H300" s="9">
        <v>5305</v>
      </c>
      <c r="I300" s="8"/>
      <c r="J300" s="8"/>
      <c r="K300" s="8"/>
      <c r="L300" s="6">
        <v>1933</v>
      </c>
      <c r="M300" s="6">
        <v>14138</v>
      </c>
      <c r="N300" s="6">
        <v>1369</v>
      </c>
      <c r="O300" s="9">
        <v>6596</v>
      </c>
      <c r="P300" s="9">
        <v>7011</v>
      </c>
      <c r="Q300" s="6">
        <v>531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ht="12.5" x14ac:dyDescent="0.25">
      <c r="A301" s="2">
        <v>44190</v>
      </c>
      <c r="B301" s="4">
        <v>8</v>
      </c>
      <c r="C301" s="3">
        <v>44190.333333333336</v>
      </c>
      <c r="D301" s="4">
        <v>171871</v>
      </c>
      <c r="E301" s="4">
        <v>154242</v>
      </c>
      <c r="F301" s="4">
        <v>3167</v>
      </c>
      <c r="G301" s="4">
        <v>8720</v>
      </c>
      <c r="H301" s="4">
        <v>5742</v>
      </c>
      <c r="L301" s="4">
        <v>2096</v>
      </c>
      <c r="M301" s="4">
        <v>14462</v>
      </c>
      <c r="N301" s="4">
        <v>1751</v>
      </c>
      <c r="O301" s="4">
        <v>6206</v>
      </c>
      <c r="P301" s="4">
        <v>6903</v>
      </c>
      <c r="Q301" s="4">
        <v>1353</v>
      </c>
    </row>
    <row r="302" spans="1:29" ht="12.5" x14ac:dyDescent="0.25">
      <c r="A302" s="2">
        <v>44191</v>
      </c>
      <c r="B302" s="4">
        <v>8</v>
      </c>
      <c r="C302" s="3">
        <v>44191.333333333336</v>
      </c>
      <c r="D302" s="4">
        <v>173929</v>
      </c>
      <c r="E302" s="4">
        <v>156798</v>
      </c>
      <c r="F302" s="4">
        <v>3182</v>
      </c>
      <c r="G302" s="4">
        <v>9439</v>
      </c>
      <c r="H302" s="4">
        <v>4510</v>
      </c>
      <c r="L302" s="4">
        <v>2058</v>
      </c>
      <c r="M302" s="4">
        <v>13949</v>
      </c>
      <c r="N302" s="4">
        <v>2556</v>
      </c>
      <c r="O302" s="4">
        <v>5885</v>
      </c>
      <c r="P302" s="4">
        <v>6691</v>
      </c>
      <c r="Q302" s="4">
        <v>1373</v>
      </c>
    </row>
    <row r="303" spans="1:29" ht="14.5" x14ac:dyDescent="0.35">
      <c r="A303" s="2">
        <v>44192</v>
      </c>
      <c r="B303" s="9">
        <v>8</v>
      </c>
      <c r="C303" s="3">
        <v>44192.333333333336</v>
      </c>
      <c r="D303" s="9">
        <v>175926</v>
      </c>
      <c r="E303" s="9">
        <v>158615</v>
      </c>
      <c r="F303" s="9">
        <v>3204</v>
      </c>
      <c r="G303" s="9">
        <v>9655</v>
      </c>
      <c r="H303" s="9">
        <v>4452</v>
      </c>
      <c r="I303" s="8"/>
      <c r="J303" s="8"/>
      <c r="K303" s="8"/>
      <c r="L303" s="6">
        <v>1997</v>
      </c>
      <c r="M303" s="6">
        <v>14107</v>
      </c>
      <c r="N303" s="6">
        <v>1817</v>
      </c>
      <c r="O303" s="9">
        <v>4651</v>
      </c>
      <c r="P303" s="9">
        <v>6495</v>
      </c>
      <c r="Q303" s="6">
        <v>2961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ht="12.5" x14ac:dyDescent="0.25">
      <c r="A304" s="2">
        <v>44193</v>
      </c>
      <c r="B304" s="4">
        <v>8</v>
      </c>
      <c r="C304" s="3">
        <v>44193.333333333336</v>
      </c>
      <c r="D304" s="4">
        <v>177604</v>
      </c>
      <c r="E304" s="4">
        <v>159878</v>
      </c>
      <c r="F304" s="4">
        <v>3226</v>
      </c>
      <c r="G304" s="4">
        <v>9919</v>
      </c>
      <c r="H304" s="4">
        <v>4581</v>
      </c>
      <c r="L304" s="4">
        <v>1678</v>
      </c>
      <c r="M304" s="4">
        <v>14500</v>
      </c>
      <c r="N304" s="4">
        <v>1263</v>
      </c>
      <c r="O304" s="4">
        <v>4046</v>
      </c>
      <c r="P304" s="4">
        <v>6567</v>
      </c>
      <c r="Q304" s="4">
        <v>3887</v>
      </c>
    </row>
    <row r="305" spans="1:29" ht="12.5" x14ac:dyDescent="0.25">
      <c r="A305" s="2">
        <v>44194</v>
      </c>
      <c r="B305" s="9">
        <v>8</v>
      </c>
      <c r="C305" s="3">
        <v>44194.333333333336</v>
      </c>
      <c r="D305" s="4">
        <v>179660</v>
      </c>
      <c r="E305" s="4">
        <v>161337</v>
      </c>
      <c r="F305" s="4">
        <v>3246</v>
      </c>
      <c r="G305" s="4">
        <v>10018</v>
      </c>
      <c r="H305" s="4">
        <v>5059</v>
      </c>
      <c r="L305" s="4">
        <v>2056</v>
      </c>
      <c r="M305" s="4">
        <v>15077</v>
      </c>
      <c r="N305" s="4">
        <v>1459</v>
      </c>
      <c r="O305" s="4">
        <v>6545</v>
      </c>
      <c r="P305" s="4">
        <v>7026</v>
      </c>
      <c r="Q305" s="4">
        <v>1506</v>
      </c>
    </row>
    <row r="306" spans="1:29" ht="12.5" x14ac:dyDescent="0.25">
      <c r="A306" s="2">
        <v>44195</v>
      </c>
      <c r="B306" s="4">
        <v>8</v>
      </c>
      <c r="C306" s="3">
        <v>44195.333333333336</v>
      </c>
      <c r="D306" s="4">
        <v>181713</v>
      </c>
      <c r="E306" s="4">
        <v>162911</v>
      </c>
      <c r="F306" s="4">
        <v>3266</v>
      </c>
      <c r="G306" s="4">
        <v>9882</v>
      </c>
      <c r="H306" s="4">
        <v>5654</v>
      </c>
      <c r="L306" s="4">
        <v>2053</v>
      </c>
      <c r="M306" s="4">
        <v>15536</v>
      </c>
      <c r="N306" s="4">
        <v>1574</v>
      </c>
      <c r="O306" s="4">
        <v>7010</v>
      </c>
      <c r="P306" s="4">
        <v>7122</v>
      </c>
      <c r="Q306" s="4">
        <v>1404</v>
      </c>
    </row>
    <row r="307" spans="1:29" ht="12.5" x14ac:dyDescent="0.25">
      <c r="A307" s="2">
        <v>44196</v>
      </c>
      <c r="B307" s="4">
        <v>8</v>
      </c>
      <c r="C307" s="3">
        <v>44196.333333333336</v>
      </c>
      <c r="D307" s="4">
        <v>183735</v>
      </c>
      <c r="E307" s="4">
        <v>164881</v>
      </c>
      <c r="F307" s="4">
        <v>3287</v>
      </c>
      <c r="G307" s="4">
        <v>9746</v>
      </c>
      <c r="H307" s="4">
        <v>5821</v>
      </c>
      <c r="L307" s="4">
        <v>2022</v>
      </c>
      <c r="M307" s="4">
        <v>15567</v>
      </c>
      <c r="N307" s="4">
        <v>1970</v>
      </c>
      <c r="O307" s="4">
        <v>6069</v>
      </c>
      <c r="P307" s="4">
        <v>6831</v>
      </c>
      <c r="Q307" s="4">
        <v>2667</v>
      </c>
    </row>
    <row r="308" spans="1:29" ht="14.5" x14ac:dyDescent="0.35">
      <c r="A308" s="2">
        <v>44197</v>
      </c>
      <c r="B308" s="9">
        <v>8</v>
      </c>
      <c r="C308" s="3">
        <v>44197.333333333336</v>
      </c>
      <c r="D308" s="9">
        <v>185691</v>
      </c>
      <c r="E308" s="9">
        <v>166512</v>
      </c>
      <c r="F308" s="9">
        <v>3308</v>
      </c>
      <c r="G308" s="9">
        <v>10082</v>
      </c>
      <c r="H308" s="9">
        <v>5789</v>
      </c>
      <c r="I308" s="8"/>
      <c r="J308" s="8"/>
      <c r="K308" s="8"/>
      <c r="L308" s="6">
        <v>1956</v>
      </c>
      <c r="M308" s="6">
        <v>15871</v>
      </c>
      <c r="N308" s="6">
        <v>1631</v>
      </c>
      <c r="O308" s="9">
        <v>7785</v>
      </c>
      <c r="P308" s="9">
        <v>6572</v>
      </c>
      <c r="Q308" s="6">
        <v>1514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1:29" ht="14.5" x14ac:dyDescent="0.35">
      <c r="A309" s="2">
        <v>44198</v>
      </c>
      <c r="B309" s="9">
        <v>8</v>
      </c>
      <c r="C309" s="3">
        <v>44198.333333333336</v>
      </c>
      <c r="D309" s="6">
        <v>187586</v>
      </c>
      <c r="E309" s="6">
        <v>168781</v>
      </c>
      <c r="F309" s="9">
        <v>3334</v>
      </c>
      <c r="G309" s="9">
        <v>10872</v>
      </c>
      <c r="H309" s="9">
        <v>4599</v>
      </c>
      <c r="I309" s="8"/>
      <c r="J309" s="8"/>
      <c r="K309" s="8"/>
      <c r="L309" s="6">
        <v>1895</v>
      </c>
      <c r="M309" s="6">
        <v>15471</v>
      </c>
      <c r="N309" s="6">
        <v>2269</v>
      </c>
      <c r="O309" s="9">
        <v>8034</v>
      </c>
      <c r="P309" s="9">
        <v>6168</v>
      </c>
      <c r="Q309" s="6">
        <v>1269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1:29" ht="12.5" x14ac:dyDescent="0.25">
      <c r="A310" s="2">
        <v>44199</v>
      </c>
      <c r="B310" s="4">
        <v>8</v>
      </c>
      <c r="C310" s="3">
        <v>44199.333333333336</v>
      </c>
      <c r="D310" s="4">
        <v>189243</v>
      </c>
      <c r="E310" s="4">
        <v>170510</v>
      </c>
      <c r="F310" s="4">
        <v>3345</v>
      </c>
      <c r="G310" s="4">
        <v>10978</v>
      </c>
      <c r="H310" s="4">
        <v>4410</v>
      </c>
      <c r="L310" s="4">
        <v>1657</v>
      </c>
      <c r="M310" s="4">
        <v>15388</v>
      </c>
      <c r="N310" s="4">
        <v>1729</v>
      </c>
      <c r="O310" s="4">
        <v>8035</v>
      </c>
      <c r="P310" s="4">
        <v>6104</v>
      </c>
      <c r="Q310" s="4">
        <v>1249</v>
      </c>
    </row>
    <row r="311" spans="1:29" ht="12.5" x14ac:dyDescent="0.25">
      <c r="A311" s="2">
        <v>44200</v>
      </c>
      <c r="B311" s="9">
        <v>8</v>
      </c>
      <c r="C311" s="3">
        <v>44200.333333333336</v>
      </c>
      <c r="D311" s="4">
        <v>191075</v>
      </c>
      <c r="E311" s="4">
        <v>173036</v>
      </c>
      <c r="F311" s="4">
        <v>3369</v>
      </c>
      <c r="G311" s="4">
        <v>10371</v>
      </c>
      <c r="H311" s="4">
        <v>4299</v>
      </c>
      <c r="L311" s="4">
        <v>1832</v>
      </c>
      <c r="M311" s="4">
        <v>14670</v>
      </c>
      <c r="N311" s="4">
        <v>2526</v>
      </c>
      <c r="O311" s="4">
        <v>7364</v>
      </c>
      <c r="P311" s="4">
        <v>6234</v>
      </c>
      <c r="Q311" s="4">
        <v>1072</v>
      </c>
    </row>
    <row r="312" spans="1:29" ht="12.5" x14ac:dyDescent="0.25">
      <c r="A312" s="2">
        <v>44201</v>
      </c>
      <c r="B312" s="4">
        <v>8</v>
      </c>
      <c r="C312" s="3">
        <v>44201.333333333336</v>
      </c>
      <c r="D312" s="4">
        <v>192899</v>
      </c>
      <c r="E312" s="4">
        <v>174131</v>
      </c>
      <c r="F312" s="4">
        <v>3392</v>
      </c>
      <c r="G312" s="4">
        <v>10897</v>
      </c>
      <c r="H312" s="4">
        <v>4479</v>
      </c>
      <c r="L312" s="4">
        <v>1824</v>
      </c>
      <c r="M312" s="4">
        <v>15376</v>
      </c>
      <c r="N312" s="4">
        <v>1095</v>
      </c>
      <c r="O312" s="4">
        <v>6820</v>
      </c>
      <c r="P312" s="4">
        <v>6139</v>
      </c>
      <c r="Q312" s="4">
        <v>2417</v>
      </c>
    </row>
    <row r="313" spans="1:29" ht="14.5" x14ac:dyDescent="0.35">
      <c r="A313" s="2">
        <v>44202</v>
      </c>
      <c r="B313" s="9">
        <v>8</v>
      </c>
      <c r="C313" s="3">
        <v>44202.333333333336</v>
      </c>
      <c r="D313" s="6">
        <v>195301</v>
      </c>
      <c r="E313" s="6">
        <v>175441</v>
      </c>
      <c r="F313" s="6">
        <v>3410</v>
      </c>
      <c r="G313" s="6">
        <v>12196</v>
      </c>
      <c r="H313" s="6">
        <v>4254</v>
      </c>
      <c r="I313" s="8"/>
      <c r="J313" s="8"/>
      <c r="K313" s="8"/>
      <c r="L313" s="6">
        <v>2402</v>
      </c>
      <c r="M313" s="6">
        <v>16450</v>
      </c>
      <c r="N313" s="6">
        <v>1310</v>
      </c>
      <c r="O313" s="9">
        <v>8688</v>
      </c>
      <c r="P313" s="9">
        <v>7762</v>
      </c>
      <c r="Q313" s="6">
        <v>0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1:29" ht="14.5" x14ac:dyDescent="0.35">
      <c r="A314" s="2">
        <v>44203</v>
      </c>
      <c r="B314" s="9">
        <v>8</v>
      </c>
      <c r="C314" s="3">
        <v>44203.333333333336</v>
      </c>
      <c r="D314" s="6">
        <v>197699</v>
      </c>
      <c r="E314" s="6">
        <v>176882</v>
      </c>
      <c r="F314" s="6">
        <v>3435</v>
      </c>
      <c r="G314" s="6">
        <v>12781</v>
      </c>
      <c r="H314" s="6">
        <v>4601</v>
      </c>
      <c r="I314" s="8"/>
      <c r="J314" s="8"/>
      <c r="K314" s="8"/>
      <c r="L314" s="6">
        <v>2398</v>
      </c>
      <c r="M314" s="6">
        <v>17382</v>
      </c>
      <c r="N314" s="6">
        <v>1441</v>
      </c>
      <c r="O314" s="9">
        <v>7848</v>
      </c>
      <c r="P314" s="9">
        <v>8006</v>
      </c>
      <c r="Q314" s="6">
        <v>1528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1:29" ht="12.5" x14ac:dyDescent="0.25">
      <c r="A315" s="2">
        <v>44204</v>
      </c>
      <c r="B315" s="4">
        <v>8</v>
      </c>
      <c r="C315" s="3">
        <v>44204.333333333336</v>
      </c>
      <c r="D315" s="4">
        <v>200658</v>
      </c>
      <c r="E315" s="4">
        <v>179562</v>
      </c>
      <c r="F315" s="4">
        <v>3463</v>
      </c>
      <c r="G315" s="4">
        <v>13397</v>
      </c>
      <c r="H315" s="4">
        <v>4236</v>
      </c>
      <c r="L315" s="4">
        <v>2959</v>
      </c>
      <c r="M315" s="4">
        <v>17633</v>
      </c>
      <c r="N315" s="4">
        <v>2680</v>
      </c>
      <c r="O315" s="4">
        <v>7272</v>
      </c>
      <c r="P315" s="4">
        <v>8628</v>
      </c>
      <c r="Q315" s="4">
        <v>1733</v>
      </c>
    </row>
    <row r="316" spans="1:29" ht="14.5" x14ac:dyDescent="0.35">
      <c r="A316" s="2">
        <v>44205</v>
      </c>
      <c r="B316" s="9">
        <v>8</v>
      </c>
      <c r="C316" s="3">
        <v>44205.333333333336</v>
      </c>
      <c r="D316" s="6">
        <v>203411</v>
      </c>
      <c r="E316" s="6">
        <v>181613</v>
      </c>
      <c r="F316" s="6">
        <v>3485</v>
      </c>
      <c r="G316" s="6">
        <v>13076</v>
      </c>
      <c r="H316" s="6">
        <v>5237</v>
      </c>
      <c r="I316" s="8"/>
      <c r="J316" s="8"/>
      <c r="K316" s="8"/>
      <c r="L316" s="6">
        <v>2753</v>
      </c>
      <c r="M316" s="6">
        <v>18313</v>
      </c>
      <c r="N316" s="6">
        <v>2051</v>
      </c>
      <c r="O316" s="9">
        <v>6781</v>
      </c>
      <c r="P316" s="9">
        <v>9628</v>
      </c>
      <c r="Q316" s="6">
        <v>1904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1:29" ht="12.5" x14ac:dyDescent="0.25">
      <c r="A317" s="2">
        <v>44206</v>
      </c>
      <c r="B317" s="4">
        <v>8</v>
      </c>
      <c r="C317" s="3">
        <v>44206.333333333336</v>
      </c>
      <c r="D317" s="4">
        <v>206122</v>
      </c>
      <c r="E317" s="4">
        <v>184576</v>
      </c>
      <c r="F317" s="4">
        <v>3517</v>
      </c>
      <c r="G317" s="4">
        <v>13166</v>
      </c>
      <c r="H317" s="4">
        <v>4863</v>
      </c>
      <c r="L317" s="4">
        <v>2711</v>
      </c>
      <c r="M317" s="4">
        <v>18029</v>
      </c>
      <c r="N317" s="4">
        <v>2963</v>
      </c>
      <c r="O317" s="4">
        <v>6284</v>
      </c>
      <c r="P317" s="4">
        <v>9914</v>
      </c>
      <c r="Q317" s="4">
        <v>1831</v>
      </c>
    </row>
    <row r="318" spans="1:29" ht="12.5" x14ac:dyDescent="0.25">
      <c r="A318" s="2">
        <v>44207</v>
      </c>
      <c r="B318" s="9">
        <v>8</v>
      </c>
      <c r="C318" s="3">
        <v>44207.333333333336</v>
      </c>
      <c r="D318" s="4">
        <v>208583</v>
      </c>
      <c r="E318" s="4">
        <v>187086</v>
      </c>
      <c r="F318" s="4">
        <v>3551</v>
      </c>
      <c r="G318" s="4">
        <v>13541</v>
      </c>
      <c r="H318" s="4">
        <v>4405</v>
      </c>
      <c r="L318" s="4">
        <v>2461</v>
      </c>
      <c r="M318" s="4">
        <v>17946</v>
      </c>
      <c r="N318" s="4">
        <v>2510</v>
      </c>
      <c r="O318" s="4">
        <v>5180</v>
      </c>
      <c r="P318" s="4">
        <v>9246</v>
      </c>
      <c r="Q318" s="4">
        <v>3520</v>
      </c>
    </row>
    <row r="319" spans="1:29" ht="12.5" x14ac:dyDescent="0.25">
      <c r="A319" s="2">
        <v>44208</v>
      </c>
      <c r="B319" s="4">
        <v>8</v>
      </c>
      <c r="C319" s="3">
        <v>44208.333333333336</v>
      </c>
      <c r="D319" s="4">
        <v>211252</v>
      </c>
      <c r="E319" s="4">
        <v>188675</v>
      </c>
      <c r="F319" s="4">
        <v>3589</v>
      </c>
      <c r="G319" s="4">
        <v>14591</v>
      </c>
      <c r="H319" s="4">
        <v>4397</v>
      </c>
      <c r="L319" s="4">
        <v>2669</v>
      </c>
      <c r="M319" s="4">
        <v>18988</v>
      </c>
      <c r="N319" s="4">
        <v>1589</v>
      </c>
      <c r="O319" s="4">
        <v>6861</v>
      </c>
      <c r="P319" s="4">
        <v>10618</v>
      </c>
      <c r="Q319" s="4">
        <v>1509</v>
      </c>
    </row>
    <row r="320" spans="1:29" ht="12.5" x14ac:dyDescent="0.25">
      <c r="A320" s="2">
        <v>44209</v>
      </c>
      <c r="B320" s="4">
        <v>8</v>
      </c>
      <c r="C320" s="3">
        <v>44209.333333333336</v>
      </c>
      <c r="D320" s="4">
        <v>214728</v>
      </c>
      <c r="E320" s="4">
        <v>191635</v>
      </c>
      <c r="F320" s="4">
        <v>3634</v>
      </c>
      <c r="G320" s="4">
        <v>15009</v>
      </c>
      <c r="H320" s="4">
        <v>4450</v>
      </c>
      <c r="L320" s="4">
        <v>3476</v>
      </c>
      <c r="M320" s="4">
        <v>19459</v>
      </c>
      <c r="N320" s="4">
        <v>2960</v>
      </c>
      <c r="O320" s="4">
        <v>6757</v>
      </c>
      <c r="P320" s="4">
        <v>10186</v>
      </c>
      <c r="Q320" s="4">
        <v>2516</v>
      </c>
    </row>
    <row r="321" spans="1:29" ht="12.5" x14ac:dyDescent="0.25">
      <c r="A321" s="2">
        <v>44210</v>
      </c>
      <c r="B321" s="4">
        <v>8</v>
      </c>
      <c r="C321" s="3">
        <v>44210.333333333336</v>
      </c>
      <c r="D321" s="4">
        <v>217893</v>
      </c>
      <c r="E321" s="4">
        <v>193719</v>
      </c>
      <c r="F321" s="4">
        <v>3675</v>
      </c>
      <c r="G321" s="4">
        <v>15852</v>
      </c>
      <c r="H321" s="4">
        <v>4647</v>
      </c>
      <c r="L321" s="4">
        <v>3165</v>
      </c>
      <c r="M321" s="4">
        <v>20499</v>
      </c>
      <c r="N321" s="4">
        <v>2084</v>
      </c>
      <c r="O321" s="4">
        <v>5878</v>
      </c>
      <c r="P321" s="4">
        <v>10055</v>
      </c>
      <c r="Q321" s="4">
        <v>4566</v>
      </c>
    </row>
    <row r="322" spans="1:29" ht="14.5" x14ac:dyDescent="0.35">
      <c r="A322" s="2">
        <v>44211</v>
      </c>
      <c r="B322" s="9">
        <v>8</v>
      </c>
      <c r="C322" s="3">
        <v>44211.333333333336</v>
      </c>
      <c r="D322" s="6">
        <v>220434</v>
      </c>
      <c r="E322" s="6">
        <v>195924</v>
      </c>
      <c r="F322" s="9">
        <v>3710</v>
      </c>
      <c r="G322" s="9">
        <v>15553</v>
      </c>
      <c r="H322" s="9">
        <v>5247</v>
      </c>
      <c r="I322" s="8"/>
      <c r="J322" s="8"/>
      <c r="K322" s="8"/>
      <c r="L322" s="6">
        <v>2541</v>
      </c>
      <c r="M322" s="6">
        <v>20800</v>
      </c>
      <c r="N322" s="6">
        <v>2205</v>
      </c>
      <c r="O322" s="9">
        <v>5182</v>
      </c>
      <c r="P322" s="9">
        <v>9366</v>
      </c>
      <c r="Q322" s="6">
        <v>6252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1:29" ht="12.5" x14ac:dyDescent="0.25">
      <c r="A323" s="2">
        <v>44212</v>
      </c>
      <c r="B323" s="4">
        <v>8</v>
      </c>
      <c r="C323" s="3">
        <v>44212.333333333336</v>
      </c>
      <c r="D323" s="4">
        <v>223970</v>
      </c>
      <c r="E323" s="4">
        <v>198136</v>
      </c>
      <c r="F323" s="4">
        <v>3745</v>
      </c>
      <c r="G323" s="4">
        <v>17524</v>
      </c>
      <c r="H323" s="4">
        <v>4565</v>
      </c>
      <c r="L323" s="4">
        <v>3536</v>
      </c>
      <c r="M323" s="4">
        <v>22089</v>
      </c>
      <c r="N323" s="4">
        <v>2212</v>
      </c>
      <c r="O323" s="4">
        <v>6820</v>
      </c>
      <c r="P323" s="4">
        <v>13159</v>
      </c>
      <c r="Q323" s="4">
        <v>2110</v>
      </c>
    </row>
    <row r="324" spans="1:29" ht="14.5" x14ac:dyDescent="0.35">
      <c r="A324" s="2">
        <v>44213</v>
      </c>
      <c r="B324" s="9">
        <v>8</v>
      </c>
      <c r="C324" s="3">
        <v>44213.333333333336</v>
      </c>
      <c r="D324" s="6">
        <v>227365</v>
      </c>
      <c r="E324" s="6">
        <v>201907</v>
      </c>
      <c r="F324" s="6">
        <v>3779</v>
      </c>
      <c r="G324" s="6">
        <v>16741</v>
      </c>
      <c r="H324" s="6">
        <v>4938</v>
      </c>
      <c r="I324" s="8"/>
      <c r="J324" s="8"/>
      <c r="K324" s="8"/>
      <c r="L324" s="6">
        <v>3395</v>
      </c>
      <c r="M324" s="6">
        <v>21679</v>
      </c>
      <c r="N324" s="6">
        <v>3771</v>
      </c>
      <c r="O324" s="9">
        <v>7281</v>
      </c>
      <c r="P324" s="9">
        <v>12302</v>
      </c>
      <c r="Q324" s="6">
        <v>2096</v>
      </c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1:29" ht="12.5" x14ac:dyDescent="0.25">
      <c r="A325" s="2">
        <v>44214</v>
      </c>
      <c r="B325" s="4">
        <v>8</v>
      </c>
      <c r="C325" s="3">
        <v>44214.333333333336</v>
      </c>
      <c r="D325" s="4">
        <v>229726</v>
      </c>
      <c r="E325" s="4">
        <v>204711</v>
      </c>
      <c r="F325" s="4">
        <v>3815</v>
      </c>
      <c r="G325" s="4">
        <v>16419</v>
      </c>
      <c r="H325" s="4">
        <v>4781</v>
      </c>
      <c r="L325" s="4">
        <v>2361</v>
      </c>
      <c r="M325" s="4">
        <v>21200</v>
      </c>
      <c r="N325" s="4">
        <v>2804</v>
      </c>
      <c r="O325" s="4">
        <v>7379</v>
      </c>
      <c r="P325" s="4">
        <v>12474</v>
      </c>
      <c r="Q325" s="4">
        <v>1347</v>
      </c>
    </row>
    <row r="326" spans="1:29" ht="12.5" x14ac:dyDescent="0.25">
      <c r="A326" s="2">
        <v>44215</v>
      </c>
      <c r="B326" s="9">
        <v>8</v>
      </c>
      <c r="C326" s="3">
        <v>44215.333333333336</v>
      </c>
      <c r="D326" s="4">
        <v>232289</v>
      </c>
      <c r="E326" s="4">
        <v>209238</v>
      </c>
      <c r="F326" s="4">
        <v>3836</v>
      </c>
      <c r="G326" s="4">
        <v>14604</v>
      </c>
      <c r="H326" s="4">
        <v>4611</v>
      </c>
      <c r="L326" s="4">
        <v>2563</v>
      </c>
      <c r="M326" s="4">
        <v>19215</v>
      </c>
      <c r="N326" s="4">
        <v>4527</v>
      </c>
      <c r="O326" s="4">
        <v>7929</v>
      </c>
      <c r="P326" s="4">
        <v>11280</v>
      </c>
      <c r="Q326" s="4">
        <v>6</v>
      </c>
    </row>
    <row r="327" spans="1:29" ht="14.5" x14ac:dyDescent="0.35">
      <c r="A327" s="2">
        <v>44216</v>
      </c>
      <c r="B327" s="9">
        <v>8</v>
      </c>
      <c r="C327" s="3">
        <v>44216.333333333336</v>
      </c>
      <c r="D327" s="6">
        <v>236075</v>
      </c>
      <c r="E327" s="6">
        <v>210983</v>
      </c>
      <c r="F327" s="6">
        <v>3868</v>
      </c>
      <c r="G327" s="6">
        <v>16389</v>
      </c>
      <c r="H327" s="6">
        <v>4835</v>
      </c>
      <c r="I327" s="8"/>
      <c r="J327" s="8"/>
      <c r="K327" s="8"/>
      <c r="L327" s="6">
        <v>3786</v>
      </c>
      <c r="M327" s="6">
        <v>21224</v>
      </c>
      <c r="N327" s="6">
        <v>1745</v>
      </c>
      <c r="O327" s="9">
        <v>7496</v>
      </c>
      <c r="P327" s="9">
        <v>12015</v>
      </c>
      <c r="Q327" s="6">
        <v>1713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1:29" ht="12.5" x14ac:dyDescent="0.25">
      <c r="A328" s="2">
        <v>44217</v>
      </c>
      <c r="B328" s="9">
        <v>8</v>
      </c>
      <c r="C328" s="3">
        <v>44217.333333333336</v>
      </c>
      <c r="D328" s="4">
        <v>239226</v>
      </c>
      <c r="E328" s="4">
        <v>213570</v>
      </c>
      <c r="F328" s="4">
        <v>3900</v>
      </c>
      <c r="G328" s="4">
        <v>16966</v>
      </c>
      <c r="H328" s="4">
        <v>4790</v>
      </c>
      <c r="L328" s="4">
        <v>3151</v>
      </c>
      <c r="M328" s="4">
        <v>21756</v>
      </c>
      <c r="N328" s="4">
        <v>2587</v>
      </c>
      <c r="O328" s="4">
        <v>8865</v>
      </c>
      <c r="P328" s="4">
        <v>10856</v>
      </c>
      <c r="Q328" s="4">
        <v>2035</v>
      </c>
    </row>
    <row r="329" spans="1:29" ht="12.5" x14ac:dyDescent="0.25">
      <c r="A329" s="2">
        <v>44218</v>
      </c>
      <c r="B329" s="4">
        <v>8</v>
      </c>
      <c r="C329" s="3">
        <v>44218.333333333336</v>
      </c>
      <c r="D329" s="4">
        <v>243018</v>
      </c>
      <c r="E329" s="4">
        <v>215719</v>
      </c>
      <c r="F329" s="4">
        <v>3940</v>
      </c>
      <c r="G329" s="4">
        <v>17752</v>
      </c>
      <c r="H329" s="4">
        <v>5607</v>
      </c>
      <c r="L329" s="4">
        <v>3792</v>
      </c>
      <c r="M329" s="4">
        <v>23359</v>
      </c>
      <c r="N329" s="4">
        <v>2149</v>
      </c>
      <c r="O329" s="4">
        <v>9171</v>
      </c>
      <c r="P329" s="4">
        <v>11421</v>
      </c>
      <c r="Q329" s="4">
        <v>2767</v>
      </c>
    </row>
    <row r="330" spans="1:29" ht="12.5" x14ac:dyDescent="0.25">
      <c r="A330" s="2">
        <v>44219</v>
      </c>
      <c r="B330" s="4">
        <v>8</v>
      </c>
      <c r="C330" s="3">
        <v>44219.333333333336</v>
      </c>
      <c r="D330" s="4">
        <v>246303</v>
      </c>
      <c r="E330" s="4">
        <v>219287</v>
      </c>
      <c r="F330" s="4">
        <v>3980</v>
      </c>
      <c r="G330" s="4">
        <v>18657</v>
      </c>
      <c r="H330" s="4">
        <v>4379</v>
      </c>
      <c r="L330" s="4">
        <v>3285</v>
      </c>
      <c r="M330" s="4">
        <v>23036</v>
      </c>
      <c r="N330" s="4">
        <v>3568</v>
      </c>
      <c r="O330" s="4">
        <v>7706</v>
      </c>
      <c r="P330" s="4">
        <v>10272</v>
      </c>
      <c r="Q330" s="4">
        <v>5058</v>
      </c>
    </row>
    <row r="331" spans="1:29" ht="14.5" x14ac:dyDescent="0.35">
      <c r="A331" s="2">
        <v>44220</v>
      </c>
      <c r="B331" s="9">
        <v>8</v>
      </c>
      <c r="C331" s="3">
        <v>44220.333333333336</v>
      </c>
      <c r="D331" s="6">
        <v>249815</v>
      </c>
      <c r="E331" s="6">
        <v>221567</v>
      </c>
      <c r="F331" s="6">
        <v>4024</v>
      </c>
      <c r="G331" s="6">
        <v>19554</v>
      </c>
      <c r="H331" s="6">
        <v>4670</v>
      </c>
      <c r="I331" s="8"/>
      <c r="J331" s="8"/>
      <c r="K331" s="8"/>
      <c r="L331" s="6">
        <v>3512</v>
      </c>
      <c r="M331" s="6">
        <v>24224</v>
      </c>
      <c r="N331" s="6">
        <v>2280</v>
      </c>
      <c r="O331" s="9">
        <v>8723</v>
      </c>
      <c r="P331" s="9">
        <v>13240</v>
      </c>
      <c r="Q331" s="6">
        <v>2261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1:29" ht="12.5" x14ac:dyDescent="0.25">
      <c r="A332" s="2">
        <v>44221</v>
      </c>
      <c r="B332" s="4">
        <v>8</v>
      </c>
      <c r="C332" s="3">
        <v>44221.333333333336</v>
      </c>
      <c r="D332" s="4">
        <v>252266</v>
      </c>
      <c r="E332" s="4">
        <v>224071</v>
      </c>
      <c r="F332" s="4">
        <v>4063</v>
      </c>
      <c r="G332" s="4">
        <v>19869</v>
      </c>
      <c r="H332" s="4">
        <v>4263</v>
      </c>
      <c r="L332" s="4">
        <v>2451</v>
      </c>
      <c r="M332" s="4">
        <v>24132</v>
      </c>
      <c r="N332" s="4">
        <v>2504</v>
      </c>
      <c r="O332" s="4">
        <v>8589</v>
      </c>
      <c r="P332" s="4">
        <v>14100</v>
      </c>
      <c r="Q332" s="4">
        <v>1443</v>
      </c>
    </row>
    <row r="333" spans="1:29" ht="12.5" x14ac:dyDescent="0.25">
      <c r="A333" s="2">
        <v>44222</v>
      </c>
      <c r="B333" s="4">
        <v>8</v>
      </c>
      <c r="C333" s="3">
        <v>44222.333333333336</v>
      </c>
      <c r="D333" s="4">
        <v>254580</v>
      </c>
      <c r="E333" s="4">
        <v>227010</v>
      </c>
      <c r="F333" s="4">
        <v>4108</v>
      </c>
      <c r="G333" s="4">
        <v>19432</v>
      </c>
      <c r="H333" s="4">
        <v>4030</v>
      </c>
      <c r="L333" s="4">
        <v>2314</v>
      </c>
      <c r="M333" s="4">
        <v>23462</v>
      </c>
      <c r="N333" s="4">
        <v>2939</v>
      </c>
      <c r="O333" s="4">
        <v>8165</v>
      </c>
      <c r="P333" s="4">
        <v>13551</v>
      </c>
      <c r="Q333" s="4">
        <v>1746</v>
      </c>
    </row>
    <row r="334" spans="1:29" ht="12.5" x14ac:dyDescent="0.25">
      <c r="A334" s="2">
        <v>44223</v>
      </c>
      <c r="B334" s="4">
        <v>8</v>
      </c>
      <c r="C334" s="3">
        <v>44223.333333333336</v>
      </c>
      <c r="D334" s="4">
        <v>256416</v>
      </c>
      <c r="E334" s="4">
        <v>229981</v>
      </c>
      <c r="F334" s="4">
        <v>4134</v>
      </c>
      <c r="G334" s="4">
        <v>18528</v>
      </c>
      <c r="H334" s="4">
        <v>3773</v>
      </c>
      <c r="L334" s="4">
        <v>1836</v>
      </c>
      <c r="M334" s="4">
        <v>22301</v>
      </c>
      <c r="N334" s="4">
        <v>2971</v>
      </c>
      <c r="O334" s="4">
        <v>7212</v>
      </c>
      <c r="P334" s="4">
        <v>13819</v>
      </c>
      <c r="Q334" s="4">
        <v>1270</v>
      </c>
    </row>
    <row r="335" spans="1:29" ht="14.5" x14ac:dyDescent="0.35">
      <c r="A335" s="2">
        <v>44224</v>
      </c>
      <c r="B335" s="9">
        <v>8</v>
      </c>
      <c r="C335" s="3">
        <v>44224.333333333336</v>
      </c>
      <c r="D335" s="6">
        <v>259305</v>
      </c>
      <c r="E335" s="6">
        <v>232701</v>
      </c>
      <c r="F335" s="6">
        <v>4185</v>
      </c>
      <c r="G335" s="6">
        <v>18473</v>
      </c>
      <c r="H335" s="6">
        <v>3946</v>
      </c>
      <c r="I335" s="8"/>
      <c r="J335" s="8"/>
      <c r="K335" s="8"/>
      <c r="L335" s="6">
        <v>2889</v>
      </c>
      <c r="M335" s="6">
        <v>22419</v>
      </c>
      <c r="N335" s="6">
        <v>2720</v>
      </c>
      <c r="O335" s="9">
        <v>6806</v>
      </c>
      <c r="P335" s="9">
        <v>13859</v>
      </c>
      <c r="Q335" s="6">
        <v>1754</v>
      </c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1:29" ht="12.5" x14ac:dyDescent="0.25">
      <c r="A336" s="2">
        <v>44225</v>
      </c>
      <c r="B336" s="4">
        <v>8</v>
      </c>
      <c r="C336" s="3">
        <v>44225.333333333336</v>
      </c>
      <c r="D336" s="4">
        <v>262753</v>
      </c>
      <c r="E336" s="4">
        <v>235140</v>
      </c>
      <c r="F336" s="4">
        <v>4224</v>
      </c>
      <c r="G336" s="4">
        <v>19381</v>
      </c>
      <c r="H336" s="4">
        <v>4008</v>
      </c>
      <c r="L336" s="4">
        <v>3448</v>
      </c>
      <c r="M336" s="4">
        <v>23389</v>
      </c>
      <c r="N336" s="4">
        <v>2439</v>
      </c>
      <c r="O336" s="4">
        <v>6741</v>
      </c>
      <c r="P336" s="4">
        <v>14531</v>
      </c>
      <c r="Q336" s="4">
        <v>2117</v>
      </c>
    </row>
    <row r="337" spans="1:29" ht="14.5" x14ac:dyDescent="0.35">
      <c r="A337" s="2">
        <v>44226</v>
      </c>
      <c r="B337" s="9">
        <v>8</v>
      </c>
      <c r="C337" s="3">
        <v>44226.333333333336</v>
      </c>
      <c r="D337" s="6">
        <v>266244</v>
      </c>
      <c r="E337" s="6">
        <v>238395</v>
      </c>
      <c r="F337" s="6">
        <v>4254</v>
      </c>
      <c r="G337" s="6">
        <v>20539</v>
      </c>
      <c r="H337" s="6">
        <v>3056</v>
      </c>
      <c r="I337" s="8"/>
      <c r="J337" s="8"/>
      <c r="K337" s="8"/>
      <c r="L337" s="6">
        <v>3491</v>
      </c>
      <c r="M337" s="6">
        <v>23595</v>
      </c>
      <c r="N337" s="6">
        <v>3255</v>
      </c>
      <c r="O337" s="9">
        <v>7498</v>
      </c>
      <c r="P337" s="9">
        <v>13874</v>
      </c>
      <c r="Q337" s="6">
        <v>2223</v>
      </c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1:29" ht="12.5" x14ac:dyDescent="0.25">
      <c r="A338" s="2">
        <v>44227</v>
      </c>
      <c r="B338" s="4">
        <v>8</v>
      </c>
      <c r="C338" s="3">
        <v>44227.333333333336</v>
      </c>
      <c r="D338" s="4">
        <v>269718</v>
      </c>
      <c r="E338" s="4">
        <v>242069</v>
      </c>
      <c r="F338" s="4">
        <v>4267</v>
      </c>
      <c r="G338" s="4">
        <v>19272</v>
      </c>
      <c r="H338" s="4">
        <v>4110</v>
      </c>
      <c r="L338" s="4">
        <v>3474</v>
      </c>
      <c r="M338" s="4">
        <v>23382</v>
      </c>
      <c r="N338" s="4">
        <v>3674</v>
      </c>
      <c r="O338" s="4">
        <v>8724</v>
      </c>
      <c r="P338" s="4">
        <v>12104</v>
      </c>
      <c r="Q338" s="4">
        <v>2554</v>
      </c>
    </row>
    <row r="339" spans="1:29" ht="12.5" x14ac:dyDescent="0.25">
      <c r="A339" s="2">
        <v>44228</v>
      </c>
      <c r="B339" s="9">
        <v>8</v>
      </c>
      <c r="C339" s="3">
        <v>44228.333333333336</v>
      </c>
      <c r="D339" s="4">
        <v>273332</v>
      </c>
      <c r="E339" s="4">
        <v>244202</v>
      </c>
      <c r="F339" s="4">
        <v>4337</v>
      </c>
      <c r="G339" s="4">
        <v>19824</v>
      </c>
      <c r="H339" s="4">
        <v>4969</v>
      </c>
      <c r="L339" s="4">
        <v>3614</v>
      </c>
      <c r="M339" s="4">
        <v>24793</v>
      </c>
      <c r="N339" s="4">
        <v>2133</v>
      </c>
      <c r="O339" s="4">
        <v>8474</v>
      </c>
      <c r="P339" s="4">
        <v>11274</v>
      </c>
      <c r="Q339" s="4">
        <v>5045</v>
      </c>
    </row>
    <row r="340" spans="1:29" ht="12.5" x14ac:dyDescent="0.25">
      <c r="A340" s="2">
        <v>44229</v>
      </c>
      <c r="B340" s="4">
        <v>8</v>
      </c>
      <c r="C340" s="3">
        <v>44229.333333333336</v>
      </c>
      <c r="D340" s="4">
        <v>276694</v>
      </c>
      <c r="E340" s="4">
        <v>248515</v>
      </c>
      <c r="F340" s="4">
        <v>4379</v>
      </c>
      <c r="G340" s="4">
        <v>18925</v>
      </c>
      <c r="H340" s="4">
        <v>4875</v>
      </c>
      <c r="L340" s="4">
        <v>3362</v>
      </c>
      <c r="M340" s="4">
        <v>23800</v>
      </c>
      <c r="N340" s="4">
        <v>4313</v>
      </c>
      <c r="O340" s="4">
        <v>6725</v>
      </c>
      <c r="P340" s="4">
        <v>10372</v>
      </c>
      <c r="Q340" s="4">
        <v>6703</v>
      </c>
    </row>
    <row r="341" spans="1:29" ht="14.5" x14ac:dyDescent="0.35">
      <c r="A341" s="2">
        <v>44230</v>
      </c>
      <c r="B341" s="9">
        <v>8</v>
      </c>
      <c r="C341" s="3">
        <v>44230.333333333336</v>
      </c>
      <c r="D341" s="6">
        <v>280261</v>
      </c>
      <c r="E341" s="6">
        <v>249810</v>
      </c>
      <c r="F341" s="6">
        <v>4420</v>
      </c>
      <c r="G341" s="6">
        <v>21863</v>
      </c>
      <c r="H341" s="6">
        <v>4168</v>
      </c>
      <c r="I341" s="8"/>
      <c r="J341" s="8"/>
      <c r="K341" s="8"/>
      <c r="L341" s="6">
        <v>3567</v>
      </c>
      <c r="M341" s="6">
        <v>26031</v>
      </c>
      <c r="N341" s="6">
        <v>1295</v>
      </c>
      <c r="O341" s="9">
        <v>9409</v>
      </c>
      <c r="P341" s="9">
        <v>14435</v>
      </c>
      <c r="Q341" s="6">
        <v>2187</v>
      </c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1:29" ht="14.5" x14ac:dyDescent="0.35">
      <c r="A342" s="2">
        <v>44231</v>
      </c>
      <c r="B342" s="9">
        <v>8</v>
      </c>
      <c r="C342" s="3">
        <v>44231.333333333336</v>
      </c>
      <c r="D342" s="6">
        <v>283893</v>
      </c>
      <c r="E342" s="6">
        <v>254155</v>
      </c>
      <c r="F342" s="6">
        <v>4461</v>
      </c>
      <c r="G342" s="6">
        <v>20419</v>
      </c>
      <c r="H342" s="6">
        <v>4858</v>
      </c>
      <c r="I342" s="8"/>
      <c r="J342" s="8"/>
      <c r="K342" s="8"/>
      <c r="L342" s="6">
        <v>3632</v>
      </c>
      <c r="M342" s="6">
        <v>25277</v>
      </c>
      <c r="N342" s="6">
        <v>4345</v>
      </c>
      <c r="O342" s="9">
        <v>7759</v>
      </c>
      <c r="P342" s="9">
        <v>12670</v>
      </c>
      <c r="Q342" s="6">
        <v>4848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ht="12.5" x14ac:dyDescent="0.25">
      <c r="A343" s="2">
        <v>44232</v>
      </c>
      <c r="B343" s="4">
        <v>8</v>
      </c>
      <c r="C343" s="3">
        <v>44232.333333333336</v>
      </c>
      <c r="D343" s="4">
        <v>287233</v>
      </c>
      <c r="E343" s="4">
        <v>256702</v>
      </c>
      <c r="F343" s="4">
        <v>4502</v>
      </c>
      <c r="G343" s="4">
        <v>21191</v>
      </c>
      <c r="H343" s="4">
        <v>4838</v>
      </c>
      <c r="L343" s="4">
        <v>3340</v>
      </c>
      <c r="M343" s="4">
        <v>26029</v>
      </c>
      <c r="N343" s="4">
        <v>2547</v>
      </c>
      <c r="O343" s="4">
        <v>9050</v>
      </c>
      <c r="P343" s="4">
        <v>15663</v>
      </c>
      <c r="Q343" s="4">
        <v>1316</v>
      </c>
    </row>
    <row r="344" spans="1:29" ht="14.5" x14ac:dyDescent="0.35">
      <c r="A344" s="2">
        <v>44233</v>
      </c>
      <c r="B344" s="9">
        <v>8</v>
      </c>
      <c r="C344" s="3">
        <v>44233.333333333336</v>
      </c>
      <c r="D344" s="6">
        <v>289612</v>
      </c>
      <c r="E344" s="6">
        <v>261027</v>
      </c>
      <c r="F344" s="6">
        <v>4541</v>
      </c>
      <c r="G344" s="6">
        <v>19325</v>
      </c>
      <c r="H344" s="6">
        <v>4719</v>
      </c>
      <c r="I344" s="8"/>
      <c r="J344" s="8"/>
      <c r="K344" s="8"/>
      <c r="L344" s="6">
        <v>2379</v>
      </c>
      <c r="M344" s="6">
        <v>24044</v>
      </c>
      <c r="N344" s="6">
        <v>4325</v>
      </c>
      <c r="O344" s="9">
        <v>7093</v>
      </c>
      <c r="P344" s="9">
        <v>15579</v>
      </c>
      <c r="Q344" s="6">
        <v>1372</v>
      </c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1:29" ht="12.5" x14ac:dyDescent="0.25">
      <c r="A345" s="2">
        <v>44234</v>
      </c>
      <c r="B345" s="4">
        <v>8</v>
      </c>
      <c r="C345" s="3">
        <v>44234.333333333336</v>
      </c>
      <c r="D345" s="4">
        <v>293825</v>
      </c>
      <c r="E345" s="4">
        <v>265369</v>
      </c>
      <c r="F345" s="4">
        <v>4587</v>
      </c>
      <c r="G345" s="4">
        <v>17958</v>
      </c>
      <c r="H345" s="4">
        <v>5911</v>
      </c>
      <c r="L345" s="4">
        <v>4213</v>
      </c>
      <c r="M345" s="4">
        <v>23869</v>
      </c>
      <c r="N345" s="4">
        <v>4342</v>
      </c>
      <c r="O345" s="4">
        <v>5882</v>
      </c>
      <c r="P345" s="4">
        <v>15947</v>
      </c>
      <c r="Q345" s="4">
        <v>2040</v>
      </c>
    </row>
    <row r="346" spans="1:29" ht="12.5" x14ac:dyDescent="0.25">
      <c r="A346" s="2">
        <v>44235</v>
      </c>
      <c r="B346" s="9">
        <v>8</v>
      </c>
      <c r="C346" s="3">
        <v>44235.333333333336</v>
      </c>
      <c r="D346" s="4">
        <v>296969</v>
      </c>
      <c r="E346" s="4">
        <v>268785</v>
      </c>
      <c r="F346" s="4">
        <v>4631</v>
      </c>
      <c r="G346" s="4">
        <v>17766</v>
      </c>
      <c r="H346" s="4">
        <v>5787</v>
      </c>
      <c r="L346" s="4">
        <v>3144</v>
      </c>
      <c r="M346" s="4">
        <v>23553</v>
      </c>
      <c r="N346" s="4">
        <v>3416</v>
      </c>
      <c r="O346" s="4">
        <v>4966</v>
      </c>
      <c r="P346" s="4">
        <v>14527</v>
      </c>
      <c r="Q346" s="4">
        <v>4060</v>
      </c>
    </row>
    <row r="347" spans="1:29" ht="12.5" x14ac:dyDescent="0.25">
      <c r="A347" s="2">
        <v>44236</v>
      </c>
      <c r="B347" s="4">
        <v>8</v>
      </c>
      <c r="C347" s="3">
        <v>44236.333333333336</v>
      </c>
      <c r="D347" s="4">
        <v>300406</v>
      </c>
      <c r="E347" s="4">
        <v>271573</v>
      </c>
      <c r="F347" s="4">
        <v>4681</v>
      </c>
      <c r="G347" s="4">
        <v>18174</v>
      </c>
      <c r="H347" s="4">
        <v>5978</v>
      </c>
      <c r="L347" s="4">
        <v>3437</v>
      </c>
      <c r="M347" s="4">
        <v>24152</v>
      </c>
      <c r="N347" s="4">
        <v>2788</v>
      </c>
      <c r="O347" s="4">
        <v>4266</v>
      </c>
      <c r="P347" s="4">
        <v>13500</v>
      </c>
      <c r="Q347" s="4">
        <v>6386</v>
      </c>
    </row>
    <row r="348" spans="1:29" ht="12.5" x14ac:dyDescent="0.25">
      <c r="A348" s="2">
        <v>44237</v>
      </c>
      <c r="B348" s="4">
        <v>8</v>
      </c>
      <c r="C348" s="3">
        <v>44237.333333333336</v>
      </c>
      <c r="D348" s="4">
        <v>303715</v>
      </c>
      <c r="E348" s="4">
        <v>274817</v>
      </c>
      <c r="F348" s="4">
        <v>4725</v>
      </c>
      <c r="G348" s="4">
        <v>16676</v>
      </c>
      <c r="H348" s="4">
        <v>7497</v>
      </c>
      <c r="L348" s="4">
        <v>3309</v>
      </c>
      <c r="M348" s="4">
        <v>24173</v>
      </c>
      <c r="N348" s="4">
        <v>3244</v>
      </c>
      <c r="O348" s="4">
        <v>3260</v>
      </c>
      <c r="P348" s="4">
        <v>12165</v>
      </c>
      <c r="Q348" s="4">
        <v>8748</v>
      </c>
    </row>
    <row r="349" spans="1:29" ht="12.5" x14ac:dyDescent="0.25">
      <c r="A349" s="2">
        <v>44238</v>
      </c>
      <c r="B349" s="4">
        <v>8</v>
      </c>
      <c r="C349" s="3">
        <v>44238.333333333336</v>
      </c>
      <c r="D349" s="4">
        <v>306229</v>
      </c>
      <c r="E349" s="4">
        <v>278822</v>
      </c>
      <c r="F349" s="4">
        <v>4748</v>
      </c>
      <c r="G349" s="4">
        <v>14119</v>
      </c>
      <c r="H349" s="4">
        <v>8540</v>
      </c>
      <c r="L349" s="4">
        <v>2514</v>
      </c>
      <c r="M349" s="4">
        <v>22659</v>
      </c>
      <c r="N349" s="4">
        <v>4005</v>
      </c>
      <c r="O349" s="4">
        <v>2149</v>
      </c>
      <c r="P349" s="4">
        <v>11293</v>
      </c>
      <c r="Q349" s="4">
        <v>9217</v>
      </c>
    </row>
    <row r="350" spans="1:29" ht="14.5" x14ac:dyDescent="0.35">
      <c r="A350" s="2">
        <v>44239</v>
      </c>
      <c r="B350" s="9">
        <v>8</v>
      </c>
      <c r="C350" s="3">
        <v>44239.333333333336</v>
      </c>
      <c r="D350" s="6">
        <v>310039</v>
      </c>
      <c r="E350" s="6">
        <v>284579</v>
      </c>
      <c r="F350" s="6">
        <v>4798</v>
      </c>
      <c r="G350" s="6">
        <v>10774</v>
      </c>
      <c r="H350" s="6">
        <v>9888</v>
      </c>
      <c r="I350" s="8"/>
      <c r="J350" s="8"/>
      <c r="K350" s="8"/>
      <c r="L350" s="6">
        <v>3810</v>
      </c>
      <c r="M350" s="6">
        <v>20662</v>
      </c>
      <c r="N350" s="6">
        <v>5757</v>
      </c>
      <c r="O350" s="9">
        <v>683</v>
      </c>
      <c r="P350" s="9">
        <v>8683</v>
      </c>
      <c r="Q350" s="6">
        <v>11296</v>
      </c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1:29" ht="12.5" x14ac:dyDescent="0.25">
      <c r="A351" s="2">
        <v>44240</v>
      </c>
      <c r="B351" s="4">
        <v>8</v>
      </c>
      <c r="C351" s="3">
        <v>44240.333333333336</v>
      </c>
      <c r="D351" s="4">
        <v>313057</v>
      </c>
      <c r="E351" s="4">
        <v>289189</v>
      </c>
      <c r="F351" s="4">
        <v>4850</v>
      </c>
      <c r="G351" s="4">
        <v>9644</v>
      </c>
      <c r="H351" s="4">
        <v>9374</v>
      </c>
      <c r="L351" s="4">
        <v>3018</v>
      </c>
      <c r="M351" s="4">
        <v>19018</v>
      </c>
      <c r="N351" s="4">
        <v>4610</v>
      </c>
      <c r="O351" s="4">
        <v>672</v>
      </c>
      <c r="P351" s="4">
        <v>7586</v>
      </c>
      <c r="Q351" s="4">
        <v>10760</v>
      </c>
    </row>
    <row r="352" spans="1:29" ht="14.5" x14ac:dyDescent="0.35">
      <c r="A352" s="2">
        <v>44241</v>
      </c>
      <c r="B352" s="9">
        <v>8</v>
      </c>
      <c r="C352" s="3">
        <v>44241.333333333336</v>
      </c>
      <c r="D352" s="6">
        <v>315553</v>
      </c>
      <c r="E352" s="6">
        <v>293538</v>
      </c>
      <c r="F352" s="6">
        <v>4895</v>
      </c>
      <c r="G352" s="6">
        <v>9017</v>
      </c>
      <c r="H352" s="6">
        <v>8103</v>
      </c>
      <c r="I352" s="8"/>
      <c r="J352" s="8"/>
      <c r="K352" s="8"/>
      <c r="L352" s="6">
        <v>2496</v>
      </c>
      <c r="M352" s="6">
        <v>17120</v>
      </c>
      <c r="N352" s="6">
        <v>4349</v>
      </c>
      <c r="O352" s="9">
        <v>1587</v>
      </c>
      <c r="P352" s="9">
        <v>7605</v>
      </c>
      <c r="Q352" s="6">
        <v>7928</v>
      </c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1:29" ht="12.5" x14ac:dyDescent="0.25">
      <c r="A353" s="2">
        <v>44242</v>
      </c>
      <c r="B353" s="4">
        <v>8</v>
      </c>
      <c r="C353" s="3">
        <v>44242.333333333336</v>
      </c>
      <c r="D353" s="4">
        <v>317432</v>
      </c>
      <c r="E353" s="4">
        <v>295623</v>
      </c>
      <c r="F353" s="4">
        <v>4940</v>
      </c>
      <c r="G353" s="4">
        <v>8881</v>
      </c>
      <c r="H353" s="4">
        <v>7988</v>
      </c>
      <c r="L353" s="4">
        <v>1879</v>
      </c>
      <c r="M353" s="4">
        <v>16869</v>
      </c>
      <c r="N353" s="4">
        <v>2085</v>
      </c>
      <c r="O353" s="4">
        <v>3876</v>
      </c>
      <c r="P353" s="4">
        <v>11955</v>
      </c>
      <c r="Q353" s="4">
        <v>1038</v>
      </c>
    </row>
    <row r="354" spans="1:29" ht="12.5" x14ac:dyDescent="0.25">
      <c r="A354" s="2">
        <v>44243</v>
      </c>
      <c r="B354" s="9">
        <v>8</v>
      </c>
      <c r="C354" s="3">
        <v>44243.333333333336</v>
      </c>
      <c r="D354" s="4">
        <v>319293</v>
      </c>
      <c r="E354" s="4">
        <v>297695</v>
      </c>
      <c r="F354" s="4">
        <v>4987</v>
      </c>
      <c r="G354" s="4">
        <v>9042</v>
      </c>
      <c r="H354" s="4">
        <v>7569</v>
      </c>
      <c r="L354" s="4">
        <v>1861</v>
      </c>
      <c r="M354" s="4">
        <v>16611</v>
      </c>
      <c r="N354" s="4">
        <v>2072</v>
      </c>
      <c r="O354" s="4">
        <v>3419</v>
      </c>
      <c r="P354" s="4">
        <v>10799</v>
      </c>
      <c r="Q354" s="4">
        <v>2393</v>
      </c>
    </row>
    <row r="355" spans="1:29" ht="14.5" x14ac:dyDescent="0.35">
      <c r="A355" s="2">
        <v>44244</v>
      </c>
      <c r="B355" s="9">
        <v>8</v>
      </c>
      <c r="C355" s="3">
        <v>44244.333333333336</v>
      </c>
      <c r="D355" s="6">
        <v>320738</v>
      </c>
      <c r="E355" s="6">
        <v>299795</v>
      </c>
      <c r="F355" s="6">
        <v>5026</v>
      </c>
      <c r="G355" s="6">
        <v>8467</v>
      </c>
      <c r="H355" s="6">
        <v>7450</v>
      </c>
      <c r="I355" s="8"/>
      <c r="J355" s="8"/>
      <c r="K355" s="8"/>
      <c r="L355" s="6">
        <v>1445</v>
      </c>
      <c r="M355" s="6">
        <v>15917</v>
      </c>
      <c r="N355" s="6">
        <v>2100</v>
      </c>
      <c r="O355" s="9">
        <v>2770</v>
      </c>
      <c r="P355" s="9">
        <v>9442</v>
      </c>
      <c r="Q355" s="6">
        <v>3705</v>
      </c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1:29" ht="12.5" x14ac:dyDescent="0.25">
      <c r="A356" s="2">
        <v>44245</v>
      </c>
      <c r="B356" s="4">
        <v>8</v>
      </c>
      <c r="C356" s="3">
        <v>44245.333333333336</v>
      </c>
      <c r="D356" s="4">
        <v>321111</v>
      </c>
      <c r="E356" s="4">
        <v>302451</v>
      </c>
      <c r="F356" s="4">
        <v>5044</v>
      </c>
      <c r="G356" s="4">
        <v>7067</v>
      </c>
      <c r="H356" s="4">
        <v>6549</v>
      </c>
      <c r="L356" s="4">
        <v>373</v>
      </c>
      <c r="M356" s="4">
        <v>13616</v>
      </c>
      <c r="N356" s="4">
        <v>2656</v>
      </c>
      <c r="O356" s="4">
        <v>3272</v>
      </c>
      <c r="P356" s="4">
        <v>10070</v>
      </c>
      <c r="Q356" s="4">
        <v>274</v>
      </c>
    </row>
    <row r="357" spans="1:29" ht="14.5" x14ac:dyDescent="0.35">
      <c r="A357" s="2">
        <v>44246</v>
      </c>
      <c r="B357" s="9">
        <v>8</v>
      </c>
      <c r="C357" s="3">
        <v>44246.333333333336</v>
      </c>
      <c r="D357" s="6">
        <v>323031</v>
      </c>
      <c r="E357" s="6">
        <v>304995</v>
      </c>
      <c r="F357" s="6">
        <v>5081</v>
      </c>
      <c r="G357" s="6">
        <v>7323</v>
      </c>
      <c r="H357" s="6">
        <v>5632</v>
      </c>
      <c r="I357" s="8"/>
      <c r="J357" s="8"/>
      <c r="K357" s="8"/>
      <c r="L357" s="6">
        <v>1920</v>
      </c>
      <c r="M357" s="6">
        <v>12955</v>
      </c>
      <c r="N357" s="6">
        <v>2544</v>
      </c>
      <c r="O357" s="9">
        <v>2840</v>
      </c>
      <c r="P357" s="9">
        <v>8527</v>
      </c>
      <c r="Q357" s="6">
        <v>1588</v>
      </c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1:29" ht="14.5" x14ac:dyDescent="0.35">
      <c r="A358" s="2">
        <v>44247</v>
      </c>
      <c r="B358" s="9">
        <v>8</v>
      </c>
      <c r="C358" s="3">
        <v>44247.333333333336</v>
      </c>
      <c r="D358" s="6">
        <v>325903</v>
      </c>
      <c r="E358" s="6">
        <v>307759</v>
      </c>
      <c r="F358" s="6">
        <v>5121</v>
      </c>
      <c r="G358" s="6">
        <v>7165</v>
      </c>
      <c r="H358" s="6">
        <v>5858</v>
      </c>
      <c r="I358" s="8"/>
      <c r="J358" s="8"/>
      <c r="K358" s="8"/>
      <c r="L358" s="6">
        <v>2872</v>
      </c>
      <c r="M358" s="6">
        <v>13023</v>
      </c>
      <c r="N358" s="6">
        <v>2764</v>
      </c>
      <c r="O358" s="9">
        <v>2589</v>
      </c>
      <c r="P358" s="9">
        <v>8729</v>
      </c>
      <c r="Q358" s="6">
        <v>1705</v>
      </c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1:29" ht="12.5" x14ac:dyDescent="0.25">
      <c r="A359" s="2">
        <v>44248</v>
      </c>
      <c r="B359" s="4">
        <v>8</v>
      </c>
      <c r="C359" s="3">
        <v>44248.333333333336</v>
      </c>
      <c r="D359" s="4">
        <v>328623</v>
      </c>
      <c r="E359" s="4">
        <v>310412</v>
      </c>
      <c r="F359" s="4">
        <v>5172</v>
      </c>
      <c r="G359" s="4">
        <v>7137</v>
      </c>
      <c r="H359" s="4">
        <v>5902</v>
      </c>
      <c r="L359" s="4">
        <v>2720</v>
      </c>
      <c r="M359" s="4">
        <v>13039</v>
      </c>
      <c r="N359" s="4">
        <v>2653</v>
      </c>
      <c r="O359" s="4">
        <v>1673</v>
      </c>
      <c r="P359" s="4">
        <v>7851</v>
      </c>
      <c r="Q359" s="4">
        <v>3515</v>
      </c>
    </row>
    <row r="360" spans="1:29" ht="12.5" x14ac:dyDescent="0.25">
      <c r="A360" s="2">
        <v>44249</v>
      </c>
      <c r="B360" s="9">
        <v>8</v>
      </c>
      <c r="C360" s="3">
        <v>44249.333333333336</v>
      </c>
      <c r="D360" s="4">
        <v>331094</v>
      </c>
      <c r="E360" s="4">
        <v>312748</v>
      </c>
      <c r="F360" s="4">
        <v>5206</v>
      </c>
      <c r="G360" s="4">
        <v>7528</v>
      </c>
      <c r="H360" s="4">
        <v>5612</v>
      </c>
      <c r="L360" s="4">
        <v>2471</v>
      </c>
      <c r="M360" s="4">
        <v>13140</v>
      </c>
      <c r="N360" s="4">
        <v>2336</v>
      </c>
      <c r="O360" s="4">
        <v>1156</v>
      </c>
      <c r="P360" s="4">
        <v>6465</v>
      </c>
      <c r="Q360" s="4">
        <v>5519</v>
      </c>
    </row>
    <row r="361" spans="1:29" ht="12.5" x14ac:dyDescent="0.25">
      <c r="A361" s="2">
        <v>44250</v>
      </c>
      <c r="B361" s="4">
        <v>8</v>
      </c>
      <c r="C361" s="3">
        <v>44250.333333333336</v>
      </c>
      <c r="D361" s="4">
        <v>331876</v>
      </c>
      <c r="E361" s="4">
        <v>314563</v>
      </c>
      <c r="F361" s="4">
        <v>5248</v>
      </c>
      <c r="G361" s="4">
        <v>7126</v>
      </c>
      <c r="H361" s="4">
        <v>4939</v>
      </c>
      <c r="L361" s="4">
        <v>782</v>
      </c>
      <c r="M361" s="4">
        <v>12065</v>
      </c>
      <c r="N361" s="4">
        <v>1815</v>
      </c>
      <c r="O361" s="4">
        <v>605</v>
      </c>
      <c r="P361" s="4">
        <v>5070</v>
      </c>
      <c r="Q361" s="4">
        <v>6390</v>
      </c>
    </row>
    <row r="362" spans="1:29" ht="12.5" x14ac:dyDescent="0.25">
      <c r="A362" s="2">
        <v>44251</v>
      </c>
      <c r="B362" s="4">
        <v>8</v>
      </c>
      <c r="C362" s="3">
        <v>44251.333333333336</v>
      </c>
      <c r="D362" s="4">
        <v>332658</v>
      </c>
      <c r="E362" s="4">
        <v>317003</v>
      </c>
      <c r="F362" s="4">
        <v>5301</v>
      </c>
      <c r="G362" s="4">
        <v>6008</v>
      </c>
      <c r="H362" s="4">
        <v>4346</v>
      </c>
      <c r="L362" s="4">
        <v>782</v>
      </c>
      <c r="M362" s="4">
        <v>10354</v>
      </c>
      <c r="N362" s="4">
        <v>2440</v>
      </c>
      <c r="O362" s="4">
        <v>75</v>
      </c>
      <c r="P362" s="4">
        <v>3217</v>
      </c>
      <c r="Q362" s="4">
        <v>7062</v>
      </c>
    </row>
    <row r="363" spans="1:29" ht="14.5" x14ac:dyDescent="0.35">
      <c r="A363" s="2">
        <v>44252</v>
      </c>
      <c r="B363" s="9">
        <v>8</v>
      </c>
      <c r="C363" s="3">
        <v>44252.333333333336</v>
      </c>
      <c r="D363" s="6">
        <v>334239</v>
      </c>
      <c r="E363" s="6">
        <v>319326</v>
      </c>
      <c r="F363" s="6">
        <v>5346</v>
      </c>
      <c r="G363" s="6">
        <v>5499</v>
      </c>
      <c r="H363" s="6">
        <v>4068</v>
      </c>
      <c r="I363" s="8"/>
      <c r="J363" s="8"/>
      <c r="K363" s="8"/>
      <c r="L363" s="6">
        <v>1581</v>
      </c>
      <c r="M363" s="6">
        <v>9567</v>
      </c>
      <c r="N363" s="6">
        <v>2323</v>
      </c>
      <c r="O363" s="9">
        <v>2476</v>
      </c>
      <c r="P363" s="9">
        <v>4621</v>
      </c>
      <c r="Q363" s="6">
        <v>2470</v>
      </c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1:29" ht="14.5" x14ac:dyDescent="0.35">
      <c r="A364" s="2">
        <v>44253</v>
      </c>
      <c r="B364" s="4">
        <v>8</v>
      </c>
      <c r="C364" s="3">
        <v>44253.333333333336</v>
      </c>
      <c r="D364" s="4">
        <v>335900</v>
      </c>
      <c r="E364" s="6">
        <v>321038</v>
      </c>
      <c r="F364" s="6">
        <v>5385</v>
      </c>
      <c r="G364" s="4">
        <v>5560</v>
      </c>
      <c r="H364" s="6">
        <v>3917</v>
      </c>
      <c r="L364" s="10">
        <v>1661</v>
      </c>
      <c r="M364" s="4">
        <v>9477</v>
      </c>
      <c r="N364" s="10">
        <v>1712</v>
      </c>
      <c r="O364" s="4">
        <v>1684</v>
      </c>
      <c r="P364" s="4">
        <v>3764</v>
      </c>
      <c r="Q364" s="4">
        <v>4029</v>
      </c>
    </row>
    <row r="365" spans="1:29" ht="14.5" x14ac:dyDescent="0.35">
      <c r="A365" s="2">
        <v>44254</v>
      </c>
      <c r="B365" s="9">
        <v>8</v>
      </c>
      <c r="C365" s="3">
        <v>44254.333333333336</v>
      </c>
      <c r="D365" s="6">
        <v>337637</v>
      </c>
      <c r="E365" s="6">
        <v>322285</v>
      </c>
      <c r="F365" s="6">
        <v>5439</v>
      </c>
      <c r="G365" s="6">
        <v>5885</v>
      </c>
      <c r="H365" s="6">
        <v>4028</v>
      </c>
      <c r="I365" s="8"/>
      <c r="J365" s="8"/>
      <c r="K365" s="8"/>
      <c r="L365" s="6">
        <v>1737</v>
      </c>
      <c r="M365" s="6">
        <v>9913</v>
      </c>
      <c r="N365" s="6">
        <v>1247</v>
      </c>
      <c r="O365" s="9">
        <v>825</v>
      </c>
      <c r="P365" s="9">
        <v>3628</v>
      </c>
      <c r="Q365" s="6">
        <v>5460</v>
      </c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1:29" ht="12.5" x14ac:dyDescent="0.25">
      <c r="A366" s="2">
        <v>44255</v>
      </c>
      <c r="B366" s="4">
        <v>8</v>
      </c>
      <c r="C366" s="3">
        <v>44255.333333333336</v>
      </c>
      <c r="D366" s="4">
        <v>339735</v>
      </c>
      <c r="E366" s="4">
        <v>323892</v>
      </c>
      <c r="F366" s="4">
        <v>5478</v>
      </c>
      <c r="G366" s="4">
        <v>5940</v>
      </c>
      <c r="H366" s="4">
        <v>4425</v>
      </c>
      <c r="L366" s="4">
        <v>2098</v>
      </c>
      <c r="M366" s="4">
        <v>10365</v>
      </c>
      <c r="N366" s="4">
        <v>1607</v>
      </c>
      <c r="O366" s="4">
        <v>161</v>
      </c>
      <c r="P366" s="4">
        <v>3263</v>
      </c>
      <c r="Q366" s="4">
        <v>6941</v>
      </c>
    </row>
    <row r="367" spans="1:29" ht="14.5" x14ac:dyDescent="0.35">
      <c r="A367" s="2">
        <v>44256</v>
      </c>
      <c r="B367" s="4">
        <v>8</v>
      </c>
      <c r="C367" s="3">
        <v>44256.333333333336</v>
      </c>
      <c r="D367" s="11">
        <v>341793</v>
      </c>
      <c r="E367" s="11">
        <v>326509</v>
      </c>
      <c r="F367" s="11">
        <v>5528</v>
      </c>
      <c r="G367" s="11">
        <v>5891</v>
      </c>
      <c r="H367" s="11">
        <v>3865</v>
      </c>
      <c r="L367" s="6">
        <v>2058</v>
      </c>
      <c r="M367" s="6">
        <v>9756</v>
      </c>
      <c r="N367" s="6">
        <v>2617</v>
      </c>
      <c r="O367" s="9">
        <v>2380</v>
      </c>
      <c r="P367" s="9">
        <v>6023</v>
      </c>
      <c r="Q367" s="6">
        <v>1353</v>
      </c>
    </row>
    <row r="368" spans="1:29" ht="14.5" x14ac:dyDescent="0.35">
      <c r="A368" s="2">
        <v>44257</v>
      </c>
      <c r="B368" s="4">
        <v>8</v>
      </c>
      <c r="C368" s="3">
        <v>44257.333333333336</v>
      </c>
      <c r="D368" s="9">
        <v>342371</v>
      </c>
      <c r="E368" s="6">
        <v>328526</v>
      </c>
      <c r="F368" s="6">
        <v>5568</v>
      </c>
      <c r="G368" s="6">
        <v>5072</v>
      </c>
      <c r="H368" s="6">
        <v>3205</v>
      </c>
      <c r="I368" s="8"/>
      <c r="J368" s="8"/>
      <c r="K368" s="8"/>
      <c r="L368" s="6">
        <v>578</v>
      </c>
      <c r="M368" s="6">
        <v>8277</v>
      </c>
      <c r="N368" s="6">
        <v>2017</v>
      </c>
      <c r="O368" s="9">
        <v>1581</v>
      </c>
      <c r="P368" s="9">
        <v>4543</v>
      </c>
      <c r="Q368" s="6">
        <v>2153</v>
      </c>
    </row>
    <row r="369" spans="1:29" ht="12.5" x14ac:dyDescent="0.25">
      <c r="A369" s="2">
        <v>44258</v>
      </c>
      <c r="B369" s="4">
        <v>8</v>
      </c>
      <c r="C369" s="3">
        <v>44258.333333333336</v>
      </c>
      <c r="D369" s="4">
        <v>343808</v>
      </c>
      <c r="E369" s="4">
        <v>331016</v>
      </c>
      <c r="F369" s="4">
        <v>5613</v>
      </c>
      <c r="G369" s="4">
        <v>3742</v>
      </c>
      <c r="H369" s="4">
        <v>3437</v>
      </c>
      <c r="L369" s="4">
        <v>1437</v>
      </c>
      <c r="M369" s="4">
        <v>7179</v>
      </c>
      <c r="N369" s="4">
        <v>2490</v>
      </c>
      <c r="O369" s="4">
        <v>671</v>
      </c>
      <c r="P369" s="4">
        <v>3358</v>
      </c>
      <c r="Q369" s="4">
        <v>3150</v>
      </c>
    </row>
    <row r="370" spans="1:29" ht="12.5" x14ac:dyDescent="0.25">
      <c r="A370" s="2">
        <v>44259</v>
      </c>
      <c r="B370" s="4">
        <v>8</v>
      </c>
      <c r="C370" s="3">
        <v>44259.333333333336</v>
      </c>
      <c r="D370" s="4">
        <v>345816</v>
      </c>
      <c r="E370" s="4">
        <v>332758</v>
      </c>
      <c r="F370" s="4">
        <v>5657</v>
      </c>
      <c r="G370" s="4">
        <v>3940</v>
      </c>
      <c r="H370" s="4">
        <v>3461</v>
      </c>
      <c r="L370" s="4">
        <v>2008</v>
      </c>
      <c r="M370" s="4">
        <v>7401</v>
      </c>
      <c r="N370" s="4">
        <v>1742</v>
      </c>
      <c r="O370" s="4">
        <v>650</v>
      </c>
      <c r="P370" s="4">
        <v>2614</v>
      </c>
      <c r="Q370" s="4">
        <v>4137</v>
      </c>
    </row>
    <row r="371" spans="1:29" ht="12.5" x14ac:dyDescent="0.25">
      <c r="A371" s="2">
        <v>44260</v>
      </c>
      <c r="B371" s="4">
        <v>8</v>
      </c>
      <c r="C371" s="3">
        <v>44260.333333333336</v>
      </c>
      <c r="D371" s="4">
        <v>346975</v>
      </c>
      <c r="E371" s="4">
        <v>334100</v>
      </c>
      <c r="F371" s="4">
        <v>5702</v>
      </c>
      <c r="G371" s="4">
        <v>4026</v>
      </c>
      <c r="H371" s="4">
        <v>3147</v>
      </c>
      <c r="L371" s="4">
        <v>1159</v>
      </c>
      <c r="M371" s="4">
        <v>7173</v>
      </c>
      <c r="N371" s="4">
        <v>1342</v>
      </c>
      <c r="O371" s="4">
        <v>376</v>
      </c>
      <c r="P371" s="4">
        <v>2138</v>
      </c>
      <c r="Q371" s="4">
        <v>4659</v>
      </c>
    </row>
    <row r="372" spans="1:29" ht="14.5" x14ac:dyDescent="0.35">
      <c r="A372" s="2">
        <v>44261</v>
      </c>
      <c r="B372" s="9">
        <v>8</v>
      </c>
      <c r="C372" s="3">
        <v>44261.333333333336</v>
      </c>
      <c r="D372" s="6">
        <v>348591</v>
      </c>
      <c r="E372" s="6">
        <v>335617</v>
      </c>
      <c r="F372" s="6">
        <v>5748</v>
      </c>
      <c r="G372" s="6">
        <v>4228</v>
      </c>
      <c r="H372" s="6">
        <v>2998</v>
      </c>
      <c r="I372" s="8"/>
      <c r="J372" s="8"/>
      <c r="K372" s="8"/>
      <c r="L372" s="6">
        <v>1616</v>
      </c>
      <c r="M372" s="6">
        <v>7226</v>
      </c>
      <c r="N372" s="6">
        <v>1517</v>
      </c>
      <c r="O372" s="9">
        <v>384</v>
      </c>
      <c r="P372" s="9">
        <v>2191</v>
      </c>
      <c r="Q372" s="6">
        <v>4651</v>
      </c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1:29" ht="12.5" x14ac:dyDescent="0.25">
      <c r="A373" s="2">
        <v>44262</v>
      </c>
      <c r="B373" s="4">
        <v>8</v>
      </c>
      <c r="C373" s="3">
        <v>44262.333333333336</v>
      </c>
      <c r="D373" s="4">
        <v>350425</v>
      </c>
      <c r="E373" s="4">
        <v>337426</v>
      </c>
      <c r="F373" s="4">
        <v>5790</v>
      </c>
      <c r="G373" s="4">
        <v>4194</v>
      </c>
      <c r="H373" s="4">
        <v>3015</v>
      </c>
      <c r="L373" s="4">
        <v>1834</v>
      </c>
      <c r="M373" s="4">
        <v>7209</v>
      </c>
      <c r="N373" s="4">
        <v>1809</v>
      </c>
      <c r="O373" s="4">
        <v>1409</v>
      </c>
      <c r="P373" s="4">
        <v>3661</v>
      </c>
      <c r="Q373" s="4">
        <v>2139</v>
      </c>
    </row>
    <row r="374" spans="1:29" ht="14.5" x14ac:dyDescent="0.35">
      <c r="A374" s="2">
        <v>44263</v>
      </c>
      <c r="B374" s="4">
        <v>8</v>
      </c>
      <c r="C374" s="3">
        <v>44263.333333333336</v>
      </c>
      <c r="D374" s="6">
        <v>352208</v>
      </c>
      <c r="E374" s="6">
        <v>338931</v>
      </c>
      <c r="F374" s="6">
        <v>5838</v>
      </c>
      <c r="G374" s="6">
        <v>4494</v>
      </c>
      <c r="H374" s="6">
        <v>2945</v>
      </c>
      <c r="L374" s="4">
        <v>1783</v>
      </c>
      <c r="M374" s="4">
        <v>7439</v>
      </c>
      <c r="N374" s="4">
        <v>1505</v>
      </c>
      <c r="O374" s="4">
        <v>2448</v>
      </c>
      <c r="P374" s="4">
        <v>4991</v>
      </c>
      <c r="Q374" s="4">
        <v>0</v>
      </c>
    </row>
    <row r="375" spans="1:29" ht="12.5" x14ac:dyDescent="0.25">
      <c r="A375" s="2">
        <v>44264</v>
      </c>
      <c r="B375" s="4">
        <v>8</v>
      </c>
      <c r="C375" s="3">
        <v>44264.333333333336</v>
      </c>
      <c r="D375" s="4">
        <v>353075</v>
      </c>
      <c r="E375" s="4">
        <v>340587</v>
      </c>
      <c r="F375" s="4">
        <v>5883</v>
      </c>
      <c r="G375" s="4">
        <v>3856</v>
      </c>
      <c r="H375" s="4">
        <v>2749</v>
      </c>
      <c r="L375" s="4">
        <v>867</v>
      </c>
      <c r="M375" s="4">
        <v>6605</v>
      </c>
      <c r="N375" s="4">
        <v>1656</v>
      </c>
      <c r="O375" s="4">
        <v>1892</v>
      </c>
      <c r="P375" s="4">
        <v>4186</v>
      </c>
      <c r="Q375" s="4">
        <v>527</v>
      </c>
    </row>
    <row r="376" spans="1:29" ht="14.5" x14ac:dyDescent="0.35">
      <c r="A376" s="2">
        <v>44265</v>
      </c>
      <c r="B376" s="4">
        <v>8</v>
      </c>
      <c r="C376" s="3">
        <v>44265.333333333336</v>
      </c>
      <c r="D376" s="11">
        <v>354115</v>
      </c>
      <c r="E376" s="11">
        <v>341398</v>
      </c>
      <c r="F376" s="11">
        <v>5923</v>
      </c>
      <c r="G376" s="11">
        <v>3691</v>
      </c>
      <c r="H376" s="11">
        <v>3103</v>
      </c>
      <c r="I376" s="8"/>
      <c r="J376" s="8"/>
      <c r="K376" s="8"/>
      <c r="L376" s="6">
        <v>1040</v>
      </c>
      <c r="M376" s="6">
        <v>6794</v>
      </c>
      <c r="N376" s="6">
        <v>811</v>
      </c>
      <c r="O376" s="9">
        <v>1573</v>
      </c>
      <c r="P376" s="9">
        <v>3787</v>
      </c>
      <c r="Q376" s="6">
        <v>1434</v>
      </c>
    </row>
    <row r="377" spans="1:29" ht="14.5" x14ac:dyDescent="0.35">
      <c r="A377" s="2">
        <v>44266</v>
      </c>
      <c r="B377" s="9">
        <v>8</v>
      </c>
      <c r="C377" s="3">
        <v>44266.333333333336</v>
      </c>
      <c r="D377" s="6">
        <v>355869</v>
      </c>
      <c r="E377" s="6">
        <v>342306</v>
      </c>
      <c r="F377" s="6">
        <v>5943</v>
      </c>
      <c r="G377" s="6">
        <v>4253</v>
      </c>
      <c r="H377" s="6">
        <v>3367</v>
      </c>
      <c r="I377" s="8"/>
      <c r="J377" s="8"/>
      <c r="K377" s="8"/>
      <c r="L377" s="6">
        <v>1754</v>
      </c>
      <c r="M377" s="6">
        <v>7620</v>
      </c>
      <c r="N377" s="6">
        <v>908</v>
      </c>
      <c r="O377" s="9">
        <v>1577</v>
      </c>
      <c r="P377" s="9">
        <v>4749</v>
      </c>
      <c r="Q377" s="6">
        <v>1294</v>
      </c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1:29" ht="12.5" x14ac:dyDescent="0.25">
      <c r="A378" s="2">
        <v>44267</v>
      </c>
      <c r="B378" s="4">
        <v>8</v>
      </c>
      <c r="C378" s="3">
        <v>44267.333333333336</v>
      </c>
      <c r="D378" s="4">
        <v>357742</v>
      </c>
      <c r="E378" s="4">
        <v>343351</v>
      </c>
      <c r="F378" s="4">
        <v>5969</v>
      </c>
      <c r="G378" s="4">
        <v>4670</v>
      </c>
      <c r="H378" s="4">
        <v>3752</v>
      </c>
      <c r="L378" s="4">
        <v>1873</v>
      </c>
      <c r="M378" s="4">
        <v>8422</v>
      </c>
      <c r="N378" s="4">
        <v>1045</v>
      </c>
      <c r="O378" s="4">
        <v>1186</v>
      </c>
      <c r="P378" s="4">
        <v>4729</v>
      </c>
      <c r="Q378" s="4">
        <v>2507</v>
      </c>
    </row>
    <row r="379" spans="1:29" ht="14.5" x14ac:dyDescent="0.35">
      <c r="A379" s="2">
        <v>44268</v>
      </c>
      <c r="B379" s="9">
        <v>8</v>
      </c>
      <c r="C379" s="3">
        <v>44268.333333333336</v>
      </c>
      <c r="D379" s="6">
        <v>358776</v>
      </c>
      <c r="E379" s="6">
        <v>345202</v>
      </c>
      <c r="F379" s="6">
        <v>5991</v>
      </c>
      <c r="G379" s="6">
        <v>4226</v>
      </c>
      <c r="H379" s="6">
        <v>3357</v>
      </c>
      <c r="I379" s="8"/>
      <c r="J379" s="8"/>
      <c r="K379" s="8"/>
      <c r="L379" s="6">
        <v>1034</v>
      </c>
      <c r="M379" s="6">
        <v>7583</v>
      </c>
      <c r="N379" s="6">
        <v>1851</v>
      </c>
      <c r="O379" s="9">
        <v>1670</v>
      </c>
      <c r="P379" s="9">
        <v>5243</v>
      </c>
      <c r="Q379" s="6">
        <v>670</v>
      </c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1:29" ht="14.5" x14ac:dyDescent="0.35">
      <c r="A380" s="2">
        <v>44269</v>
      </c>
      <c r="B380" s="4">
        <v>8</v>
      </c>
      <c r="C380" s="3">
        <v>44269.333333333336</v>
      </c>
      <c r="D380" s="6">
        <v>359980</v>
      </c>
      <c r="E380" s="6">
        <v>347210</v>
      </c>
      <c r="F380" s="6">
        <v>6026</v>
      </c>
      <c r="G380" s="6">
        <v>3443</v>
      </c>
      <c r="H380" s="6">
        <v>3301</v>
      </c>
      <c r="I380" s="12"/>
      <c r="J380" s="12"/>
      <c r="K380" s="12"/>
      <c r="L380" s="6">
        <v>1204</v>
      </c>
      <c r="M380" s="6">
        <v>6744</v>
      </c>
      <c r="N380" s="6">
        <v>2008</v>
      </c>
      <c r="O380" s="6">
        <v>1195</v>
      </c>
      <c r="P380" s="6">
        <v>4071</v>
      </c>
      <c r="Q380" s="6">
        <v>1478</v>
      </c>
    </row>
    <row r="381" spans="1:29" ht="12.5" x14ac:dyDescent="0.25">
      <c r="A381" s="2">
        <v>44270</v>
      </c>
      <c r="B381" s="4">
        <v>8</v>
      </c>
      <c r="C381" s="3">
        <v>44270.333333333336</v>
      </c>
      <c r="D381" s="4">
        <v>361535</v>
      </c>
      <c r="E381" s="4">
        <v>349002</v>
      </c>
      <c r="F381" s="4">
        <v>6038</v>
      </c>
      <c r="G381" s="4">
        <v>3485</v>
      </c>
      <c r="H381" s="4">
        <v>3010</v>
      </c>
      <c r="L381" s="4">
        <v>1555</v>
      </c>
      <c r="M381" s="4">
        <v>6495</v>
      </c>
      <c r="N381" s="4">
        <v>1792</v>
      </c>
      <c r="O381" s="4">
        <v>1272</v>
      </c>
      <c r="P381" s="4">
        <v>4142</v>
      </c>
      <c r="Q381" s="4">
        <v>1081</v>
      </c>
    </row>
    <row r="382" spans="1:29" ht="12.5" x14ac:dyDescent="0.25">
      <c r="A382" s="2">
        <v>44271</v>
      </c>
      <c r="B382" s="4">
        <v>8</v>
      </c>
      <c r="C382" s="3">
        <v>44271.333333333336</v>
      </c>
      <c r="D382" s="4">
        <v>362370</v>
      </c>
      <c r="E382" s="4">
        <v>350561</v>
      </c>
      <c r="F382" s="4">
        <v>6062</v>
      </c>
      <c r="G382" s="4">
        <v>2996</v>
      </c>
      <c r="H382" s="4">
        <v>2751</v>
      </c>
      <c r="L382" s="4">
        <v>835</v>
      </c>
      <c r="M382" s="4">
        <v>5747</v>
      </c>
      <c r="N382" s="4">
        <v>1559</v>
      </c>
      <c r="O382" s="4">
        <v>832</v>
      </c>
      <c r="P382" s="4">
        <v>3301</v>
      </c>
      <c r="Q382" s="4">
        <v>1614</v>
      </c>
    </row>
    <row r="383" spans="1:29" ht="14.5" x14ac:dyDescent="0.35">
      <c r="A383" s="2">
        <v>44272</v>
      </c>
      <c r="B383" s="4">
        <v>8</v>
      </c>
      <c r="C383" s="3">
        <v>44272.333333333336</v>
      </c>
      <c r="D383" s="9">
        <v>363700</v>
      </c>
      <c r="E383" s="6">
        <v>351680</v>
      </c>
      <c r="F383" s="6">
        <v>6077</v>
      </c>
      <c r="G383" s="6">
        <v>2907</v>
      </c>
      <c r="H383" s="6">
        <v>3036</v>
      </c>
      <c r="I383" s="8"/>
      <c r="J383" s="8"/>
      <c r="K383" s="8"/>
      <c r="L383" s="6">
        <v>1330</v>
      </c>
      <c r="M383" s="6">
        <v>5943</v>
      </c>
      <c r="N383" s="6">
        <v>1119</v>
      </c>
      <c r="O383" s="9">
        <v>573</v>
      </c>
      <c r="P383" s="9">
        <v>2972</v>
      </c>
      <c r="Q383" s="6">
        <v>2398</v>
      </c>
    </row>
    <row r="384" spans="1:29" ht="14.5" x14ac:dyDescent="0.35">
      <c r="A384" s="2">
        <v>44273</v>
      </c>
      <c r="B384" s="4">
        <v>8</v>
      </c>
      <c r="C384" s="3">
        <v>44273.333333333336</v>
      </c>
      <c r="D384" s="6">
        <v>365419</v>
      </c>
      <c r="E384" s="6">
        <v>352827</v>
      </c>
      <c r="F384" s="6">
        <v>6100</v>
      </c>
      <c r="G384" s="6">
        <v>3273</v>
      </c>
      <c r="H384" s="6">
        <v>3219</v>
      </c>
      <c r="I384" s="8"/>
      <c r="J384" s="8"/>
      <c r="K384" s="8"/>
      <c r="L384" s="6">
        <v>1719</v>
      </c>
      <c r="M384" s="6">
        <v>6492</v>
      </c>
      <c r="N384" s="6">
        <v>1147</v>
      </c>
      <c r="O384" s="9">
        <v>246</v>
      </c>
      <c r="P384" s="9">
        <v>2705</v>
      </c>
      <c r="Q384" s="6">
        <v>3541</v>
      </c>
    </row>
    <row r="385" spans="1:29" ht="12.5" x14ac:dyDescent="0.25">
      <c r="A385" s="2">
        <v>44274</v>
      </c>
      <c r="B385" s="4">
        <v>8</v>
      </c>
      <c r="C385" s="3">
        <v>44274.333333333336</v>
      </c>
      <c r="D385" s="4">
        <v>367007</v>
      </c>
      <c r="E385" s="4">
        <v>354036</v>
      </c>
      <c r="F385" s="4">
        <v>6120</v>
      </c>
      <c r="G385" s="4">
        <v>3483</v>
      </c>
      <c r="H385" s="4">
        <v>3368</v>
      </c>
      <c r="L385" s="4">
        <v>1588</v>
      </c>
      <c r="M385" s="4">
        <v>6851</v>
      </c>
      <c r="N385" s="4">
        <v>1209</v>
      </c>
      <c r="O385" s="4">
        <v>1150</v>
      </c>
      <c r="P385" s="4">
        <v>4749</v>
      </c>
      <c r="Q385" s="4">
        <v>952</v>
      </c>
    </row>
    <row r="386" spans="1:29" ht="14.5" x14ac:dyDescent="0.35">
      <c r="A386" s="2">
        <v>44275</v>
      </c>
      <c r="B386" s="4">
        <v>8</v>
      </c>
      <c r="C386" s="3">
        <v>44275.333333333336</v>
      </c>
      <c r="D386" s="6">
        <v>368944</v>
      </c>
      <c r="E386" s="6">
        <v>355221</v>
      </c>
      <c r="F386" s="6">
        <v>6143</v>
      </c>
      <c r="G386" s="6">
        <v>3894</v>
      </c>
      <c r="H386" s="6">
        <v>3686</v>
      </c>
      <c r="I386" s="8"/>
      <c r="J386" s="8"/>
      <c r="K386" s="8"/>
      <c r="L386" s="6">
        <v>1937</v>
      </c>
      <c r="M386" s="6">
        <v>7580</v>
      </c>
      <c r="N386" s="6">
        <v>1185</v>
      </c>
      <c r="O386" s="9">
        <v>831</v>
      </c>
      <c r="P386" s="9">
        <v>4635</v>
      </c>
      <c r="Q386" s="6">
        <v>2114</v>
      </c>
    </row>
    <row r="387" spans="1:29" ht="12.5" x14ac:dyDescent="0.25">
      <c r="A387" s="2">
        <v>44276</v>
      </c>
      <c r="B387" s="4">
        <v>8</v>
      </c>
      <c r="C387" s="3">
        <v>44276.333333333336</v>
      </c>
      <c r="D387" s="4">
        <v>370582</v>
      </c>
      <c r="E387" s="4">
        <v>357100</v>
      </c>
      <c r="F387" s="4">
        <v>6160</v>
      </c>
      <c r="G387" s="4">
        <v>3859</v>
      </c>
      <c r="H387" s="4">
        <v>3463</v>
      </c>
      <c r="L387" s="4">
        <v>1638</v>
      </c>
      <c r="M387" s="4">
        <v>7322</v>
      </c>
      <c r="N387" s="4">
        <v>1879</v>
      </c>
      <c r="O387" s="4">
        <v>551</v>
      </c>
      <c r="P387" s="4">
        <v>3608</v>
      </c>
      <c r="Q387" s="4">
        <v>3163</v>
      </c>
    </row>
    <row r="388" spans="1:29" ht="14.5" x14ac:dyDescent="0.35">
      <c r="A388" s="2">
        <v>44277</v>
      </c>
      <c r="B388" s="9">
        <v>8</v>
      </c>
      <c r="C388" s="3">
        <v>44277.333333333336</v>
      </c>
      <c r="D388" s="6">
        <v>372056</v>
      </c>
      <c r="E388" s="6">
        <v>358826</v>
      </c>
      <c r="F388" s="6">
        <v>6179</v>
      </c>
      <c r="G388" s="6">
        <v>3775</v>
      </c>
      <c r="H388" s="6">
        <v>3276</v>
      </c>
      <c r="I388" s="8"/>
      <c r="J388" s="8"/>
      <c r="K388" s="8"/>
      <c r="L388" s="6">
        <v>1474</v>
      </c>
      <c r="M388" s="6">
        <v>7051</v>
      </c>
      <c r="N388" s="6">
        <v>1726</v>
      </c>
      <c r="O388" s="9">
        <v>1404</v>
      </c>
      <c r="P388" s="9">
        <v>4804</v>
      </c>
      <c r="Q388" s="6">
        <v>843</v>
      </c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1:29" ht="12.5" x14ac:dyDescent="0.25">
      <c r="A389" s="2">
        <v>44278</v>
      </c>
      <c r="B389" s="4">
        <v>8</v>
      </c>
      <c r="C389" s="3">
        <v>44278.333333333336</v>
      </c>
      <c r="D389" s="4">
        <v>372871</v>
      </c>
      <c r="E389" s="4">
        <v>360479</v>
      </c>
      <c r="F389" s="4">
        <v>6206</v>
      </c>
      <c r="G389" s="4">
        <v>3107</v>
      </c>
      <c r="H389" s="4">
        <v>3079</v>
      </c>
      <c r="L389" s="4">
        <v>815</v>
      </c>
      <c r="M389" s="4">
        <v>6186</v>
      </c>
      <c r="N389" s="4">
        <v>1653</v>
      </c>
      <c r="O389" s="4">
        <v>934</v>
      </c>
      <c r="P389" s="4">
        <v>3766</v>
      </c>
      <c r="Q389" s="4">
        <v>1486</v>
      </c>
    </row>
    <row r="390" spans="1:29" ht="12.5" x14ac:dyDescent="0.25">
      <c r="A390" s="2">
        <v>44279</v>
      </c>
      <c r="B390" s="4">
        <v>8</v>
      </c>
      <c r="C390" s="3">
        <v>44279.333333333336</v>
      </c>
      <c r="D390" s="4">
        <v>373761</v>
      </c>
      <c r="E390" s="4">
        <v>362248</v>
      </c>
      <c r="F390" s="4">
        <v>6224</v>
      </c>
      <c r="G390" s="4">
        <v>2650</v>
      </c>
      <c r="H390" s="4">
        <v>2639</v>
      </c>
      <c r="L390" s="4">
        <v>890</v>
      </c>
      <c r="M390" s="4">
        <v>5289</v>
      </c>
      <c r="N390" s="4">
        <v>1769</v>
      </c>
      <c r="O390" s="4">
        <v>595</v>
      </c>
      <c r="P390" s="4">
        <v>2663</v>
      </c>
      <c r="Q390" s="4">
        <v>2031</v>
      </c>
    </row>
    <row r="391" spans="1:29" ht="12.5" x14ac:dyDescent="0.25">
      <c r="A391" s="2">
        <v>44280</v>
      </c>
      <c r="B391" s="4">
        <v>8</v>
      </c>
      <c r="C391" s="3">
        <v>44280.333333333336</v>
      </c>
      <c r="D391" s="4">
        <v>375487</v>
      </c>
      <c r="E391" s="4">
        <v>362975</v>
      </c>
      <c r="F391" s="4">
        <v>6241</v>
      </c>
      <c r="G391" s="4">
        <v>3222</v>
      </c>
      <c r="H391" s="4">
        <v>3049</v>
      </c>
      <c r="L391" s="4">
        <v>1726</v>
      </c>
      <c r="M391" s="4">
        <v>6271</v>
      </c>
      <c r="N391" s="4">
        <v>727</v>
      </c>
      <c r="O391" s="4">
        <v>536</v>
      </c>
      <c r="P391" s="4">
        <v>2664</v>
      </c>
      <c r="Q391" s="4">
        <v>3071</v>
      </c>
    </row>
    <row r="392" spans="1:29" ht="12.5" x14ac:dyDescent="0.25">
      <c r="A392" s="2">
        <v>44281</v>
      </c>
      <c r="B392" s="4">
        <v>8</v>
      </c>
      <c r="C392" s="3">
        <v>44281.333333333336</v>
      </c>
      <c r="D392" s="4">
        <v>376868</v>
      </c>
      <c r="E392" s="4">
        <v>363599</v>
      </c>
      <c r="F392" s="4">
        <v>6260</v>
      </c>
      <c r="G392" s="4">
        <v>3629</v>
      </c>
      <c r="H392" s="4">
        <v>3380</v>
      </c>
      <c r="L392" s="4">
        <v>1381</v>
      </c>
      <c r="M392" s="4">
        <v>7009</v>
      </c>
      <c r="N392" s="4">
        <v>624</v>
      </c>
      <c r="O392" s="4">
        <v>1476</v>
      </c>
      <c r="P392" s="4">
        <v>4650</v>
      </c>
      <c r="Q392" s="4">
        <v>883</v>
      </c>
    </row>
    <row r="393" spans="1:29" ht="14.5" x14ac:dyDescent="0.35">
      <c r="A393" s="2">
        <v>44282</v>
      </c>
      <c r="B393" s="4">
        <v>8</v>
      </c>
      <c r="C393" s="3">
        <v>44282.333333333336</v>
      </c>
      <c r="D393" s="6">
        <v>378222</v>
      </c>
      <c r="E393" s="6">
        <v>364251</v>
      </c>
      <c r="F393" s="6">
        <v>6281</v>
      </c>
      <c r="G393" s="6">
        <v>3932</v>
      </c>
      <c r="H393" s="6">
        <v>3758</v>
      </c>
      <c r="I393" s="8"/>
      <c r="J393" s="8"/>
      <c r="K393" s="8"/>
      <c r="L393" s="6">
        <v>1354</v>
      </c>
      <c r="M393" s="6">
        <v>7690</v>
      </c>
      <c r="N393" s="6">
        <v>652</v>
      </c>
      <c r="O393" s="6">
        <v>1269</v>
      </c>
      <c r="P393" s="6">
        <v>4639</v>
      </c>
      <c r="Q393" s="6">
        <v>1782</v>
      </c>
    </row>
    <row r="394" spans="1:29" ht="14.5" x14ac:dyDescent="0.35">
      <c r="A394" s="2">
        <v>44283</v>
      </c>
      <c r="B394" s="9">
        <v>8</v>
      </c>
      <c r="C394" s="3">
        <v>44283.333333333336</v>
      </c>
      <c r="D394" s="6">
        <v>379692</v>
      </c>
      <c r="E394" s="6">
        <v>365592</v>
      </c>
      <c r="F394" s="6">
        <v>6304</v>
      </c>
      <c r="G394" s="6">
        <v>3966</v>
      </c>
      <c r="H394" s="6">
        <v>3830</v>
      </c>
      <c r="I394" s="8"/>
      <c r="J394" s="8"/>
      <c r="K394" s="8"/>
      <c r="L394" s="6">
        <v>1470</v>
      </c>
      <c r="M394" s="6">
        <v>7796</v>
      </c>
      <c r="N394" s="6">
        <v>1341</v>
      </c>
      <c r="O394" s="9">
        <v>906</v>
      </c>
      <c r="P394" s="9">
        <v>4259</v>
      </c>
      <c r="Q394" s="6">
        <v>2631</v>
      </c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1:29" ht="12.5" x14ac:dyDescent="0.25">
      <c r="A395" s="2">
        <v>44284</v>
      </c>
      <c r="B395" s="4">
        <v>8</v>
      </c>
      <c r="C395" s="3">
        <v>44284.333333333336</v>
      </c>
      <c r="D395" s="4">
        <v>380706</v>
      </c>
      <c r="E395" s="4">
        <v>366615</v>
      </c>
      <c r="F395" s="4">
        <v>6324</v>
      </c>
      <c r="G395" s="4">
        <v>4034</v>
      </c>
      <c r="H395" s="4">
        <v>3733</v>
      </c>
      <c r="L395" s="4">
        <v>1014</v>
      </c>
      <c r="M395" s="4">
        <v>7767</v>
      </c>
      <c r="N395" s="4">
        <v>1023</v>
      </c>
      <c r="O395" s="4">
        <v>1697</v>
      </c>
      <c r="P395" s="4">
        <v>5326</v>
      </c>
      <c r="Q395" s="4">
        <v>744</v>
      </c>
    </row>
    <row r="396" spans="1:29" ht="12.5" x14ac:dyDescent="0.25">
      <c r="A396" s="2">
        <v>44285</v>
      </c>
      <c r="B396" s="9">
        <v>8</v>
      </c>
      <c r="C396" s="3">
        <v>44285.333333333336</v>
      </c>
      <c r="D396" s="4">
        <v>381090</v>
      </c>
      <c r="E396" s="4">
        <v>367819</v>
      </c>
      <c r="F396" s="4">
        <v>6327</v>
      </c>
      <c r="G396" s="4">
        <v>3419</v>
      </c>
      <c r="H396" s="4">
        <v>3525</v>
      </c>
      <c r="L396" s="4">
        <v>384</v>
      </c>
      <c r="M396" s="4">
        <v>6944</v>
      </c>
      <c r="N396" s="4">
        <v>1204</v>
      </c>
      <c r="O396" s="4">
        <v>1250</v>
      </c>
      <c r="P396" s="4">
        <v>4576</v>
      </c>
      <c r="Q396" s="4">
        <v>1118</v>
      </c>
    </row>
    <row r="397" spans="1:29" ht="12.5" x14ac:dyDescent="0.25">
      <c r="A397" s="2">
        <v>44286</v>
      </c>
      <c r="B397" s="4">
        <v>8</v>
      </c>
      <c r="C397" s="3">
        <v>44286.333333333336</v>
      </c>
      <c r="D397" s="4">
        <v>382055</v>
      </c>
      <c r="E397" s="4">
        <v>369007</v>
      </c>
      <c r="F397" s="4">
        <v>6341</v>
      </c>
      <c r="G397" s="4">
        <v>3028</v>
      </c>
      <c r="H397" s="4">
        <v>3679</v>
      </c>
      <c r="L397" s="4">
        <v>965</v>
      </c>
      <c r="M397" s="4">
        <v>6707</v>
      </c>
      <c r="N397" s="4">
        <v>1188</v>
      </c>
      <c r="O397" s="4">
        <v>1005</v>
      </c>
      <c r="P397" s="4">
        <v>3961</v>
      </c>
      <c r="Q397" s="4">
        <v>1741</v>
      </c>
    </row>
    <row r="398" spans="1:29" ht="14.5" x14ac:dyDescent="0.35">
      <c r="A398" s="2">
        <v>44287</v>
      </c>
      <c r="B398" s="4">
        <v>8</v>
      </c>
      <c r="C398" s="3">
        <v>44287.333333333336</v>
      </c>
      <c r="D398" s="6">
        <v>383392</v>
      </c>
      <c r="E398" s="6">
        <v>369929</v>
      </c>
      <c r="F398" s="6">
        <v>6344</v>
      </c>
      <c r="G398" s="6">
        <v>3447</v>
      </c>
      <c r="H398" s="6">
        <v>3672</v>
      </c>
      <c r="I398" s="8"/>
      <c r="J398" s="8"/>
      <c r="K398" s="8"/>
      <c r="L398" s="6">
        <v>1337</v>
      </c>
      <c r="M398" s="6">
        <v>7119</v>
      </c>
      <c r="N398" s="6">
        <v>922</v>
      </c>
      <c r="O398" s="9">
        <v>705</v>
      </c>
      <c r="P398" s="9">
        <v>4175</v>
      </c>
      <c r="Q398" s="6">
        <v>2239</v>
      </c>
    </row>
    <row r="399" spans="1:29" ht="14.5" x14ac:dyDescent="0.35">
      <c r="A399" s="2">
        <v>44288</v>
      </c>
      <c r="B399" s="4">
        <v>8</v>
      </c>
      <c r="C399" s="3">
        <v>44288.333333333336</v>
      </c>
      <c r="D399" s="6">
        <v>384632</v>
      </c>
      <c r="E399" s="6">
        <v>371254</v>
      </c>
      <c r="F399" s="6">
        <v>6351</v>
      </c>
      <c r="G399" s="6">
        <v>3433</v>
      </c>
      <c r="H399" s="6">
        <v>3594</v>
      </c>
      <c r="I399" s="8"/>
      <c r="J399" s="8"/>
      <c r="K399" s="8"/>
      <c r="L399" s="6">
        <v>1240</v>
      </c>
      <c r="M399" s="6">
        <v>7027</v>
      </c>
      <c r="N399" s="6">
        <v>1325</v>
      </c>
      <c r="O399" s="9">
        <v>1069</v>
      </c>
      <c r="P399" s="9">
        <v>5153</v>
      </c>
      <c r="Q399" s="6">
        <v>805</v>
      </c>
    </row>
    <row r="400" spans="1:29" ht="12.5" x14ac:dyDescent="0.25">
      <c r="A400" s="2">
        <v>44289</v>
      </c>
      <c r="B400" s="4">
        <v>8</v>
      </c>
      <c r="C400" s="3">
        <v>44289.333333333336</v>
      </c>
      <c r="D400" s="4">
        <v>385730</v>
      </c>
      <c r="E400" s="4">
        <v>372494</v>
      </c>
      <c r="F400" s="4">
        <v>6356</v>
      </c>
      <c r="G400" s="4">
        <v>3317</v>
      </c>
      <c r="H400" s="4">
        <v>3563</v>
      </c>
      <c r="L400" s="4">
        <v>1098</v>
      </c>
      <c r="M400" s="4">
        <v>6880</v>
      </c>
      <c r="N400" s="4">
        <v>1240</v>
      </c>
      <c r="O400" s="4">
        <v>727</v>
      </c>
      <c r="P400" s="4">
        <v>4644</v>
      </c>
      <c r="Q400" s="4">
        <v>1509</v>
      </c>
    </row>
    <row r="401" spans="1:29" ht="14.5" x14ac:dyDescent="0.35">
      <c r="A401" s="2">
        <v>44290</v>
      </c>
      <c r="B401" s="9">
        <v>8</v>
      </c>
      <c r="C401" s="3">
        <v>44290.333333333336</v>
      </c>
      <c r="D401" s="6">
        <v>386466</v>
      </c>
      <c r="E401" s="6">
        <v>373565</v>
      </c>
      <c r="F401" s="6">
        <v>6360</v>
      </c>
      <c r="G401" s="6">
        <v>3149</v>
      </c>
      <c r="H401" s="6">
        <v>3392</v>
      </c>
      <c r="I401" s="8"/>
      <c r="J401" s="8"/>
      <c r="K401" s="8"/>
      <c r="L401" s="6">
        <v>736</v>
      </c>
      <c r="M401" s="6">
        <v>6541</v>
      </c>
      <c r="N401" s="6">
        <v>1071</v>
      </c>
      <c r="O401" s="9">
        <v>443</v>
      </c>
      <c r="P401" s="9">
        <v>4112</v>
      </c>
      <c r="Q401" s="6">
        <v>1986</v>
      </c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1:29" ht="12.5" x14ac:dyDescent="0.25">
      <c r="A402" s="2">
        <v>44291</v>
      </c>
      <c r="B402" s="4">
        <v>8</v>
      </c>
      <c r="C402" s="3">
        <v>44291.333333333336</v>
      </c>
      <c r="D402" s="4">
        <v>386989</v>
      </c>
      <c r="E402" s="4">
        <v>374542</v>
      </c>
      <c r="F402" s="4">
        <v>6372</v>
      </c>
      <c r="G402" s="4">
        <v>2771</v>
      </c>
      <c r="H402" s="4">
        <v>3304</v>
      </c>
      <c r="L402" s="4">
        <v>523</v>
      </c>
      <c r="M402" s="4">
        <v>6075</v>
      </c>
      <c r="N402" s="4">
        <v>977</v>
      </c>
      <c r="O402" s="4">
        <v>310</v>
      </c>
      <c r="P402" s="4">
        <v>3452</v>
      </c>
      <c r="Q402" s="4">
        <v>2313</v>
      </c>
    </row>
    <row r="403" spans="1:29" ht="12.5" x14ac:dyDescent="0.25">
      <c r="A403" s="2">
        <v>44292</v>
      </c>
      <c r="B403" s="4">
        <v>8</v>
      </c>
      <c r="C403" s="3">
        <v>44292.333333333336</v>
      </c>
      <c r="D403" s="4">
        <v>387476</v>
      </c>
      <c r="E403" s="4">
        <v>375080</v>
      </c>
      <c r="F403" s="4">
        <v>6379</v>
      </c>
      <c r="G403" s="4">
        <v>2705</v>
      </c>
      <c r="H403" s="4">
        <v>3312</v>
      </c>
      <c r="L403" s="4">
        <v>487</v>
      </c>
      <c r="M403" s="4">
        <v>6017</v>
      </c>
      <c r="N403" s="4">
        <v>538</v>
      </c>
      <c r="O403" s="4">
        <v>177</v>
      </c>
      <c r="P403" s="4">
        <v>3184</v>
      </c>
      <c r="Q403" s="4">
        <v>2656</v>
      </c>
    </row>
    <row r="404" spans="1:29" ht="14.5" x14ac:dyDescent="0.35">
      <c r="A404" s="2">
        <v>44293</v>
      </c>
      <c r="B404" s="4">
        <v>8</v>
      </c>
      <c r="C404" s="3">
        <v>44293.333333333336</v>
      </c>
      <c r="D404" s="6">
        <v>388338</v>
      </c>
      <c r="E404" s="6">
        <v>375651</v>
      </c>
      <c r="F404" s="6">
        <v>6391</v>
      </c>
      <c r="G404" s="6">
        <v>2814</v>
      </c>
      <c r="H404" s="6">
        <v>3482</v>
      </c>
      <c r="I404" s="8"/>
      <c r="J404" s="8"/>
      <c r="K404" s="8"/>
      <c r="L404" s="6">
        <v>862</v>
      </c>
      <c r="M404" s="6">
        <v>6296</v>
      </c>
      <c r="N404" s="6">
        <v>571</v>
      </c>
      <c r="O404" s="6">
        <v>868</v>
      </c>
      <c r="P404" s="6">
        <v>4884</v>
      </c>
      <c r="Q404" s="6">
        <v>544</v>
      </c>
    </row>
    <row r="405" spans="1:29" ht="12.5" x14ac:dyDescent="0.25">
      <c r="A405" s="2">
        <v>44294</v>
      </c>
      <c r="B405" s="4">
        <v>8</v>
      </c>
      <c r="C405" s="3">
        <v>44294.333333333336</v>
      </c>
      <c r="D405" s="10">
        <v>389577</v>
      </c>
      <c r="E405" s="10">
        <v>376270</v>
      </c>
      <c r="F405" s="10">
        <v>6410</v>
      </c>
      <c r="G405" s="10">
        <v>3244</v>
      </c>
      <c r="H405" s="10">
        <v>3653</v>
      </c>
      <c r="L405" s="10">
        <v>1239</v>
      </c>
      <c r="M405" s="10">
        <v>6897</v>
      </c>
      <c r="N405" s="10">
        <v>619</v>
      </c>
      <c r="O405" s="10">
        <v>882</v>
      </c>
      <c r="P405" s="10">
        <v>4700</v>
      </c>
      <c r="Q405" s="10">
        <v>1315</v>
      </c>
    </row>
    <row r="406" spans="1:29" ht="12.5" x14ac:dyDescent="0.25">
      <c r="A406" s="2">
        <v>44295</v>
      </c>
      <c r="B406" s="4">
        <v>8</v>
      </c>
      <c r="C406" s="3">
        <v>44295.333333333336</v>
      </c>
      <c r="D406" s="4">
        <v>390590</v>
      </c>
      <c r="E406" s="4">
        <v>376959</v>
      </c>
      <c r="F406" s="4">
        <v>6424</v>
      </c>
      <c r="G406" s="4">
        <v>3506</v>
      </c>
      <c r="H406" s="4">
        <v>3701</v>
      </c>
      <c r="L406" s="4">
        <v>1013</v>
      </c>
      <c r="M406" s="4">
        <v>7207</v>
      </c>
      <c r="N406" s="4">
        <v>689</v>
      </c>
      <c r="O406" s="4">
        <v>2071</v>
      </c>
      <c r="P406" s="4">
        <v>4551</v>
      </c>
      <c r="Q406" s="4">
        <v>585</v>
      </c>
    </row>
    <row r="407" spans="1:29" ht="12.5" x14ac:dyDescent="0.25">
      <c r="A407" s="2">
        <v>44296</v>
      </c>
      <c r="B407" s="4">
        <v>8</v>
      </c>
      <c r="C407" s="3">
        <v>44296.333333333336</v>
      </c>
      <c r="D407" s="4">
        <v>391567</v>
      </c>
      <c r="E407" s="4">
        <v>377797</v>
      </c>
      <c r="F407" s="4">
        <v>6435</v>
      </c>
      <c r="G407" s="4">
        <v>3716</v>
      </c>
      <c r="H407" s="4">
        <v>3619</v>
      </c>
      <c r="L407" s="4">
        <v>977</v>
      </c>
      <c r="M407" s="4">
        <v>7335</v>
      </c>
      <c r="N407" s="4">
        <v>838</v>
      </c>
      <c r="O407" s="4">
        <v>1890</v>
      </c>
      <c r="P407" s="4">
        <v>4165</v>
      </c>
      <c r="Q407" s="4">
        <v>1280</v>
      </c>
    </row>
    <row r="408" spans="1:29" ht="14.5" x14ac:dyDescent="0.35">
      <c r="A408" s="2">
        <v>44297</v>
      </c>
      <c r="B408" s="9">
        <v>8</v>
      </c>
      <c r="C408" s="3">
        <v>44297.333333333336</v>
      </c>
      <c r="D408" s="6">
        <v>392598</v>
      </c>
      <c r="E408" s="6">
        <v>379210</v>
      </c>
      <c r="F408" s="6">
        <v>6450</v>
      </c>
      <c r="G408" s="6">
        <v>3617</v>
      </c>
      <c r="H408" s="6">
        <v>3321</v>
      </c>
      <c r="I408" s="8"/>
      <c r="J408" s="8"/>
      <c r="K408" s="8"/>
      <c r="L408" s="6">
        <v>1031</v>
      </c>
      <c r="M408" s="6">
        <v>6938</v>
      </c>
      <c r="N408" s="6">
        <v>1413</v>
      </c>
      <c r="O408" s="9">
        <v>939</v>
      </c>
      <c r="P408" s="9">
        <v>4107</v>
      </c>
      <c r="Q408" s="6">
        <v>1892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1:29" ht="12.5" x14ac:dyDescent="0.25">
      <c r="A409" s="2">
        <v>44298</v>
      </c>
      <c r="B409" s="4">
        <v>8</v>
      </c>
      <c r="C409" s="3">
        <v>44298.333333333336</v>
      </c>
      <c r="D409" s="4">
        <v>393290</v>
      </c>
      <c r="E409" s="4">
        <v>380560</v>
      </c>
      <c r="F409" s="4">
        <v>6459</v>
      </c>
      <c r="G409" s="4">
        <v>3324</v>
      </c>
      <c r="H409" s="4">
        <v>2947</v>
      </c>
      <c r="L409" s="4">
        <v>692</v>
      </c>
      <c r="M409" s="4">
        <v>6271</v>
      </c>
      <c r="N409" s="4">
        <v>1350</v>
      </c>
      <c r="O409" s="4">
        <v>1973</v>
      </c>
      <c r="P409" s="4">
        <v>3777</v>
      </c>
      <c r="Q409" s="4">
        <v>521</v>
      </c>
    </row>
    <row r="410" spans="1:29" ht="14.5" x14ac:dyDescent="0.35">
      <c r="A410" s="2">
        <v>44299</v>
      </c>
      <c r="B410" s="4">
        <v>8</v>
      </c>
      <c r="C410" s="3">
        <v>44299.333333333336</v>
      </c>
      <c r="D410" s="6">
        <v>394118</v>
      </c>
      <c r="E410" s="6">
        <v>381449</v>
      </c>
      <c r="F410" s="6">
        <v>6482</v>
      </c>
      <c r="G410" s="6">
        <v>3326</v>
      </c>
      <c r="H410" s="6">
        <v>2861</v>
      </c>
      <c r="I410" s="8"/>
      <c r="J410" s="8"/>
      <c r="K410" s="8"/>
      <c r="L410" s="6">
        <v>828</v>
      </c>
      <c r="M410" s="6">
        <v>6187</v>
      </c>
      <c r="N410" s="6">
        <v>889</v>
      </c>
      <c r="O410" s="9">
        <v>1902</v>
      </c>
      <c r="P410" s="9">
        <v>3467</v>
      </c>
      <c r="Q410" s="6">
        <v>818</v>
      </c>
    </row>
    <row r="411" spans="1:29" ht="12.5" x14ac:dyDescent="0.25">
      <c r="A411" s="2">
        <v>44300</v>
      </c>
      <c r="B411" s="4">
        <v>8</v>
      </c>
      <c r="C411" s="3">
        <v>44300.333333333336</v>
      </c>
      <c r="D411" s="4">
        <v>394779</v>
      </c>
      <c r="E411" s="4">
        <v>382091</v>
      </c>
      <c r="F411" s="4">
        <v>6489</v>
      </c>
      <c r="G411" s="4">
        <v>3338</v>
      </c>
      <c r="H411" s="4">
        <v>2861</v>
      </c>
      <c r="L411" s="4">
        <v>661</v>
      </c>
      <c r="M411" s="4">
        <v>6199</v>
      </c>
      <c r="N411" s="4">
        <v>642</v>
      </c>
      <c r="O411" s="4">
        <v>1780</v>
      </c>
      <c r="P411" s="4">
        <v>3178</v>
      </c>
      <c r="Q411" s="4">
        <v>1241</v>
      </c>
    </row>
    <row r="412" spans="1:29" ht="12.5" x14ac:dyDescent="0.25">
      <c r="A412" s="2">
        <v>44301</v>
      </c>
      <c r="B412" s="4">
        <v>8</v>
      </c>
      <c r="C412" s="3">
        <v>44301.333333333336</v>
      </c>
      <c r="D412" s="4">
        <v>396109</v>
      </c>
      <c r="E412" s="4">
        <v>382617</v>
      </c>
      <c r="F412" s="4">
        <v>6504</v>
      </c>
      <c r="G412" s="4">
        <v>3921</v>
      </c>
      <c r="H412" s="4">
        <v>3067</v>
      </c>
      <c r="L412" s="4">
        <v>1330</v>
      </c>
      <c r="M412" s="4">
        <v>6988</v>
      </c>
      <c r="N412" s="4">
        <v>526</v>
      </c>
      <c r="O412" s="4">
        <v>5357</v>
      </c>
      <c r="P412" s="4">
        <v>745</v>
      </c>
      <c r="Q412" s="4">
        <v>886</v>
      </c>
    </row>
    <row r="413" spans="1:29" ht="12.5" x14ac:dyDescent="0.25">
      <c r="A413" s="2">
        <v>44302</v>
      </c>
      <c r="B413" s="4">
        <v>8</v>
      </c>
      <c r="C413" s="3">
        <v>44302.333333333336</v>
      </c>
      <c r="D413" s="10">
        <v>397088</v>
      </c>
      <c r="E413" s="10">
        <v>383655</v>
      </c>
      <c r="F413" s="10">
        <v>6513</v>
      </c>
      <c r="G413" s="10">
        <v>3607</v>
      </c>
      <c r="H413" s="10">
        <v>3313</v>
      </c>
      <c r="L413" s="10">
        <v>979</v>
      </c>
      <c r="M413" s="10">
        <v>6920</v>
      </c>
      <c r="N413" s="10">
        <v>1038</v>
      </c>
      <c r="O413" s="10">
        <v>1042</v>
      </c>
      <c r="P413" s="10">
        <v>4370</v>
      </c>
      <c r="Q413" s="10">
        <v>1508</v>
      </c>
    </row>
    <row r="414" spans="1:29" ht="12.5" x14ac:dyDescent="0.25">
      <c r="A414" s="2">
        <v>44303</v>
      </c>
      <c r="B414" s="4">
        <v>8</v>
      </c>
      <c r="C414" s="3">
        <v>44303.333333333336</v>
      </c>
      <c r="D414" s="4">
        <v>398125</v>
      </c>
      <c r="E414" s="4">
        <v>384652</v>
      </c>
      <c r="F414" s="4">
        <v>6520</v>
      </c>
      <c r="G414" s="4">
        <v>3512</v>
      </c>
      <c r="H414" s="4">
        <v>3441</v>
      </c>
      <c r="L414" s="4">
        <v>1037</v>
      </c>
      <c r="M414" s="4">
        <v>6953</v>
      </c>
      <c r="N414" s="4">
        <v>997</v>
      </c>
      <c r="O414" s="4">
        <v>3509</v>
      </c>
      <c r="P414" s="4">
        <v>1306</v>
      </c>
      <c r="Q414" s="4">
        <v>2138</v>
      </c>
    </row>
    <row r="415" spans="1:29" ht="14.5" x14ac:dyDescent="0.35">
      <c r="A415" s="2">
        <v>44304</v>
      </c>
      <c r="B415" s="9">
        <v>8</v>
      </c>
      <c r="C415" s="3">
        <v>44304.333333333336</v>
      </c>
      <c r="D415" s="6">
        <v>399075</v>
      </c>
      <c r="E415" s="6">
        <v>385615</v>
      </c>
      <c r="F415" s="6">
        <v>6536</v>
      </c>
      <c r="G415" s="6">
        <v>3313</v>
      </c>
      <c r="H415" s="6">
        <v>3611</v>
      </c>
      <c r="I415" s="8"/>
      <c r="J415" s="8"/>
      <c r="K415" s="8"/>
      <c r="L415" s="6">
        <v>950</v>
      </c>
      <c r="M415" s="6">
        <v>6924</v>
      </c>
      <c r="N415" s="6">
        <v>963</v>
      </c>
      <c r="O415" s="9">
        <v>305</v>
      </c>
      <c r="P415" s="9">
        <v>1481</v>
      </c>
      <c r="Q415" s="6">
        <v>5138</v>
      </c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1:29" ht="12.5" x14ac:dyDescent="0.25">
      <c r="A416" s="2">
        <v>44305</v>
      </c>
      <c r="B416" s="4">
        <v>8</v>
      </c>
      <c r="C416" s="3">
        <v>44305.333333333336</v>
      </c>
      <c r="D416" s="4">
        <v>400048</v>
      </c>
      <c r="E416" s="4">
        <v>386606</v>
      </c>
      <c r="F416" s="4">
        <v>6558</v>
      </c>
      <c r="G416" s="4">
        <v>3218</v>
      </c>
      <c r="H416" s="4">
        <v>3666</v>
      </c>
      <c r="L416" s="4">
        <v>973</v>
      </c>
      <c r="M416" s="4">
        <v>6884</v>
      </c>
      <c r="N416" s="4">
        <v>991</v>
      </c>
      <c r="O416" s="4">
        <v>2401</v>
      </c>
      <c r="P416" s="4">
        <v>3843</v>
      </c>
      <c r="Q416" s="4">
        <v>640</v>
      </c>
    </row>
    <row r="417" spans="1:29" ht="12.5" x14ac:dyDescent="0.25">
      <c r="A417" s="2">
        <v>44306</v>
      </c>
      <c r="B417" s="4">
        <v>8</v>
      </c>
      <c r="C417" s="3">
        <v>44306.333333333336</v>
      </c>
      <c r="D417" s="4">
        <v>400508</v>
      </c>
      <c r="E417" s="4">
        <v>387507</v>
      </c>
      <c r="F417" s="4">
        <v>6569</v>
      </c>
      <c r="G417" s="4">
        <v>2945</v>
      </c>
      <c r="H417" s="4">
        <v>3487</v>
      </c>
      <c r="L417" s="4">
        <v>460</v>
      </c>
      <c r="M417" s="4">
        <v>6432</v>
      </c>
      <c r="N417" s="4">
        <v>901</v>
      </c>
      <c r="O417" s="4">
        <v>1593</v>
      </c>
      <c r="P417" s="4">
        <v>3908</v>
      </c>
      <c r="Q417" s="4">
        <v>931</v>
      </c>
    </row>
    <row r="418" spans="1:29" ht="12.5" x14ac:dyDescent="0.25">
      <c r="A418" s="2">
        <v>44307</v>
      </c>
      <c r="B418" s="4">
        <v>8</v>
      </c>
      <c r="C418" s="3">
        <v>44307.333333333336</v>
      </c>
      <c r="D418" s="4">
        <v>401110</v>
      </c>
      <c r="E418" s="4">
        <v>388083</v>
      </c>
      <c r="F418" s="4">
        <v>6587</v>
      </c>
      <c r="G418" s="4">
        <v>2954</v>
      </c>
      <c r="H418" s="4">
        <v>3486</v>
      </c>
      <c r="L418" s="4">
        <v>602</v>
      </c>
      <c r="M418" s="4">
        <v>6440</v>
      </c>
      <c r="N418" s="4">
        <v>576</v>
      </c>
      <c r="O418" s="4">
        <v>1179</v>
      </c>
      <c r="P418" s="4">
        <v>3865</v>
      </c>
      <c r="Q418" s="4">
        <v>1396</v>
      </c>
    </row>
    <row r="419" spans="1:29" ht="12.5" x14ac:dyDescent="0.25">
      <c r="A419" s="2">
        <v>44308</v>
      </c>
      <c r="B419" s="4">
        <v>8</v>
      </c>
      <c r="C419" s="3">
        <v>44308.333333333336</v>
      </c>
      <c r="D419" s="4">
        <v>402376</v>
      </c>
      <c r="E419" s="4">
        <v>388735</v>
      </c>
      <c r="F419" s="4">
        <v>6596</v>
      </c>
      <c r="G419" s="4">
        <v>3497</v>
      </c>
      <c r="H419" s="4">
        <v>3548</v>
      </c>
      <c r="L419" s="4">
        <v>1266</v>
      </c>
      <c r="M419" s="4">
        <v>7045</v>
      </c>
      <c r="N419" s="4">
        <v>652</v>
      </c>
      <c r="O419" s="4">
        <v>1136</v>
      </c>
      <c r="P419" s="4">
        <v>5043</v>
      </c>
      <c r="Q419" s="4">
        <v>866</v>
      </c>
    </row>
    <row r="420" spans="1:29" ht="12.5" x14ac:dyDescent="0.25">
      <c r="A420" s="2">
        <v>44309</v>
      </c>
      <c r="B420" s="4">
        <v>8</v>
      </c>
      <c r="C420" s="3">
        <v>44309.333333333336</v>
      </c>
      <c r="D420" s="10">
        <v>403260</v>
      </c>
      <c r="E420" s="10">
        <v>389445</v>
      </c>
      <c r="F420" s="10">
        <v>6612</v>
      </c>
      <c r="G420" s="10">
        <v>3584</v>
      </c>
      <c r="H420" s="10">
        <v>3619</v>
      </c>
      <c r="L420" s="10">
        <v>884</v>
      </c>
      <c r="M420" s="10">
        <v>7203</v>
      </c>
      <c r="N420" s="10">
        <v>710</v>
      </c>
      <c r="O420" s="10">
        <v>872</v>
      </c>
      <c r="P420" s="10">
        <v>4778</v>
      </c>
      <c r="Q420" s="10">
        <v>1553</v>
      </c>
    </row>
    <row r="421" spans="1:29" ht="12.5" x14ac:dyDescent="0.25">
      <c r="A421" s="2">
        <v>44310</v>
      </c>
      <c r="B421" s="4">
        <v>8</v>
      </c>
      <c r="C421" s="3">
        <v>44310.333333333336</v>
      </c>
      <c r="D421" s="4">
        <v>404167</v>
      </c>
      <c r="E421" s="4">
        <v>390334</v>
      </c>
      <c r="F421" s="4">
        <v>6623</v>
      </c>
      <c r="G421" s="4">
        <v>3563</v>
      </c>
      <c r="H421" s="4">
        <v>3647</v>
      </c>
      <c r="L421" s="4">
        <v>907</v>
      </c>
      <c r="M421" s="4">
        <v>7210</v>
      </c>
      <c r="N421" s="4">
        <v>889</v>
      </c>
      <c r="O421" s="4">
        <v>697</v>
      </c>
      <c r="P421" s="4">
        <v>4296</v>
      </c>
      <c r="Q421" s="4">
        <v>2217</v>
      </c>
    </row>
    <row r="422" spans="1:29" ht="14.5" x14ac:dyDescent="0.35">
      <c r="A422" s="2">
        <v>44311</v>
      </c>
      <c r="B422" s="9">
        <v>8</v>
      </c>
      <c r="C422" s="3">
        <v>44311.333333333336</v>
      </c>
      <c r="D422" s="6">
        <v>405063</v>
      </c>
      <c r="E422" s="6">
        <v>391301</v>
      </c>
      <c r="F422" s="6">
        <v>6645</v>
      </c>
      <c r="G422" s="6">
        <v>3399</v>
      </c>
      <c r="H422" s="6">
        <v>3718</v>
      </c>
      <c r="I422" s="8"/>
      <c r="J422" s="8"/>
      <c r="K422" s="8"/>
      <c r="L422" s="6">
        <v>896</v>
      </c>
      <c r="M422" s="6">
        <v>7117</v>
      </c>
      <c r="N422" s="6">
        <v>967</v>
      </c>
      <c r="O422" s="9">
        <v>1329</v>
      </c>
      <c r="P422" s="9">
        <v>5213</v>
      </c>
      <c r="Q422" s="6">
        <v>575</v>
      </c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1:29" ht="12.5" x14ac:dyDescent="0.25">
      <c r="A423" s="2">
        <v>44312</v>
      </c>
      <c r="B423" s="9">
        <v>8</v>
      </c>
      <c r="C423" s="3">
        <v>44312.333333333336</v>
      </c>
      <c r="D423" s="10">
        <v>405812</v>
      </c>
      <c r="E423" s="10">
        <v>392595</v>
      </c>
      <c r="F423" s="10">
        <v>6660</v>
      </c>
      <c r="G423" s="10">
        <v>3152</v>
      </c>
      <c r="H423" s="10">
        <v>3405</v>
      </c>
      <c r="L423" s="10">
        <v>749</v>
      </c>
      <c r="M423" s="10">
        <v>6557</v>
      </c>
      <c r="N423" s="10">
        <v>1294</v>
      </c>
      <c r="O423" s="10">
        <v>1112</v>
      </c>
      <c r="P423" s="10">
        <v>4478</v>
      </c>
      <c r="Q423" s="10">
        <v>967</v>
      </c>
    </row>
    <row r="424" spans="1:29" ht="12.5" x14ac:dyDescent="0.25">
      <c r="A424" s="2">
        <v>44313</v>
      </c>
      <c r="B424" s="9">
        <v>8</v>
      </c>
      <c r="C424" s="3">
        <v>44313.333333333336</v>
      </c>
      <c r="D424" s="4">
        <v>406205</v>
      </c>
      <c r="E424" s="4">
        <v>393205</v>
      </c>
      <c r="F424" s="4">
        <v>6679</v>
      </c>
      <c r="G424" s="4">
        <v>2999</v>
      </c>
      <c r="H424" s="4">
        <v>3322</v>
      </c>
      <c r="L424" s="4">
        <v>393</v>
      </c>
      <c r="M424" s="4">
        <v>6321</v>
      </c>
      <c r="N424" s="4">
        <v>610</v>
      </c>
      <c r="O424" s="4">
        <v>1327</v>
      </c>
      <c r="P424" s="4">
        <v>4760</v>
      </c>
      <c r="Q424" s="4">
        <v>234</v>
      </c>
    </row>
    <row r="425" spans="1:29" ht="12.5" x14ac:dyDescent="0.25">
      <c r="A425" s="2">
        <v>44314</v>
      </c>
      <c r="B425" s="9">
        <v>8</v>
      </c>
      <c r="C425" s="3">
        <v>44314.333333333336</v>
      </c>
      <c r="D425" s="10">
        <v>406844</v>
      </c>
      <c r="E425" s="10">
        <v>393814</v>
      </c>
      <c r="F425" s="10">
        <v>6690</v>
      </c>
      <c r="G425" s="10">
        <v>2950</v>
      </c>
      <c r="H425" s="10">
        <v>3390</v>
      </c>
      <c r="L425" s="10">
        <v>639</v>
      </c>
      <c r="M425" s="10">
        <v>6340</v>
      </c>
      <c r="N425" s="10">
        <v>609</v>
      </c>
      <c r="O425" s="10">
        <v>1208</v>
      </c>
      <c r="P425" s="10">
        <v>4391</v>
      </c>
      <c r="Q425" s="10">
        <v>741</v>
      </c>
    </row>
    <row r="426" spans="1:29" ht="12.5" x14ac:dyDescent="0.25">
      <c r="A426" s="2">
        <v>44315</v>
      </c>
      <c r="B426" s="4">
        <v>8</v>
      </c>
      <c r="C426" s="3">
        <v>44315.333333333336</v>
      </c>
      <c r="D426" s="4">
        <v>407831</v>
      </c>
      <c r="E426" s="4">
        <v>394403</v>
      </c>
      <c r="F426" s="4">
        <v>6710</v>
      </c>
      <c r="G426" s="4">
        <v>3308</v>
      </c>
      <c r="H426" s="4">
        <v>3410</v>
      </c>
      <c r="L426" s="4">
        <v>987</v>
      </c>
      <c r="M426" s="4">
        <v>6718</v>
      </c>
      <c r="N426" s="4">
        <v>589</v>
      </c>
      <c r="O426" s="4">
        <v>1012</v>
      </c>
      <c r="P426" s="4">
        <v>4320</v>
      </c>
      <c r="Q426" s="4">
        <v>1386</v>
      </c>
    </row>
    <row r="427" spans="1:29" ht="12.5" x14ac:dyDescent="0.25">
      <c r="A427" s="2">
        <v>44316</v>
      </c>
      <c r="B427" s="4">
        <v>8</v>
      </c>
      <c r="C427" s="3">
        <v>44316.333333333336</v>
      </c>
      <c r="D427" s="4">
        <v>408620</v>
      </c>
      <c r="E427" s="4">
        <v>394939</v>
      </c>
      <c r="F427" s="4">
        <v>6733</v>
      </c>
      <c r="G427" s="4">
        <v>3421</v>
      </c>
      <c r="H427" s="4">
        <v>3527</v>
      </c>
      <c r="L427" s="4">
        <v>789</v>
      </c>
      <c r="M427" s="4">
        <v>6948</v>
      </c>
      <c r="N427" s="4">
        <v>536</v>
      </c>
      <c r="O427" s="4">
        <v>1209</v>
      </c>
      <c r="P427" s="4">
        <v>5210</v>
      </c>
      <c r="Q427" s="4">
        <v>529</v>
      </c>
    </row>
    <row r="428" spans="1:29" ht="12.5" x14ac:dyDescent="0.25">
      <c r="A428" s="2">
        <v>44317</v>
      </c>
      <c r="B428" s="4">
        <v>8</v>
      </c>
      <c r="C428" s="3">
        <v>44317.333333333336</v>
      </c>
      <c r="D428" s="4">
        <v>409546</v>
      </c>
      <c r="E428" s="4">
        <v>395644</v>
      </c>
      <c r="F428" s="4">
        <v>6747</v>
      </c>
      <c r="G428" s="4">
        <v>3533</v>
      </c>
      <c r="H428" s="4">
        <v>3622</v>
      </c>
      <c r="L428" s="4">
        <v>926</v>
      </c>
      <c r="M428" s="4">
        <v>7155</v>
      </c>
      <c r="N428" s="4">
        <v>705</v>
      </c>
      <c r="O428" s="4">
        <v>1039</v>
      </c>
      <c r="P428" s="4">
        <v>4940</v>
      </c>
      <c r="Q428" s="4">
        <v>1176</v>
      </c>
    </row>
    <row r="429" spans="1:29" ht="14.5" x14ac:dyDescent="0.35">
      <c r="A429" s="2">
        <v>44318</v>
      </c>
      <c r="B429" s="9">
        <v>8</v>
      </c>
      <c r="C429" s="3">
        <v>44318.333333333336</v>
      </c>
      <c r="D429" s="6">
        <v>410400</v>
      </c>
      <c r="E429" s="6">
        <v>396594</v>
      </c>
      <c r="F429" s="6">
        <v>6767</v>
      </c>
      <c r="G429" s="6">
        <v>3450</v>
      </c>
      <c r="H429" s="6">
        <v>3589</v>
      </c>
      <c r="I429" s="8"/>
      <c r="J429" s="8"/>
      <c r="K429" s="8"/>
      <c r="L429" s="6">
        <v>854</v>
      </c>
      <c r="M429" s="6">
        <v>7039</v>
      </c>
      <c r="N429" s="6">
        <v>950</v>
      </c>
      <c r="O429" s="9">
        <v>842</v>
      </c>
      <c r="P429" s="9">
        <v>4574</v>
      </c>
      <c r="Q429" s="6">
        <v>1623</v>
      </c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1:29" ht="12.5" x14ac:dyDescent="0.25">
      <c r="A430" s="2">
        <v>44319</v>
      </c>
      <c r="B430" s="9">
        <v>8</v>
      </c>
      <c r="C430" s="3">
        <v>44319.333333333336</v>
      </c>
      <c r="D430" s="10">
        <v>411157</v>
      </c>
      <c r="E430" s="10">
        <v>397349</v>
      </c>
      <c r="F430" s="10">
        <v>6788</v>
      </c>
      <c r="G430" s="10">
        <v>3483</v>
      </c>
      <c r="H430" s="10">
        <v>3537</v>
      </c>
      <c r="L430" s="10">
        <v>757</v>
      </c>
      <c r="M430" s="10">
        <v>7020</v>
      </c>
      <c r="N430" s="10">
        <v>755</v>
      </c>
      <c r="O430" s="10">
        <v>1349</v>
      </c>
      <c r="P430" s="10">
        <v>5473</v>
      </c>
      <c r="Q430" s="10">
        <v>198</v>
      </c>
    </row>
    <row r="431" spans="1:29" ht="12.5" x14ac:dyDescent="0.25">
      <c r="A431" s="2">
        <v>44320</v>
      </c>
      <c r="B431" s="9">
        <v>8</v>
      </c>
      <c r="C431" s="3">
        <v>44320.333333333336</v>
      </c>
      <c r="D431" s="10">
        <v>411573</v>
      </c>
      <c r="E431" s="10">
        <v>397955</v>
      </c>
      <c r="F431" s="10">
        <v>6807</v>
      </c>
      <c r="G431" s="10">
        <v>3247</v>
      </c>
      <c r="H431" s="10">
        <v>3564</v>
      </c>
      <c r="L431" s="10">
        <v>416</v>
      </c>
      <c r="M431" s="10">
        <v>6811</v>
      </c>
      <c r="N431" s="10">
        <v>606</v>
      </c>
      <c r="O431" s="10">
        <v>1182</v>
      </c>
      <c r="P431" s="10">
        <v>5158</v>
      </c>
      <c r="Q431" s="10">
        <v>471</v>
      </c>
    </row>
    <row r="432" spans="1:29" ht="12.5" x14ac:dyDescent="0.25">
      <c r="A432" s="2">
        <v>44321</v>
      </c>
      <c r="B432" s="9">
        <v>8</v>
      </c>
      <c r="C432" s="3">
        <v>44321.333333333336</v>
      </c>
      <c r="D432" s="4">
        <v>412418</v>
      </c>
      <c r="E432" s="4">
        <v>398610</v>
      </c>
      <c r="F432" s="4">
        <v>6830</v>
      </c>
      <c r="G432" s="4">
        <v>3240</v>
      </c>
      <c r="H432" s="4">
        <v>3738</v>
      </c>
      <c r="L432" s="4">
        <v>845</v>
      </c>
      <c r="M432" s="4">
        <v>6978</v>
      </c>
      <c r="N432" s="4">
        <v>655</v>
      </c>
      <c r="O432" s="4">
        <v>1102</v>
      </c>
      <c r="P432" s="4">
        <v>4909</v>
      </c>
      <c r="Q432" s="4">
        <v>967</v>
      </c>
    </row>
    <row r="433" spans="1:29" ht="12.5" x14ac:dyDescent="0.25">
      <c r="A433" s="2">
        <v>44322</v>
      </c>
      <c r="B433" s="9">
        <v>8</v>
      </c>
      <c r="C433" s="3">
        <v>44322.333333333336</v>
      </c>
      <c r="D433" s="4">
        <v>413323</v>
      </c>
      <c r="E433" s="4">
        <v>399224</v>
      </c>
      <c r="F433" s="4">
        <v>6850</v>
      </c>
      <c r="G433" s="4">
        <v>3406</v>
      </c>
      <c r="H433" s="4">
        <v>3843</v>
      </c>
      <c r="L433" s="4">
        <v>905</v>
      </c>
      <c r="M433" s="4">
        <v>7249</v>
      </c>
      <c r="N433" s="4">
        <v>614</v>
      </c>
      <c r="O433" s="4">
        <v>1172</v>
      </c>
      <c r="P433" s="4">
        <v>5489</v>
      </c>
      <c r="Q433" s="4">
        <v>588</v>
      </c>
    </row>
    <row r="434" spans="1:29" ht="12.5" x14ac:dyDescent="0.25">
      <c r="A434" s="2">
        <v>44323</v>
      </c>
      <c r="B434" s="4">
        <v>8</v>
      </c>
      <c r="C434" s="3">
        <v>44323.333333333336</v>
      </c>
      <c r="D434" s="4">
        <v>414106</v>
      </c>
      <c r="E434" s="4">
        <v>399821</v>
      </c>
      <c r="F434" s="4">
        <v>6872</v>
      </c>
      <c r="G434" s="4">
        <v>3485</v>
      </c>
      <c r="H434" s="4">
        <v>3928</v>
      </c>
      <c r="L434" s="4">
        <v>783</v>
      </c>
      <c r="M434" s="4">
        <v>7413</v>
      </c>
      <c r="N434" s="4">
        <v>597</v>
      </c>
      <c r="O434" s="4">
        <v>1131</v>
      </c>
      <c r="P434" s="4">
        <v>5192</v>
      </c>
      <c r="Q434" s="4">
        <v>1090</v>
      </c>
    </row>
    <row r="435" spans="1:29" ht="12.5" x14ac:dyDescent="0.25">
      <c r="A435" s="2">
        <v>44324</v>
      </c>
      <c r="B435" s="4">
        <v>8</v>
      </c>
      <c r="C435" s="3">
        <v>44324.333333333336</v>
      </c>
      <c r="D435" s="4">
        <v>414838</v>
      </c>
      <c r="E435" s="4">
        <v>400403</v>
      </c>
      <c r="F435" s="4">
        <v>6896</v>
      </c>
      <c r="G435" s="4">
        <v>3569</v>
      </c>
      <c r="H435" s="4">
        <v>3970</v>
      </c>
      <c r="L435" s="4">
        <v>732</v>
      </c>
      <c r="M435" s="4">
        <v>7539</v>
      </c>
      <c r="N435" s="4">
        <v>582</v>
      </c>
      <c r="O435" s="4">
        <v>947</v>
      </c>
      <c r="P435" s="4">
        <v>5022</v>
      </c>
      <c r="Q435" s="4">
        <v>1570</v>
      </c>
    </row>
    <row r="436" spans="1:29" ht="14.5" x14ac:dyDescent="0.35">
      <c r="A436" s="2">
        <v>44325</v>
      </c>
      <c r="B436" s="9">
        <v>8</v>
      </c>
      <c r="C436" s="3">
        <v>44325.333333333336</v>
      </c>
      <c r="D436" s="6">
        <v>415647</v>
      </c>
      <c r="E436" s="6">
        <v>401114</v>
      </c>
      <c r="F436" s="6">
        <v>6911</v>
      </c>
      <c r="G436" s="6">
        <v>3648</v>
      </c>
      <c r="H436" s="6">
        <v>3974</v>
      </c>
      <c r="I436" s="8"/>
      <c r="J436" s="8"/>
      <c r="K436" s="8"/>
      <c r="L436" s="6">
        <v>809</v>
      </c>
      <c r="M436" s="6">
        <v>7622</v>
      </c>
      <c r="N436" s="6">
        <v>711</v>
      </c>
      <c r="O436" s="9">
        <v>836</v>
      </c>
      <c r="P436" s="9">
        <v>4763</v>
      </c>
      <c r="Q436" s="6">
        <v>2023</v>
      </c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ht="12.5" x14ac:dyDescent="0.25">
      <c r="A437" s="2">
        <v>44326</v>
      </c>
      <c r="B437" s="4">
        <v>8</v>
      </c>
      <c r="C437" s="3">
        <v>44326.333333333336</v>
      </c>
      <c r="D437" s="4">
        <v>416341</v>
      </c>
      <c r="E437" s="4">
        <v>401744</v>
      </c>
      <c r="F437" s="4">
        <v>6933</v>
      </c>
      <c r="G437" s="4">
        <v>3723</v>
      </c>
      <c r="H437" s="4">
        <v>3941</v>
      </c>
      <c r="L437" s="4">
        <v>694</v>
      </c>
      <c r="M437" s="4">
        <v>7664</v>
      </c>
      <c r="N437" s="4">
        <v>630</v>
      </c>
      <c r="O437" s="4">
        <v>1482</v>
      </c>
      <c r="P437" s="4">
        <v>5810</v>
      </c>
      <c r="Q437" s="4">
        <v>372</v>
      </c>
    </row>
    <row r="438" spans="1:29" ht="12.5" x14ac:dyDescent="0.25">
      <c r="A438" s="2">
        <v>44327</v>
      </c>
      <c r="B438" s="4">
        <v>8</v>
      </c>
      <c r="C438" s="3">
        <v>44327.333333333336</v>
      </c>
      <c r="D438" s="4">
        <v>416747</v>
      </c>
      <c r="E438" s="4">
        <v>402374</v>
      </c>
      <c r="F438" s="4">
        <v>6952</v>
      </c>
      <c r="G438" s="4">
        <v>3490</v>
      </c>
      <c r="H438" s="4">
        <v>3931</v>
      </c>
      <c r="L438" s="4">
        <v>406</v>
      </c>
      <c r="M438" s="4">
        <v>7421</v>
      </c>
      <c r="N438" s="4">
        <v>630</v>
      </c>
      <c r="O438" s="4">
        <v>1340</v>
      </c>
      <c r="P438" s="4">
        <v>5531</v>
      </c>
      <c r="Q438" s="4">
        <v>550</v>
      </c>
    </row>
    <row r="439" spans="1:29" ht="12.5" x14ac:dyDescent="0.25">
      <c r="A439" s="2">
        <v>44328</v>
      </c>
      <c r="B439" s="4">
        <v>8</v>
      </c>
      <c r="C439" s="3">
        <v>44328.333333333336</v>
      </c>
      <c r="D439" s="4">
        <v>417403</v>
      </c>
      <c r="E439" s="4">
        <v>403039</v>
      </c>
      <c r="F439" s="4">
        <v>6973</v>
      </c>
      <c r="G439" s="4">
        <v>3402</v>
      </c>
      <c r="H439" s="4">
        <v>3989</v>
      </c>
      <c r="L439" s="4">
        <v>656</v>
      </c>
      <c r="M439" s="4">
        <v>7391</v>
      </c>
      <c r="N439" s="4">
        <v>665</v>
      </c>
      <c r="O439" s="4">
        <v>1176</v>
      </c>
      <c r="P439" s="4">
        <v>5298</v>
      </c>
      <c r="Q439" s="4">
        <v>917</v>
      </c>
    </row>
    <row r="440" spans="1:29" ht="14.5" x14ac:dyDescent="0.35">
      <c r="A440" s="2">
        <v>44329</v>
      </c>
      <c r="B440" s="9">
        <v>8</v>
      </c>
      <c r="C440" s="3">
        <v>44329.333333333336</v>
      </c>
      <c r="D440" s="6">
        <v>418188</v>
      </c>
      <c r="E440" s="6">
        <v>403630</v>
      </c>
      <c r="F440" s="6">
        <v>6973</v>
      </c>
      <c r="G440" s="6">
        <v>3630</v>
      </c>
      <c r="H440" s="6">
        <v>3955</v>
      </c>
      <c r="I440" s="8"/>
      <c r="J440" s="8"/>
      <c r="K440" s="8"/>
      <c r="L440" s="6">
        <v>785</v>
      </c>
      <c r="M440" s="6">
        <v>7585</v>
      </c>
      <c r="N440" s="6">
        <v>591</v>
      </c>
      <c r="O440" s="9">
        <v>1087</v>
      </c>
      <c r="P440" s="9">
        <v>5013</v>
      </c>
      <c r="Q440" s="6">
        <v>1485</v>
      </c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14.5" x14ac:dyDescent="0.35">
      <c r="A441" s="2">
        <v>44330</v>
      </c>
      <c r="B441" s="9">
        <v>8</v>
      </c>
      <c r="C441" s="3">
        <v>44330.333333333336</v>
      </c>
      <c r="D441" s="6">
        <v>418820</v>
      </c>
      <c r="E441" s="6">
        <v>404187</v>
      </c>
      <c r="F441" s="6">
        <v>7003</v>
      </c>
      <c r="G441" s="6">
        <v>3502</v>
      </c>
      <c r="H441" s="6">
        <v>4128</v>
      </c>
      <c r="I441" s="8"/>
      <c r="J441" s="8"/>
      <c r="K441" s="8"/>
      <c r="L441" s="6">
        <v>632</v>
      </c>
      <c r="M441" s="6">
        <v>7630</v>
      </c>
      <c r="N441" s="6">
        <v>557</v>
      </c>
      <c r="O441" s="9">
        <v>1294</v>
      </c>
      <c r="P441" s="9">
        <v>5929</v>
      </c>
      <c r="Q441" s="6">
        <v>407</v>
      </c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ht="12.5" x14ac:dyDescent="0.25">
      <c r="A442" s="2">
        <v>44331</v>
      </c>
      <c r="B442" s="4">
        <v>8</v>
      </c>
      <c r="C442" s="3">
        <v>44331.333333333336</v>
      </c>
      <c r="D442" s="4">
        <v>419047</v>
      </c>
      <c r="E442" s="4">
        <v>404715</v>
      </c>
      <c r="F442" s="4">
        <v>7066</v>
      </c>
      <c r="G442" s="4">
        <v>3288</v>
      </c>
      <c r="H442" s="4">
        <v>3978</v>
      </c>
      <c r="L442" s="4">
        <v>227</v>
      </c>
      <c r="M442" s="4">
        <v>7266</v>
      </c>
      <c r="N442" s="4">
        <v>528</v>
      </c>
      <c r="O442" s="4">
        <v>6055</v>
      </c>
      <c r="P442" s="4">
        <v>637</v>
      </c>
      <c r="Q442" s="4">
        <v>574</v>
      </c>
    </row>
    <row r="443" spans="1:29" ht="12.5" x14ac:dyDescent="0.25">
      <c r="A443" s="2">
        <v>44332</v>
      </c>
      <c r="B443" s="4">
        <v>8</v>
      </c>
      <c r="C443" s="3">
        <v>44332.333333333336</v>
      </c>
      <c r="D443" s="4">
        <v>419208</v>
      </c>
      <c r="E443" s="4">
        <v>404980</v>
      </c>
      <c r="F443" s="4">
        <v>7082</v>
      </c>
      <c r="G443" s="4">
        <v>3189</v>
      </c>
      <c r="H443" s="4">
        <v>3957</v>
      </c>
      <c r="L443" s="4">
        <v>161</v>
      </c>
      <c r="M443" s="4">
        <v>7146</v>
      </c>
      <c r="N443" s="4">
        <v>265</v>
      </c>
      <c r="O443" s="4">
        <v>1145</v>
      </c>
      <c r="P443" s="4">
        <v>5333</v>
      </c>
      <c r="Q443" s="4">
        <v>668</v>
      </c>
    </row>
    <row r="444" spans="1:29" ht="12.5" x14ac:dyDescent="0.25">
      <c r="A444" s="2">
        <v>44333</v>
      </c>
      <c r="B444" s="4">
        <v>8</v>
      </c>
      <c r="C444" s="3">
        <v>44333.333333333336</v>
      </c>
      <c r="D444" s="4">
        <v>419629</v>
      </c>
      <c r="E444" s="4">
        <v>405229</v>
      </c>
      <c r="F444" s="4">
        <v>7107</v>
      </c>
      <c r="G444" s="4">
        <v>3158</v>
      </c>
      <c r="H444" s="4">
        <v>4135</v>
      </c>
      <c r="L444" s="4">
        <v>421</v>
      </c>
      <c r="M444" s="4">
        <v>7293</v>
      </c>
      <c r="N444" s="4">
        <v>249</v>
      </c>
      <c r="O444" s="4">
        <v>1235</v>
      </c>
      <c r="P444" s="4">
        <v>5834</v>
      </c>
      <c r="Q444" s="4">
        <v>224</v>
      </c>
    </row>
    <row r="445" spans="1:29" ht="12.5" x14ac:dyDescent="0.25">
      <c r="A445" s="2">
        <v>44334</v>
      </c>
      <c r="B445" s="4">
        <v>8</v>
      </c>
      <c r="C445" s="3">
        <v>44334.333333333336</v>
      </c>
      <c r="D445" s="4">
        <v>419920</v>
      </c>
      <c r="E445" s="4">
        <v>405357</v>
      </c>
      <c r="F445" s="4">
        <v>7130</v>
      </c>
      <c r="G445" s="4">
        <v>3248</v>
      </c>
      <c r="H445" s="4">
        <v>4185</v>
      </c>
      <c r="L445" s="4">
        <v>291</v>
      </c>
      <c r="M445" s="4">
        <v>7433</v>
      </c>
      <c r="N445" s="4">
        <v>128</v>
      </c>
      <c r="O445" s="4">
        <v>1219</v>
      </c>
      <c r="P445" s="4">
        <v>5793</v>
      </c>
      <c r="Q445" s="4">
        <v>421</v>
      </c>
    </row>
    <row r="446" spans="1:29" ht="12.5" x14ac:dyDescent="0.25">
      <c r="A446" s="2">
        <v>44335</v>
      </c>
      <c r="B446" s="4">
        <v>8</v>
      </c>
      <c r="C446" s="3">
        <v>44335.333333333336</v>
      </c>
      <c r="D446" s="10">
        <v>420459</v>
      </c>
      <c r="E446" s="10">
        <v>405535</v>
      </c>
      <c r="F446" s="10">
        <v>7149</v>
      </c>
      <c r="G446" s="10">
        <v>3366</v>
      </c>
      <c r="H446" s="10">
        <v>4409</v>
      </c>
      <c r="L446" s="10">
        <v>539</v>
      </c>
      <c r="M446" s="10">
        <v>7775</v>
      </c>
      <c r="N446" s="10">
        <v>178</v>
      </c>
      <c r="O446" s="10">
        <v>1195</v>
      </c>
      <c r="P446" s="10">
        <v>5818</v>
      </c>
      <c r="Q446" s="10">
        <v>762</v>
      </c>
    </row>
    <row r="447" spans="1:29" ht="12.5" x14ac:dyDescent="0.25">
      <c r="A447" s="2">
        <v>44336</v>
      </c>
      <c r="B447" s="4">
        <v>8</v>
      </c>
      <c r="C447" s="3">
        <v>44336.333333333336</v>
      </c>
      <c r="D447" s="4">
        <v>421354</v>
      </c>
      <c r="E447" s="4">
        <v>405714</v>
      </c>
      <c r="F447" s="4">
        <v>7169</v>
      </c>
      <c r="G447" s="4">
        <v>3797</v>
      </c>
      <c r="H447" s="4">
        <v>4674</v>
      </c>
      <c r="L447" s="4">
        <v>895</v>
      </c>
      <c r="M447" s="4">
        <v>8471</v>
      </c>
      <c r="N447" s="4">
        <v>179</v>
      </c>
      <c r="O447" s="4">
        <v>1312</v>
      </c>
      <c r="P447" s="4">
        <v>6599</v>
      </c>
      <c r="Q447" s="4">
        <v>560</v>
      </c>
    </row>
    <row r="448" spans="1:29" ht="12.5" x14ac:dyDescent="0.25">
      <c r="A448" s="2">
        <v>44337</v>
      </c>
      <c r="B448" s="4">
        <v>8</v>
      </c>
      <c r="C448" s="3">
        <v>44337.333333333336</v>
      </c>
      <c r="D448" s="10">
        <v>422210</v>
      </c>
      <c r="E448" s="10">
        <v>405918</v>
      </c>
      <c r="F448" s="10">
        <v>7184</v>
      </c>
      <c r="G448" s="10">
        <v>4142</v>
      </c>
      <c r="H448" s="10">
        <v>4966</v>
      </c>
      <c r="L448" s="10">
        <v>856</v>
      </c>
      <c r="M448" s="10">
        <v>9108</v>
      </c>
      <c r="N448" s="10">
        <v>204</v>
      </c>
      <c r="O448" s="10">
        <v>1306</v>
      </c>
      <c r="P448" s="10">
        <v>6655</v>
      </c>
      <c r="Q448" s="10">
        <v>1147</v>
      </c>
    </row>
    <row r="449" spans="1:29" ht="14.5" x14ac:dyDescent="0.35">
      <c r="A449" s="2">
        <v>44338</v>
      </c>
      <c r="B449" s="9">
        <v>8</v>
      </c>
      <c r="C449" s="3">
        <v>44338.333333333336</v>
      </c>
      <c r="D449" s="6">
        <v>423142</v>
      </c>
      <c r="E449" s="6">
        <v>406300</v>
      </c>
      <c r="F449" s="6">
        <v>7196</v>
      </c>
      <c r="G449" s="6">
        <v>4386</v>
      </c>
      <c r="H449" s="6">
        <v>5260</v>
      </c>
      <c r="I449" s="8"/>
      <c r="J449" s="8"/>
      <c r="K449" s="8"/>
      <c r="L449" s="6">
        <v>932</v>
      </c>
      <c r="M449" s="6">
        <v>9646</v>
      </c>
      <c r="N449" s="6">
        <v>382</v>
      </c>
      <c r="O449" s="9">
        <v>1556</v>
      </c>
      <c r="P449" s="9">
        <v>7514</v>
      </c>
      <c r="Q449" s="6">
        <v>576</v>
      </c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1:29" ht="14.5" x14ac:dyDescent="0.35">
      <c r="A450" s="13">
        <v>44339</v>
      </c>
      <c r="B450" s="6">
        <v>8</v>
      </c>
      <c r="C450" s="14">
        <v>44339.333333333336</v>
      </c>
      <c r="D450" s="6">
        <v>424009</v>
      </c>
      <c r="E450" s="6">
        <v>406669</v>
      </c>
      <c r="F450" s="6">
        <v>7207</v>
      </c>
      <c r="G450" s="6">
        <v>4744</v>
      </c>
      <c r="H450" s="6">
        <v>5389</v>
      </c>
      <c r="I450" s="8"/>
      <c r="J450" s="8"/>
      <c r="K450" s="8"/>
      <c r="L450" s="6">
        <v>867</v>
      </c>
      <c r="M450" s="6">
        <v>10133</v>
      </c>
      <c r="N450" s="6">
        <v>369</v>
      </c>
      <c r="O450" s="6">
        <v>1479</v>
      </c>
      <c r="P450" s="6">
        <v>7469</v>
      </c>
      <c r="Q450" s="6">
        <v>1185</v>
      </c>
    </row>
    <row r="451" spans="1:29" ht="14.5" x14ac:dyDescent="0.35">
      <c r="A451" s="13">
        <v>44340</v>
      </c>
      <c r="B451" s="6">
        <v>8</v>
      </c>
      <c r="C451" s="14">
        <v>44340.333333333336</v>
      </c>
      <c r="D451" s="4">
        <v>424828</v>
      </c>
      <c r="E451" s="4">
        <v>406987</v>
      </c>
      <c r="F451" s="4">
        <v>7225</v>
      </c>
      <c r="G451" s="4">
        <v>5079</v>
      </c>
      <c r="H451" s="4">
        <v>5537</v>
      </c>
      <c r="L451" s="4">
        <v>819</v>
      </c>
      <c r="M451" s="4">
        <v>10616</v>
      </c>
      <c r="N451" s="4">
        <v>318</v>
      </c>
      <c r="O451" s="4">
        <v>1837</v>
      </c>
      <c r="P451" s="4">
        <v>8217</v>
      </c>
      <c r="Q451" s="4">
        <v>562</v>
      </c>
    </row>
    <row r="452" spans="1:29" ht="14.5" x14ac:dyDescent="0.35">
      <c r="A452" s="13">
        <v>44341</v>
      </c>
      <c r="B452" s="6">
        <v>8</v>
      </c>
      <c r="C452" s="14">
        <v>44341.333333333336</v>
      </c>
      <c r="D452" s="4">
        <v>425212</v>
      </c>
      <c r="E452" s="4">
        <v>407493</v>
      </c>
      <c r="F452" s="4">
        <v>7239</v>
      </c>
      <c r="G452" s="4">
        <v>5017</v>
      </c>
      <c r="H452" s="4">
        <v>5463</v>
      </c>
      <c r="L452" s="4">
        <v>384</v>
      </c>
      <c r="M452" s="4">
        <v>10480</v>
      </c>
      <c r="N452" s="4">
        <v>506</v>
      </c>
      <c r="O452" s="4">
        <v>1737</v>
      </c>
      <c r="P452" s="4">
        <v>7878</v>
      </c>
      <c r="Q452" s="4">
        <v>865</v>
      </c>
    </row>
    <row r="453" spans="1:29" ht="12.5" x14ac:dyDescent="0.25">
      <c r="A453" s="2">
        <v>44342</v>
      </c>
      <c r="B453" s="4">
        <v>8</v>
      </c>
      <c r="C453" s="3">
        <v>44342.333333333336</v>
      </c>
      <c r="D453" s="4">
        <v>425829</v>
      </c>
      <c r="E453" s="4">
        <v>408019</v>
      </c>
      <c r="F453" s="4">
        <v>7250</v>
      </c>
      <c r="G453" s="4">
        <v>4993</v>
      </c>
      <c r="H453" s="4">
        <v>5567</v>
      </c>
      <c r="L453" s="4">
        <v>617</v>
      </c>
      <c r="M453" s="4">
        <v>10560</v>
      </c>
      <c r="N453" s="4">
        <v>526</v>
      </c>
      <c r="O453" s="4">
        <v>1619</v>
      </c>
      <c r="P453" s="4">
        <v>7619</v>
      </c>
      <c r="Q453" s="4">
        <v>1322</v>
      </c>
    </row>
    <row r="454" spans="1:29" ht="12.5" x14ac:dyDescent="0.25">
      <c r="A454" s="2">
        <v>44343</v>
      </c>
      <c r="B454" s="4">
        <v>8</v>
      </c>
      <c r="C454" s="3">
        <v>44343.333333333336</v>
      </c>
      <c r="D454" s="4">
        <v>426769</v>
      </c>
      <c r="E454" s="4">
        <v>408585</v>
      </c>
      <c r="F454" s="4">
        <v>7271</v>
      </c>
      <c r="G454" s="4">
        <v>5280</v>
      </c>
      <c r="H454" s="4">
        <v>5633</v>
      </c>
      <c r="L454" s="4">
        <v>940</v>
      </c>
      <c r="M454" s="4">
        <v>10913</v>
      </c>
      <c r="N454" s="4">
        <v>566</v>
      </c>
      <c r="O454" s="4">
        <v>1937</v>
      </c>
      <c r="P454" s="4">
        <v>8364</v>
      </c>
      <c r="Q454" s="4">
        <v>612</v>
      </c>
    </row>
    <row r="455" spans="1:29" ht="12.5" x14ac:dyDescent="0.25">
      <c r="A455" s="2">
        <v>44344</v>
      </c>
      <c r="B455" s="4">
        <v>8</v>
      </c>
      <c r="C455" s="3">
        <v>44344.333333333336</v>
      </c>
      <c r="D455" s="4">
        <v>427462</v>
      </c>
      <c r="E455" s="4">
        <v>409497</v>
      </c>
      <c r="F455" s="4">
        <v>7288</v>
      </c>
      <c r="G455" s="4">
        <v>5161</v>
      </c>
      <c r="H455" s="4">
        <v>5516</v>
      </c>
      <c r="L455" s="4">
        <v>693</v>
      </c>
      <c r="M455" s="4">
        <v>10677</v>
      </c>
      <c r="N455" s="4">
        <v>912</v>
      </c>
      <c r="O455" s="4">
        <v>1658</v>
      </c>
      <c r="P455" s="4">
        <v>7859</v>
      </c>
      <c r="Q455" s="4">
        <v>1160</v>
      </c>
    </row>
    <row r="456" spans="1:29" ht="12.5" x14ac:dyDescent="0.25">
      <c r="A456" s="2">
        <v>44345</v>
      </c>
      <c r="B456" s="4">
        <v>8</v>
      </c>
      <c r="C456" s="3">
        <v>44345.333333333336</v>
      </c>
      <c r="D456" s="4">
        <v>428269</v>
      </c>
      <c r="E456" s="4">
        <v>410508</v>
      </c>
      <c r="F456" s="4">
        <v>7296</v>
      </c>
      <c r="G456" s="4">
        <v>5004</v>
      </c>
      <c r="H456" s="4">
        <v>5461</v>
      </c>
      <c r="L456" s="4">
        <v>807</v>
      </c>
      <c r="M456" s="4">
        <v>10465</v>
      </c>
      <c r="N456" s="4">
        <v>1011</v>
      </c>
      <c r="O456" s="4">
        <v>1557</v>
      </c>
      <c r="P456" s="4">
        <v>7184</v>
      </c>
      <c r="Q456" s="4">
        <v>1724</v>
      </c>
    </row>
    <row r="457" spans="1:29" ht="14.5" x14ac:dyDescent="0.35">
      <c r="A457" s="2">
        <v>44346</v>
      </c>
      <c r="B457" s="9">
        <v>8</v>
      </c>
      <c r="C457" s="3">
        <v>44346.333333333336</v>
      </c>
      <c r="D457" s="6">
        <v>429333</v>
      </c>
      <c r="E457" s="6">
        <v>411495</v>
      </c>
      <c r="F457" s="6">
        <v>7309</v>
      </c>
      <c r="G457" s="6">
        <v>5100</v>
      </c>
      <c r="H457" s="6">
        <v>5429</v>
      </c>
      <c r="I457" s="8"/>
      <c r="J457" s="8"/>
      <c r="K457" s="8"/>
      <c r="L457" s="6">
        <v>1064</v>
      </c>
      <c r="M457" s="6">
        <v>10529</v>
      </c>
      <c r="N457" s="6">
        <v>987</v>
      </c>
      <c r="O457" s="9">
        <v>1375</v>
      </c>
      <c r="P457" s="9">
        <v>6661</v>
      </c>
      <c r="Q457" s="6">
        <v>2493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1:29" ht="12.5" x14ac:dyDescent="0.25">
      <c r="A458" s="2">
        <v>44347</v>
      </c>
      <c r="B458" s="9">
        <v>8</v>
      </c>
      <c r="C458" s="3">
        <v>44347.333333333336</v>
      </c>
      <c r="D458" s="4">
        <v>430059</v>
      </c>
      <c r="E458" s="4">
        <v>412074</v>
      </c>
      <c r="F458" s="4">
        <v>7327</v>
      </c>
      <c r="G458" s="4">
        <v>5241</v>
      </c>
      <c r="H458" s="4">
        <v>5417</v>
      </c>
      <c r="L458" s="4">
        <v>726</v>
      </c>
      <c r="M458" s="4">
        <v>10658</v>
      </c>
      <c r="N458" s="4">
        <v>579</v>
      </c>
      <c r="O458" s="4">
        <v>2117</v>
      </c>
      <c r="P458" s="4">
        <v>8023</v>
      </c>
      <c r="Q458" s="4">
        <v>518</v>
      </c>
    </row>
    <row r="459" spans="1:29" ht="12.5" x14ac:dyDescent="0.25">
      <c r="A459" s="2">
        <v>44348</v>
      </c>
      <c r="B459" s="9">
        <v>8</v>
      </c>
      <c r="C459" s="3">
        <v>44348.333333333336</v>
      </c>
      <c r="D459" s="10">
        <v>430578</v>
      </c>
      <c r="E459" s="10">
        <v>412593</v>
      </c>
      <c r="F459" s="10">
        <v>7349</v>
      </c>
      <c r="G459" s="10">
        <v>5214</v>
      </c>
      <c r="H459" s="10">
        <v>5422</v>
      </c>
      <c r="L459" s="10">
        <v>519</v>
      </c>
      <c r="M459" s="10">
        <v>10636</v>
      </c>
      <c r="N459" s="10">
        <v>519</v>
      </c>
      <c r="O459" s="10">
        <v>1996</v>
      </c>
      <c r="P459" s="10">
        <v>7706</v>
      </c>
      <c r="Q459" s="10">
        <v>934</v>
      </c>
    </row>
    <row r="460" spans="1:29" ht="12.5" x14ac:dyDescent="0.25">
      <c r="A460" s="2">
        <v>44349</v>
      </c>
      <c r="B460" s="9">
        <v>8</v>
      </c>
      <c r="C460" s="3">
        <v>44349.333333333336</v>
      </c>
      <c r="D460" s="4">
        <v>431179</v>
      </c>
      <c r="E460" s="4">
        <v>413179</v>
      </c>
      <c r="F460" s="4">
        <v>7361</v>
      </c>
      <c r="G460" s="4">
        <v>5178</v>
      </c>
      <c r="H460" s="4">
        <v>5461</v>
      </c>
      <c r="L460" s="4">
        <v>601</v>
      </c>
      <c r="M460" s="4">
        <v>10639</v>
      </c>
      <c r="N460" s="4">
        <v>586</v>
      </c>
      <c r="O460" s="4">
        <v>1951</v>
      </c>
      <c r="P460" s="4">
        <v>7330</v>
      </c>
      <c r="Q460" s="4">
        <v>1358</v>
      </c>
    </row>
    <row r="461" spans="1:29" ht="12.5" x14ac:dyDescent="0.25">
      <c r="A461" s="2">
        <v>44350</v>
      </c>
      <c r="B461" s="9">
        <v>8</v>
      </c>
      <c r="C461" s="3">
        <v>44350.333333333336</v>
      </c>
      <c r="D461" s="4">
        <v>431893</v>
      </c>
      <c r="E461" s="4">
        <v>413680</v>
      </c>
      <c r="F461" s="4">
        <v>7381</v>
      </c>
      <c r="G461" s="4">
        <v>5402</v>
      </c>
      <c r="H461" s="4">
        <v>5430</v>
      </c>
      <c r="L461" s="4">
        <v>714</v>
      </c>
      <c r="M461" s="4">
        <v>10832</v>
      </c>
      <c r="N461" s="4">
        <v>501</v>
      </c>
      <c r="O461" s="4">
        <v>1811</v>
      </c>
      <c r="P461" s="4">
        <v>7116</v>
      </c>
      <c r="Q461" s="4">
        <v>1905</v>
      </c>
    </row>
    <row r="462" spans="1:29" ht="12.5" x14ac:dyDescent="0.25">
      <c r="A462" s="2">
        <v>44351</v>
      </c>
      <c r="B462" s="4">
        <v>8</v>
      </c>
      <c r="C462" s="3">
        <v>44351.333333333336</v>
      </c>
      <c r="D462" s="4">
        <v>432799</v>
      </c>
      <c r="E462" s="4">
        <v>414496</v>
      </c>
      <c r="F462" s="4">
        <v>7402</v>
      </c>
      <c r="G462" s="4">
        <v>5414</v>
      </c>
      <c r="H462" s="4">
        <v>5487</v>
      </c>
      <c r="L462" s="4">
        <v>906</v>
      </c>
      <c r="M462" s="4">
        <v>10901</v>
      </c>
      <c r="N462" s="4">
        <v>816</v>
      </c>
      <c r="O462" s="4">
        <v>2618</v>
      </c>
      <c r="P462" s="4">
        <v>7650</v>
      </c>
      <c r="Q462" s="4">
        <v>633</v>
      </c>
    </row>
    <row r="463" spans="1:29" ht="12.5" x14ac:dyDescent="0.25">
      <c r="A463" s="2">
        <v>44352</v>
      </c>
      <c r="B463" s="4">
        <v>8</v>
      </c>
      <c r="C463" s="3">
        <v>44352.333333333336</v>
      </c>
      <c r="D463" s="4">
        <v>434116</v>
      </c>
      <c r="E463" s="4">
        <v>415317</v>
      </c>
      <c r="F463" s="4">
        <v>7423</v>
      </c>
      <c r="G463" s="4">
        <v>5756</v>
      </c>
      <c r="H463" s="4">
        <v>5620</v>
      </c>
      <c r="L463" s="4">
        <v>1317</v>
      </c>
      <c r="M463" s="4">
        <v>11376</v>
      </c>
      <c r="N463" s="4">
        <v>821</v>
      </c>
      <c r="O463" s="4">
        <v>2404</v>
      </c>
      <c r="P463" s="4">
        <v>7279</v>
      </c>
      <c r="Q463" s="4">
        <v>1693</v>
      </c>
    </row>
    <row r="464" spans="1:29" ht="14.5" x14ac:dyDescent="0.35">
      <c r="A464" s="2">
        <v>44353</v>
      </c>
      <c r="B464" s="9">
        <v>8</v>
      </c>
      <c r="C464" s="3">
        <v>44353.333333333336</v>
      </c>
      <c r="D464" s="6">
        <v>435135</v>
      </c>
      <c r="E464" s="6">
        <v>416181</v>
      </c>
      <c r="F464" s="6">
        <v>7438</v>
      </c>
      <c r="G464" s="6">
        <v>5966</v>
      </c>
      <c r="H464" s="6">
        <v>5550</v>
      </c>
      <c r="I464" s="8"/>
      <c r="J464" s="8"/>
      <c r="K464" s="8"/>
      <c r="L464" s="6">
        <v>1019</v>
      </c>
      <c r="M464" s="6">
        <v>11516</v>
      </c>
      <c r="N464" s="6">
        <v>864</v>
      </c>
      <c r="O464" s="9">
        <v>1901</v>
      </c>
      <c r="P464" s="9">
        <v>7135</v>
      </c>
      <c r="Q464" s="6">
        <v>2480</v>
      </c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1:29" ht="12.5" x14ac:dyDescent="0.25">
      <c r="A465" s="2">
        <v>44354</v>
      </c>
      <c r="B465" s="9">
        <v>8</v>
      </c>
      <c r="C465" s="3">
        <v>44354.333333333336</v>
      </c>
      <c r="D465" s="10">
        <v>436332</v>
      </c>
      <c r="E465" s="10">
        <v>416994</v>
      </c>
      <c r="F465" s="10">
        <v>7457</v>
      </c>
      <c r="G465" s="10">
        <v>6261</v>
      </c>
      <c r="H465" s="10">
        <v>5620</v>
      </c>
      <c r="L465" s="10">
        <v>1197</v>
      </c>
      <c r="M465" s="10">
        <v>11881</v>
      </c>
      <c r="N465" s="10">
        <v>813</v>
      </c>
      <c r="O465" s="10">
        <v>2412</v>
      </c>
      <c r="P465" s="10">
        <v>8576</v>
      </c>
      <c r="Q465" s="10">
        <v>893</v>
      </c>
    </row>
    <row r="466" spans="1:29" ht="12.5" x14ac:dyDescent="0.25">
      <c r="A466" s="2">
        <v>44355</v>
      </c>
      <c r="B466" s="9">
        <v>8</v>
      </c>
      <c r="C466" s="3">
        <v>44355.333333333336</v>
      </c>
      <c r="D466" s="4">
        <v>437087</v>
      </c>
      <c r="E466" s="4">
        <v>417997</v>
      </c>
      <c r="F466" s="4">
        <v>7478</v>
      </c>
      <c r="G466" s="4">
        <v>6057</v>
      </c>
      <c r="H466" s="4">
        <v>5555</v>
      </c>
      <c r="L466" s="4">
        <v>755</v>
      </c>
      <c r="M466" s="4">
        <v>11612</v>
      </c>
      <c r="N466" s="4">
        <v>1003</v>
      </c>
      <c r="O466" s="4">
        <v>2186</v>
      </c>
      <c r="P466" s="4">
        <v>7949</v>
      </c>
      <c r="Q466" s="4">
        <v>1477</v>
      </c>
    </row>
    <row r="467" spans="1:29" ht="12.5" x14ac:dyDescent="0.25">
      <c r="A467" s="2">
        <v>44356</v>
      </c>
      <c r="B467" s="4">
        <v>8</v>
      </c>
      <c r="C467" s="3">
        <v>44356.333333333336</v>
      </c>
      <c r="D467" s="4">
        <v>438458</v>
      </c>
      <c r="E467" s="4">
        <v>419109</v>
      </c>
      <c r="F467" s="4">
        <v>7499</v>
      </c>
      <c r="G467" s="4">
        <v>6120</v>
      </c>
      <c r="H467" s="4">
        <v>5730</v>
      </c>
      <c r="L467" s="4">
        <v>1371</v>
      </c>
      <c r="M467" s="4">
        <v>11850</v>
      </c>
      <c r="N467" s="4">
        <v>1112</v>
      </c>
      <c r="O467" s="4">
        <v>1992</v>
      </c>
      <c r="P467" s="4">
        <v>7270</v>
      </c>
      <c r="Q467" s="4">
        <v>2588</v>
      </c>
    </row>
    <row r="468" spans="1:29" ht="12.5" x14ac:dyDescent="0.25">
      <c r="A468" s="2">
        <v>44357</v>
      </c>
      <c r="B468" s="4">
        <v>8</v>
      </c>
      <c r="C468" s="3">
        <v>44357.333333333336</v>
      </c>
      <c r="D468" s="4">
        <v>440554</v>
      </c>
      <c r="E468" s="4">
        <v>420211</v>
      </c>
      <c r="F468" s="4">
        <v>7523</v>
      </c>
      <c r="G468" s="4">
        <v>6991</v>
      </c>
      <c r="H468" s="4">
        <v>5829</v>
      </c>
      <c r="L468" s="4">
        <v>2096</v>
      </c>
      <c r="M468" s="4">
        <v>12820</v>
      </c>
      <c r="N468" s="4">
        <v>1102</v>
      </c>
      <c r="O468" s="4">
        <v>1789</v>
      </c>
      <c r="P468" s="4">
        <v>6881</v>
      </c>
      <c r="Q468" s="4">
        <v>4150</v>
      </c>
    </row>
    <row r="469" spans="1:29" ht="14.5" x14ac:dyDescent="0.35">
      <c r="A469" s="2">
        <v>44358</v>
      </c>
      <c r="B469" s="9">
        <v>8</v>
      </c>
      <c r="C469" s="3">
        <v>44358.333333333336</v>
      </c>
      <c r="D469" s="6">
        <v>442847</v>
      </c>
      <c r="E469" s="6">
        <v>421396</v>
      </c>
      <c r="F469" s="6">
        <v>7543</v>
      </c>
      <c r="G469" s="6">
        <v>7750</v>
      </c>
      <c r="H469" s="6">
        <v>6158</v>
      </c>
      <c r="I469" s="8"/>
      <c r="J469" s="8"/>
      <c r="K469" s="8"/>
      <c r="L469" s="6">
        <v>2293</v>
      </c>
      <c r="M469" s="6">
        <v>13908</v>
      </c>
      <c r="N469" s="6">
        <v>1185</v>
      </c>
      <c r="O469" s="15">
        <v>1456</v>
      </c>
      <c r="P469" s="15">
        <v>6442</v>
      </c>
      <c r="Q469" s="6">
        <v>6010</v>
      </c>
    </row>
    <row r="470" spans="1:29" ht="14.5" x14ac:dyDescent="0.35">
      <c r="A470" s="2">
        <v>44359</v>
      </c>
      <c r="B470" s="4">
        <v>8</v>
      </c>
      <c r="C470" s="3">
        <v>44359.333333333336</v>
      </c>
      <c r="D470" s="6">
        <v>445302</v>
      </c>
      <c r="E470" s="6">
        <v>422121</v>
      </c>
      <c r="F470" s="6">
        <v>7557</v>
      </c>
      <c r="G470" s="6">
        <v>8855</v>
      </c>
      <c r="H470" s="6">
        <v>6769</v>
      </c>
      <c r="I470" s="8"/>
      <c r="J470" s="8"/>
      <c r="K470" s="8"/>
      <c r="L470" s="6">
        <v>2455</v>
      </c>
      <c r="M470" s="6">
        <v>15624</v>
      </c>
      <c r="N470" s="6">
        <v>725</v>
      </c>
      <c r="O470" s="15">
        <v>1289</v>
      </c>
      <c r="P470" s="15">
        <v>6395</v>
      </c>
      <c r="Q470" s="6">
        <v>7940</v>
      </c>
    </row>
    <row r="471" spans="1:29" ht="14.5" x14ac:dyDescent="0.35">
      <c r="A471" s="2">
        <v>44360</v>
      </c>
      <c r="B471" s="9">
        <v>8</v>
      </c>
      <c r="C471" s="3">
        <v>44360.333333333336</v>
      </c>
      <c r="D471" s="6">
        <v>448071</v>
      </c>
      <c r="E471" s="6">
        <v>423056</v>
      </c>
      <c r="F471" s="6">
        <v>7571</v>
      </c>
      <c r="G471" s="6">
        <v>10034</v>
      </c>
      <c r="H471" s="6">
        <v>7410</v>
      </c>
      <c r="I471" s="8"/>
      <c r="J471" s="8"/>
      <c r="K471" s="8"/>
      <c r="L471" s="6">
        <v>2769</v>
      </c>
      <c r="M471" s="6">
        <v>17444</v>
      </c>
      <c r="N471" s="6">
        <v>935</v>
      </c>
      <c r="O471" s="9">
        <v>1117</v>
      </c>
      <c r="P471" s="9">
        <v>6352</v>
      </c>
      <c r="Q471" s="6">
        <v>9975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1:29" ht="14.5" x14ac:dyDescent="0.35">
      <c r="A472" s="2">
        <v>44361</v>
      </c>
      <c r="B472" s="9">
        <v>8</v>
      </c>
      <c r="C472" s="3">
        <v>44361.333333333336</v>
      </c>
      <c r="D472" s="6">
        <v>450793</v>
      </c>
      <c r="E472" s="6">
        <v>424088</v>
      </c>
      <c r="F472" s="6">
        <v>7609</v>
      </c>
      <c r="G472" s="6">
        <v>11240</v>
      </c>
      <c r="H472" s="6">
        <v>7856</v>
      </c>
      <c r="I472" s="8"/>
      <c r="J472" s="8"/>
      <c r="K472" s="8"/>
      <c r="L472" s="6">
        <v>2722</v>
      </c>
      <c r="M472" s="6">
        <v>19096</v>
      </c>
      <c r="N472" s="6">
        <v>1032</v>
      </c>
      <c r="O472" s="15">
        <v>4032</v>
      </c>
      <c r="P472" s="15">
        <v>13945</v>
      </c>
      <c r="Q472" s="6">
        <v>1119</v>
      </c>
    </row>
    <row r="473" spans="1:29" ht="14.5" x14ac:dyDescent="0.35">
      <c r="A473" s="2">
        <v>44362</v>
      </c>
      <c r="B473" s="4">
        <v>8</v>
      </c>
      <c r="C473" s="3">
        <v>44362.333333333336</v>
      </c>
      <c r="D473" s="6">
        <v>452295</v>
      </c>
      <c r="E473" s="6">
        <v>425417</v>
      </c>
      <c r="F473" s="6">
        <v>7634</v>
      </c>
      <c r="G473" s="6">
        <v>11102</v>
      </c>
      <c r="H473" s="6">
        <v>8142</v>
      </c>
      <c r="I473" s="8"/>
      <c r="J473" s="8"/>
      <c r="K473" s="8"/>
      <c r="L473" s="6">
        <v>1502</v>
      </c>
      <c r="M473" s="6">
        <v>19244</v>
      </c>
      <c r="N473" s="6">
        <v>1329</v>
      </c>
      <c r="O473" s="15">
        <v>3746</v>
      </c>
      <c r="P473" s="15">
        <v>13108</v>
      </c>
      <c r="Q473" s="6">
        <v>2390</v>
      </c>
    </row>
    <row r="474" spans="1:29" ht="12.5" x14ac:dyDescent="0.25">
      <c r="A474" s="2">
        <v>44363</v>
      </c>
      <c r="B474" s="4">
        <v>8</v>
      </c>
      <c r="C474" s="3">
        <v>44363.333333333336</v>
      </c>
      <c r="D474" s="4">
        <v>454671</v>
      </c>
      <c r="E474" s="4">
        <v>426695</v>
      </c>
      <c r="F474" s="4">
        <v>7665</v>
      </c>
      <c r="G474" s="4">
        <v>11555</v>
      </c>
      <c r="H474" s="4">
        <v>8756</v>
      </c>
      <c r="L474" s="4">
        <v>2376</v>
      </c>
      <c r="M474" s="4">
        <v>20311</v>
      </c>
      <c r="N474" s="4">
        <v>1278</v>
      </c>
      <c r="O474" s="4">
        <v>3458</v>
      </c>
      <c r="P474" s="4">
        <v>12419</v>
      </c>
      <c r="Q474" s="4">
        <v>4434</v>
      </c>
    </row>
    <row r="475" spans="1:29" ht="12.5" x14ac:dyDescent="0.25">
      <c r="A475" s="2">
        <v>44364</v>
      </c>
      <c r="B475" s="4">
        <v>8</v>
      </c>
      <c r="C475" s="3">
        <v>44364.333333333336</v>
      </c>
      <c r="D475" s="4">
        <v>458815</v>
      </c>
      <c r="E475" s="4">
        <v>428764</v>
      </c>
      <c r="F475" s="4">
        <v>7713</v>
      </c>
      <c r="G475" s="4">
        <v>13054</v>
      </c>
      <c r="H475" s="4">
        <v>9284</v>
      </c>
      <c r="L475" s="4">
        <v>4144</v>
      </c>
      <c r="M475" s="4">
        <v>22338</v>
      </c>
      <c r="N475" s="4">
        <v>2069</v>
      </c>
      <c r="O475" s="4">
        <v>2882</v>
      </c>
      <c r="P475" s="4">
        <v>11788</v>
      </c>
      <c r="Q475" s="4">
        <v>7668</v>
      </c>
    </row>
    <row r="476" spans="1:29" ht="12.5" x14ac:dyDescent="0.25">
      <c r="A476" s="2">
        <v>44365</v>
      </c>
      <c r="B476" s="4">
        <v>8</v>
      </c>
      <c r="C476" s="3">
        <v>44365.333333333336</v>
      </c>
      <c r="D476" s="4">
        <v>463552</v>
      </c>
      <c r="E476" s="4">
        <v>431264</v>
      </c>
      <c r="F476" s="4">
        <v>7777</v>
      </c>
      <c r="G476" s="4">
        <v>14951</v>
      </c>
      <c r="H476" s="4">
        <v>9560</v>
      </c>
      <c r="L476" s="4">
        <v>4737</v>
      </c>
      <c r="M476" s="4">
        <v>24511</v>
      </c>
      <c r="N476" s="4">
        <v>2500</v>
      </c>
      <c r="O476" s="4">
        <v>2531</v>
      </c>
      <c r="P476" s="4">
        <v>10655</v>
      </c>
      <c r="Q476" s="4">
        <v>11325</v>
      </c>
    </row>
    <row r="477" spans="1:29" ht="12.5" x14ac:dyDescent="0.25">
      <c r="A477" s="2">
        <v>44366</v>
      </c>
      <c r="B477" s="4">
        <v>8</v>
      </c>
      <c r="C477" s="3">
        <v>44366.333333333336</v>
      </c>
      <c r="D477" s="4">
        <v>468447</v>
      </c>
      <c r="E477" s="4">
        <v>433499</v>
      </c>
      <c r="F477" s="4">
        <v>7836</v>
      </c>
      <c r="G477" s="4">
        <v>16787</v>
      </c>
      <c r="H477" s="4">
        <v>10325</v>
      </c>
      <c r="L477" s="4">
        <v>4895</v>
      </c>
      <c r="M477" s="4">
        <v>27112</v>
      </c>
      <c r="N477" s="4">
        <v>2235</v>
      </c>
      <c r="O477" s="4">
        <v>1840</v>
      </c>
      <c r="P477" s="4">
        <v>9740</v>
      </c>
      <c r="Q477" s="4">
        <v>15532</v>
      </c>
    </row>
    <row r="478" spans="1:29" ht="14.5" x14ac:dyDescent="0.35">
      <c r="A478" s="2">
        <v>44367</v>
      </c>
      <c r="B478" s="9">
        <v>8</v>
      </c>
      <c r="C478" s="3">
        <v>44367.333333333336</v>
      </c>
      <c r="D478" s="6">
        <v>474029</v>
      </c>
      <c r="E478" s="6">
        <v>435982</v>
      </c>
      <c r="F478" s="6">
        <v>7905</v>
      </c>
      <c r="G478" s="6">
        <v>19105</v>
      </c>
      <c r="H478" s="6">
        <v>11037</v>
      </c>
      <c r="I478" s="8"/>
      <c r="J478" s="8"/>
      <c r="K478" s="8"/>
      <c r="L478" s="6">
        <v>5582</v>
      </c>
      <c r="M478" s="6">
        <v>30142</v>
      </c>
      <c r="N478" s="6">
        <v>2483</v>
      </c>
      <c r="O478" s="9">
        <v>1325</v>
      </c>
      <c r="P478" s="9">
        <v>8734</v>
      </c>
      <c r="Q478" s="6">
        <v>20083</v>
      </c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1:29" ht="14.5" x14ac:dyDescent="0.35">
      <c r="A479" s="2">
        <v>44368</v>
      </c>
      <c r="B479" s="4">
        <v>8</v>
      </c>
      <c r="C479" s="3">
        <v>44368.333333333336</v>
      </c>
      <c r="D479" s="6">
        <v>479043</v>
      </c>
      <c r="E479" s="6">
        <v>439007</v>
      </c>
      <c r="F479" s="6">
        <v>7976</v>
      </c>
      <c r="G479" s="6">
        <v>20717</v>
      </c>
      <c r="H479" s="6">
        <v>11343</v>
      </c>
      <c r="I479" s="8"/>
      <c r="J479" s="8"/>
      <c r="K479" s="8"/>
      <c r="L479" s="6">
        <v>5014</v>
      </c>
      <c r="M479" s="6">
        <v>32060</v>
      </c>
      <c r="N479" s="6">
        <v>3025</v>
      </c>
      <c r="O479" s="6">
        <v>8039</v>
      </c>
      <c r="P479" s="6">
        <v>19670</v>
      </c>
      <c r="Q479" s="6">
        <v>4351</v>
      </c>
    </row>
    <row r="480" spans="1:29" ht="14.5" x14ac:dyDescent="0.35">
      <c r="A480" s="2">
        <v>44369</v>
      </c>
      <c r="B480" s="9">
        <v>8</v>
      </c>
      <c r="C480" s="3">
        <v>44369.333333333336</v>
      </c>
      <c r="D480" s="6">
        <v>482264</v>
      </c>
      <c r="E480" s="6">
        <v>442059</v>
      </c>
      <c r="F480" s="6">
        <v>8014</v>
      </c>
      <c r="G480" s="6">
        <v>21167</v>
      </c>
      <c r="H480" s="6">
        <v>11024</v>
      </c>
      <c r="I480" s="8"/>
      <c r="J480" s="8"/>
      <c r="K480" s="8"/>
      <c r="L480" s="6">
        <v>3221</v>
      </c>
      <c r="M480" s="6">
        <v>32191</v>
      </c>
      <c r="N480" s="6">
        <v>3052</v>
      </c>
      <c r="O480" s="6">
        <v>6351</v>
      </c>
      <c r="P480" s="6">
        <v>16241</v>
      </c>
      <c r="Q480" s="6">
        <v>9599</v>
      </c>
    </row>
    <row r="481" spans="1:29" ht="12.5" x14ac:dyDescent="0.25">
      <c r="A481" s="2">
        <v>44370</v>
      </c>
      <c r="B481" s="9">
        <v>8</v>
      </c>
      <c r="C481" s="3">
        <v>44370.333333333336</v>
      </c>
      <c r="D481" s="4">
        <v>486957</v>
      </c>
      <c r="E481" s="4">
        <v>443195</v>
      </c>
      <c r="F481" s="4">
        <v>8057</v>
      </c>
      <c r="G481" s="4">
        <v>22868</v>
      </c>
      <c r="H481" s="4">
        <v>12837</v>
      </c>
      <c r="L481" s="4">
        <v>4693</v>
      </c>
      <c r="M481" s="4">
        <v>35705</v>
      </c>
      <c r="N481" s="4">
        <v>1136</v>
      </c>
      <c r="O481" s="4">
        <v>6163</v>
      </c>
      <c r="P481" s="4">
        <v>15906</v>
      </c>
      <c r="Q481" s="4">
        <v>13636</v>
      </c>
    </row>
    <row r="482" spans="1:29" ht="12.5" x14ac:dyDescent="0.25">
      <c r="A482" s="2">
        <v>44371</v>
      </c>
      <c r="B482" s="9">
        <v>8</v>
      </c>
      <c r="C482" s="3">
        <v>44371.333333333336</v>
      </c>
      <c r="D482" s="4">
        <v>494462</v>
      </c>
      <c r="E482" s="4">
        <v>445718</v>
      </c>
      <c r="F482" s="4">
        <v>8107</v>
      </c>
      <c r="G482" s="4">
        <v>26403</v>
      </c>
      <c r="H482" s="4">
        <v>14234</v>
      </c>
      <c r="L482" s="4">
        <v>7505</v>
      </c>
      <c r="M482" s="4">
        <v>40637</v>
      </c>
      <c r="N482" s="4">
        <v>2523</v>
      </c>
      <c r="O482" s="4">
        <v>5567</v>
      </c>
      <c r="P482" s="4">
        <v>15624</v>
      </c>
      <c r="Q482" s="4">
        <v>19446</v>
      </c>
    </row>
    <row r="483" spans="1:29" ht="12.5" x14ac:dyDescent="0.25">
      <c r="A483" s="2">
        <v>44372</v>
      </c>
      <c r="B483" s="4">
        <v>8</v>
      </c>
      <c r="C483" s="3">
        <v>44372.333333333336</v>
      </c>
      <c r="D483" s="4">
        <v>501396</v>
      </c>
      <c r="E483" s="4">
        <v>448288</v>
      </c>
      <c r="F483" s="4">
        <v>8177</v>
      </c>
      <c r="G483" s="4">
        <v>29325</v>
      </c>
      <c r="H483" s="4">
        <v>15606</v>
      </c>
      <c r="L483" s="4">
        <v>6934</v>
      </c>
      <c r="M483" s="4">
        <v>44931</v>
      </c>
      <c r="N483" s="4">
        <v>2570</v>
      </c>
      <c r="O483" s="4">
        <v>5170</v>
      </c>
      <c r="P483" s="4">
        <v>14668</v>
      </c>
      <c r="Q483" s="4">
        <v>25093</v>
      </c>
    </row>
    <row r="484" spans="1:29" ht="14.5" x14ac:dyDescent="0.35">
      <c r="A484" s="2">
        <v>44373</v>
      </c>
      <c r="B484" s="9">
        <v>8</v>
      </c>
      <c r="C484" s="3">
        <v>44373.333333333336</v>
      </c>
      <c r="D484" s="6">
        <v>510667</v>
      </c>
      <c r="E484" s="6">
        <v>451013</v>
      </c>
      <c r="F484" s="6">
        <v>8220</v>
      </c>
      <c r="G484" s="6">
        <v>33829</v>
      </c>
      <c r="H484" s="6">
        <v>17605</v>
      </c>
      <c r="I484" s="8"/>
      <c r="J484" s="8"/>
      <c r="K484" s="8"/>
      <c r="L484" s="6">
        <v>9271</v>
      </c>
      <c r="M484" s="6">
        <v>51434</v>
      </c>
      <c r="N484" s="6">
        <v>2725</v>
      </c>
      <c r="O484" s="9">
        <v>4381</v>
      </c>
      <c r="P484" s="9">
        <v>14547</v>
      </c>
      <c r="Q484" s="6">
        <v>32506</v>
      </c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ht="12.5" x14ac:dyDescent="0.25">
      <c r="A485" s="2">
        <v>44374</v>
      </c>
      <c r="B485" s="4">
        <v>8</v>
      </c>
      <c r="C485" s="3">
        <v>44374.333333333336</v>
      </c>
      <c r="D485" s="4">
        <v>520061</v>
      </c>
      <c r="E485" s="4">
        <v>454497</v>
      </c>
      <c r="F485" s="4">
        <v>8269</v>
      </c>
      <c r="G485" s="4">
        <v>38464</v>
      </c>
      <c r="H485" s="4">
        <v>18831</v>
      </c>
      <c r="L485" s="4">
        <v>9394</v>
      </c>
      <c r="M485" s="4">
        <v>57295</v>
      </c>
      <c r="N485" s="4">
        <v>3484</v>
      </c>
      <c r="O485" s="4">
        <v>3484</v>
      </c>
      <c r="P485" s="4">
        <v>13789</v>
      </c>
      <c r="Q485" s="4">
        <v>40022</v>
      </c>
    </row>
    <row r="486" spans="1:29" ht="14.5" x14ac:dyDescent="0.35">
      <c r="A486" s="2">
        <v>44375</v>
      </c>
      <c r="B486" s="15">
        <v>8</v>
      </c>
      <c r="C486" s="3">
        <v>44375.333333333336</v>
      </c>
      <c r="D486" s="6">
        <v>528409</v>
      </c>
      <c r="E486" s="6">
        <v>457935</v>
      </c>
      <c r="F486" s="6">
        <v>8348</v>
      </c>
      <c r="G486" s="6">
        <v>42252</v>
      </c>
      <c r="H486" s="6">
        <v>19874</v>
      </c>
      <c r="I486" s="8"/>
      <c r="J486" s="8"/>
      <c r="K486" s="8"/>
      <c r="L486" s="6">
        <v>8348</v>
      </c>
      <c r="M486" s="6">
        <v>62126</v>
      </c>
      <c r="N486" s="6">
        <v>3438</v>
      </c>
      <c r="O486" s="6">
        <v>17144</v>
      </c>
      <c r="P486" s="6">
        <v>29461</v>
      </c>
      <c r="Q486" s="6">
        <v>15521</v>
      </c>
    </row>
    <row r="487" spans="1:29" ht="14.5" x14ac:dyDescent="0.35">
      <c r="A487" s="2">
        <v>44376</v>
      </c>
      <c r="B487" s="4">
        <v>8</v>
      </c>
      <c r="C487" s="3">
        <v>44376.333333333336</v>
      </c>
      <c r="D487" s="6">
        <v>535788</v>
      </c>
      <c r="E487" s="6">
        <v>461439</v>
      </c>
      <c r="F487" s="6">
        <v>8426</v>
      </c>
      <c r="G487" s="6">
        <v>45504</v>
      </c>
      <c r="H487" s="6">
        <v>20419</v>
      </c>
      <c r="I487" s="8"/>
      <c r="J487" s="8"/>
      <c r="K487" s="8"/>
      <c r="L487" s="6">
        <v>7379</v>
      </c>
      <c r="M487" s="6">
        <v>65923</v>
      </c>
      <c r="N487" s="6">
        <v>3504</v>
      </c>
      <c r="O487" s="6">
        <v>15706</v>
      </c>
      <c r="P487" s="6">
        <v>28925</v>
      </c>
      <c r="Q487" s="6">
        <v>21292</v>
      </c>
    </row>
    <row r="488" spans="1:29" ht="12.5" x14ac:dyDescent="0.25">
      <c r="A488" s="2">
        <v>44377</v>
      </c>
      <c r="B488" s="4">
        <v>8</v>
      </c>
      <c r="C488" s="3">
        <v>44377.333333333336</v>
      </c>
      <c r="D488" s="4">
        <v>543468</v>
      </c>
      <c r="E488" s="4">
        <v>464943</v>
      </c>
      <c r="F488" s="4">
        <v>8486</v>
      </c>
      <c r="G488" s="4">
        <v>47829</v>
      </c>
      <c r="H488" s="4">
        <v>22210</v>
      </c>
      <c r="L488" s="4">
        <v>7680</v>
      </c>
      <c r="M488" s="4">
        <v>70039</v>
      </c>
      <c r="N488" s="4">
        <v>3504</v>
      </c>
      <c r="O488" s="4">
        <v>14940</v>
      </c>
      <c r="P488" s="4">
        <v>27514</v>
      </c>
      <c r="Q488" s="4">
        <v>27585</v>
      </c>
    </row>
    <row r="489" spans="1:29" ht="12.5" x14ac:dyDescent="0.25">
      <c r="A489" s="2">
        <v>44378</v>
      </c>
      <c r="B489" s="4">
        <v>8</v>
      </c>
      <c r="C489" s="3">
        <v>44378.333333333336</v>
      </c>
      <c r="D489" s="4">
        <v>551009</v>
      </c>
      <c r="E489" s="4">
        <v>468461</v>
      </c>
      <c r="F489" s="4">
        <v>8528</v>
      </c>
      <c r="G489" s="4">
        <v>49836</v>
      </c>
      <c r="H489" s="4">
        <v>24184</v>
      </c>
      <c r="L489" s="4">
        <v>7541</v>
      </c>
      <c r="M489" s="4">
        <v>74020</v>
      </c>
      <c r="N489" s="4">
        <v>3518</v>
      </c>
      <c r="O489" s="4">
        <v>13902</v>
      </c>
      <c r="P489" s="4">
        <v>26151</v>
      </c>
      <c r="Q489" s="4">
        <v>33967</v>
      </c>
    </row>
    <row r="490" spans="1:29" ht="14.5" x14ac:dyDescent="0.35">
      <c r="A490" s="2">
        <v>44379</v>
      </c>
      <c r="B490" s="9">
        <v>8</v>
      </c>
      <c r="C490" s="3">
        <v>44379.333333333336</v>
      </c>
      <c r="D490" s="6">
        <v>560408</v>
      </c>
      <c r="E490" s="6">
        <v>473467</v>
      </c>
      <c r="F490" s="6">
        <v>8547</v>
      </c>
      <c r="G490" s="6">
        <v>53014</v>
      </c>
      <c r="H490" s="6">
        <v>25380</v>
      </c>
      <c r="I490" s="8"/>
      <c r="J490" s="8"/>
      <c r="K490" s="8"/>
      <c r="L490" s="6">
        <v>9399</v>
      </c>
      <c r="M490" s="6">
        <v>78394</v>
      </c>
      <c r="N490" s="6">
        <v>5006</v>
      </c>
      <c r="O490" s="9">
        <v>12103</v>
      </c>
      <c r="P490" s="9">
        <v>25076</v>
      </c>
      <c r="Q490" s="6">
        <v>41215</v>
      </c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1:29" ht="14.5" x14ac:dyDescent="0.35">
      <c r="A491" s="2">
        <v>44380</v>
      </c>
      <c r="B491" s="4">
        <v>8</v>
      </c>
      <c r="C491" s="3">
        <v>44380.333333333336</v>
      </c>
      <c r="D491" s="6">
        <v>570110</v>
      </c>
      <c r="E491" s="6">
        <v>479150</v>
      </c>
      <c r="F491" s="6">
        <v>8577</v>
      </c>
      <c r="G491" s="6">
        <v>54941</v>
      </c>
      <c r="H491" s="6">
        <v>27442</v>
      </c>
      <c r="L491" s="6">
        <v>9702</v>
      </c>
      <c r="M491" s="6">
        <v>82383</v>
      </c>
      <c r="N491" s="6">
        <v>5683</v>
      </c>
      <c r="O491" s="9">
        <v>11310</v>
      </c>
      <c r="P491" s="9">
        <v>21941</v>
      </c>
      <c r="Q491" s="6">
        <v>49132</v>
      </c>
    </row>
    <row r="492" spans="1:29" ht="14.5" x14ac:dyDescent="0.35">
      <c r="A492" s="2">
        <v>44381</v>
      </c>
      <c r="B492" s="9">
        <v>8</v>
      </c>
      <c r="C492" s="3">
        <v>44381.333333333336</v>
      </c>
      <c r="D492" s="6">
        <v>580595</v>
      </c>
      <c r="E492" s="6">
        <v>484949</v>
      </c>
      <c r="F492" s="6">
        <v>8652</v>
      </c>
      <c r="G492" s="6">
        <v>59307</v>
      </c>
      <c r="H492" s="6">
        <v>27687</v>
      </c>
      <c r="I492" s="8"/>
      <c r="J492" s="8"/>
      <c r="K492" s="8"/>
      <c r="L492" s="6">
        <v>10485</v>
      </c>
      <c r="M492" s="6">
        <v>86994</v>
      </c>
      <c r="N492" s="6">
        <v>5799</v>
      </c>
      <c r="O492" s="9">
        <v>8799</v>
      </c>
      <c r="P492" s="9">
        <v>20101</v>
      </c>
      <c r="Q492" s="6">
        <v>58094</v>
      </c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ht="12.5" x14ac:dyDescent="0.25">
      <c r="A493" s="2">
        <v>44382</v>
      </c>
      <c r="B493" s="4">
        <v>8</v>
      </c>
      <c r="C493" s="3">
        <v>44382.333333333336</v>
      </c>
      <c r="D493" s="4">
        <v>591498</v>
      </c>
      <c r="E493" s="4">
        <v>491556</v>
      </c>
      <c r="F493" s="4">
        <v>8779</v>
      </c>
      <c r="G493" s="4">
        <v>62873</v>
      </c>
      <c r="H493" s="4">
        <v>28290</v>
      </c>
      <c r="L493" s="4">
        <v>10903</v>
      </c>
      <c r="M493" s="4">
        <v>91163</v>
      </c>
      <c r="N493" s="4">
        <v>6607</v>
      </c>
      <c r="O493" s="4">
        <v>7598</v>
      </c>
      <c r="P493" s="4">
        <v>20096</v>
      </c>
      <c r="Q493" s="4">
        <v>63469</v>
      </c>
    </row>
    <row r="494" spans="1:29" ht="12.5" x14ac:dyDescent="0.25">
      <c r="A494" s="2">
        <v>44383</v>
      </c>
      <c r="B494" s="4">
        <v>8</v>
      </c>
      <c r="C494" s="3">
        <v>44383.333333333336</v>
      </c>
      <c r="D494" s="4">
        <v>600937</v>
      </c>
      <c r="E494" s="4">
        <v>497492</v>
      </c>
      <c r="F494" s="4">
        <v>8861</v>
      </c>
      <c r="G494" s="4">
        <v>65448</v>
      </c>
      <c r="H494" s="4">
        <v>29136</v>
      </c>
      <c r="L494" s="4">
        <v>9439</v>
      </c>
      <c r="M494" s="4">
        <v>94584</v>
      </c>
      <c r="N494" s="4">
        <v>5936</v>
      </c>
      <c r="O494" s="4">
        <v>18451</v>
      </c>
      <c r="P494" s="4">
        <v>60476</v>
      </c>
      <c r="Q494" s="4">
        <v>15657</v>
      </c>
    </row>
    <row r="495" spans="1:29" ht="14.5" x14ac:dyDescent="0.35">
      <c r="A495" s="2">
        <v>44384</v>
      </c>
      <c r="B495" s="9">
        <v>8</v>
      </c>
      <c r="C495" s="3">
        <v>44384.333333333336</v>
      </c>
      <c r="D495" s="6">
        <v>610303</v>
      </c>
      <c r="E495" s="6">
        <v>501199</v>
      </c>
      <c r="F495" s="6">
        <v>9042</v>
      </c>
      <c r="G495" s="6">
        <v>69644</v>
      </c>
      <c r="H495" s="6">
        <v>30418</v>
      </c>
      <c r="I495" s="8"/>
      <c r="J495" s="8"/>
      <c r="K495" s="8"/>
      <c r="L495" s="6">
        <v>9366</v>
      </c>
      <c r="M495" s="6">
        <v>100062</v>
      </c>
      <c r="N495" s="6">
        <v>3707</v>
      </c>
      <c r="O495" s="6">
        <v>18376</v>
      </c>
      <c r="P495" s="6">
        <v>57521</v>
      </c>
      <c r="Q495" s="6">
        <v>24165</v>
      </c>
    </row>
    <row r="496" spans="1:29" ht="14.5" x14ac:dyDescent="0.35">
      <c r="A496" s="2">
        <v>44385</v>
      </c>
      <c r="B496" s="4">
        <v>8</v>
      </c>
      <c r="C496" s="3">
        <v>44385.333333333336</v>
      </c>
      <c r="D496" s="6">
        <v>623277</v>
      </c>
      <c r="E496" s="6">
        <v>512085</v>
      </c>
      <c r="F496" s="6">
        <v>9110</v>
      </c>
      <c r="G496" s="6">
        <v>72361</v>
      </c>
      <c r="H496" s="6">
        <v>29721</v>
      </c>
      <c r="I496" s="8"/>
      <c r="J496" s="8"/>
      <c r="K496" s="8"/>
      <c r="L496" s="6">
        <v>12974</v>
      </c>
      <c r="M496" s="6">
        <v>102082</v>
      </c>
      <c r="N496" s="6">
        <v>10886</v>
      </c>
      <c r="O496" s="6">
        <v>14748</v>
      </c>
      <c r="P496" s="6">
        <v>50824</v>
      </c>
      <c r="Q496" s="6">
        <v>36510</v>
      </c>
    </row>
    <row r="497" spans="1:29" ht="14.5" x14ac:dyDescent="0.35">
      <c r="A497" s="2">
        <v>44386</v>
      </c>
      <c r="B497" s="6">
        <v>8</v>
      </c>
      <c r="C497" s="3">
        <v>44386.333333333336</v>
      </c>
      <c r="D497" s="6">
        <v>636389</v>
      </c>
      <c r="E497" s="6">
        <v>526941</v>
      </c>
      <c r="F497" s="6">
        <v>9306</v>
      </c>
      <c r="G497" s="6">
        <v>73239</v>
      </c>
      <c r="H497" s="6">
        <v>26903</v>
      </c>
      <c r="I497" s="8"/>
      <c r="J497" s="8"/>
      <c r="K497" s="8"/>
      <c r="L497" s="6">
        <v>13112</v>
      </c>
      <c r="M497" s="6">
        <v>100142</v>
      </c>
      <c r="N497" s="6">
        <v>14856</v>
      </c>
      <c r="O497" s="6">
        <v>10095</v>
      </c>
      <c r="P497" s="6">
        <v>40727</v>
      </c>
      <c r="Q497" s="16">
        <v>49320</v>
      </c>
    </row>
    <row r="498" spans="1:29" ht="12.5" x14ac:dyDescent="0.25">
      <c r="A498" s="2">
        <v>44387</v>
      </c>
      <c r="B498" s="4">
        <v>8</v>
      </c>
      <c r="C498" s="3">
        <v>44387.333333333336</v>
      </c>
      <c r="D498" s="4">
        <v>649309</v>
      </c>
      <c r="E498" s="4">
        <v>543867</v>
      </c>
      <c r="F498" s="4">
        <v>9357</v>
      </c>
      <c r="G498" s="4">
        <v>71812</v>
      </c>
      <c r="H498" s="4">
        <v>24273</v>
      </c>
      <c r="L498" s="4">
        <v>12920</v>
      </c>
      <c r="M498" s="4">
        <v>96085</v>
      </c>
      <c r="N498" s="4">
        <v>16926</v>
      </c>
      <c r="O498" s="4">
        <v>7999</v>
      </c>
      <c r="P498" s="4">
        <v>26379</v>
      </c>
      <c r="Q498" s="4">
        <v>61707</v>
      </c>
    </row>
    <row r="499" spans="1:29" ht="14.5" x14ac:dyDescent="0.35">
      <c r="A499" s="2">
        <v>44388</v>
      </c>
      <c r="B499" s="9">
        <v>8</v>
      </c>
      <c r="C499" s="3">
        <v>44388.333333333336</v>
      </c>
      <c r="D499" s="6">
        <v>662442</v>
      </c>
      <c r="E499" s="6">
        <v>564437</v>
      </c>
      <c r="F499" s="6">
        <v>9395</v>
      </c>
      <c r="G499" s="6">
        <v>68251</v>
      </c>
      <c r="H499" s="6">
        <v>20359</v>
      </c>
      <c r="I499" s="8"/>
      <c r="J499" s="8"/>
      <c r="K499" s="8"/>
      <c r="L499" s="6">
        <v>13133</v>
      </c>
      <c r="M499" s="6">
        <v>88610</v>
      </c>
      <c r="N499" s="6">
        <v>20570</v>
      </c>
      <c r="O499" s="11">
        <v>4769</v>
      </c>
      <c r="P499" s="11">
        <v>12893</v>
      </c>
      <c r="Q499" s="6">
        <v>70948</v>
      </c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1:29" ht="14.5" x14ac:dyDescent="0.35">
      <c r="A500" s="2">
        <v>44389</v>
      </c>
      <c r="B500" s="9">
        <v>8</v>
      </c>
      <c r="C500" s="3">
        <v>44389.333333333336</v>
      </c>
      <c r="D500" s="17">
        <v>677061</v>
      </c>
      <c r="E500" s="17">
        <v>584912</v>
      </c>
      <c r="F500" s="17">
        <v>9462</v>
      </c>
      <c r="G500" s="17">
        <v>66581</v>
      </c>
      <c r="H500" s="17">
        <v>16106</v>
      </c>
      <c r="I500" s="18"/>
      <c r="J500" s="18"/>
      <c r="K500" s="18"/>
      <c r="L500" s="17">
        <v>14619</v>
      </c>
      <c r="M500" s="17">
        <v>82687</v>
      </c>
      <c r="N500" s="17">
        <v>20475</v>
      </c>
      <c r="O500" s="17">
        <v>17649</v>
      </c>
      <c r="P500" s="17">
        <v>25597</v>
      </c>
      <c r="Q500" s="17">
        <v>39441</v>
      </c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4.5" x14ac:dyDescent="0.35">
      <c r="A501" s="2">
        <v>44390</v>
      </c>
      <c r="B501" s="9">
        <v>8</v>
      </c>
      <c r="C501" s="3">
        <v>44390.333333333336</v>
      </c>
      <c r="D501" s="17">
        <v>689243</v>
      </c>
      <c r="E501" s="17">
        <v>589486</v>
      </c>
      <c r="F501" s="17">
        <v>9541</v>
      </c>
      <c r="G501" s="17">
        <v>71848</v>
      </c>
      <c r="H501" s="17">
        <v>18368</v>
      </c>
      <c r="L501" s="6">
        <v>12182</v>
      </c>
      <c r="M501" s="6">
        <v>90216</v>
      </c>
      <c r="N501" s="6">
        <v>4574</v>
      </c>
      <c r="O501" s="6">
        <v>16957</v>
      </c>
      <c r="P501" s="6">
        <v>22339</v>
      </c>
      <c r="Q501" s="6">
        <v>50920</v>
      </c>
    </row>
    <row r="502" spans="1:29" ht="12.5" x14ac:dyDescent="0.25">
      <c r="A502" s="2">
        <v>44391</v>
      </c>
      <c r="B502" s="4">
        <v>8</v>
      </c>
      <c r="C502" s="3">
        <v>44391.333333333336</v>
      </c>
      <c r="D502" s="4">
        <v>701910</v>
      </c>
      <c r="E502" s="4">
        <v>592556</v>
      </c>
      <c r="F502" s="4">
        <v>9603</v>
      </c>
      <c r="G502" s="4">
        <v>78571</v>
      </c>
      <c r="H502" s="4">
        <v>21180</v>
      </c>
      <c r="L502" s="4">
        <v>12667</v>
      </c>
      <c r="M502" s="4">
        <v>99751</v>
      </c>
      <c r="N502" s="4">
        <v>3070</v>
      </c>
      <c r="O502" s="4">
        <v>32752</v>
      </c>
      <c r="P502" s="4">
        <v>54463</v>
      </c>
      <c r="Q502" s="4">
        <v>12536</v>
      </c>
    </row>
    <row r="503" spans="1:29" ht="12.5" x14ac:dyDescent="0.25">
      <c r="A503" s="2">
        <v>44392</v>
      </c>
      <c r="B503" s="4">
        <v>8</v>
      </c>
      <c r="C503" s="3">
        <v>44392.333333333336</v>
      </c>
      <c r="D503" s="4">
        <v>714601</v>
      </c>
      <c r="E503" s="4">
        <v>595582</v>
      </c>
      <c r="F503" s="4">
        <v>9743</v>
      </c>
      <c r="G503" s="4">
        <v>86298</v>
      </c>
      <c r="H503" s="4">
        <v>22978</v>
      </c>
      <c r="L503" s="4">
        <v>12691</v>
      </c>
      <c r="M503" s="4">
        <v>109276</v>
      </c>
      <c r="N503" s="4">
        <v>3026</v>
      </c>
      <c r="O503" s="4">
        <v>31922</v>
      </c>
      <c r="P503" s="4">
        <v>52360</v>
      </c>
      <c r="Q503" s="4">
        <v>24994</v>
      </c>
    </row>
    <row r="504" spans="1:29" ht="14.5" x14ac:dyDescent="0.35">
      <c r="A504" s="2">
        <v>44393</v>
      </c>
      <c r="B504" s="9">
        <v>8</v>
      </c>
      <c r="C504" s="3">
        <v>44393.333333333336</v>
      </c>
      <c r="D504" s="6">
        <v>727016</v>
      </c>
      <c r="E504" s="6">
        <v>604034</v>
      </c>
      <c r="F504" s="6">
        <v>9845</v>
      </c>
      <c r="G504" s="6">
        <v>88294</v>
      </c>
      <c r="H504" s="6">
        <v>24843</v>
      </c>
      <c r="I504" s="8"/>
      <c r="J504" s="8"/>
      <c r="K504" s="8"/>
      <c r="L504" s="6">
        <v>12415</v>
      </c>
      <c r="M504" s="6">
        <v>113137</v>
      </c>
      <c r="N504" s="6">
        <v>8452</v>
      </c>
      <c r="O504" s="6">
        <v>28216</v>
      </c>
      <c r="P504" s="6">
        <v>48144</v>
      </c>
      <c r="Q504" s="6">
        <v>36777</v>
      </c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504"/>
  <sheetViews>
    <sheetView workbookViewId="0">
      <pane xSplit="1" ySplit="1" topLeftCell="B485" activePane="bottomRight" state="frozen"/>
      <selection pane="topRight" activeCell="B1" sqref="B1"/>
      <selection pane="bottomLeft" activeCell="A2" sqref="A2"/>
      <selection pane="bottomRight" activeCell="B2" sqref="B2:U504"/>
    </sheetView>
  </sheetViews>
  <sheetFormatPr defaultColWidth="14.453125" defaultRowHeight="15.75" customHeight="1" x14ac:dyDescent="0.25"/>
  <sheetData>
    <row r="1" spans="1:21" x14ac:dyDescent="0.3">
      <c r="A1" s="1" t="s">
        <v>0</v>
      </c>
      <c r="B1" s="1" t="s">
        <v>17</v>
      </c>
      <c r="C1" s="1" t="s">
        <v>18</v>
      </c>
      <c r="D1" s="1" t="s">
        <v>19</v>
      </c>
      <c r="E1" s="1" t="s">
        <v>20</v>
      </c>
      <c r="F1" s="19" t="s">
        <v>21</v>
      </c>
      <c r="G1" s="19" t="s">
        <v>22</v>
      </c>
      <c r="H1" s="19" t="s">
        <v>23</v>
      </c>
      <c r="I1" s="19" t="s">
        <v>24</v>
      </c>
      <c r="J1" s="19" t="s">
        <v>25</v>
      </c>
      <c r="K1" s="19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9" t="s">
        <v>31</v>
      </c>
      <c r="Q1" s="19" t="s">
        <v>32</v>
      </c>
      <c r="R1" s="19" t="s">
        <v>33</v>
      </c>
      <c r="S1" s="19" t="s">
        <v>34</v>
      </c>
      <c r="T1" s="19" t="s">
        <v>35</v>
      </c>
      <c r="U1" s="19" t="s">
        <v>36</v>
      </c>
    </row>
    <row r="2" spans="1:21" ht="15.75" customHeight="1" x14ac:dyDescent="0.25">
      <c r="A2" s="20">
        <v>43891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</row>
    <row r="3" spans="1:21" ht="15.75" customHeight="1" x14ac:dyDescent="0.25">
      <c r="A3" s="20">
        <v>43892</v>
      </c>
      <c r="B3" s="4">
        <v>0</v>
      </c>
      <c r="C3" s="4">
        <v>0</v>
      </c>
      <c r="D3" s="4">
        <v>2</v>
      </c>
      <c r="E3" s="4">
        <v>2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2</v>
      </c>
      <c r="O3" s="4">
        <v>2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ht="15.75" customHeight="1" x14ac:dyDescent="0.25">
      <c r="A4" s="20">
        <v>43893</v>
      </c>
      <c r="B4" s="4">
        <v>0</v>
      </c>
      <c r="C4" s="4">
        <v>0</v>
      </c>
      <c r="D4" s="4">
        <v>2</v>
      </c>
      <c r="E4" s="4">
        <v>2</v>
      </c>
      <c r="F4" s="4">
        <v>1</v>
      </c>
      <c r="G4" s="4">
        <v>0</v>
      </c>
      <c r="H4" s="4">
        <v>0</v>
      </c>
      <c r="I4" s="4">
        <v>2</v>
      </c>
      <c r="J4" s="4">
        <v>3</v>
      </c>
      <c r="K4" s="4">
        <v>2</v>
      </c>
      <c r="L4" s="4">
        <v>0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2</v>
      </c>
      <c r="T4" s="4">
        <v>3</v>
      </c>
      <c r="U4" s="4">
        <v>2</v>
      </c>
    </row>
    <row r="5" spans="1:21" ht="15.75" customHeight="1" x14ac:dyDescent="0.25">
      <c r="A5" s="20">
        <v>43894</v>
      </c>
      <c r="B5" s="4">
        <v>0</v>
      </c>
      <c r="C5" s="4">
        <v>0</v>
      </c>
      <c r="D5" s="4">
        <v>2</v>
      </c>
      <c r="E5" s="4">
        <v>2</v>
      </c>
      <c r="F5" s="4">
        <v>1</v>
      </c>
      <c r="G5" s="4">
        <v>0</v>
      </c>
      <c r="H5" s="4">
        <v>0</v>
      </c>
      <c r="I5" s="4">
        <v>2</v>
      </c>
      <c r="J5" s="4">
        <v>3</v>
      </c>
      <c r="K5" s="4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ht="15.75" customHeight="1" x14ac:dyDescent="0.25">
      <c r="A6" s="20">
        <v>43895</v>
      </c>
      <c r="B6" s="4">
        <v>0</v>
      </c>
      <c r="C6" s="4">
        <v>0</v>
      </c>
      <c r="D6" s="4">
        <v>2</v>
      </c>
      <c r="E6" s="4">
        <v>2</v>
      </c>
      <c r="F6" s="4">
        <v>3</v>
      </c>
      <c r="G6" s="4">
        <v>0</v>
      </c>
      <c r="H6" s="4">
        <v>0</v>
      </c>
      <c r="I6" s="4">
        <v>4</v>
      </c>
      <c r="J6" s="4">
        <v>7</v>
      </c>
      <c r="K6" s="4">
        <v>4</v>
      </c>
      <c r="L6" s="4">
        <v>0</v>
      </c>
      <c r="M6" s="4">
        <v>0</v>
      </c>
      <c r="N6" s="4">
        <v>0</v>
      </c>
      <c r="O6" s="4">
        <v>0</v>
      </c>
      <c r="P6" s="4">
        <v>2</v>
      </c>
      <c r="Q6" s="4">
        <v>0</v>
      </c>
      <c r="R6" s="4">
        <v>0</v>
      </c>
      <c r="S6" s="4">
        <v>2</v>
      </c>
      <c r="T6" s="4">
        <v>4</v>
      </c>
      <c r="U6" s="4">
        <v>2</v>
      </c>
    </row>
    <row r="7" spans="1:21" ht="15.75" customHeight="1" x14ac:dyDescent="0.25">
      <c r="A7" s="20">
        <v>43896</v>
      </c>
      <c r="B7" s="4">
        <v>0</v>
      </c>
      <c r="C7" s="4">
        <v>0</v>
      </c>
      <c r="D7" s="4">
        <v>4</v>
      </c>
      <c r="E7" s="4">
        <v>4</v>
      </c>
      <c r="F7" s="4">
        <v>3</v>
      </c>
      <c r="G7" s="4">
        <v>0</v>
      </c>
      <c r="H7" s="4">
        <v>0</v>
      </c>
      <c r="I7" s="4">
        <v>4</v>
      </c>
      <c r="J7" s="4">
        <v>7</v>
      </c>
      <c r="K7" s="4">
        <v>4</v>
      </c>
      <c r="L7" s="4">
        <v>0</v>
      </c>
      <c r="M7" s="4">
        <v>0</v>
      </c>
      <c r="N7" s="4">
        <v>2</v>
      </c>
      <c r="O7" s="4">
        <v>2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ht="15.75" customHeight="1" x14ac:dyDescent="0.25">
      <c r="A8" s="20">
        <v>43897</v>
      </c>
      <c r="B8" s="4">
        <v>0</v>
      </c>
      <c r="C8" s="4">
        <v>0</v>
      </c>
      <c r="D8" s="4">
        <v>4</v>
      </c>
      <c r="E8" s="4">
        <v>4</v>
      </c>
      <c r="F8" s="4">
        <v>3</v>
      </c>
      <c r="G8" s="4">
        <v>0</v>
      </c>
      <c r="H8" s="4">
        <v>0</v>
      </c>
      <c r="I8" s="4">
        <v>4</v>
      </c>
      <c r="J8" s="4">
        <v>7</v>
      </c>
      <c r="K8" s="4">
        <v>4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</row>
    <row r="9" spans="1:21" ht="15.75" customHeight="1" x14ac:dyDescent="0.25">
      <c r="A9" s="20">
        <v>43898</v>
      </c>
      <c r="B9" s="4">
        <v>0</v>
      </c>
      <c r="C9" s="4">
        <v>0</v>
      </c>
      <c r="D9" s="4">
        <v>6</v>
      </c>
      <c r="E9" s="4">
        <v>6</v>
      </c>
      <c r="F9" s="4">
        <v>3</v>
      </c>
      <c r="G9" s="4">
        <v>0</v>
      </c>
      <c r="H9" s="4">
        <v>0</v>
      </c>
      <c r="I9" s="4">
        <v>4</v>
      </c>
      <c r="J9" s="4">
        <v>7</v>
      </c>
      <c r="K9" s="4">
        <v>4</v>
      </c>
      <c r="L9" s="4">
        <v>0</v>
      </c>
      <c r="M9" s="4">
        <v>0</v>
      </c>
      <c r="N9" s="4">
        <v>2</v>
      </c>
      <c r="O9" s="4">
        <v>2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</row>
    <row r="10" spans="1:21" ht="15.75" customHeight="1" x14ac:dyDescent="0.25">
      <c r="A10" s="20">
        <v>43899</v>
      </c>
      <c r="B10" s="4">
        <v>0</v>
      </c>
      <c r="C10" s="4">
        <v>0</v>
      </c>
      <c r="D10" s="4">
        <v>19</v>
      </c>
      <c r="E10" s="4">
        <v>19</v>
      </c>
      <c r="F10" s="4">
        <v>3</v>
      </c>
      <c r="G10" s="4">
        <v>0</v>
      </c>
      <c r="H10" s="4">
        <v>0</v>
      </c>
      <c r="I10" s="4">
        <v>31</v>
      </c>
      <c r="J10" s="4">
        <v>34</v>
      </c>
      <c r="K10" s="4">
        <v>31</v>
      </c>
      <c r="L10" s="4">
        <v>0</v>
      </c>
      <c r="M10" s="4">
        <v>0</v>
      </c>
      <c r="N10" s="4">
        <v>13</v>
      </c>
      <c r="O10" s="4">
        <v>13</v>
      </c>
      <c r="P10" s="4">
        <v>0</v>
      </c>
      <c r="Q10" s="4">
        <v>0</v>
      </c>
      <c r="R10" s="4">
        <v>0</v>
      </c>
      <c r="S10" s="4">
        <v>27</v>
      </c>
      <c r="T10" s="4">
        <v>27</v>
      </c>
      <c r="U10" s="4">
        <v>27</v>
      </c>
    </row>
    <row r="11" spans="1:21" ht="15.75" customHeight="1" x14ac:dyDescent="0.25">
      <c r="A11" s="20">
        <v>43900</v>
      </c>
      <c r="B11" s="4">
        <v>0</v>
      </c>
      <c r="C11" s="4">
        <v>2</v>
      </c>
      <c r="D11" s="4">
        <v>25</v>
      </c>
      <c r="E11" s="4">
        <v>27</v>
      </c>
      <c r="F11" s="4">
        <v>3</v>
      </c>
      <c r="G11" s="4">
        <v>0</v>
      </c>
      <c r="H11" s="4">
        <v>0</v>
      </c>
      <c r="I11" s="4">
        <v>31</v>
      </c>
      <c r="J11" s="4">
        <v>34</v>
      </c>
      <c r="K11" s="4">
        <v>31</v>
      </c>
      <c r="L11" s="4">
        <v>0</v>
      </c>
      <c r="M11" s="4">
        <v>2</v>
      </c>
      <c r="N11" s="4">
        <v>6</v>
      </c>
      <c r="O11" s="4">
        <v>8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ht="15.75" customHeight="1" x14ac:dyDescent="0.25">
      <c r="A12" s="20">
        <v>43901</v>
      </c>
      <c r="B12" s="4">
        <v>1</v>
      </c>
      <c r="C12" s="4">
        <v>2</v>
      </c>
      <c r="D12" s="4">
        <v>31</v>
      </c>
      <c r="E12" s="4">
        <v>34</v>
      </c>
      <c r="F12" s="4">
        <v>3</v>
      </c>
      <c r="G12" s="4">
        <v>0</v>
      </c>
      <c r="H12" s="4">
        <v>0</v>
      </c>
      <c r="I12" s="4">
        <v>33</v>
      </c>
      <c r="J12" s="4">
        <v>36</v>
      </c>
      <c r="K12" s="4">
        <v>33</v>
      </c>
      <c r="L12" s="4">
        <v>1</v>
      </c>
      <c r="M12" s="4">
        <v>0</v>
      </c>
      <c r="N12" s="4">
        <v>6</v>
      </c>
      <c r="O12" s="4">
        <v>7</v>
      </c>
      <c r="P12" s="4">
        <v>0</v>
      </c>
      <c r="Q12" s="4">
        <v>0</v>
      </c>
      <c r="R12" s="4">
        <v>0</v>
      </c>
      <c r="S12" s="4">
        <v>2</v>
      </c>
      <c r="T12" s="4">
        <v>2</v>
      </c>
      <c r="U12" s="4">
        <v>2</v>
      </c>
    </row>
    <row r="13" spans="1:21" ht="15.75" customHeight="1" x14ac:dyDescent="0.25">
      <c r="A13" s="20">
        <v>43902</v>
      </c>
      <c r="B13" s="4">
        <v>1</v>
      </c>
      <c r="C13" s="4">
        <v>2</v>
      </c>
      <c r="D13" s="4">
        <v>31</v>
      </c>
      <c r="E13" s="4">
        <v>34</v>
      </c>
      <c r="F13" s="4">
        <v>5</v>
      </c>
      <c r="G13" s="4">
        <v>0</v>
      </c>
      <c r="H13" s="4">
        <v>0</v>
      </c>
      <c r="I13" s="4">
        <v>57</v>
      </c>
      <c r="J13" s="4">
        <v>62</v>
      </c>
      <c r="K13" s="4">
        <v>57</v>
      </c>
      <c r="L13" s="4">
        <v>0</v>
      </c>
      <c r="M13" s="4">
        <v>0</v>
      </c>
      <c r="N13" s="4">
        <v>0</v>
      </c>
      <c r="O13" s="4">
        <v>0</v>
      </c>
      <c r="P13" s="4">
        <v>2</v>
      </c>
      <c r="Q13" s="4">
        <v>0</v>
      </c>
      <c r="R13" s="4">
        <v>0</v>
      </c>
      <c r="S13" s="4">
        <v>24</v>
      </c>
      <c r="T13" s="4">
        <v>26</v>
      </c>
      <c r="U13" s="4">
        <v>24</v>
      </c>
    </row>
    <row r="14" spans="1:21" ht="15.75" customHeight="1" x14ac:dyDescent="0.25">
      <c r="A14" s="20">
        <v>43903</v>
      </c>
      <c r="B14" s="4">
        <v>4</v>
      </c>
      <c r="C14" s="4">
        <v>2</v>
      </c>
      <c r="D14" s="4">
        <v>63</v>
      </c>
      <c r="E14" s="4">
        <v>69</v>
      </c>
      <c r="F14" s="4">
        <v>7</v>
      </c>
      <c r="G14" s="4">
        <v>0</v>
      </c>
      <c r="H14" s="4">
        <v>0</v>
      </c>
      <c r="I14" s="4">
        <v>65</v>
      </c>
      <c r="J14" s="4">
        <v>72</v>
      </c>
      <c r="K14" s="4">
        <v>65</v>
      </c>
      <c r="L14" s="4">
        <v>3</v>
      </c>
      <c r="M14" s="4">
        <v>0</v>
      </c>
      <c r="N14" s="4">
        <v>32</v>
      </c>
      <c r="O14" s="4">
        <v>35</v>
      </c>
      <c r="P14" s="4">
        <v>2</v>
      </c>
      <c r="Q14" s="4">
        <v>0</v>
      </c>
      <c r="R14" s="4">
        <v>0</v>
      </c>
      <c r="S14" s="4">
        <v>8</v>
      </c>
      <c r="T14" s="4">
        <v>10</v>
      </c>
      <c r="U14" s="4">
        <v>8</v>
      </c>
    </row>
    <row r="15" spans="1:21" ht="15.75" customHeight="1" x14ac:dyDescent="0.25">
      <c r="A15" s="20">
        <v>43904</v>
      </c>
      <c r="B15" s="4">
        <v>5</v>
      </c>
      <c r="C15" s="4">
        <v>8</v>
      </c>
      <c r="D15" s="4">
        <v>83</v>
      </c>
      <c r="E15" s="4">
        <v>96</v>
      </c>
      <c r="F15" s="4">
        <v>9</v>
      </c>
      <c r="G15" s="4">
        <v>0</v>
      </c>
      <c r="H15" s="4">
        <v>0</v>
      </c>
      <c r="I15" s="4">
        <v>70</v>
      </c>
      <c r="J15" s="4">
        <v>79</v>
      </c>
      <c r="K15" s="4">
        <v>70</v>
      </c>
      <c r="L15" s="4">
        <v>1</v>
      </c>
      <c r="M15" s="4">
        <v>6</v>
      </c>
      <c r="N15" s="4">
        <v>20</v>
      </c>
      <c r="O15" s="4">
        <v>27</v>
      </c>
      <c r="P15" s="4">
        <v>2</v>
      </c>
      <c r="Q15" s="4">
        <v>0</v>
      </c>
      <c r="R15" s="4">
        <v>0</v>
      </c>
      <c r="S15" s="4">
        <v>5</v>
      </c>
      <c r="T15" s="4">
        <v>7</v>
      </c>
      <c r="U15" s="4">
        <v>5</v>
      </c>
    </row>
    <row r="16" spans="1:21" ht="15.75" customHeight="1" x14ac:dyDescent="0.25">
      <c r="A16" s="20">
        <v>43905</v>
      </c>
      <c r="B16" s="4">
        <v>5</v>
      </c>
      <c r="C16" s="4">
        <v>8</v>
      </c>
      <c r="D16" s="4">
        <v>104</v>
      </c>
      <c r="E16" s="4">
        <v>117</v>
      </c>
      <c r="F16" s="4">
        <v>11</v>
      </c>
      <c r="G16" s="4">
        <v>0</v>
      </c>
      <c r="H16" s="4">
        <v>0</v>
      </c>
      <c r="I16" s="4">
        <v>84</v>
      </c>
      <c r="J16" s="4">
        <v>95</v>
      </c>
      <c r="K16" s="4">
        <v>84</v>
      </c>
      <c r="L16" s="4">
        <v>0</v>
      </c>
      <c r="M16" s="4">
        <v>0</v>
      </c>
      <c r="N16" s="4">
        <v>21</v>
      </c>
      <c r="O16" s="4">
        <v>21</v>
      </c>
      <c r="P16" s="4">
        <v>2</v>
      </c>
      <c r="Q16" s="4">
        <v>0</v>
      </c>
      <c r="R16" s="4">
        <v>0</v>
      </c>
      <c r="S16" s="4">
        <v>14</v>
      </c>
      <c r="T16" s="4">
        <v>16</v>
      </c>
      <c r="U16" s="4">
        <v>14</v>
      </c>
    </row>
    <row r="17" spans="1:21" ht="15.75" customHeight="1" x14ac:dyDescent="0.25">
      <c r="A17" s="20">
        <v>43906</v>
      </c>
      <c r="B17" s="4">
        <v>5</v>
      </c>
      <c r="C17" s="4">
        <v>8</v>
      </c>
      <c r="D17" s="4">
        <v>121</v>
      </c>
      <c r="E17" s="4">
        <v>134</v>
      </c>
      <c r="F17" s="4">
        <v>12</v>
      </c>
      <c r="G17" s="4">
        <v>0</v>
      </c>
      <c r="H17" s="4">
        <v>7</v>
      </c>
      <c r="I17" s="4">
        <v>78</v>
      </c>
      <c r="J17" s="4">
        <v>97</v>
      </c>
      <c r="K17" s="4">
        <v>85</v>
      </c>
      <c r="L17" s="4">
        <v>0</v>
      </c>
      <c r="M17" s="4">
        <v>0</v>
      </c>
      <c r="N17" s="4">
        <v>17</v>
      </c>
      <c r="O17" s="4">
        <v>17</v>
      </c>
      <c r="P17" s="4">
        <v>1</v>
      </c>
      <c r="Q17" s="4">
        <v>0</v>
      </c>
      <c r="R17" s="4">
        <v>7</v>
      </c>
      <c r="S17" s="4">
        <v>-6</v>
      </c>
      <c r="T17" s="4">
        <v>2</v>
      </c>
      <c r="U17" s="4">
        <v>1</v>
      </c>
    </row>
    <row r="18" spans="1:21" ht="15.75" customHeight="1" x14ac:dyDescent="0.25">
      <c r="A18" s="20">
        <v>43907</v>
      </c>
      <c r="B18" s="4">
        <v>5</v>
      </c>
      <c r="C18" s="4">
        <v>9</v>
      </c>
      <c r="D18" s="4">
        <v>158</v>
      </c>
      <c r="E18" s="4">
        <v>172</v>
      </c>
      <c r="F18" s="4">
        <v>12</v>
      </c>
      <c r="G18" s="4">
        <v>0</v>
      </c>
      <c r="H18" s="4">
        <v>27</v>
      </c>
      <c r="I18" s="4">
        <v>83</v>
      </c>
      <c r="J18" s="4">
        <v>122</v>
      </c>
      <c r="K18" s="4">
        <v>110</v>
      </c>
      <c r="L18" s="4">
        <v>0</v>
      </c>
      <c r="M18" s="4">
        <v>1</v>
      </c>
      <c r="N18" s="4">
        <v>37</v>
      </c>
      <c r="O18" s="4">
        <v>38</v>
      </c>
      <c r="P18" s="4">
        <v>0</v>
      </c>
      <c r="Q18" s="4">
        <v>0</v>
      </c>
      <c r="R18" s="4">
        <v>20</v>
      </c>
      <c r="S18" s="4">
        <v>5</v>
      </c>
      <c r="T18" s="4">
        <v>25</v>
      </c>
      <c r="U18" s="4">
        <v>25</v>
      </c>
    </row>
    <row r="19" spans="1:21" ht="15.75" customHeight="1" x14ac:dyDescent="0.25">
      <c r="A19" s="20">
        <v>43908</v>
      </c>
      <c r="B19" s="4">
        <v>19</v>
      </c>
      <c r="C19" s="4">
        <v>11</v>
      </c>
      <c r="D19" s="4">
        <v>197</v>
      </c>
      <c r="E19" s="4">
        <v>227</v>
      </c>
      <c r="F19" s="4">
        <v>15</v>
      </c>
      <c r="G19" s="4">
        <v>12</v>
      </c>
      <c r="H19" s="4">
        <v>42</v>
      </c>
      <c r="I19" s="4">
        <v>91</v>
      </c>
      <c r="J19" s="4">
        <v>160</v>
      </c>
      <c r="K19" s="4">
        <v>133</v>
      </c>
      <c r="L19" s="4">
        <v>14</v>
      </c>
      <c r="M19" s="4">
        <v>2</v>
      </c>
      <c r="N19" s="4">
        <v>39</v>
      </c>
      <c r="O19" s="4">
        <v>55</v>
      </c>
      <c r="P19" s="4">
        <v>3</v>
      </c>
      <c r="Q19" s="4">
        <v>12</v>
      </c>
      <c r="R19" s="4">
        <v>15</v>
      </c>
      <c r="S19" s="4">
        <v>8</v>
      </c>
      <c r="T19" s="4">
        <v>38</v>
      </c>
      <c r="U19" s="4">
        <v>23</v>
      </c>
    </row>
    <row r="20" spans="1:21" ht="15.75" customHeight="1" x14ac:dyDescent="0.25">
      <c r="A20" s="20">
        <v>43909</v>
      </c>
      <c r="B20" s="4">
        <v>25</v>
      </c>
      <c r="C20" s="4">
        <v>15</v>
      </c>
      <c r="D20" s="4">
        <v>269</v>
      </c>
      <c r="E20" s="4">
        <v>309</v>
      </c>
      <c r="F20" s="4">
        <v>19</v>
      </c>
      <c r="G20" s="4">
        <v>13</v>
      </c>
      <c r="H20" s="4">
        <v>57</v>
      </c>
      <c r="I20" s="4">
        <v>121</v>
      </c>
      <c r="J20" s="4">
        <v>210</v>
      </c>
      <c r="K20" s="4">
        <v>178</v>
      </c>
      <c r="L20" s="4">
        <v>6</v>
      </c>
      <c r="M20" s="4">
        <v>4</v>
      </c>
      <c r="N20" s="4">
        <v>72</v>
      </c>
      <c r="O20" s="4">
        <v>82</v>
      </c>
      <c r="P20" s="4">
        <v>4</v>
      </c>
      <c r="Q20" s="4">
        <v>1</v>
      </c>
      <c r="R20" s="4">
        <v>15</v>
      </c>
      <c r="S20" s="4">
        <v>30</v>
      </c>
      <c r="T20" s="4">
        <v>50</v>
      </c>
      <c r="U20" s="4">
        <v>45</v>
      </c>
    </row>
    <row r="21" spans="1:21" ht="15.75" customHeight="1" x14ac:dyDescent="0.25">
      <c r="A21" s="20">
        <v>43910</v>
      </c>
      <c r="B21" s="4">
        <v>32</v>
      </c>
      <c r="C21" s="4">
        <v>17</v>
      </c>
      <c r="D21" s="4">
        <v>320</v>
      </c>
      <c r="E21" s="4">
        <v>369</v>
      </c>
      <c r="F21" s="4">
        <v>20</v>
      </c>
      <c r="G21" s="4">
        <v>13</v>
      </c>
      <c r="H21" s="4">
        <v>66</v>
      </c>
      <c r="I21" s="4">
        <v>125</v>
      </c>
      <c r="J21" s="4">
        <v>224</v>
      </c>
      <c r="K21" s="4">
        <v>191</v>
      </c>
      <c r="L21" s="4">
        <v>7</v>
      </c>
      <c r="M21" s="4">
        <v>2</v>
      </c>
      <c r="N21" s="4">
        <v>51</v>
      </c>
      <c r="O21" s="4">
        <v>60</v>
      </c>
      <c r="P21" s="4">
        <v>1</v>
      </c>
      <c r="Q21" s="4">
        <v>0</v>
      </c>
      <c r="R21" s="4">
        <v>9</v>
      </c>
      <c r="S21" s="4">
        <v>4</v>
      </c>
      <c r="T21" s="4">
        <v>14</v>
      </c>
      <c r="U21" s="4">
        <v>13</v>
      </c>
    </row>
    <row r="22" spans="1:21" ht="15.75" customHeight="1" x14ac:dyDescent="0.25">
      <c r="A22" s="20">
        <v>43911</v>
      </c>
      <c r="B22" s="4">
        <v>38</v>
      </c>
      <c r="C22" s="4">
        <v>20</v>
      </c>
      <c r="D22" s="4">
        <v>392</v>
      </c>
      <c r="E22" s="4">
        <v>450</v>
      </c>
      <c r="F22" s="5">
        <v>23</v>
      </c>
      <c r="G22" s="4">
        <v>17</v>
      </c>
      <c r="H22" s="4">
        <v>71</v>
      </c>
      <c r="I22" s="4">
        <v>157</v>
      </c>
      <c r="J22" s="4">
        <v>268</v>
      </c>
      <c r="K22" s="4">
        <v>228</v>
      </c>
      <c r="L22" s="4">
        <v>6</v>
      </c>
      <c r="M22" s="4">
        <v>3</v>
      </c>
      <c r="N22" s="4">
        <v>72</v>
      </c>
      <c r="O22" s="4">
        <v>81</v>
      </c>
      <c r="P22" s="4">
        <v>5</v>
      </c>
      <c r="Q22" s="4">
        <v>4</v>
      </c>
      <c r="R22" s="4">
        <v>5</v>
      </c>
      <c r="S22" s="4">
        <v>32</v>
      </c>
      <c r="T22" s="4">
        <v>44</v>
      </c>
      <c r="U22" s="4">
        <v>37</v>
      </c>
    </row>
    <row r="23" spans="1:21" ht="12.5" x14ac:dyDescent="0.25">
      <c r="A23" s="20">
        <v>43912</v>
      </c>
      <c r="B23" s="4">
        <v>48</v>
      </c>
      <c r="C23" s="4">
        <v>29</v>
      </c>
      <c r="D23" s="4">
        <v>437</v>
      </c>
      <c r="E23" s="4">
        <v>514</v>
      </c>
      <c r="F23" s="4">
        <v>29</v>
      </c>
      <c r="G23" s="4">
        <v>21</v>
      </c>
      <c r="H23" s="4">
        <v>77</v>
      </c>
      <c r="I23" s="4">
        <v>177</v>
      </c>
      <c r="J23" s="4">
        <v>304</v>
      </c>
      <c r="K23" s="4">
        <v>254</v>
      </c>
      <c r="L23" s="4">
        <v>10</v>
      </c>
      <c r="M23" s="4">
        <v>9</v>
      </c>
      <c r="N23" s="4">
        <v>45</v>
      </c>
      <c r="O23" s="4">
        <v>64</v>
      </c>
      <c r="P23" s="4">
        <v>4</v>
      </c>
      <c r="Q23" s="4">
        <v>4</v>
      </c>
      <c r="R23" s="4">
        <v>6</v>
      </c>
      <c r="S23" s="4">
        <v>20</v>
      </c>
      <c r="T23" s="4">
        <v>36</v>
      </c>
      <c r="U23" s="4">
        <v>26</v>
      </c>
    </row>
    <row r="24" spans="1:21" ht="12.5" x14ac:dyDescent="0.25">
      <c r="A24" s="20">
        <v>43913</v>
      </c>
      <c r="B24" s="4">
        <v>49</v>
      </c>
      <c r="C24" s="4">
        <v>30</v>
      </c>
      <c r="D24" s="4">
        <v>500</v>
      </c>
      <c r="E24" s="4">
        <v>579</v>
      </c>
      <c r="F24" s="5">
        <v>29</v>
      </c>
      <c r="G24" s="4">
        <v>22</v>
      </c>
      <c r="H24" s="4">
        <v>79</v>
      </c>
      <c r="I24" s="4">
        <v>225</v>
      </c>
      <c r="J24" s="5">
        <v>355</v>
      </c>
      <c r="K24" s="4">
        <v>304</v>
      </c>
      <c r="L24" s="4">
        <v>1</v>
      </c>
      <c r="M24" s="4">
        <v>1</v>
      </c>
      <c r="N24" s="4">
        <v>63</v>
      </c>
      <c r="O24" s="4">
        <v>65</v>
      </c>
      <c r="P24" s="4">
        <v>2</v>
      </c>
      <c r="Q24" s="4">
        <v>1</v>
      </c>
      <c r="R24" s="4">
        <v>2</v>
      </c>
      <c r="S24" s="4">
        <v>48</v>
      </c>
      <c r="T24" s="4">
        <v>52</v>
      </c>
      <c r="U24" s="4">
        <v>50</v>
      </c>
    </row>
    <row r="25" spans="1:21" ht="12.5" x14ac:dyDescent="0.25">
      <c r="A25" s="20">
        <v>43914</v>
      </c>
      <c r="B25" s="4">
        <v>55</v>
      </c>
      <c r="C25" s="4">
        <v>30</v>
      </c>
      <c r="D25" s="4">
        <v>601</v>
      </c>
      <c r="E25" s="4">
        <v>686</v>
      </c>
      <c r="F25" s="4">
        <v>34</v>
      </c>
      <c r="G25" s="4">
        <v>23</v>
      </c>
      <c r="H25" s="4">
        <v>109</v>
      </c>
      <c r="I25" s="4">
        <v>260</v>
      </c>
      <c r="J25" s="4">
        <v>426</v>
      </c>
      <c r="K25" s="4">
        <v>369</v>
      </c>
      <c r="L25" s="4">
        <v>6</v>
      </c>
      <c r="M25" s="4">
        <v>0</v>
      </c>
      <c r="N25" s="4">
        <v>101</v>
      </c>
      <c r="O25" s="4">
        <v>107</v>
      </c>
      <c r="P25" s="4">
        <v>3</v>
      </c>
      <c r="Q25" s="4">
        <v>1</v>
      </c>
      <c r="R25" s="4">
        <v>30</v>
      </c>
      <c r="S25" s="4">
        <v>35</v>
      </c>
      <c r="T25" s="4">
        <v>70</v>
      </c>
      <c r="U25" s="4">
        <v>65</v>
      </c>
    </row>
    <row r="26" spans="1:21" ht="12.5" x14ac:dyDescent="0.25">
      <c r="A26" s="20">
        <v>43915</v>
      </c>
      <c r="B26" s="4">
        <v>58</v>
      </c>
      <c r="C26" s="4">
        <v>31</v>
      </c>
      <c r="D26" s="4">
        <v>701</v>
      </c>
      <c r="E26" s="4">
        <v>790</v>
      </c>
      <c r="F26" s="4">
        <v>43</v>
      </c>
      <c r="G26" s="4">
        <v>27</v>
      </c>
      <c r="H26" s="4">
        <v>112</v>
      </c>
      <c r="I26" s="4">
        <v>290</v>
      </c>
      <c r="J26" s="4">
        <v>472</v>
      </c>
      <c r="K26" s="4">
        <v>402</v>
      </c>
      <c r="L26" s="4">
        <v>3</v>
      </c>
      <c r="M26" s="4">
        <v>1</v>
      </c>
      <c r="N26" s="4">
        <v>100</v>
      </c>
      <c r="O26" s="4">
        <v>104</v>
      </c>
      <c r="P26" s="4">
        <v>9</v>
      </c>
      <c r="Q26" s="4">
        <v>4</v>
      </c>
      <c r="R26" s="4">
        <v>3</v>
      </c>
      <c r="S26" s="4">
        <v>30</v>
      </c>
      <c r="T26" s="4">
        <v>46</v>
      </c>
      <c r="U26" s="4">
        <v>33</v>
      </c>
    </row>
    <row r="27" spans="1:21" ht="12.5" x14ac:dyDescent="0.25">
      <c r="A27" s="20">
        <v>43916</v>
      </c>
      <c r="B27" s="4">
        <v>78</v>
      </c>
      <c r="C27" s="4">
        <v>35</v>
      </c>
      <c r="D27" s="4">
        <v>780</v>
      </c>
      <c r="E27" s="4">
        <v>893</v>
      </c>
      <c r="F27" s="4">
        <v>49</v>
      </c>
      <c r="G27" s="4">
        <v>29</v>
      </c>
      <c r="H27" s="4">
        <v>113</v>
      </c>
      <c r="I27" s="4">
        <v>324</v>
      </c>
      <c r="J27" s="4">
        <v>515</v>
      </c>
      <c r="K27" s="4">
        <v>437</v>
      </c>
      <c r="L27" s="4">
        <v>20</v>
      </c>
      <c r="M27" s="4">
        <v>4</v>
      </c>
      <c r="N27" s="4">
        <v>79</v>
      </c>
      <c r="O27" s="4">
        <v>103</v>
      </c>
      <c r="P27" s="4">
        <v>6</v>
      </c>
      <c r="Q27" s="4">
        <v>2</v>
      </c>
      <c r="R27" s="4">
        <v>1</v>
      </c>
      <c r="S27" s="4">
        <v>34</v>
      </c>
      <c r="T27" s="4">
        <v>43</v>
      </c>
      <c r="U27" s="4">
        <v>35</v>
      </c>
    </row>
    <row r="28" spans="1:21" ht="12.5" x14ac:dyDescent="0.25">
      <c r="A28" s="20">
        <v>43917</v>
      </c>
      <c r="B28" s="4">
        <v>87</v>
      </c>
      <c r="C28" s="4">
        <v>46</v>
      </c>
      <c r="D28" s="4">
        <v>913</v>
      </c>
      <c r="E28" s="4">
        <v>1046</v>
      </c>
      <c r="F28" s="4">
        <v>57</v>
      </c>
      <c r="G28" s="4">
        <v>31</v>
      </c>
      <c r="H28" s="4">
        <v>132</v>
      </c>
      <c r="I28" s="4">
        <v>346</v>
      </c>
      <c r="J28" s="4">
        <v>566</v>
      </c>
      <c r="K28" s="4">
        <v>478</v>
      </c>
      <c r="L28" s="4">
        <v>9</v>
      </c>
      <c r="M28" s="4">
        <v>11</v>
      </c>
      <c r="N28" s="4">
        <v>133</v>
      </c>
      <c r="O28" s="4">
        <v>153</v>
      </c>
      <c r="P28" s="4">
        <v>8</v>
      </c>
      <c r="Q28" s="4">
        <v>2</v>
      </c>
      <c r="R28" s="4">
        <v>19</v>
      </c>
      <c r="S28" s="4">
        <v>22</v>
      </c>
      <c r="T28" s="4">
        <v>51</v>
      </c>
      <c r="U28" s="4">
        <v>41</v>
      </c>
    </row>
    <row r="29" spans="1:21" ht="12.5" x14ac:dyDescent="0.25">
      <c r="A29" s="20">
        <v>43918</v>
      </c>
      <c r="B29" s="4">
        <v>102</v>
      </c>
      <c r="C29" s="4">
        <v>59</v>
      </c>
      <c r="D29" s="4">
        <v>994</v>
      </c>
      <c r="E29" s="4">
        <v>1155</v>
      </c>
      <c r="F29" s="4">
        <v>62</v>
      </c>
      <c r="G29" s="4">
        <v>43</v>
      </c>
      <c r="H29" s="4">
        <v>134</v>
      </c>
      <c r="I29" s="4">
        <v>364</v>
      </c>
      <c r="J29" s="4">
        <v>603</v>
      </c>
      <c r="K29" s="4">
        <v>498</v>
      </c>
      <c r="L29" s="4">
        <v>15</v>
      </c>
      <c r="M29" s="4">
        <v>13</v>
      </c>
      <c r="N29" s="4">
        <v>81</v>
      </c>
      <c r="O29" s="4">
        <v>109</v>
      </c>
      <c r="P29" s="4">
        <v>5</v>
      </c>
      <c r="Q29" s="4">
        <v>12</v>
      </c>
      <c r="R29" s="4">
        <v>2</v>
      </c>
      <c r="S29" s="4">
        <v>18</v>
      </c>
      <c r="T29" s="4">
        <v>37</v>
      </c>
      <c r="U29" s="4">
        <v>20</v>
      </c>
    </row>
    <row r="30" spans="1:21" ht="12.5" x14ac:dyDescent="0.25">
      <c r="A30" s="20">
        <v>43919</v>
      </c>
      <c r="B30" s="4">
        <v>114</v>
      </c>
      <c r="C30" s="4">
        <v>64</v>
      </c>
      <c r="D30" s="4">
        <v>1107</v>
      </c>
      <c r="E30" s="4">
        <v>1285</v>
      </c>
      <c r="F30" s="4">
        <v>67</v>
      </c>
      <c r="G30" s="4">
        <v>48</v>
      </c>
      <c r="H30" s="4">
        <v>151</v>
      </c>
      <c r="I30" s="4">
        <v>435</v>
      </c>
      <c r="J30" s="4">
        <v>701</v>
      </c>
      <c r="K30" s="4">
        <v>586</v>
      </c>
      <c r="L30" s="4">
        <v>12</v>
      </c>
      <c r="M30" s="4">
        <v>5</v>
      </c>
      <c r="N30" s="4">
        <v>113</v>
      </c>
      <c r="O30" s="4">
        <v>130</v>
      </c>
      <c r="P30" s="4">
        <v>5</v>
      </c>
      <c r="Q30" s="4">
        <v>5</v>
      </c>
      <c r="R30" s="4">
        <v>17</v>
      </c>
      <c r="S30" s="4">
        <v>71</v>
      </c>
      <c r="T30" s="4">
        <v>98</v>
      </c>
      <c r="U30" s="4">
        <v>88</v>
      </c>
    </row>
    <row r="31" spans="1:21" ht="12.5" x14ac:dyDescent="0.25">
      <c r="A31" s="20">
        <v>43920</v>
      </c>
      <c r="B31" s="4">
        <v>122</v>
      </c>
      <c r="C31" s="4">
        <v>75</v>
      </c>
      <c r="D31" s="4">
        <v>1217</v>
      </c>
      <c r="E31" s="4">
        <v>1414</v>
      </c>
      <c r="F31" s="4">
        <v>78</v>
      </c>
      <c r="G31" s="4">
        <v>49</v>
      </c>
      <c r="H31" s="4">
        <v>151</v>
      </c>
      <c r="I31" s="4">
        <v>449</v>
      </c>
      <c r="J31" s="4">
        <v>727</v>
      </c>
      <c r="K31" s="4">
        <v>600</v>
      </c>
      <c r="L31" s="4">
        <v>8</v>
      </c>
      <c r="M31" s="4">
        <v>11</v>
      </c>
      <c r="N31" s="4">
        <v>110</v>
      </c>
      <c r="O31" s="4">
        <v>129</v>
      </c>
      <c r="P31" s="4">
        <v>11</v>
      </c>
      <c r="Q31" s="4">
        <v>1</v>
      </c>
      <c r="R31" s="4">
        <v>0</v>
      </c>
      <c r="S31" s="4">
        <v>14</v>
      </c>
      <c r="T31" s="4">
        <v>26</v>
      </c>
      <c r="U31" s="4">
        <v>14</v>
      </c>
    </row>
    <row r="32" spans="1:21" ht="12.5" x14ac:dyDescent="0.25">
      <c r="A32" s="20">
        <v>43921</v>
      </c>
      <c r="B32" s="4">
        <v>136</v>
      </c>
      <c r="C32" s="4">
        <v>81</v>
      </c>
      <c r="D32" s="4">
        <v>1311</v>
      </c>
      <c r="E32" s="4">
        <v>1528</v>
      </c>
      <c r="F32" s="4">
        <v>84</v>
      </c>
      <c r="G32" s="4">
        <v>49</v>
      </c>
      <c r="H32" s="4">
        <v>157</v>
      </c>
      <c r="I32" s="4">
        <v>451</v>
      </c>
      <c r="J32" s="4">
        <v>741</v>
      </c>
      <c r="K32" s="4">
        <v>608</v>
      </c>
      <c r="L32" s="4">
        <v>14</v>
      </c>
      <c r="M32" s="4">
        <v>6</v>
      </c>
      <c r="N32" s="4">
        <v>94</v>
      </c>
      <c r="O32" s="4">
        <v>114</v>
      </c>
      <c r="P32" s="4">
        <v>6</v>
      </c>
      <c r="Q32" s="4">
        <v>0</v>
      </c>
      <c r="R32" s="4">
        <v>6</v>
      </c>
      <c r="S32" s="4">
        <v>2</v>
      </c>
      <c r="T32" s="4">
        <v>14</v>
      </c>
      <c r="U32" s="4">
        <v>8</v>
      </c>
    </row>
    <row r="33" spans="1:21" ht="12.5" x14ac:dyDescent="0.25">
      <c r="A33" s="20">
        <v>43922</v>
      </c>
      <c r="B33" s="4">
        <v>157</v>
      </c>
      <c r="C33" s="4">
        <v>103</v>
      </c>
      <c r="D33" s="4">
        <v>1417</v>
      </c>
      <c r="E33" s="4">
        <v>1677</v>
      </c>
      <c r="F33" s="4">
        <v>90</v>
      </c>
      <c r="G33" s="4">
        <v>51</v>
      </c>
      <c r="H33" s="4">
        <v>176</v>
      </c>
      <c r="I33" s="4">
        <v>499</v>
      </c>
      <c r="J33" s="4">
        <v>816</v>
      </c>
      <c r="K33" s="4">
        <v>675</v>
      </c>
      <c r="L33" s="4">
        <v>21</v>
      </c>
      <c r="M33" s="4">
        <v>22</v>
      </c>
      <c r="N33" s="4">
        <v>106</v>
      </c>
      <c r="O33" s="4">
        <v>149</v>
      </c>
      <c r="P33" s="4">
        <v>6</v>
      </c>
      <c r="Q33" s="4">
        <v>2</v>
      </c>
      <c r="R33" s="4">
        <v>19</v>
      </c>
      <c r="S33" s="4">
        <v>48</v>
      </c>
      <c r="T33" s="4">
        <v>75</v>
      </c>
      <c r="U33" s="4">
        <v>67</v>
      </c>
    </row>
    <row r="34" spans="1:21" ht="12.5" x14ac:dyDescent="0.25">
      <c r="A34" s="20">
        <v>43923</v>
      </c>
      <c r="B34" s="4">
        <v>170</v>
      </c>
      <c r="C34" s="4">
        <v>112</v>
      </c>
      <c r="D34" s="4">
        <v>1508</v>
      </c>
      <c r="E34" s="4">
        <v>1790</v>
      </c>
      <c r="F34" s="4">
        <v>95</v>
      </c>
      <c r="G34" s="4">
        <v>54</v>
      </c>
      <c r="H34" s="4">
        <v>195</v>
      </c>
      <c r="I34" s="4">
        <v>565</v>
      </c>
      <c r="J34" s="4">
        <v>909</v>
      </c>
      <c r="K34" s="4">
        <v>760</v>
      </c>
      <c r="L34" s="4">
        <v>13</v>
      </c>
      <c r="M34" s="4">
        <v>9</v>
      </c>
      <c r="N34" s="4">
        <v>91</v>
      </c>
      <c r="O34" s="4">
        <v>113</v>
      </c>
      <c r="P34" s="4">
        <v>5</v>
      </c>
      <c r="Q34" s="4">
        <v>3</v>
      </c>
      <c r="R34" s="4">
        <v>19</v>
      </c>
      <c r="S34" s="4">
        <v>66</v>
      </c>
      <c r="T34" s="4">
        <v>93</v>
      </c>
      <c r="U34" s="4">
        <v>85</v>
      </c>
    </row>
    <row r="35" spans="1:21" ht="12.5" x14ac:dyDescent="0.25">
      <c r="A35" s="20">
        <v>43924</v>
      </c>
      <c r="B35" s="4">
        <v>181</v>
      </c>
      <c r="C35" s="4">
        <v>134</v>
      </c>
      <c r="D35" s="4">
        <v>1671</v>
      </c>
      <c r="E35" s="4">
        <v>1986</v>
      </c>
      <c r="F35" s="4">
        <v>98</v>
      </c>
      <c r="G35" s="4">
        <v>56</v>
      </c>
      <c r="H35" s="4">
        <v>209</v>
      </c>
      <c r="I35" s="4">
        <v>627</v>
      </c>
      <c r="J35" s="4">
        <v>990</v>
      </c>
      <c r="K35" s="4">
        <v>836</v>
      </c>
      <c r="L35" s="4">
        <v>11</v>
      </c>
      <c r="M35" s="4">
        <v>22</v>
      </c>
      <c r="N35" s="4">
        <v>163</v>
      </c>
      <c r="O35" s="4">
        <v>196</v>
      </c>
      <c r="P35" s="4">
        <v>3</v>
      </c>
      <c r="Q35" s="4">
        <v>2</v>
      </c>
      <c r="R35" s="4">
        <v>14</v>
      </c>
      <c r="S35" s="4">
        <v>62</v>
      </c>
      <c r="T35" s="4">
        <v>81</v>
      </c>
      <c r="U35" s="4">
        <v>76</v>
      </c>
    </row>
    <row r="36" spans="1:21" ht="12.5" x14ac:dyDescent="0.25">
      <c r="A36" s="20">
        <v>43925</v>
      </c>
      <c r="B36" s="4">
        <v>191</v>
      </c>
      <c r="C36" s="4">
        <v>150</v>
      </c>
      <c r="D36" s="4">
        <v>1751</v>
      </c>
      <c r="E36" s="4">
        <v>2092</v>
      </c>
      <c r="F36" s="4">
        <v>99</v>
      </c>
      <c r="G36" s="4">
        <v>58</v>
      </c>
      <c r="H36" s="4">
        <v>223</v>
      </c>
      <c r="I36" s="4">
        <v>691</v>
      </c>
      <c r="J36" s="4">
        <v>1071</v>
      </c>
      <c r="K36" s="4">
        <v>914</v>
      </c>
      <c r="L36" s="4">
        <v>10</v>
      </c>
      <c r="M36" s="4">
        <v>16</v>
      </c>
      <c r="N36" s="4">
        <v>80</v>
      </c>
      <c r="O36" s="4">
        <v>106</v>
      </c>
      <c r="P36" s="4">
        <v>1</v>
      </c>
      <c r="Q36" s="4">
        <v>2</v>
      </c>
      <c r="R36" s="4">
        <v>14</v>
      </c>
      <c r="S36" s="4">
        <v>64</v>
      </c>
      <c r="T36" s="4">
        <v>81</v>
      </c>
      <c r="U36" s="4">
        <v>78</v>
      </c>
    </row>
    <row r="37" spans="1:21" ht="12.5" x14ac:dyDescent="0.25">
      <c r="A37" s="20">
        <v>43926</v>
      </c>
      <c r="B37" s="4">
        <v>198</v>
      </c>
      <c r="C37" s="4">
        <v>164</v>
      </c>
      <c r="D37" s="4">
        <v>1911</v>
      </c>
      <c r="E37" s="4">
        <v>2273</v>
      </c>
      <c r="F37" s="4">
        <v>123</v>
      </c>
      <c r="G37" s="4">
        <v>64</v>
      </c>
      <c r="H37" s="4">
        <v>279</v>
      </c>
      <c r="I37" s="4">
        <v>685</v>
      </c>
      <c r="J37" s="4">
        <v>1151</v>
      </c>
      <c r="K37" s="4">
        <v>964</v>
      </c>
      <c r="L37" s="4">
        <v>7</v>
      </c>
      <c r="M37" s="4">
        <v>14</v>
      </c>
      <c r="N37" s="4">
        <v>160</v>
      </c>
      <c r="O37" s="4">
        <v>181</v>
      </c>
      <c r="P37" s="4">
        <v>24</v>
      </c>
      <c r="Q37" s="4">
        <v>6</v>
      </c>
      <c r="R37" s="4">
        <v>56</v>
      </c>
      <c r="S37" s="4">
        <v>-6</v>
      </c>
      <c r="T37" s="4">
        <v>80</v>
      </c>
      <c r="U37" s="4">
        <v>50</v>
      </c>
    </row>
    <row r="38" spans="1:21" ht="12.5" x14ac:dyDescent="0.25">
      <c r="A38" s="20">
        <v>43927</v>
      </c>
      <c r="B38" s="4">
        <v>209</v>
      </c>
      <c r="C38" s="4">
        <v>192</v>
      </c>
      <c r="D38" s="4">
        <v>2090</v>
      </c>
      <c r="E38" s="4">
        <v>2491</v>
      </c>
      <c r="F38" s="4">
        <v>131</v>
      </c>
      <c r="G38" s="4">
        <v>68</v>
      </c>
      <c r="H38" s="4">
        <v>317</v>
      </c>
      <c r="I38" s="4">
        <v>783</v>
      </c>
      <c r="J38" s="4">
        <v>1299</v>
      </c>
      <c r="K38" s="4">
        <v>1100</v>
      </c>
      <c r="L38" s="4">
        <v>11</v>
      </c>
      <c r="M38" s="4">
        <v>28</v>
      </c>
      <c r="N38" s="4">
        <v>179</v>
      </c>
      <c r="O38" s="4">
        <v>218</v>
      </c>
      <c r="P38" s="4">
        <v>8</v>
      </c>
      <c r="Q38" s="4">
        <v>4</v>
      </c>
      <c r="R38" s="4">
        <v>38</v>
      </c>
      <c r="S38" s="4">
        <v>98</v>
      </c>
      <c r="T38" s="4">
        <v>148</v>
      </c>
      <c r="U38" s="4">
        <v>136</v>
      </c>
    </row>
    <row r="39" spans="1:21" ht="12.5" x14ac:dyDescent="0.25">
      <c r="A39" s="20">
        <v>43928</v>
      </c>
      <c r="B39" s="4">
        <v>221</v>
      </c>
      <c r="C39" s="4">
        <v>204</v>
      </c>
      <c r="D39" s="4">
        <v>2313</v>
      </c>
      <c r="E39" s="4">
        <v>2738</v>
      </c>
      <c r="F39" s="4">
        <v>141</v>
      </c>
      <c r="G39" s="4">
        <v>69</v>
      </c>
      <c r="H39" s="4">
        <v>338</v>
      </c>
      <c r="I39" s="4">
        <v>895</v>
      </c>
      <c r="J39" s="4">
        <v>1443</v>
      </c>
      <c r="K39" s="4">
        <v>1233</v>
      </c>
      <c r="L39" s="4">
        <v>12</v>
      </c>
      <c r="M39" s="4">
        <v>12</v>
      </c>
      <c r="N39" s="4">
        <v>223</v>
      </c>
      <c r="O39" s="4">
        <v>247</v>
      </c>
      <c r="P39" s="4">
        <v>10</v>
      </c>
      <c r="Q39" s="4">
        <v>1</v>
      </c>
      <c r="R39" s="4">
        <v>21</v>
      </c>
      <c r="S39" s="4">
        <v>112</v>
      </c>
      <c r="T39" s="4">
        <v>144</v>
      </c>
      <c r="U39" s="4">
        <v>133</v>
      </c>
    </row>
    <row r="40" spans="1:21" ht="12.5" x14ac:dyDescent="0.25">
      <c r="A40" s="20">
        <v>43929</v>
      </c>
      <c r="B40" s="4">
        <v>240</v>
      </c>
      <c r="C40" s="4">
        <v>222</v>
      </c>
      <c r="D40" s="4">
        <v>2494</v>
      </c>
      <c r="E40" s="4">
        <v>2956</v>
      </c>
      <c r="F40" s="4">
        <v>144</v>
      </c>
      <c r="G40" s="4">
        <v>75</v>
      </c>
      <c r="H40" s="4">
        <v>357</v>
      </c>
      <c r="I40" s="4">
        <v>976</v>
      </c>
      <c r="J40" s="4">
        <v>1552</v>
      </c>
      <c r="K40" s="4">
        <v>1333</v>
      </c>
      <c r="L40" s="4">
        <v>19</v>
      </c>
      <c r="M40" s="4">
        <v>18</v>
      </c>
      <c r="N40" s="4">
        <v>181</v>
      </c>
      <c r="O40" s="4">
        <v>218</v>
      </c>
      <c r="P40" s="4">
        <v>3</v>
      </c>
      <c r="Q40" s="4">
        <v>6</v>
      </c>
      <c r="R40" s="4">
        <v>19</v>
      </c>
      <c r="S40" s="4">
        <v>81</v>
      </c>
      <c r="T40" s="4">
        <v>109</v>
      </c>
      <c r="U40" s="4">
        <v>100</v>
      </c>
    </row>
    <row r="41" spans="1:21" ht="12.5" x14ac:dyDescent="0.25">
      <c r="A41" s="20">
        <v>43930</v>
      </c>
      <c r="B41" s="4">
        <v>280</v>
      </c>
      <c r="C41" s="4">
        <v>252</v>
      </c>
      <c r="D41" s="4">
        <v>2761</v>
      </c>
      <c r="E41" s="4">
        <v>3293</v>
      </c>
      <c r="F41" s="4">
        <v>155</v>
      </c>
      <c r="G41" s="4">
        <v>82</v>
      </c>
      <c r="H41" s="4">
        <v>405</v>
      </c>
      <c r="I41" s="4">
        <v>1077</v>
      </c>
      <c r="J41" s="4">
        <v>1719</v>
      </c>
      <c r="K41" s="4">
        <v>1482</v>
      </c>
      <c r="L41" s="4">
        <v>40</v>
      </c>
      <c r="M41" s="4">
        <v>30</v>
      </c>
      <c r="N41" s="4">
        <v>267</v>
      </c>
      <c r="O41" s="4">
        <v>337</v>
      </c>
      <c r="P41" s="4">
        <v>11</v>
      </c>
      <c r="Q41" s="4">
        <v>7</v>
      </c>
      <c r="R41" s="4">
        <v>48</v>
      </c>
      <c r="S41" s="4">
        <v>101</v>
      </c>
      <c r="T41" s="4">
        <v>167</v>
      </c>
      <c r="U41" s="4">
        <v>149</v>
      </c>
    </row>
    <row r="42" spans="1:21" ht="12.5" x14ac:dyDescent="0.25">
      <c r="A42" s="20">
        <v>43931</v>
      </c>
      <c r="B42" s="4">
        <v>306</v>
      </c>
      <c r="C42" s="4">
        <v>282</v>
      </c>
      <c r="D42" s="4">
        <v>2924</v>
      </c>
      <c r="E42" s="4">
        <v>3512</v>
      </c>
      <c r="F42" s="4">
        <v>156</v>
      </c>
      <c r="G42" s="4">
        <v>82</v>
      </c>
      <c r="H42" s="4">
        <v>433</v>
      </c>
      <c r="I42" s="4">
        <v>1139</v>
      </c>
      <c r="J42" s="4">
        <v>1810</v>
      </c>
      <c r="K42" s="4">
        <v>1572</v>
      </c>
      <c r="L42" s="4">
        <v>26</v>
      </c>
      <c r="M42" s="4">
        <v>30</v>
      </c>
      <c r="N42" s="4">
        <v>163</v>
      </c>
      <c r="O42" s="4">
        <v>219</v>
      </c>
      <c r="P42" s="4">
        <v>1</v>
      </c>
      <c r="Q42" s="4">
        <v>0</v>
      </c>
      <c r="R42" s="4">
        <v>28</v>
      </c>
      <c r="S42" s="4">
        <v>62</v>
      </c>
      <c r="T42" s="4">
        <v>91</v>
      </c>
      <c r="U42" s="4">
        <v>90</v>
      </c>
    </row>
    <row r="43" spans="1:21" ht="12.5" x14ac:dyDescent="0.25">
      <c r="A43" s="20">
        <v>43932</v>
      </c>
      <c r="B43" s="4">
        <v>327</v>
      </c>
      <c r="C43" s="4">
        <v>286</v>
      </c>
      <c r="D43" s="4">
        <v>3229</v>
      </c>
      <c r="E43" s="4">
        <v>3842</v>
      </c>
      <c r="F43" s="4">
        <v>168</v>
      </c>
      <c r="G43" s="4">
        <v>142</v>
      </c>
      <c r="H43" s="4">
        <v>441</v>
      </c>
      <c r="I43" s="4">
        <v>1152</v>
      </c>
      <c r="J43" s="4">
        <v>1903</v>
      </c>
      <c r="K43" s="4">
        <v>1593</v>
      </c>
      <c r="L43" s="4">
        <v>21</v>
      </c>
      <c r="M43" s="4">
        <v>4</v>
      </c>
      <c r="N43" s="4">
        <v>305</v>
      </c>
      <c r="O43" s="4">
        <v>330</v>
      </c>
      <c r="P43" s="4">
        <v>12</v>
      </c>
      <c r="Q43" s="4">
        <v>60</v>
      </c>
      <c r="R43" s="4">
        <v>8</v>
      </c>
      <c r="S43" s="4">
        <v>13</v>
      </c>
      <c r="T43" s="4">
        <v>93</v>
      </c>
      <c r="U43" s="4">
        <v>21</v>
      </c>
    </row>
    <row r="44" spans="1:21" ht="12.5" x14ac:dyDescent="0.25">
      <c r="A44" s="20">
        <v>43933</v>
      </c>
      <c r="B44" s="4">
        <v>373</v>
      </c>
      <c r="C44" s="4">
        <v>359</v>
      </c>
      <c r="D44" s="4">
        <v>3509</v>
      </c>
      <c r="E44" s="4">
        <v>4241</v>
      </c>
      <c r="F44" s="4">
        <v>195</v>
      </c>
      <c r="G44" s="4">
        <v>142</v>
      </c>
      <c r="H44" s="4">
        <v>468</v>
      </c>
      <c r="I44" s="4">
        <v>1277</v>
      </c>
      <c r="J44" s="4">
        <v>2082</v>
      </c>
      <c r="K44" s="4">
        <v>1745</v>
      </c>
      <c r="L44" s="4">
        <v>46</v>
      </c>
      <c r="M44" s="4">
        <v>73</v>
      </c>
      <c r="N44" s="4">
        <v>280</v>
      </c>
      <c r="O44" s="4">
        <v>399</v>
      </c>
      <c r="P44" s="4">
        <v>27</v>
      </c>
      <c r="Q44" s="4">
        <v>0</v>
      </c>
      <c r="R44" s="4">
        <v>27</v>
      </c>
      <c r="S44" s="4">
        <v>125</v>
      </c>
      <c r="T44" s="4">
        <v>179</v>
      </c>
      <c r="U44" s="4">
        <v>152</v>
      </c>
    </row>
    <row r="45" spans="1:21" ht="12.5" x14ac:dyDescent="0.25">
      <c r="A45" s="20">
        <v>43934</v>
      </c>
      <c r="B45" s="4">
        <v>399</v>
      </c>
      <c r="C45" s="4">
        <v>380</v>
      </c>
      <c r="D45" s="4">
        <v>3778</v>
      </c>
      <c r="E45" s="4">
        <v>4557</v>
      </c>
      <c r="F45" s="4">
        <v>209</v>
      </c>
      <c r="G45" s="4">
        <v>142</v>
      </c>
      <c r="H45" s="4">
        <v>521</v>
      </c>
      <c r="I45" s="4">
        <v>1370</v>
      </c>
      <c r="J45" s="4">
        <v>2242</v>
      </c>
      <c r="K45" s="4">
        <v>1891</v>
      </c>
      <c r="L45" s="4">
        <v>26</v>
      </c>
      <c r="M45" s="4">
        <v>21</v>
      </c>
      <c r="N45" s="4">
        <v>269</v>
      </c>
      <c r="O45" s="4">
        <v>316</v>
      </c>
      <c r="P45" s="4">
        <v>14</v>
      </c>
      <c r="Q45" s="4">
        <v>0</v>
      </c>
      <c r="R45" s="4">
        <v>53</v>
      </c>
      <c r="S45" s="4">
        <v>93</v>
      </c>
      <c r="T45" s="4">
        <v>160</v>
      </c>
      <c r="U45" s="4">
        <v>146</v>
      </c>
    </row>
    <row r="46" spans="1:21" ht="12.5" x14ac:dyDescent="0.25">
      <c r="A46" s="20">
        <v>43935</v>
      </c>
      <c r="B46" s="4">
        <v>459</v>
      </c>
      <c r="C46" s="4">
        <v>426</v>
      </c>
      <c r="D46" s="4">
        <v>3954</v>
      </c>
      <c r="E46" s="4">
        <v>4839</v>
      </c>
      <c r="F46" s="4">
        <v>243</v>
      </c>
      <c r="G46" s="4">
        <v>163</v>
      </c>
      <c r="H46" s="4">
        <v>558</v>
      </c>
      <c r="I46" s="4">
        <v>1385</v>
      </c>
      <c r="J46" s="4">
        <v>2349</v>
      </c>
      <c r="K46" s="4">
        <v>1943</v>
      </c>
      <c r="L46" s="4">
        <v>60</v>
      </c>
      <c r="M46" s="4">
        <v>46</v>
      </c>
      <c r="N46" s="4">
        <v>176</v>
      </c>
      <c r="O46" s="4">
        <v>282</v>
      </c>
      <c r="P46" s="4">
        <v>34</v>
      </c>
      <c r="Q46" s="4">
        <v>21</v>
      </c>
      <c r="R46" s="4">
        <v>37</v>
      </c>
      <c r="S46" s="4">
        <v>15</v>
      </c>
      <c r="T46" s="4">
        <v>107</v>
      </c>
      <c r="U46" s="4">
        <v>52</v>
      </c>
    </row>
    <row r="47" spans="1:21" ht="12.5" x14ac:dyDescent="0.25">
      <c r="A47" s="20">
        <v>43936</v>
      </c>
      <c r="B47" s="4">
        <v>469</v>
      </c>
      <c r="C47" s="4">
        <v>446</v>
      </c>
      <c r="D47" s="4">
        <v>4221</v>
      </c>
      <c r="E47" s="4">
        <v>5136</v>
      </c>
      <c r="F47" s="4">
        <v>246</v>
      </c>
      <c r="G47" s="4">
        <v>164</v>
      </c>
      <c r="H47" s="4">
        <v>613</v>
      </c>
      <c r="I47" s="4">
        <v>1424</v>
      </c>
      <c r="J47" s="4">
        <v>2447</v>
      </c>
      <c r="K47" s="4">
        <v>2037</v>
      </c>
      <c r="L47" s="4">
        <v>10</v>
      </c>
      <c r="M47" s="4">
        <v>20</v>
      </c>
      <c r="N47" s="4">
        <v>267</v>
      </c>
      <c r="O47" s="4">
        <v>297</v>
      </c>
      <c r="P47" s="4">
        <v>3</v>
      </c>
      <c r="Q47" s="4">
        <v>1</v>
      </c>
      <c r="R47" s="4">
        <v>55</v>
      </c>
      <c r="S47" s="4">
        <v>39</v>
      </c>
      <c r="T47" s="4">
        <v>98</v>
      </c>
      <c r="U47" s="4">
        <v>94</v>
      </c>
    </row>
    <row r="48" spans="1:21" ht="12.5" x14ac:dyDescent="0.25">
      <c r="A48" s="20">
        <v>43937</v>
      </c>
      <c r="B48" s="4">
        <v>496</v>
      </c>
      <c r="C48" s="4">
        <v>548</v>
      </c>
      <c r="D48" s="4">
        <v>4472</v>
      </c>
      <c r="E48" s="4">
        <v>5516</v>
      </c>
      <c r="F48" s="4">
        <v>248</v>
      </c>
      <c r="G48" s="4">
        <v>202</v>
      </c>
      <c r="H48" s="4">
        <v>619</v>
      </c>
      <c r="I48" s="4">
        <v>1601</v>
      </c>
      <c r="J48" s="4">
        <v>2670</v>
      </c>
      <c r="K48" s="4">
        <v>2220</v>
      </c>
      <c r="L48" s="4">
        <v>27</v>
      </c>
      <c r="M48" s="4">
        <v>102</v>
      </c>
      <c r="N48" s="4">
        <v>251</v>
      </c>
      <c r="O48" s="4">
        <v>380</v>
      </c>
      <c r="P48" s="4">
        <v>2</v>
      </c>
      <c r="Q48" s="4">
        <v>38</v>
      </c>
      <c r="R48" s="4">
        <v>6</v>
      </c>
      <c r="S48" s="4">
        <v>177</v>
      </c>
      <c r="T48" s="4">
        <v>223</v>
      </c>
      <c r="U48" s="4">
        <v>183</v>
      </c>
    </row>
    <row r="49" spans="1:21" ht="12.5" x14ac:dyDescent="0.25">
      <c r="A49" s="20">
        <v>43938</v>
      </c>
      <c r="B49" s="4">
        <v>520</v>
      </c>
      <c r="C49" s="4">
        <v>607</v>
      </c>
      <c r="D49" s="4">
        <v>4796</v>
      </c>
      <c r="E49" s="4">
        <v>5923</v>
      </c>
      <c r="F49" s="4">
        <v>250</v>
      </c>
      <c r="G49" s="4">
        <v>203</v>
      </c>
      <c r="H49" s="4">
        <v>643</v>
      </c>
      <c r="I49" s="4">
        <v>1727</v>
      </c>
      <c r="J49" s="4">
        <v>2823</v>
      </c>
      <c r="K49" s="4">
        <v>2370</v>
      </c>
      <c r="L49" s="4">
        <v>24</v>
      </c>
      <c r="M49" s="4">
        <v>59</v>
      </c>
      <c r="N49" s="4">
        <v>324</v>
      </c>
      <c r="O49" s="4">
        <v>407</v>
      </c>
      <c r="P49" s="4">
        <v>2</v>
      </c>
      <c r="Q49" s="4">
        <v>1</v>
      </c>
      <c r="R49" s="4">
        <v>24</v>
      </c>
      <c r="S49" s="4">
        <v>126</v>
      </c>
      <c r="T49" s="4">
        <v>153</v>
      </c>
      <c r="U49" s="4">
        <v>150</v>
      </c>
    </row>
    <row r="50" spans="1:21" ht="12.5" x14ac:dyDescent="0.25">
      <c r="A50" s="20">
        <v>43939</v>
      </c>
      <c r="B50" s="4">
        <v>535</v>
      </c>
      <c r="C50" s="4">
        <v>631</v>
      </c>
      <c r="D50" s="4">
        <v>5082</v>
      </c>
      <c r="E50" s="4">
        <v>6248</v>
      </c>
      <c r="F50" s="4">
        <v>257</v>
      </c>
      <c r="G50" s="4">
        <v>206</v>
      </c>
      <c r="H50" s="4">
        <v>670</v>
      </c>
      <c r="I50" s="4">
        <v>1769</v>
      </c>
      <c r="J50" s="4">
        <v>2902</v>
      </c>
      <c r="K50" s="4">
        <v>2439</v>
      </c>
      <c r="L50" s="4">
        <v>15</v>
      </c>
      <c r="M50" s="4">
        <v>24</v>
      </c>
      <c r="N50" s="4">
        <v>286</v>
      </c>
      <c r="O50" s="4">
        <v>325</v>
      </c>
      <c r="P50" s="4">
        <v>7</v>
      </c>
      <c r="Q50" s="4">
        <v>3</v>
      </c>
      <c r="R50" s="4">
        <v>27</v>
      </c>
      <c r="S50" s="4">
        <v>42</v>
      </c>
      <c r="T50" s="4">
        <v>79</v>
      </c>
      <c r="U50" s="4">
        <v>69</v>
      </c>
    </row>
    <row r="51" spans="1:21" ht="12.5" x14ac:dyDescent="0.25">
      <c r="A51" s="20">
        <v>43940</v>
      </c>
      <c r="B51" s="4">
        <v>582</v>
      </c>
      <c r="C51" s="4">
        <v>686</v>
      </c>
      <c r="D51" s="4">
        <v>5307</v>
      </c>
      <c r="E51" s="4">
        <v>6575</v>
      </c>
      <c r="F51" s="4">
        <v>292</v>
      </c>
      <c r="G51" s="4">
        <v>207</v>
      </c>
      <c r="H51" s="4">
        <v>695</v>
      </c>
      <c r="I51" s="4">
        <v>1839</v>
      </c>
      <c r="J51" s="4">
        <v>3033</v>
      </c>
      <c r="K51" s="4">
        <v>2534</v>
      </c>
      <c r="L51" s="4">
        <v>47</v>
      </c>
      <c r="M51" s="4">
        <v>55</v>
      </c>
      <c r="N51" s="4">
        <v>225</v>
      </c>
      <c r="O51" s="4">
        <v>327</v>
      </c>
      <c r="P51" s="4">
        <v>35</v>
      </c>
      <c r="Q51" s="4">
        <v>1</v>
      </c>
      <c r="R51" s="4">
        <v>25</v>
      </c>
      <c r="S51" s="4">
        <v>70</v>
      </c>
      <c r="T51" s="4">
        <v>131</v>
      </c>
      <c r="U51" s="4">
        <v>95</v>
      </c>
    </row>
    <row r="52" spans="1:21" ht="12.5" x14ac:dyDescent="0.25">
      <c r="A52" s="20">
        <v>43941</v>
      </c>
      <c r="B52" s="4">
        <v>590</v>
      </c>
      <c r="C52" s="4">
        <v>747</v>
      </c>
      <c r="D52" s="4">
        <v>5423</v>
      </c>
      <c r="E52" s="4">
        <v>6760</v>
      </c>
      <c r="F52" s="4">
        <v>297</v>
      </c>
      <c r="G52" s="4">
        <v>237</v>
      </c>
      <c r="H52" s="4">
        <v>752</v>
      </c>
      <c r="I52" s="4">
        <v>1826</v>
      </c>
      <c r="J52" s="4">
        <v>3112</v>
      </c>
      <c r="K52" s="4">
        <v>2578</v>
      </c>
      <c r="L52" s="4">
        <v>8</v>
      </c>
      <c r="M52" s="4">
        <v>61</v>
      </c>
      <c r="N52" s="4">
        <v>116</v>
      </c>
      <c r="O52" s="4">
        <v>185</v>
      </c>
      <c r="P52" s="4">
        <v>5</v>
      </c>
      <c r="Q52" s="4">
        <v>30</v>
      </c>
      <c r="R52" s="4">
        <v>57</v>
      </c>
      <c r="S52" s="4">
        <v>-13</v>
      </c>
      <c r="T52" s="4">
        <v>79</v>
      </c>
      <c r="U52" s="4">
        <v>44</v>
      </c>
    </row>
    <row r="53" spans="1:21" ht="12.5" x14ac:dyDescent="0.25">
      <c r="A53" s="20">
        <v>43942</v>
      </c>
      <c r="B53" s="4">
        <v>616</v>
      </c>
      <c r="C53" s="4">
        <v>842</v>
      </c>
      <c r="D53" s="4">
        <v>5677</v>
      </c>
      <c r="E53" s="4">
        <v>7135</v>
      </c>
      <c r="F53" s="4">
        <v>305</v>
      </c>
      <c r="G53" s="4">
        <v>286</v>
      </c>
      <c r="H53" s="4">
        <v>753</v>
      </c>
      <c r="I53" s="4">
        <v>1935</v>
      </c>
      <c r="J53" s="4">
        <v>3279</v>
      </c>
      <c r="K53" s="4">
        <v>2688</v>
      </c>
      <c r="L53" s="4">
        <v>26</v>
      </c>
      <c r="M53" s="4">
        <v>95</v>
      </c>
      <c r="N53" s="4">
        <v>254</v>
      </c>
      <c r="O53" s="4">
        <v>375</v>
      </c>
      <c r="P53" s="4">
        <v>8</v>
      </c>
      <c r="Q53" s="4">
        <v>49</v>
      </c>
      <c r="R53" s="4">
        <v>1</v>
      </c>
      <c r="S53" s="4">
        <v>109</v>
      </c>
      <c r="T53" s="4">
        <v>167</v>
      </c>
      <c r="U53" s="4">
        <v>110</v>
      </c>
    </row>
    <row r="54" spans="1:21" ht="12.5" x14ac:dyDescent="0.25">
      <c r="A54" s="20">
        <v>43943</v>
      </c>
      <c r="B54" s="4">
        <v>635</v>
      </c>
      <c r="C54" s="4">
        <v>913</v>
      </c>
      <c r="D54" s="4">
        <v>5870</v>
      </c>
      <c r="E54" s="4">
        <v>7418</v>
      </c>
      <c r="F54" s="4">
        <v>308</v>
      </c>
      <c r="G54" s="4">
        <v>291</v>
      </c>
      <c r="H54" s="4">
        <v>815</v>
      </c>
      <c r="I54" s="4">
        <v>1985</v>
      </c>
      <c r="J54" s="4">
        <v>3399</v>
      </c>
      <c r="K54" s="4">
        <v>2800</v>
      </c>
      <c r="L54" s="4">
        <v>19</v>
      </c>
      <c r="M54" s="4">
        <v>71</v>
      </c>
      <c r="N54" s="4">
        <v>193</v>
      </c>
      <c r="O54" s="4">
        <v>283</v>
      </c>
      <c r="P54" s="4">
        <v>3</v>
      </c>
      <c r="Q54" s="4">
        <v>5</v>
      </c>
      <c r="R54" s="4">
        <v>62</v>
      </c>
      <c r="S54" s="4">
        <v>50</v>
      </c>
      <c r="T54" s="4">
        <v>120</v>
      </c>
      <c r="U54" s="4">
        <v>112</v>
      </c>
    </row>
    <row r="55" spans="1:21" ht="12.5" x14ac:dyDescent="0.25">
      <c r="A55" s="20">
        <v>43944</v>
      </c>
      <c r="B55" s="4">
        <v>647</v>
      </c>
      <c r="C55" s="4">
        <v>960</v>
      </c>
      <c r="D55" s="4">
        <v>6168</v>
      </c>
      <c r="E55" s="4">
        <v>7775</v>
      </c>
      <c r="F55" s="4">
        <v>316</v>
      </c>
      <c r="G55" s="4">
        <v>292</v>
      </c>
      <c r="H55" s="4">
        <v>888</v>
      </c>
      <c r="I55" s="4">
        <v>2010</v>
      </c>
      <c r="J55" s="4">
        <v>3506</v>
      </c>
      <c r="K55" s="4">
        <v>2898</v>
      </c>
      <c r="L55" s="4">
        <v>12</v>
      </c>
      <c r="M55" s="4">
        <v>47</v>
      </c>
      <c r="N55" s="4">
        <v>298</v>
      </c>
      <c r="O55" s="4">
        <v>357</v>
      </c>
      <c r="P55" s="4">
        <v>8</v>
      </c>
      <c r="Q55" s="4">
        <v>1</v>
      </c>
      <c r="R55" s="4">
        <v>73</v>
      </c>
      <c r="S55" s="4">
        <v>25</v>
      </c>
      <c r="T55" s="4">
        <v>107</v>
      </c>
      <c r="U55" s="4">
        <v>98</v>
      </c>
    </row>
    <row r="56" spans="1:21" ht="12.5" x14ac:dyDescent="0.25">
      <c r="A56" s="20">
        <v>43945</v>
      </c>
      <c r="B56" s="4">
        <v>689</v>
      </c>
      <c r="C56" s="4">
        <v>1002</v>
      </c>
      <c r="D56" s="4">
        <v>6520</v>
      </c>
      <c r="E56" s="4">
        <v>8211</v>
      </c>
      <c r="F56" s="4">
        <v>331</v>
      </c>
      <c r="G56" s="4">
        <v>327</v>
      </c>
      <c r="H56" s="4">
        <v>959</v>
      </c>
      <c r="I56" s="4">
        <v>1988</v>
      </c>
      <c r="J56" s="4">
        <v>3605</v>
      </c>
      <c r="K56" s="4">
        <v>2947</v>
      </c>
      <c r="L56" s="4">
        <v>42</v>
      </c>
      <c r="M56" s="4">
        <v>42</v>
      </c>
      <c r="N56" s="4">
        <v>352</v>
      </c>
      <c r="O56" s="4">
        <v>436</v>
      </c>
      <c r="P56" s="4">
        <v>15</v>
      </c>
      <c r="Q56" s="4">
        <v>35</v>
      </c>
      <c r="R56" s="4">
        <v>71</v>
      </c>
      <c r="S56" s="4">
        <v>-22</v>
      </c>
      <c r="T56" s="4">
        <v>99</v>
      </c>
      <c r="U56" s="4">
        <v>49</v>
      </c>
    </row>
    <row r="57" spans="1:21" ht="12.5" x14ac:dyDescent="0.25">
      <c r="A57" s="20">
        <v>43946</v>
      </c>
      <c r="B57" s="4">
        <v>720</v>
      </c>
      <c r="C57" s="4">
        <v>1042</v>
      </c>
      <c r="D57" s="4">
        <v>6845</v>
      </c>
      <c r="E57" s="4">
        <v>8607</v>
      </c>
      <c r="F57" s="4">
        <v>350</v>
      </c>
      <c r="G57" s="4">
        <v>334</v>
      </c>
      <c r="H57" s="4">
        <v>1050</v>
      </c>
      <c r="I57" s="4">
        <v>1947</v>
      </c>
      <c r="J57" s="4">
        <v>3681</v>
      </c>
      <c r="K57" s="4">
        <v>2997</v>
      </c>
      <c r="L57" s="4">
        <v>31</v>
      </c>
      <c r="M57" s="4">
        <v>40</v>
      </c>
      <c r="N57" s="4">
        <v>325</v>
      </c>
      <c r="O57" s="4">
        <v>396</v>
      </c>
      <c r="P57" s="4">
        <v>19</v>
      </c>
      <c r="Q57" s="4">
        <v>7</v>
      </c>
      <c r="R57" s="4">
        <v>91</v>
      </c>
      <c r="S57" s="4">
        <v>-41</v>
      </c>
      <c r="T57" s="4">
        <v>76</v>
      </c>
      <c r="U57" s="4">
        <v>50</v>
      </c>
    </row>
    <row r="58" spans="1:21" ht="12.5" x14ac:dyDescent="0.25">
      <c r="A58" s="20">
        <v>43947</v>
      </c>
      <c r="B58" s="4">
        <v>743</v>
      </c>
      <c r="C58" s="4">
        <v>1107</v>
      </c>
      <c r="D58" s="4">
        <v>7032</v>
      </c>
      <c r="E58" s="4">
        <v>8882</v>
      </c>
      <c r="F58" s="4">
        <v>357</v>
      </c>
      <c r="G58" s="4">
        <v>338</v>
      </c>
      <c r="H58" s="4">
        <v>1099</v>
      </c>
      <c r="I58" s="4">
        <v>1952</v>
      </c>
      <c r="J58" s="4">
        <v>3746</v>
      </c>
      <c r="K58" s="4">
        <v>3051</v>
      </c>
      <c r="L58" s="4">
        <v>23</v>
      </c>
      <c r="M58" s="4">
        <v>65</v>
      </c>
      <c r="N58" s="4">
        <v>187</v>
      </c>
      <c r="O58" s="4">
        <v>275</v>
      </c>
      <c r="P58" s="4">
        <v>7</v>
      </c>
      <c r="Q58" s="4">
        <v>4</v>
      </c>
      <c r="R58" s="4">
        <v>49</v>
      </c>
      <c r="S58" s="4">
        <v>5</v>
      </c>
      <c r="T58" s="4">
        <v>65</v>
      </c>
      <c r="U58" s="4">
        <v>54</v>
      </c>
    </row>
    <row r="59" spans="1:21" ht="12.5" x14ac:dyDescent="0.25">
      <c r="A59" s="20">
        <v>43948</v>
      </c>
      <c r="B59" s="4">
        <v>765</v>
      </c>
      <c r="C59" s="4">
        <v>1151</v>
      </c>
      <c r="D59" s="4">
        <v>7180</v>
      </c>
      <c r="E59" s="4">
        <v>9096</v>
      </c>
      <c r="F59" s="4">
        <v>375</v>
      </c>
      <c r="G59" s="4">
        <v>338</v>
      </c>
      <c r="H59" s="4">
        <v>1169</v>
      </c>
      <c r="I59" s="4">
        <v>1950</v>
      </c>
      <c r="J59" s="4">
        <v>3832</v>
      </c>
      <c r="K59" s="4">
        <v>3119</v>
      </c>
      <c r="L59" s="4">
        <v>22</v>
      </c>
      <c r="M59" s="4">
        <v>44</v>
      </c>
      <c r="N59" s="4">
        <v>148</v>
      </c>
      <c r="O59" s="4">
        <v>214</v>
      </c>
      <c r="P59" s="4">
        <v>18</v>
      </c>
      <c r="Q59" s="4">
        <v>0</v>
      </c>
      <c r="R59" s="4">
        <v>70</v>
      </c>
      <c r="S59" s="4">
        <v>-2</v>
      </c>
      <c r="T59" s="4">
        <v>86</v>
      </c>
      <c r="U59" s="4">
        <v>68</v>
      </c>
    </row>
    <row r="60" spans="1:21" ht="12.5" x14ac:dyDescent="0.25">
      <c r="A60" s="20">
        <v>43949</v>
      </c>
      <c r="B60" s="4">
        <v>773</v>
      </c>
      <c r="C60" s="4">
        <v>1254</v>
      </c>
      <c r="D60" s="4">
        <v>7484</v>
      </c>
      <c r="E60" s="4">
        <v>9511</v>
      </c>
      <c r="F60" s="4">
        <v>379</v>
      </c>
      <c r="G60" s="4">
        <v>341</v>
      </c>
      <c r="H60" s="4">
        <v>1206</v>
      </c>
      <c r="I60" s="4">
        <v>2024</v>
      </c>
      <c r="J60" s="4">
        <v>3950</v>
      </c>
      <c r="K60" s="4">
        <v>3230</v>
      </c>
      <c r="L60" s="4">
        <v>8</v>
      </c>
      <c r="M60" s="4">
        <v>103</v>
      </c>
      <c r="N60" s="4">
        <v>304</v>
      </c>
      <c r="O60" s="4">
        <v>415</v>
      </c>
      <c r="P60" s="4">
        <v>4</v>
      </c>
      <c r="Q60" s="4">
        <v>3</v>
      </c>
      <c r="R60" s="4">
        <v>37</v>
      </c>
      <c r="S60" s="4">
        <v>74</v>
      </c>
      <c r="T60" s="4">
        <v>118</v>
      </c>
      <c r="U60" s="4">
        <v>111</v>
      </c>
    </row>
    <row r="61" spans="1:21" ht="12.5" x14ac:dyDescent="0.25">
      <c r="A61" s="20">
        <v>43950</v>
      </c>
      <c r="B61" s="4">
        <v>784</v>
      </c>
      <c r="C61" s="4">
        <v>1391</v>
      </c>
      <c r="D61" s="4">
        <v>7596</v>
      </c>
      <c r="E61" s="4">
        <v>9771</v>
      </c>
      <c r="F61" s="4">
        <v>381</v>
      </c>
      <c r="G61" s="4">
        <v>412</v>
      </c>
      <c r="H61" s="4">
        <v>1238</v>
      </c>
      <c r="I61" s="4">
        <v>2002</v>
      </c>
      <c r="J61" s="4">
        <v>4033</v>
      </c>
      <c r="K61" s="4">
        <v>3240</v>
      </c>
      <c r="L61" s="4">
        <v>11</v>
      </c>
      <c r="M61" s="4">
        <v>137</v>
      </c>
      <c r="N61" s="4">
        <v>112</v>
      </c>
      <c r="O61" s="4">
        <v>260</v>
      </c>
      <c r="P61" s="4">
        <v>2</v>
      </c>
      <c r="Q61" s="4">
        <v>71</v>
      </c>
      <c r="R61" s="4">
        <v>32</v>
      </c>
      <c r="S61" s="4">
        <v>-22</v>
      </c>
      <c r="T61" s="4">
        <v>83</v>
      </c>
      <c r="U61" s="4">
        <v>10</v>
      </c>
    </row>
    <row r="62" spans="1:21" ht="12.5" x14ac:dyDescent="0.25">
      <c r="A62" s="20">
        <v>43951</v>
      </c>
      <c r="B62" s="4">
        <v>792</v>
      </c>
      <c r="C62" s="4">
        <v>1522</v>
      </c>
      <c r="D62" s="4">
        <v>7804</v>
      </c>
      <c r="E62" s="4">
        <v>10118</v>
      </c>
      <c r="F62" s="4">
        <v>381</v>
      </c>
      <c r="G62" s="4">
        <v>412</v>
      </c>
      <c r="H62" s="4">
        <v>1272</v>
      </c>
      <c r="I62" s="4">
        <v>2073</v>
      </c>
      <c r="J62" s="4">
        <v>4138</v>
      </c>
      <c r="K62" s="4">
        <v>3345</v>
      </c>
      <c r="L62" s="4">
        <v>8</v>
      </c>
      <c r="M62" s="4">
        <v>131</v>
      </c>
      <c r="N62" s="4">
        <v>208</v>
      </c>
      <c r="O62" s="4">
        <v>347</v>
      </c>
      <c r="P62" s="4">
        <v>0</v>
      </c>
      <c r="Q62" s="4">
        <v>0</v>
      </c>
      <c r="R62" s="4">
        <v>34</v>
      </c>
      <c r="S62" s="4">
        <v>71</v>
      </c>
      <c r="T62" s="4">
        <v>105</v>
      </c>
      <c r="U62" s="4">
        <v>105</v>
      </c>
    </row>
    <row r="63" spans="1:21" ht="12.5" x14ac:dyDescent="0.25">
      <c r="A63" s="20">
        <v>43952</v>
      </c>
      <c r="B63" s="4">
        <v>800</v>
      </c>
      <c r="C63" s="4">
        <v>1591</v>
      </c>
      <c r="D63" s="4">
        <v>8160</v>
      </c>
      <c r="E63" s="4">
        <v>10551</v>
      </c>
      <c r="F63" s="4">
        <v>393</v>
      </c>
      <c r="G63" s="4">
        <v>427</v>
      </c>
      <c r="H63" s="4">
        <v>1312</v>
      </c>
      <c r="I63" s="4">
        <v>2151</v>
      </c>
      <c r="J63" s="4">
        <v>4283</v>
      </c>
      <c r="K63" s="4">
        <v>3463</v>
      </c>
      <c r="L63" s="4">
        <v>8</v>
      </c>
      <c r="M63" s="4">
        <v>69</v>
      </c>
      <c r="N63" s="4">
        <v>356</v>
      </c>
      <c r="O63" s="4">
        <v>433</v>
      </c>
      <c r="P63" s="4">
        <v>12</v>
      </c>
      <c r="Q63" s="4">
        <v>15</v>
      </c>
      <c r="R63" s="4">
        <v>40</v>
      </c>
      <c r="S63" s="4">
        <v>78</v>
      </c>
      <c r="T63" s="4">
        <v>145</v>
      </c>
      <c r="U63" s="4">
        <v>118</v>
      </c>
    </row>
    <row r="64" spans="1:21" ht="12.5" x14ac:dyDescent="0.25">
      <c r="A64" s="20">
        <v>43953</v>
      </c>
      <c r="B64" s="4">
        <v>831</v>
      </c>
      <c r="C64" s="4">
        <v>1665</v>
      </c>
      <c r="D64" s="4">
        <v>8347</v>
      </c>
      <c r="E64" s="4">
        <v>10843</v>
      </c>
      <c r="F64" s="4">
        <v>400</v>
      </c>
      <c r="G64" s="4">
        <v>562</v>
      </c>
      <c r="H64" s="4">
        <v>1304</v>
      </c>
      <c r="I64" s="4">
        <v>2089</v>
      </c>
      <c r="J64" s="4">
        <v>4355</v>
      </c>
      <c r="K64" s="4">
        <v>3393</v>
      </c>
      <c r="L64" s="4">
        <v>31</v>
      </c>
      <c r="M64" s="4">
        <v>74</v>
      </c>
      <c r="N64" s="4">
        <v>187</v>
      </c>
      <c r="O64" s="4">
        <v>292</v>
      </c>
      <c r="P64" s="4">
        <v>7</v>
      </c>
      <c r="Q64" s="4">
        <v>135</v>
      </c>
      <c r="R64" s="4">
        <v>-8</v>
      </c>
      <c r="S64" s="4">
        <v>-62</v>
      </c>
      <c r="T64" s="4">
        <v>72</v>
      </c>
      <c r="U64" s="4">
        <v>-70</v>
      </c>
    </row>
    <row r="65" spans="1:21" ht="12.5" x14ac:dyDescent="0.25">
      <c r="A65" s="20">
        <v>43954</v>
      </c>
      <c r="B65" s="4">
        <v>845</v>
      </c>
      <c r="C65" s="4">
        <v>1876</v>
      </c>
      <c r="D65" s="4">
        <v>8471</v>
      </c>
      <c r="E65" s="4">
        <v>11192</v>
      </c>
      <c r="F65" s="4">
        <v>410</v>
      </c>
      <c r="G65" s="4">
        <v>622</v>
      </c>
      <c r="H65" s="4">
        <v>1323</v>
      </c>
      <c r="I65" s="4">
        <v>2062</v>
      </c>
      <c r="J65" s="4">
        <v>4417</v>
      </c>
      <c r="K65" s="4">
        <v>3385</v>
      </c>
      <c r="L65" s="4">
        <v>14</v>
      </c>
      <c r="M65" s="4">
        <v>211</v>
      </c>
      <c r="N65" s="4">
        <v>124</v>
      </c>
      <c r="O65" s="4">
        <v>349</v>
      </c>
      <c r="P65" s="4">
        <v>10</v>
      </c>
      <c r="Q65" s="4">
        <v>60</v>
      </c>
      <c r="R65" s="4">
        <v>19</v>
      </c>
      <c r="S65" s="4">
        <v>-27</v>
      </c>
      <c r="T65" s="4">
        <v>62</v>
      </c>
      <c r="U65" s="4">
        <v>-8</v>
      </c>
    </row>
    <row r="66" spans="1:21" ht="12.5" x14ac:dyDescent="0.25">
      <c r="A66" s="20">
        <v>43955</v>
      </c>
      <c r="B66" s="4">
        <v>864</v>
      </c>
      <c r="C66" s="4">
        <v>1954</v>
      </c>
      <c r="D66" s="4">
        <v>8769</v>
      </c>
      <c r="E66" s="4">
        <v>11587</v>
      </c>
      <c r="F66" s="4">
        <v>412</v>
      </c>
      <c r="G66" s="4">
        <v>650</v>
      </c>
      <c r="H66" s="4">
        <v>1330</v>
      </c>
      <c r="I66" s="4">
        <v>2080</v>
      </c>
      <c r="J66" s="4">
        <v>4472</v>
      </c>
      <c r="K66" s="4">
        <v>3410</v>
      </c>
      <c r="L66" s="4">
        <v>19</v>
      </c>
      <c r="M66" s="4">
        <v>78</v>
      </c>
      <c r="N66" s="4">
        <v>298</v>
      </c>
      <c r="O66" s="4">
        <v>395</v>
      </c>
      <c r="P66" s="4">
        <v>2</v>
      </c>
      <c r="Q66" s="4">
        <v>28</v>
      </c>
      <c r="R66" s="4">
        <v>7</v>
      </c>
      <c r="S66" s="4">
        <v>18</v>
      </c>
      <c r="T66" s="4">
        <v>55</v>
      </c>
      <c r="U66" s="4">
        <v>25</v>
      </c>
    </row>
    <row r="67" spans="1:21" ht="12.5" x14ac:dyDescent="0.25">
      <c r="A67" s="20">
        <v>43956</v>
      </c>
      <c r="B67" s="4">
        <v>872</v>
      </c>
      <c r="C67" s="4">
        <v>2197</v>
      </c>
      <c r="D67" s="4">
        <v>9002</v>
      </c>
      <c r="E67" s="4">
        <v>12071</v>
      </c>
      <c r="F67" s="4">
        <v>414</v>
      </c>
      <c r="G67" s="4">
        <v>711</v>
      </c>
      <c r="H67" s="4">
        <v>1370</v>
      </c>
      <c r="I67" s="4">
        <v>2146</v>
      </c>
      <c r="J67" s="4">
        <v>4641</v>
      </c>
      <c r="K67" s="4">
        <v>3516</v>
      </c>
      <c r="L67" s="4">
        <v>8</v>
      </c>
      <c r="M67" s="4">
        <v>243</v>
      </c>
      <c r="N67" s="4">
        <v>233</v>
      </c>
      <c r="O67" s="4">
        <v>484</v>
      </c>
      <c r="P67" s="4">
        <v>2</v>
      </c>
      <c r="Q67" s="4">
        <v>61</v>
      </c>
      <c r="R67" s="4">
        <v>40</v>
      </c>
      <c r="S67" s="4">
        <v>66</v>
      </c>
      <c r="T67" s="4">
        <v>169</v>
      </c>
      <c r="U67" s="4">
        <v>106</v>
      </c>
    </row>
    <row r="68" spans="1:21" ht="12.5" x14ac:dyDescent="0.25">
      <c r="A68" s="20">
        <v>43957</v>
      </c>
      <c r="B68" s="4">
        <v>895</v>
      </c>
      <c r="C68" s="4">
        <v>2317</v>
      </c>
      <c r="D68" s="4">
        <v>9226</v>
      </c>
      <c r="E68" s="4">
        <v>12438</v>
      </c>
      <c r="F68" s="4">
        <v>420</v>
      </c>
      <c r="G68" s="4">
        <v>713</v>
      </c>
      <c r="H68" s="4">
        <v>1381</v>
      </c>
      <c r="I68" s="4">
        <v>2195</v>
      </c>
      <c r="J68" s="4">
        <v>4709</v>
      </c>
      <c r="K68" s="4">
        <v>3576</v>
      </c>
      <c r="L68" s="4">
        <v>23</v>
      </c>
      <c r="M68" s="4">
        <v>120</v>
      </c>
      <c r="N68" s="4">
        <v>224</v>
      </c>
      <c r="O68" s="4">
        <v>367</v>
      </c>
      <c r="P68" s="4">
        <v>6</v>
      </c>
      <c r="Q68" s="4">
        <v>2</v>
      </c>
      <c r="R68" s="4">
        <v>11</v>
      </c>
      <c r="S68" s="4">
        <v>49</v>
      </c>
      <c r="T68" s="4">
        <v>68</v>
      </c>
      <c r="U68" s="4">
        <v>60</v>
      </c>
    </row>
    <row r="69" spans="1:21" ht="12.5" x14ac:dyDescent="0.25">
      <c r="A69" s="20">
        <v>43958</v>
      </c>
      <c r="B69" s="4">
        <v>930</v>
      </c>
      <c r="C69" s="4">
        <v>2381</v>
      </c>
      <c r="D69" s="4">
        <v>9465</v>
      </c>
      <c r="E69" s="4">
        <v>12776</v>
      </c>
      <c r="F69" s="4">
        <v>430</v>
      </c>
      <c r="G69" s="4">
        <v>718</v>
      </c>
      <c r="H69" s="4">
        <v>1431</v>
      </c>
      <c r="I69" s="4">
        <v>2196</v>
      </c>
      <c r="J69" s="4">
        <v>4775</v>
      </c>
      <c r="K69" s="4">
        <v>3627</v>
      </c>
      <c r="L69" s="4">
        <v>35</v>
      </c>
      <c r="M69" s="4">
        <v>64</v>
      </c>
      <c r="N69" s="4">
        <v>239</v>
      </c>
      <c r="O69" s="4">
        <v>338</v>
      </c>
      <c r="P69" s="4">
        <v>10</v>
      </c>
      <c r="Q69" s="4">
        <v>5</v>
      </c>
      <c r="R69" s="4">
        <v>50</v>
      </c>
      <c r="S69" s="4">
        <v>1</v>
      </c>
      <c r="T69" s="4">
        <v>66</v>
      </c>
      <c r="U69" s="4">
        <v>51</v>
      </c>
    </row>
    <row r="70" spans="1:21" ht="12.5" x14ac:dyDescent="0.25">
      <c r="A70" s="20">
        <v>43959</v>
      </c>
      <c r="B70" s="4">
        <v>943</v>
      </c>
      <c r="C70" s="4">
        <v>2494</v>
      </c>
      <c r="D70" s="4">
        <v>9675</v>
      </c>
      <c r="E70" s="4">
        <v>13112</v>
      </c>
      <c r="F70" s="4">
        <v>431</v>
      </c>
      <c r="G70" s="4">
        <v>763</v>
      </c>
      <c r="H70" s="4">
        <v>1426</v>
      </c>
      <c r="I70" s="4">
        <v>2281</v>
      </c>
      <c r="J70" s="4">
        <v>4901</v>
      </c>
      <c r="K70" s="4">
        <v>3707</v>
      </c>
      <c r="L70" s="4">
        <v>13</v>
      </c>
      <c r="M70" s="4">
        <v>113</v>
      </c>
      <c r="N70" s="4">
        <v>210</v>
      </c>
      <c r="O70" s="4">
        <v>336</v>
      </c>
      <c r="P70" s="4">
        <v>1</v>
      </c>
      <c r="Q70" s="4">
        <v>45</v>
      </c>
      <c r="R70" s="4">
        <v>-5</v>
      </c>
      <c r="S70" s="4">
        <v>85</v>
      </c>
      <c r="T70" s="4">
        <v>126</v>
      </c>
      <c r="U70" s="4">
        <v>80</v>
      </c>
    </row>
    <row r="71" spans="1:21" ht="12.5" x14ac:dyDescent="0.25">
      <c r="A71" s="20">
        <v>43960</v>
      </c>
      <c r="B71" s="4">
        <v>959</v>
      </c>
      <c r="C71" s="4">
        <v>2607</v>
      </c>
      <c r="D71" s="4">
        <v>10079</v>
      </c>
      <c r="E71" s="4">
        <v>13645</v>
      </c>
      <c r="F71" s="4">
        <v>437</v>
      </c>
      <c r="G71" s="4">
        <v>767</v>
      </c>
      <c r="H71" s="4">
        <v>1442</v>
      </c>
      <c r="I71" s="4">
        <v>2312</v>
      </c>
      <c r="J71" s="4">
        <v>4958</v>
      </c>
      <c r="K71" s="4">
        <v>3754</v>
      </c>
      <c r="L71" s="4">
        <v>16</v>
      </c>
      <c r="M71" s="4">
        <v>113</v>
      </c>
      <c r="N71" s="4">
        <v>404</v>
      </c>
      <c r="O71" s="4">
        <v>533</v>
      </c>
      <c r="P71" s="4">
        <v>6</v>
      </c>
      <c r="Q71" s="4">
        <v>4</v>
      </c>
      <c r="R71" s="4">
        <v>16</v>
      </c>
      <c r="S71" s="4">
        <v>31</v>
      </c>
      <c r="T71" s="4">
        <v>57</v>
      </c>
      <c r="U71" s="4">
        <v>47</v>
      </c>
    </row>
    <row r="72" spans="1:21" ht="12.5" x14ac:dyDescent="0.25">
      <c r="A72" s="20">
        <v>43961</v>
      </c>
      <c r="B72" s="4">
        <v>973</v>
      </c>
      <c r="C72" s="4">
        <v>2698</v>
      </c>
      <c r="D72" s="4">
        <v>10361</v>
      </c>
      <c r="E72" s="4">
        <v>14032</v>
      </c>
      <c r="F72" s="4">
        <v>444</v>
      </c>
      <c r="G72" s="4">
        <v>803</v>
      </c>
      <c r="H72" s="4">
        <v>1533</v>
      </c>
      <c r="I72" s="4">
        <v>2360</v>
      </c>
      <c r="J72" s="4">
        <v>5140</v>
      </c>
      <c r="K72" s="4">
        <v>3893</v>
      </c>
      <c r="L72" s="4">
        <v>14</v>
      </c>
      <c r="M72" s="4">
        <v>91</v>
      </c>
      <c r="N72" s="4">
        <v>282</v>
      </c>
      <c r="O72" s="4">
        <v>387</v>
      </c>
      <c r="P72" s="4">
        <v>7</v>
      </c>
      <c r="Q72" s="4">
        <v>36</v>
      </c>
      <c r="R72" s="4">
        <v>91</v>
      </c>
      <c r="S72" s="4">
        <v>48</v>
      </c>
      <c r="T72" s="4">
        <v>182</v>
      </c>
      <c r="U72" s="4">
        <v>139</v>
      </c>
    </row>
    <row r="73" spans="1:21" ht="12.5" x14ac:dyDescent="0.25">
      <c r="A73" s="20">
        <v>43962</v>
      </c>
      <c r="B73" s="4">
        <v>991</v>
      </c>
      <c r="C73" s="4">
        <v>2881</v>
      </c>
      <c r="D73" s="4">
        <v>10393</v>
      </c>
      <c r="E73" s="4">
        <v>14265</v>
      </c>
      <c r="F73" s="4">
        <v>453</v>
      </c>
      <c r="G73" s="4">
        <v>836</v>
      </c>
      <c r="H73" s="4">
        <v>1648</v>
      </c>
      <c r="I73" s="4">
        <v>2258</v>
      </c>
      <c r="J73" s="4">
        <v>5195</v>
      </c>
      <c r="K73" s="4">
        <v>3906</v>
      </c>
      <c r="L73" s="4">
        <v>18</v>
      </c>
      <c r="M73" s="4">
        <v>183</v>
      </c>
      <c r="N73" s="4">
        <v>32</v>
      </c>
      <c r="O73" s="4">
        <v>233</v>
      </c>
      <c r="P73" s="4">
        <v>9</v>
      </c>
      <c r="Q73" s="4">
        <v>33</v>
      </c>
      <c r="R73" s="4">
        <v>115</v>
      </c>
      <c r="S73" s="4">
        <v>-102</v>
      </c>
      <c r="T73" s="4">
        <v>55</v>
      </c>
      <c r="U73" s="4">
        <v>13</v>
      </c>
    </row>
    <row r="74" spans="1:21" ht="12.5" x14ac:dyDescent="0.25">
      <c r="A74" s="20">
        <v>43963</v>
      </c>
      <c r="B74" s="4">
        <v>1007</v>
      </c>
      <c r="C74" s="4">
        <v>3063</v>
      </c>
      <c r="D74" s="4">
        <v>10679</v>
      </c>
      <c r="E74" s="4">
        <v>14749</v>
      </c>
      <c r="F74" s="4">
        <v>457</v>
      </c>
      <c r="G74" s="4">
        <v>1262</v>
      </c>
      <c r="H74" s="4">
        <v>1741</v>
      </c>
      <c r="I74" s="4">
        <v>1843</v>
      </c>
      <c r="J74" s="4">
        <v>5303</v>
      </c>
      <c r="K74" s="4">
        <v>3584</v>
      </c>
      <c r="L74" s="4">
        <v>16</v>
      </c>
      <c r="M74" s="4">
        <v>182</v>
      </c>
      <c r="N74" s="4">
        <v>286</v>
      </c>
      <c r="O74" s="4">
        <v>484</v>
      </c>
      <c r="P74" s="4">
        <v>4</v>
      </c>
      <c r="Q74" s="4">
        <v>426</v>
      </c>
      <c r="R74" s="4">
        <v>93</v>
      </c>
      <c r="S74" s="4">
        <v>-415</v>
      </c>
      <c r="T74" s="4">
        <v>108</v>
      </c>
      <c r="U74" s="4">
        <v>-322</v>
      </c>
    </row>
    <row r="75" spans="1:21" ht="12.5" x14ac:dyDescent="0.25">
      <c r="A75" s="20">
        <v>43964</v>
      </c>
      <c r="B75" s="4">
        <v>1028</v>
      </c>
      <c r="C75" s="4">
        <v>3287</v>
      </c>
      <c r="D75" s="4">
        <v>11123</v>
      </c>
      <c r="E75" s="4">
        <v>15438</v>
      </c>
      <c r="F75" s="4">
        <v>461</v>
      </c>
      <c r="G75" s="4">
        <v>1277</v>
      </c>
      <c r="H75" s="4">
        <v>1866</v>
      </c>
      <c r="I75" s="4">
        <v>1833</v>
      </c>
      <c r="J75" s="4">
        <v>5437</v>
      </c>
      <c r="K75" s="4">
        <v>3699</v>
      </c>
      <c r="L75" s="4">
        <v>21</v>
      </c>
      <c r="M75" s="4">
        <v>224</v>
      </c>
      <c r="N75" s="4">
        <v>444</v>
      </c>
      <c r="O75" s="4">
        <v>689</v>
      </c>
      <c r="P75" s="4">
        <v>4</v>
      </c>
      <c r="Q75" s="4">
        <v>15</v>
      </c>
      <c r="R75" s="4">
        <v>125</v>
      </c>
      <c r="S75" s="4">
        <v>-10</v>
      </c>
      <c r="T75" s="4">
        <v>134</v>
      </c>
      <c r="U75" s="4">
        <v>115</v>
      </c>
    </row>
    <row r="76" spans="1:21" ht="12.5" x14ac:dyDescent="0.25">
      <c r="A76" s="20">
        <v>43965</v>
      </c>
      <c r="B76" s="4">
        <v>1043</v>
      </c>
      <c r="C76" s="4">
        <v>3518</v>
      </c>
      <c r="D76" s="4">
        <v>11445</v>
      </c>
      <c r="E76" s="4">
        <v>16006</v>
      </c>
      <c r="F76" s="4">
        <v>466</v>
      </c>
      <c r="G76" s="4">
        <v>1279</v>
      </c>
      <c r="H76" s="4">
        <v>1995</v>
      </c>
      <c r="I76" s="4">
        <v>1877</v>
      </c>
      <c r="J76" s="4">
        <v>5617</v>
      </c>
      <c r="K76" s="4">
        <v>3872</v>
      </c>
      <c r="L76" s="4">
        <v>15</v>
      </c>
      <c r="M76" s="4">
        <v>231</v>
      </c>
      <c r="N76" s="4">
        <v>322</v>
      </c>
      <c r="O76" s="4">
        <v>568</v>
      </c>
      <c r="P76" s="4">
        <v>5</v>
      </c>
      <c r="Q76" s="4">
        <v>2</v>
      </c>
      <c r="R76" s="4">
        <v>129</v>
      </c>
      <c r="S76" s="4">
        <v>44</v>
      </c>
      <c r="T76" s="4">
        <v>180</v>
      </c>
      <c r="U76" s="4">
        <v>173</v>
      </c>
    </row>
    <row r="77" spans="1:21" ht="12.5" x14ac:dyDescent="0.25">
      <c r="A77" s="20">
        <v>43966</v>
      </c>
      <c r="B77" s="4">
        <v>1076</v>
      </c>
      <c r="C77" s="4">
        <v>3803</v>
      </c>
      <c r="D77" s="4">
        <v>11617</v>
      </c>
      <c r="E77" s="4">
        <v>16496</v>
      </c>
      <c r="F77" s="4">
        <v>474</v>
      </c>
      <c r="G77" s="4">
        <v>1286</v>
      </c>
      <c r="H77" s="4">
        <v>2019</v>
      </c>
      <c r="I77" s="4">
        <v>1900</v>
      </c>
      <c r="J77" s="4">
        <v>5679</v>
      </c>
      <c r="K77" s="4">
        <v>3919</v>
      </c>
      <c r="L77" s="4">
        <v>33</v>
      </c>
      <c r="M77" s="4">
        <v>285</v>
      </c>
      <c r="N77" s="4">
        <v>172</v>
      </c>
      <c r="O77" s="4">
        <v>490</v>
      </c>
      <c r="P77" s="4">
        <v>8</v>
      </c>
      <c r="Q77" s="4">
        <v>7</v>
      </c>
      <c r="R77" s="4">
        <v>24</v>
      </c>
      <c r="S77" s="4">
        <v>23</v>
      </c>
      <c r="T77" s="4">
        <v>62</v>
      </c>
      <c r="U77" s="4">
        <v>47</v>
      </c>
    </row>
    <row r="78" spans="1:21" ht="12.5" x14ac:dyDescent="0.25">
      <c r="A78" s="20">
        <v>43967</v>
      </c>
      <c r="B78" s="4">
        <v>1089</v>
      </c>
      <c r="C78" s="4">
        <v>3911</v>
      </c>
      <c r="D78" s="4">
        <v>12025</v>
      </c>
      <c r="E78" s="4">
        <v>17025</v>
      </c>
      <c r="F78" s="4">
        <v>475</v>
      </c>
      <c r="G78" s="4">
        <v>1292</v>
      </c>
      <c r="H78" s="4">
        <v>2120</v>
      </c>
      <c r="I78" s="4">
        <v>1908</v>
      </c>
      <c r="J78" s="4">
        <v>5795</v>
      </c>
      <c r="K78" s="4">
        <v>4028</v>
      </c>
      <c r="L78" s="4">
        <v>13</v>
      </c>
      <c r="M78" s="4">
        <v>108</v>
      </c>
      <c r="N78" s="4">
        <v>408</v>
      </c>
      <c r="O78" s="4">
        <v>529</v>
      </c>
      <c r="P78" s="4">
        <v>1</v>
      </c>
      <c r="Q78" s="4">
        <v>6</v>
      </c>
      <c r="R78" s="4">
        <v>101</v>
      </c>
      <c r="S78" s="4">
        <v>8</v>
      </c>
      <c r="T78" s="4">
        <v>116</v>
      </c>
      <c r="U78" s="4">
        <v>109</v>
      </c>
    </row>
    <row r="79" spans="1:21" ht="12.5" x14ac:dyDescent="0.25">
      <c r="A79" s="20">
        <v>43968</v>
      </c>
      <c r="B79" s="4">
        <v>1148</v>
      </c>
      <c r="C79" s="4">
        <v>4129</v>
      </c>
      <c r="D79" s="4">
        <v>12237</v>
      </c>
      <c r="E79" s="4">
        <v>17514</v>
      </c>
      <c r="F79" s="4">
        <v>478</v>
      </c>
      <c r="G79" s="4">
        <v>1295</v>
      </c>
      <c r="H79" s="4">
        <v>2217</v>
      </c>
      <c r="I79" s="4">
        <v>1932</v>
      </c>
      <c r="J79" s="4">
        <v>5922</v>
      </c>
      <c r="K79" s="4">
        <v>4149</v>
      </c>
      <c r="L79" s="4">
        <v>59</v>
      </c>
      <c r="M79" s="4">
        <v>218</v>
      </c>
      <c r="N79" s="4">
        <v>212</v>
      </c>
      <c r="O79" s="4">
        <v>489</v>
      </c>
      <c r="P79" s="4">
        <v>3</v>
      </c>
      <c r="Q79" s="4">
        <v>3</v>
      </c>
      <c r="R79" s="4">
        <v>97</v>
      </c>
      <c r="S79" s="4">
        <v>24</v>
      </c>
      <c r="T79" s="4">
        <v>127</v>
      </c>
      <c r="U79" s="4">
        <v>121</v>
      </c>
    </row>
    <row r="80" spans="1:21" ht="12.5" x14ac:dyDescent="0.25">
      <c r="A80" s="20">
        <v>43969</v>
      </c>
      <c r="B80" s="4">
        <v>1191</v>
      </c>
      <c r="C80" s="4">
        <v>4324</v>
      </c>
      <c r="D80" s="4">
        <v>12495</v>
      </c>
      <c r="E80" s="4">
        <v>18010</v>
      </c>
      <c r="F80" s="4">
        <v>483</v>
      </c>
      <c r="G80" s="4">
        <v>1301</v>
      </c>
      <c r="H80" s="4">
        <v>2266</v>
      </c>
      <c r="I80" s="4">
        <v>1946</v>
      </c>
      <c r="J80" s="4">
        <v>5996</v>
      </c>
      <c r="K80" s="4">
        <v>4212</v>
      </c>
      <c r="L80" s="4">
        <v>43</v>
      </c>
      <c r="M80" s="4">
        <v>195</v>
      </c>
      <c r="N80" s="4">
        <v>258</v>
      </c>
      <c r="O80" s="4">
        <v>496</v>
      </c>
      <c r="P80" s="4">
        <v>5</v>
      </c>
      <c r="Q80" s="4">
        <v>6</v>
      </c>
      <c r="R80" s="4">
        <v>49</v>
      </c>
      <c r="S80" s="4">
        <v>14</v>
      </c>
      <c r="T80" s="4">
        <v>74</v>
      </c>
      <c r="U80" s="4">
        <v>63</v>
      </c>
    </row>
    <row r="81" spans="1:21" ht="12.5" x14ac:dyDescent="0.25">
      <c r="A81" s="20">
        <v>43970</v>
      </c>
      <c r="B81" s="4">
        <v>1221</v>
      </c>
      <c r="C81" s="4">
        <v>4467</v>
      </c>
      <c r="D81" s="4">
        <v>12808</v>
      </c>
      <c r="E81" s="4">
        <v>18496</v>
      </c>
      <c r="F81" s="4">
        <v>487</v>
      </c>
      <c r="G81" s="4">
        <v>1417</v>
      </c>
      <c r="H81" s="4">
        <v>2213</v>
      </c>
      <c r="I81" s="4">
        <v>1936</v>
      </c>
      <c r="J81" s="4">
        <v>6053</v>
      </c>
      <c r="K81" s="4">
        <v>4149</v>
      </c>
      <c r="L81" s="4">
        <v>30</v>
      </c>
      <c r="M81" s="4">
        <v>143</v>
      </c>
      <c r="N81" s="4">
        <v>313</v>
      </c>
      <c r="O81" s="4">
        <v>486</v>
      </c>
      <c r="P81" s="4">
        <v>4</v>
      </c>
      <c r="Q81" s="4">
        <v>116</v>
      </c>
      <c r="R81" s="4">
        <v>-53</v>
      </c>
      <c r="S81" s="4">
        <v>-10</v>
      </c>
      <c r="T81" s="4">
        <v>57</v>
      </c>
      <c r="U81" s="4">
        <v>-63</v>
      </c>
    </row>
    <row r="82" spans="1:21" ht="12.5" x14ac:dyDescent="0.25">
      <c r="A82" s="20">
        <v>43971</v>
      </c>
      <c r="B82" s="4">
        <v>1242</v>
      </c>
      <c r="C82" s="4">
        <v>4575</v>
      </c>
      <c r="D82" s="4">
        <v>13372</v>
      </c>
      <c r="E82" s="4">
        <v>19189</v>
      </c>
      <c r="F82" s="4">
        <v>493</v>
      </c>
      <c r="G82" s="4">
        <v>1425</v>
      </c>
      <c r="H82" s="4">
        <v>2263</v>
      </c>
      <c r="I82" s="4">
        <v>1969</v>
      </c>
      <c r="J82" s="4">
        <v>6150</v>
      </c>
      <c r="K82" s="4">
        <v>4232</v>
      </c>
      <c r="L82" s="4">
        <v>21</v>
      </c>
      <c r="M82" s="4">
        <v>108</v>
      </c>
      <c r="N82" s="4">
        <v>564</v>
      </c>
      <c r="O82" s="4">
        <v>693</v>
      </c>
      <c r="P82" s="4">
        <v>6</v>
      </c>
      <c r="Q82" s="4">
        <v>8</v>
      </c>
      <c r="R82" s="4">
        <v>50</v>
      </c>
      <c r="S82" s="4">
        <v>33</v>
      </c>
      <c r="T82" s="4">
        <v>97</v>
      </c>
      <c r="U82" s="4">
        <v>83</v>
      </c>
    </row>
    <row r="83" spans="1:21" ht="12.5" x14ac:dyDescent="0.25">
      <c r="A83" s="20">
        <v>43972</v>
      </c>
      <c r="B83" s="4">
        <v>1278</v>
      </c>
      <c r="C83" s="4">
        <v>4838</v>
      </c>
      <c r="D83" s="4">
        <v>14046</v>
      </c>
      <c r="E83" s="4">
        <v>20162</v>
      </c>
      <c r="F83" s="4">
        <v>498</v>
      </c>
      <c r="G83" s="4">
        <v>1536</v>
      </c>
      <c r="H83" s="4">
        <v>2231</v>
      </c>
      <c r="I83" s="4">
        <v>1955</v>
      </c>
      <c r="J83" s="4">
        <v>6220</v>
      </c>
      <c r="K83" s="4">
        <v>4186</v>
      </c>
      <c r="L83" s="4">
        <v>36</v>
      </c>
      <c r="M83" s="4">
        <v>263</v>
      </c>
      <c r="N83" s="4">
        <v>674</v>
      </c>
      <c r="O83" s="4">
        <v>973</v>
      </c>
      <c r="P83" s="4">
        <v>5</v>
      </c>
      <c r="Q83" s="4">
        <v>111</v>
      </c>
      <c r="R83" s="4">
        <v>-32</v>
      </c>
      <c r="S83" s="4">
        <v>-14</v>
      </c>
      <c r="T83" s="4">
        <v>70</v>
      </c>
      <c r="U83" s="4">
        <v>-46</v>
      </c>
    </row>
    <row r="84" spans="1:21" ht="12.5" x14ac:dyDescent="0.25">
      <c r="A84" s="20">
        <v>43973</v>
      </c>
      <c r="B84" s="4">
        <v>1326</v>
      </c>
      <c r="C84" s="4">
        <v>5057</v>
      </c>
      <c r="D84" s="4">
        <v>14413</v>
      </c>
      <c r="E84" s="4">
        <v>20796</v>
      </c>
      <c r="F84" s="4">
        <v>501</v>
      </c>
      <c r="G84" s="4">
        <v>1558</v>
      </c>
      <c r="H84" s="4">
        <v>2282</v>
      </c>
      <c r="I84" s="4">
        <v>1975</v>
      </c>
      <c r="J84" s="4">
        <v>6316</v>
      </c>
      <c r="K84" s="4">
        <v>4257</v>
      </c>
      <c r="L84" s="4">
        <v>48</v>
      </c>
      <c r="M84" s="4">
        <v>219</v>
      </c>
      <c r="N84" s="4">
        <v>367</v>
      </c>
      <c r="O84" s="4">
        <v>634</v>
      </c>
      <c r="P84" s="4">
        <v>3</v>
      </c>
      <c r="Q84" s="4">
        <v>22</v>
      </c>
      <c r="R84" s="4">
        <v>51</v>
      </c>
      <c r="S84" s="4">
        <v>20</v>
      </c>
      <c r="T84" s="4">
        <v>96</v>
      </c>
      <c r="U84" s="4">
        <v>71</v>
      </c>
    </row>
    <row r="85" spans="1:21" ht="12.5" x14ac:dyDescent="0.25">
      <c r="A85" s="20">
        <v>43974</v>
      </c>
      <c r="B85" s="4">
        <v>1351</v>
      </c>
      <c r="C85" s="4">
        <v>5249</v>
      </c>
      <c r="D85" s="4">
        <v>15145</v>
      </c>
      <c r="E85" s="4">
        <v>21745</v>
      </c>
      <c r="F85" s="4">
        <v>504</v>
      </c>
      <c r="G85" s="4">
        <v>1587</v>
      </c>
      <c r="H85" s="4">
        <v>2346</v>
      </c>
      <c r="I85" s="4">
        <v>2006</v>
      </c>
      <c r="J85" s="4">
        <v>6443</v>
      </c>
      <c r="K85" s="4">
        <v>4352</v>
      </c>
      <c r="L85" s="4">
        <v>25</v>
      </c>
      <c r="M85" s="4">
        <v>192</v>
      </c>
      <c r="N85" s="4">
        <v>732</v>
      </c>
      <c r="O85" s="4">
        <v>949</v>
      </c>
      <c r="P85" s="4">
        <v>3</v>
      </c>
      <c r="Q85" s="4">
        <v>29</v>
      </c>
      <c r="R85" s="4">
        <v>64</v>
      </c>
      <c r="S85" s="4">
        <v>31</v>
      </c>
      <c r="T85" s="4">
        <v>127</v>
      </c>
      <c r="U85" s="4">
        <v>95</v>
      </c>
    </row>
    <row r="86" spans="1:21" ht="12.5" x14ac:dyDescent="0.25">
      <c r="A86" s="20">
        <v>43975</v>
      </c>
      <c r="B86" s="4">
        <v>1372</v>
      </c>
      <c r="C86" s="4">
        <v>5402</v>
      </c>
      <c r="D86" s="4">
        <v>15497</v>
      </c>
      <c r="E86" s="4">
        <v>22271</v>
      </c>
      <c r="F86" s="4">
        <v>505</v>
      </c>
      <c r="G86" s="4">
        <v>1594</v>
      </c>
      <c r="H86" s="4">
        <v>2431</v>
      </c>
      <c r="I86" s="4">
        <v>2031</v>
      </c>
      <c r="J86" s="4">
        <v>6561</v>
      </c>
      <c r="K86" s="4">
        <v>4462</v>
      </c>
      <c r="L86" s="4">
        <v>21</v>
      </c>
      <c r="M86" s="4">
        <v>153</v>
      </c>
      <c r="N86" s="4">
        <v>352</v>
      </c>
      <c r="O86" s="4">
        <v>526</v>
      </c>
      <c r="P86" s="4">
        <v>1</v>
      </c>
      <c r="Q86" s="4">
        <v>7</v>
      </c>
      <c r="R86" s="4">
        <v>85</v>
      </c>
      <c r="S86" s="4">
        <v>25</v>
      </c>
      <c r="T86" s="4">
        <v>118</v>
      </c>
      <c r="U86" s="4">
        <v>110</v>
      </c>
    </row>
    <row r="87" spans="1:21" ht="12.5" x14ac:dyDescent="0.25">
      <c r="A87" s="20">
        <v>43976</v>
      </c>
      <c r="B87" s="4">
        <v>1391</v>
      </c>
      <c r="C87" s="4">
        <v>5642</v>
      </c>
      <c r="D87" s="4">
        <v>15717</v>
      </c>
      <c r="E87" s="4">
        <v>22750</v>
      </c>
      <c r="F87" s="4">
        <v>506</v>
      </c>
      <c r="G87" s="4">
        <v>1648</v>
      </c>
      <c r="H87" s="4">
        <v>2430</v>
      </c>
      <c r="I87" s="4">
        <v>2044</v>
      </c>
      <c r="J87" s="4">
        <v>6628</v>
      </c>
      <c r="K87" s="4">
        <v>4474</v>
      </c>
      <c r="L87" s="4">
        <v>19</v>
      </c>
      <c r="M87" s="4">
        <v>240</v>
      </c>
      <c r="N87" s="4">
        <v>220</v>
      </c>
      <c r="O87" s="4">
        <v>479</v>
      </c>
      <c r="P87" s="4">
        <v>1</v>
      </c>
      <c r="Q87" s="4">
        <v>54</v>
      </c>
      <c r="R87" s="4">
        <v>-1</v>
      </c>
      <c r="S87" s="4">
        <v>13</v>
      </c>
      <c r="T87" s="4">
        <v>67</v>
      </c>
      <c r="U87" s="4">
        <v>12</v>
      </c>
    </row>
    <row r="88" spans="1:21" ht="12.5" x14ac:dyDescent="0.25">
      <c r="A88" s="20">
        <v>43977</v>
      </c>
      <c r="B88" s="4">
        <v>1418</v>
      </c>
      <c r="C88" s="4">
        <v>5877</v>
      </c>
      <c r="D88" s="4">
        <v>15870</v>
      </c>
      <c r="E88" s="4">
        <v>23165</v>
      </c>
      <c r="F88" s="4">
        <v>508</v>
      </c>
      <c r="G88" s="4">
        <v>1678</v>
      </c>
      <c r="H88" s="4">
        <v>2459</v>
      </c>
      <c r="I88" s="4">
        <v>2044</v>
      </c>
      <c r="J88" s="4">
        <v>6689</v>
      </c>
      <c r="K88" s="4">
        <v>4503</v>
      </c>
      <c r="L88" s="4">
        <v>27</v>
      </c>
      <c r="M88" s="4">
        <v>235</v>
      </c>
      <c r="N88" s="4">
        <v>153</v>
      </c>
      <c r="O88" s="4">
        <v>415</v>
      </c>
      <c r="P88" s="4">
        <v>2</v>
      </c>
      <c r="Q88" s="4">
        <v>30</v>
      </c>
      <c r="R88" s="4">
        <v>29</v>
      </c>
      <c r="S88" s="4">
        <v>0</v>
      </c>
      <c r="T88" s="4">
        <v>61</v>
      </c>
      <c r="U88" s="4">
        <v>29</v>
      </c>
    </row>
    <row r="89" spans="1:21" ht="12.5" x14ac:dyDescent="0.25">
      <c r="A89" s="20">
        <v>43978</v>
      </c>
      <c r="B89" s="4">
        <v>1473</v>
      </c>
      <c r="C89" s="4">
        <v>6057</v>
      </c>
      <c r="D89" s="4">
        <v>16321</v>
      </c>
      <c r="E89" s="4">
        <v>23851</v>
      </c>
      <c r="F89" s="4">
        <v>510</v>
      </c>
      <c r="G89" s="4">
        <v>1698</v>
      </c>
      <c r="H89" s="4">
        <v>2584</v>
      </c>
      <c r="I89" s="4">
        <v>2034</v>
      </c>
      <c r="J89" s="4">
        <v>6826</v>
      </c>
      <c r="K89" s="4">
        <v>4618</v>
      </c>
      <c r="L89" s="4">
        <v>55</v>
      </c>
      <c r="M89" s="4">
        <v>180</v>
      </c>
      <c r="N89" s="4">
        <v>451</v>
      </c>
      <c r="O89" s="4">
        <v>686</v>
      </c>
      <c r="P89" s="4">
        <v>2</v>
      </c>
      <c r="Q89" s="4">
        <v>20</v>
      </c>
      <c r="R89" s="4">
        <v>125</v>
      </c>
      <c r="S89" s="4">
        <v>-10</v>
      </c>
      <c r="T89" s="4">
        <v>137</v>
      </c>
      <c r="U89" s="4">
        <v>115</v>
      </c>
    </row>
    <row r="90" spans="1:21" ht="12.5" x14ac:dyDescent="0.25">
      <c r="A90" s="20">
        <v>43979</v>
      </c>
      <c r="B90" s="4">
        <v>1496</v>
      </c>
      <c r="C90" s="4">
        <v>6240</v>
      </c>
      <c r="D90" s="4">
        <v>16802</v>
      </c>
      <c r="E90" s="4">
        <v>24538</v>
      </c>
      <c r="F90" s="4">
        <v>514</v>
      </c>
      <c r="G90" s="4">
        <v>1719</v>
      </c>
      <c r="H90" s="4">
        <v>2641</v>
      </c>
      <c r="I90" s="4">
        <v>2055</v>
      </c>
      <c r="J90" s="4">
        <v>6929</v>
      </c>
      <c r="K90" s="4">
        <v>4696</v>
      </c>
      <c r="L90" s="4">
        <v>23</v>
      </c>
      <c r="M90" s="4">
        <v>183</v>
      </c>
      <c r="N90" s="4">
        <v>481</v>
      </c>
      <c r="O90" s="4">
        <v>687</v>
      </c>
      <c r="P90" s="4">
        <v>4</v>
      </c>
      <c r="Q90" s="4">
        <v>21</v>
      </c>
      <c r="R90" s="4">
        <v>57</v>
      </c>
      <c r="S90" s="4">
        <v>21</v>
      </c>
      <c r="T90" s="4">
        <v>103</v>
      </c>
      <c r="U90" s="4">
        <v>78</v>
      </c>
    </row>
    <row r="91" spans="1:21" ht="12.5" x14ac:dyDescent="0.25">
      <c r="A91" s="20">
        <v>43980</v>
      </c>
      <c r="B91" s="4">
        <v>1520</v>
      </c>
      <c r="C91" s="4">
        <v>6492</v>
      </c>
      <c r="D91" s="4">
        <v>17204</v>
      </c>
      <c r="E91" s="4">
        <v>25216</v>
      </c>
      <c r="F91" s="4">
        <v>517</v>
      </c>
      <c r="G91" s="4">
        <v>1807</v>
      </c>
      <c r="H91" s="4">
        <v>2722</v>
      </c>
      <c r="I91" s="4">
        <v>2007</v>
      </c>
      <c r="J91" s="4">
        <v>7053</v>
      </c>
      <c r="K91" s="4">
        <v>4729</v>
      </c>
      <c r="L91" s="4">
        <v>24</v>
      </c>
      <c r="M91" s="4">
        <v>252</v>
      </c>
      <c r="N91" s="4">
        <v>402</v>
      </c>
      <c r="O91" s="4">
        <v>678</v>
      </c>
      <c r="P91" s="4">
        <v>3</v>
      </c>
      <c r="Q91" s="4">
        <v>88</v>
      </c>
      <c r="R91" s="4">
        <v>81</v>
      </c>
      <c r="S91" s="4">
        <v>-48</v>
      </c>
      <c r="T91" s="4">
        <v>124</v>
      </c>
      <c r="U91" s="4">
        <v>33</v>
      </c>
    </row>
    <row r="92" spans="1:21" ht="12.5" x14ac:dyDescent="0.25">
      <c r="A92" s="20">
        <v>43981</v>
      </c>
      <c r="B92" s="4">
        <v>1573</v>
      </c>
      <c r="C92" s="4">
        <v>7015</v>
      </c>
      <c r="D92" s="4">
        <v>17185</v>
      </c>
      <c r="E92" s="4">
        <v>25773</v>
      </c>
      <c r="F92" s="4">
        <v>519</v>
      </c>
      <c r="G92" s="4">
        <v>2003</v>
      </c>
      <c r="H92" s="4">
        <v>2781</v>
      </c>
      <c r="I92" s="4">
        <v>1848</v>
      </c>
      <c r="J92" s="4">
        <v>7151</v>
      </c>
      <c r="K92" s="4">
        <v>4629</v>
      </c>
      <c r="L92" s="4">
        <v>53</v>
      </c>
      <c r="M92" s="4">
        <v>523</v>
      </c>
      <c r="N92" s="4">
        <v>-19</v>
      </c>
      <c r="O92" s="4">
        <v>557</v>
      </c>
      <c r="P92" s="4">
        <v>2</v>
      </c>
      <c r="Q92" s="4">
        <v>196</v>
      </c>
      <c r="R92" s="4">
        <v>59</v>
      </c>
      <c r="S92" s="4">
        <v>-159</v>
      </c>
      <c r="T92" s="4">
        <v>98</v>
      </c>
      <c r="U92" s="4">
        <v>-100</v>
      </c>
    </row>
    <row r="93" spans="1:21" ht="12.5" x14ac:dyDescent="0.25">
      <c r="A93" s="20">
        <v>43982</v>
      </c>
      <c r="B93" s="4">
        <v>1613</v>
      </c>
      <c r="C93" s="4">
        <v>7308</v>
      </c>
      <c r="D93" s="4">
        <v>17552</v>
      </c>
      <c r="E93" s="4">
        <v>26473</v>
      </c>
      <c r="F93" s="4">
        <v>520</v>
      </c>
      <c r="G93" s="4">
        <v>2102</v>
      </c>
      <c r="H93" s="4">
        <v>2827</v>
      </c>
      <c r="I93" s="4">
        <v>1823</v>
      </c>
      <c r="J93" s="4">
        <v>7272</v>
      </c>
      <c r="K93" s="4">
        <v>4650</v>
      </c>
      <c r="L93" s="4">
        <v>40</v>
      </c>
      <c r="M93" s="4">
        <v>293</v>
      </c>
      <c r="N93" s="4">
        <v>367</v>
      </c>
      <c r="O93" s="4">
        <v>700</v>
      </c>
      <c r="P93" s="4">
        <v>1</v>
      </c>
      <c r="Q93" s="4">
        <v>99</v>
      </c>
      <c r="R93" s="4">
        <v>46</v>
      </c>
      <c r="S93" s="4">
        <v>-25</v>
      </c>
      <c r="T93" s="4">
        <v>121</v>
      </c>
      <c r="U93" s="4">
        <v>21</v>
      </c>
    </row>
    <row r="94" spans="1:21" ht="12.5" x14ac:dyDescent="0.25">
      <c r="A94" s="20">
        <v>43983</v>
      </c>
      <c r="B94" s="4">
        <v>1641</v>
      </c>
      <c r="C94" s="4">
        <v>7637</v>
      </c>
      <c r="D94" s="4">
        <v>17662</v>
      </c>
      <c r="E94" s="4">
        <v>26940</v>
      </c>
      <c r="F94" s="4">
        <v>521</v>
      </c>
      <c r="G94" s="4">
        <v>2246</v>
      </c>
      <c r="H94" s="4">
        <v>2822</v>
      </c>
      <c r="I94" s="4">
        <v>1794</v>
      </c>
      <c r="J94" s="4">
        <v>7383</v>
      </c>
      <c r="K94" s="4">
        <v>4616</v>
      </c>
      <c r="L94" s="4">
        <v>28</v>
      </c>
      <c r="M94" s="4">
        <v>329</v>
      </c>
      <c r="N94" s="4">
        <v>110</v>
      </c>
      <c r="O94" s="4">
        <v>467</v>
      </c>
      <c r="P94" s="4">
        <v>1</v>
      </c>
      <c r="Q94" s="4">
        <v>144</v>
      </c>
      <c r="R94" s="4">
        <v>-5</v>
      </c>
      <c r="S94" s="4">
        <v>-29</v>
      </c>
      <c r="T94" s="4">
        <v>111</v>
      </c>
      <c r="U94" s="4">
        <v>-34</v>
      </c>
    </row>
    <row r="95" spans="1:21" ht="12.5" x14ac:dyDescent="0.25">
      <c r="A95" s="20">
        <v>43984</v>
      </c>
      <c r="B95" s="4">
        <v>1663</v>
      </c>
      <c r="C95" s="4">
        <v>7935</v>
      </c>
      <c r="D95" s="4">
        <v>17951</v>
      </c>
      <c r="E95" s="4">
        <v>27549</v>
      </c>
      <c r="F95" s="4">
        <v>525</v>
      </c>
      <c r="G95" s="4">
        <v>2405</v>
      </c>
      <c r="H95" s="4">
        <v>2786</v>
      </c>
      <c r="I95" s="4">
        <v>1743</v>
      </c>
      <c r="J95" s="4">
        <v>7459</v>
      </c>
      <c r="K95" s="4">
        <v>4529</v>
      </c>
      <c r="L95" s="4">
        <v>22</v>
      </c>
      <c r="M95" s="4">
        <v>298</v>
      </c>
      <c r="N95" s="4">
        <v>289</v>
      </c>
      <c r="O95" s="4">
        <v>609</v>
      </c>
      <c r="P95" s="4">
        <v>4</v>
      </c>
      <c r="Q95" s="4">
        <v>159</v>
      </c>
      <c r="R95" s="4">
        <v>-36</v>
      </c>
      <c r="S95" s="4">
        <v>-51</v>
      </c>
      <c r="T95" s="4">
        <v>76</v>
      </c>
      <c r="U95" s="4">
        <v>-87</v>
      </c>
    </row>
    <row r="96" spans="1:21" ht="12.5" x14ac:dyDescent="0.25">
      <c r="A96" s="20">
        <v>43985</v>
      </c>
      <c r="B96" s="4">
        <v>1698</v>
      </c>
      <c r="C96" s="4">
        <v>8406</v>
      </c>
      <c r="D96" s="4">
        <v>18129</v>
      </c>
      <c r="E96" s="4">
        <v>28233</v>
      </c>
      <c r="F96" s="4">
        <v>529</v>
      </c>
      <c r="G96" s="4">
        <v>2534</v>
      </c>
      <c r="H96" s="4">
        <v>2777</v>
      </c>
      <c r="I96" s="4">
        <v>1699</v>
      </c>
      <c r="J96" s="4">
        <v>7539</v>
      </c>
      <c r="K96" s="4">
        <v>4476</v>
      </c>
      <c r="L96" s="4">
        <v>35</v>
      </c>
      <c r="M96" s="4">
        <v>471</v>
      </c>
      <c r="N96" s="4">
        <v>178</v>
      </c>
      <c r="O96" s="4">
        <v>684</v>
      </c>
      <c r="P96" s="4">
        <v>4</v>
      </c>
      <c r="Q96" s="4">
        <v>129</v>
      </c>
      <c r="R96" s="4">
        <v>-9</v>
      </c>
      <c r="S96" s="4">
        <v>-44</v>
      </c>
      <c r="T96" s="4">
        <v>80</v>
      </c>
      <c r="U96" s="4">
        <v>-53</v>
      </c>
    </row>
    <row r="97" spans="1:21" ht="12.5" x14ac:dyDescent="0.25">
      <c r="A97" s="20">
        <v>43986</v>
      </c>
      <c r="B97" s="4">
        <v>1721</v>
      </c>
      <c r="C97" s="4">
        <v>8892</v>
      </c>
      <c r="D97" s="4">
        <v>18205</v>
      </c>
      <c r="E97" s="4">
        <v>28818</v>
      </c>
      <c r="F97" s="4">
        <v>530</v>
      </c>
      <c r="G97" s="4">
        <v>2607</v>
      </c>
      <c r="H97" s="4">
        <v>2793</v>
      </c>
      <c r="I97" s="4">
        <v>1670</v>
      </c>
      <c r="J97" s="4">
        <v>7600</v>
      </c>
      <c r="K97" s="4">
        <v>4463</v>
      </c>
      <c r="L97" s="4">
        <v>23</v>
      </c>
      <c r="M97" s="4">
        <v>486</v>
      </c>
      <c r="N97" s="4">
        <v>76</v>
      </c>
      <c r="O97" s="4">
        <v>585</v>
      </c>
      <c r="P97" s="4">
        <v>1</v>
      </c>
      <c r="Q97" s="4">
        <v>73</v>
      </c>
      <c r="R97" s="4">
        <v>16</v>
      </c>
      <c r="S97" s="4">
        <v>-29</v>
      </c>
      <c r="T97" s="4">
        <v>61</v>
      </c>
      <c r="U97" s="4">
        <v>-13</v>
      </c>
    </row>
    <row r="98" spans="1:21" ht="12.5" x14ac:dyDescent="0.25">
      <c r="A98" s="20">
        <v>43987</v>
      </c>
      <c r="B98" s="4">
        <v>1770</v>
      </c>
      <c r="C98" s="4">
        <v>9443</v>
      </c>
      <c r="D98" s="4">
        <v>18308</v>
      </c>
      <c r="E98" s="4">
        <v>29521</v>
      </c>
      <c r="F98" s="4">
        <v>532</v>
      </c>
      <c r="G98" s="4">
        <v>2751</v>
      </c>
      <c r="H98" s="4">
        <v>2768</v>
      </c>
      <c r="I98" s="4">
        <v>1633</v>
      </c>
      <c r="J98" s="4">
        <v>7684</v>
      </c>
      <c r="K98" s="4">
        <v>4401</v>
      </c>
      <c r="L98" s="4">
        <v>49</v>
      </c>
      <c r="M98" s="4">
        <v>551</v>
      </c>
      <c r="N98" s="4">
        <v>103</v>
      </c>
      <c r="O98" s="4">
        <v>703</v>
      </c>
      <c r="P98" s="4">
        <v>2</v>
      </c>
      <c r="Q98" s="4">
        <v>144</v>
      </c>
      <c r="R98" s="4">
        <v>-25</v>
      </c>
      <c r="S98" s="4">
        <v>-37</v>
      </c>
      <c r="T98" s="4">
        <v>84</v>
      </c>
      <c r="U98" s="4">
        <v>-62</v>
      </c>
    </row>
    <row r="99" spans="1:21" ht="12.5" x14ac:dyDescent="0.25">
      <c r="A99" s="20">
        <v>43988</v>
      </c>
      <c r="B99" s="4">
        <v>1801</v>
      </c>
      <c r="C99" s="4">
        <v>9907</v>
      </c>
      <c r="D99" s="4">
        <v>18806</v>
      </c>
      <c r="E99" s="4">
        <v>30514</v>
      </c>
      <c r="F99" s="4">
        <v>535</v>
      </c>
      <c r="G99" s="4">
        <v>2840</v>
      </c>
      <c r="H99" s="4">
        <v>2776</v>
      </c>
      <c r="I99" s="4">
        <v>1635</v>
      </c>
      <c r="J99" s="4">
        <v>7786</v>
      </c>
      <c r="K99" s="4">
        <v>4411</v>
      </c>
      <c r="L99" s="4">
        <v>31</v>
      </c>
      <c r="M99" s="4">
        <v>464</v>
      </c>
      <c r="N99" s="4">
        <v>498</v>
      </c>
      <c r="O99" s="4">
        <v>993</v>
      </c>
      <c r="P99" s="4">
        <v>3</v>
      </c>
      <c r="Q99" s="4">
        <v>89</v>
      </c>
      <c r="R99" s="4">
        <v>8</v>
      </c>
      <c r="S99" s="4">
        <v>2</v>
      </c>
      <c r="T99" s="4">
        <v>102</v>
      </c>
      <c r="U99" s="4">
        <v>10</v>
      </c>
    </row>
    <row r="100" spans="1:21" ht="12.5" x14ac:dyDescent="0.25">
      <c r="A100" s="20">
        <v>43989</v>
      </c>
      <c r="B100" s="4">
        <v>1851</v>
      </c>
      <c r="C100" s="4">
        <v>10498</v>
      </c>
      <c r="D100" s="4">
        <v>18837</v>
      </c>
      <c r="E100" s="4">
        <v>31186</v>
      </c>
      <c r="F100" s="4">
        <v>537</v>
      </c>
      <c r="G100" s="4">
        <v>3170</v>
      </c>
      <c r="H100" s="4">
        <v>2794</v>
      </c>
      <c r="I100" s="4">
        <v>1445</v>
      </c>
      <c r="J100" s="4">
        <v>7946</v>
      </c>
      <c r="K100" s="4">
        <v>4239</v>
      </c>
      <c r="L100" s="4">
        <v>50</v>
      </c>
      <c r="M100" s="4">
        <v>591</v>
      </c>
      <c r="N100" s="4">
        <v>31</v>
      </c>
      <c r="O100" s="4">
        <v>672</v>
      </c>
      <c r="P100" s="4">
        <v>2</v>
      </c>
      <c r="Q100" s="4">
        <v>330</v>
      </c>
      <c r="R100" s="4">
        <v>18</v>
      </c>
      <c r="S100" s="4">
        <v>-190</v>
      </c>
      <c r="T100" s="4">
        <v>160</v>
      </c>
      <c r="U100" s="4">
        <v>-172</v>
      </c>
    </row>
    <row r="101" spans="1:21" ht="12.5" x14ac:dyDescent="0.25">
      <c r="A101" s="20">
        <v>43990</v>
      </c>
      <c r="B101" s="4">
        <v>1883</v>
      </c>
      <c r="C101" s="4">
        <v>10904</v>
      </c>
      <c r="D101" s="4">
        <v>19246</v>
      </c>
      <c r="E101" s="4">
        <v>32033</v>
      </c>
      <c r="F101" s="4">
        <v>538</v>
      </c>
      <c r="G101" s="4">
        <v>3205</v>
      </c>
      <c r="H101" s="4">
        <v>2846</v>
      </c>
      <c r="I101" s="4">
        <v>1448</v>
      </c>
      <c r="J101" s="4">
        <v>8037</v>
      </c>
      <c r="K101" s="4">
        <v>4294</v>
      </c>
      <c r="L101" s="4">
        <v>32</v>
      </c>
      <c r="M101" s="4">
        <v>406</v>
      </c>
      <c r="N101" s="4">
        <v>409</v>
      </c>
      <c r="O101" s="4">
        <v>847</v>
      </c>
      <c r="P101" s="4">
        <v>1</v>
      </c>
      <c r="Q101" s="4">
        <v>35</v>
      </c>
      <c r="R101" s="4">
        <v>52</v>
      </c>
      <c r="S101" s="4">
        <v>3</v>
      </c>
      <c r="T101" s="4">
        <v>91</v>
      </c>
      <c r="U101" s="4">
        <v>55</v>
      </c>
    </row>
    <row r="102" spans="1:21" ht="12.5" x14ac:dyDescent="0.25">
      <c r="A102" s="20">
        <v>43991</v>
      </c>
      <c r="B102" s="4">
        <v>1923</v>
      </c>
      <c r="C102" s="4">
        <v>11414</v>
      </c>
      <c r="D102" s="4">
        <v>19739</v>
      </c>
      <c r="E102" s="4">
        <v>33076</v>
      </c>
      <c r="F102" s="4">
        <v>547</v>
      </c>
      <c r="G102" s="4">
        <v>3369</v>
      </c>
      <c r="H102" s="4">
        <v>2918</v>
      </c>
      <c r="I102" s="4">
        <v>1442</v>
      </c>
      <c r="J102" s="4">
        <v>8276</v>
      </c>
      <c r="K102" s="4">
        <v>4360</v>
      </c>
      <c r="L102" s="4">
        <v>40</v>
      </c>
      <c r="M102" s="4">
        <v>510</v>
      </c>
      <c r="N102" s="4">
        <v>493</v>
      </c>
      <c r="O102" s="4">
        <v>1043</v>
      </c>
      <c r="P102" s="4">
        <v>9</v>
      </c>
      <c r="Q102" s="4">
        <v>164</v>
      </c>
      <c r="R102" s="4">
        <v>72</v>
      </c>
      <c r="S102" s="4">
        <v>-6</v>
      </c>
      <c r="T102" s="4">
        <v>239</v>
      </c>
      <c r="U102" s="4">
        <v>66</v>
      </c>
    </row>
    <row r="103" spans="1:21" ht="12.5" x14ac:dyDescent="0.25">
      <c r="A103" s="20">
        <v>43992</v>
      </c>
      <c r="B103" s="4">
        <v>1959</v>
      </c>
      <c r="C103" s="4">
        <v>12129</v>
      </c>
      <c r="D103" s="4">
        <v>20228</v>
      </c>
      <c r="E103" s="4">
        <v>34316</v>
      </c>
      <c r="F103" s="4">
        <v>551</v>
      </c>
      <c r="G103" s="4">
        <v>3517</v>
      </c>
      <c r="H103" s="4">
        <v>2928</v>
      </c>
      <c r="I103" s="4">
        <v>1427</v>
      </c>
      <c r="J103" s="4">
        <v>8423</v>
      </c>
      <c r="K103" s="4">
        <v>4355</v>
      </c>
      <c r="L103" s="4">
        <v>36</v>
      </c>
      <c r="M103" s="4">
        <v>715</v>
      </c>
      <c r="N103" s="4">
        <v>489</v>
      </c>
      <c r="O103" s="4">
        <v>1240</v>
      </c>
      <c r="P103" s="4">
        <v>4</v>
      </c>
      <c r="Q103" s="4">
        <v>148</v>
      </c>
      <c r="R103" s="4">
        <v>10</v>
      </c>
      <c r="S103" s="4">
        <v>-15</v>
      </c>
      <c r="T103" s="4">
        <v>147</v>
      </c>
      <c r="U103" s="4">
        <v>-5</v>
      </c>
    </row>
    <row r="104" spans="1:21" ht="12.5" x14ac:dyDescent="0.25">
      <c r="A104" s="20">
        <v>43993</v>
      </c>
      <c r="B104" s="4">
        <v>2000</v>
      </c>
      <c r="C104" s="4">
        <v>12636</v>
      </c>
      <c r="D104" s="4">
        <v>20659</v>
      </c>
      <c r="E104" s="4">
        <v>35295</v>
      </c>
      <c r="F104" s="4">
        <v>555</v>
      </c>
      <c r="G104" s="4">
        <v>3664</v>
      </c>
      <c r="H104" s="4">
        <v>2887</v>
      </c>
      <c r="I104" s="4">
        <v>1446</v>
      </c>
      <c r="J104" s="4">
        <v>8552</v>
      </c>
      <c r="K104" s="4">
        <v>4333</v>
      </c>
      <c r="L104" s="4">
        <v>41</v>
      </c>
      <c r="M104" s="4">
        <v>507</v>
      </c>
      <c r="N104" s="4">
        <v>431</v>
      </c>
      <c r="O104" s="4">
        <v>979</v>
      </c>
      <c r="P104" s="4">
        <v>4</v>
      </c>
      <c r="Q104" s="4">
        <v>147</v>
      </c>
      <c r="R104" s="4">
        <v>-41</v>
      </c>
      <c r="S104" s="4">
        <v>19</v>
      </c>
      <c r="T104" s="4">
        <v>129</v>
      </c>
      <c r="U104" s="4">
        <v>-22</v>
      </c>
    </row>
    <row r="105" spans="1:21" ht="12.5" x14ac:dyDescent="0.25">
      <c r="A105" s="20">
        <v>43994</v>
      </c>
      <c r="B105" s="4">
        <v>2048</v>
      </c>
      <c r="C105" s="4">
        <v>13213</v>
      </c>
      <c r="D105" s="4">
        <v>21145</v>
      </c>
      <c r="E105" s="4">
        <v>36406</v>
      </c>
      <c r="F105" s="4">
        <v>561</v>
      </c>
      <c r="G105" s="4">
        <v>3780</v>
      </c>
      <c r="H105" s="4">
        <v>2863</v>
      </c>
      <c r="I105" s="4">
        <v>1424</v>
      </c>
      <c r="J105" s="4">
        <v>8628</v>
      </c>
      <c r="K105" s="4">
        <v>4287</v>
      </c>
      <c r="L105" s="4">
        <v>48</v>
      </c>
      <c r="M105" s="4">
        <v>577</v>
      </c>
      <c r="N105" s="4">
        <v>486</v>
      </c>
      <c r="O105" s="4">
        <v>1111</v>
      </c>
      <c r="P105" s="4">
        <v>6</v>
      </c>
      <c r="Q105" s="4">
        <v>116</v>
      </c>
      <c r="R105" s="4">
        <v>-24</v>
      </c>
      <c r="S105" s="4">
        <v>-22</v>
      </c>
      <c r="T105" s="4">
        <v>76</v>
      </c>
      <c r="U105" s="4">
        <v>-46</v>
      </c>
    </row>
    <row r="106" spans="1:21" ht="12.5" x14ac:dyDescent="0.25">
      <c r="A106" s="20">
        <v>43995</v>
      </c>
      <c r="B106" s="4">
        <v>2091</v>
      </c>
      <c r="C106" s="4">
        <v>13776</v>
      </c>
      <c r="D106" s="4">
        <v>21553</v>
      </c>
      <c r="E106" s="4">
        <v>37420</v>
      </c>
      <c r="F106" s="4">
        <v>564</v>
      </c>
      <c r="G106" s="4">
        <v>3840</v>
      </c>
      <c r="H106" s="4">
        <v>2925</v>
      </c>
      <c r="I106" s="4">
        <v>1419</v>
      </c>
      <c r="J106" s="4">
        <v>8748</v>
      </c>
      <c r="K106" s="4">
        <v>4344</v>
      </c>
      <c r="L106" s="4">
        <v>43</v>
      </c>
      <c r="M106" s="4">
        <v>563</v>
      </c>
      <c r="N106" s="4">
        <v>408</v>
      </c>
      <c r="O106" s="4">
        <v>1014</v>
      </c>
      <c r="P106" s="4">
        <v>3</v>
      </c>
      <c r="Q106" s="4">
        <v>60</v>
      </c>
      <c r="R106" s="4">
        <v>62</v>
      </c>
      <c r="S106" s="4">
        <v>-5</v>
      </c>
      <c r="T106" s="4">
        <v>120</v>
      </c>
      <c r="U106" s="4">
        <v>57</v>
      </c>
    </row>
    <row r="107" spans="1:21" ht="12.5" x14ac:dyDescent="0.25">
      <c r="A107" s="20">
        <v>43996</v>
      </c>
      <c r="B107" s="4">
        <v>2134</v>
      </c>
      <c r="C107" s="4">
        <v>14531</v>
      </c>
      <c r="D107" s="4">
        <v>21612</v>
      </c>
      <c r="E107" s="4">
        <v>38277</v>
      </c>
      <c r="F107" s="4">
        <v>571</v>
      </c>
      <c r="G107" s="4">
        <v>4091</v>
      </c>
      <c r="H107" s="4">
        <v>2833</v>
      </c>
      <c r="I107" s="4">
        <v>1368</v>
      </c>
      <c r="J107" s="4">
        <v>8863</v>
      </c>
      <c r="K107" s="4">
        <v>4201</v>
      </c>
      <c r="L107" s="4">
        <v>43</v>
      </c>
      <c r="M107" s="4">
        <v>755</v>
      </c>
      <c r="N107" s="4">
        <v>59</v>
      </c>
      <c r="O107" s="4">
        <v>857</v>
      </c>
      <c r="P107" s="4">
        <v>7</v>
      </c>
      <c r="Q107" s="4">
        <v>251</v>
      </c>
      <c r="R107" s="4">
        <v>-92</v>
      </c>
      <c r="S107" s="4">
        <v>-51</v>
      </c>
      <c r="T107" s="4">
        <v>115</v>
      </c>
      <c r="U107" s="4">
        <v>-143</v>
      </c>
    </row>
    <row r="108" spans="1:21" ht="12.5" x14ac:dyDescent="0.25">
      <c r="A108" s="20">
        <v>43997</v>
      </c>
      <c r="B108" s="4">
        <v>2198</v>
      </c>
      <c r="C108" s="4">
        <v>15123</v>
      </c>
      <c r="D108" s="4">
        <v>21973</v>
      </c>
      <c r="E108" s="4">
        <v>39294</v>
      </c>
      <c r="F108" s="4">
        <v>580</v>
      </c>
      <c r="G108" s="4">
        <v>4198</v>
      </c>
      <c r="H108" s="4">
        <v>2800</v>
      </c>
      <c r="I108" s="4">
        <v>1390</v>
      </c>
      <c r="J108" s="4">
        <v>8968</v>
      </c>
      <c r="K108" s="4">
        <v>4190</v>
      </c>
      <c r="L108" s="4">
        <v>64</v>
      </c>
      <c r="M108" s="4">
        <v>592</v>
      </c>
      <c r="N108" s="4">
        <v>361</v>
      </c>
      <c r="O108" s="4">
        <v>1017</v>
      </c>
      <c r="P108" s="4">
        <v>9</v>
      </c>
      <c r="Q108" s="4">
        <v>107</v>
      </c>
      <c r="R108" s="4">
        <v>-33</v>
      </c>
      <c r="S108" s="4">
        <v>22</v>
      </c>
      <c r="T108" s="4">
        <v>105</v>
      </c>
      <c r="U108" s="4">
        <v>-11</v>
      </c>
    </row>
    <row r="109" spans="1:21" ht="12.5" x14ac:dyDescent="0.25">
      <c r="A109" s="20">
        <v>43998</v>
      </c>
      <c r="B109" s="4">
        <v>2231</v>
      </c>
      <c r="C109" s="4">
        <v>15703</v>
      </c>
      <c r="D109" s="4">
        <v>22466</v>
      </c>
      <c r="E109" s="4">
        <v>40400</v>
      </c>
      <c r="F109" s="4">
        <v>583</v>
      </c>
      <c r="G109" s="4">
        <v>4329</v>
      </c>
      <c r="H109" s="4">
        <v>2764</v>
      </c>
      <c r="I109" s="4">
        <v>1416</v>
      </c>
      <c r="J109" s="4">
        <v>9092</v>
      </c>
      <c r="K109" s="4">
        <v>4180</v>
      </c>
      <c r="L109" s="4">
        <v>33</v>
      </c>
      <c r="M109" s="4">
        <v>580</v>
      </c>
      <c r="N109" s="4">
        <v>493</v>
      </c>
      <c r="O109" s="4">
        <v>1106</v>
      </c>
      <c r="P109" s="4">
        <v>3</v>
      </c>
      <c r="Q109" s="4">
        <v>131</v>
      </c>
      <c r="R109" s="4">
        <v>-36</v>
      </c>
      <c r="S109" s="4">
        <v>26</v>
      </c>
      <c r="T109" s="4">
        <v>124</v>
      </c>
      <c r="U109" s="4">
        <v>-10</v>
      </c>
    </row>
    <row r="110" spans="1:21" ht="12.5" x14ac:dyDescent="0.25">
      <c r="A110" s="20">
        <v>43999</v>
      </c>
      <c r="B110" s="4">
        <v>2276</v>
      </c>
      <c r="C110" s="4">
        <v>16243</v>
      </c>
      <c r="D110" s="4">
        <v>22912</v>
      </c>
      <c r="E110" s="4">
        <v>41431</v>
      </c>
      <c r="F110" s="4">
        <v>588</v>
      </c>
      <c r="G110" s="4">
        <v>4444</v>
      </c>
      <c r="H110" s="4">
        <v>2775</v>
      </c>
      <c r="I110" s="4">
        <v>1402</v>
      </c>
      <c r="J110" s="4">
        <v>9209</v>
      </c>
      <c r="K110" s="4">
        <v>4177</v>
      </c>
      <c r="L110" s="4">
        <v>45</v>
      </c>
      <c r="M110" s="4">
        <v>540</v>
      </c>
      <c r="N110" s="4">
        <v>446</v>
      </c>
      <c r="O110" s="4">
        <v>1031</v>
      </c>
      <c r="P110" s="4">
        <v>5</v>
      </c>
      <c r="Q110" s="4">
        <v>115</v>
      </c>
      <c r="R110" s="4">
        <v>11</v>
      </c>
      <c r="S110" s="4">
        <v>-14</v>
      </c>
      <c r="T110" s="4">
        <v>117</v>
      </c>
      <c r="U110" s="4">
        <v>-3</v>
      </c>
    </row>
    <row r="111" spans="1:21" ht="12.5" x14ac:dyDescent="0.25">
      <c r="A111" s="20">
        <v>44000</v>
      </c>
      <c r="B111" s="4">
        <v>2339</v>
      </c>
      <c r="C111" s="4">
        <v>16798</v>
      </c>
      <c r="D111" s="4">
        <v>23625</v>
      </c>
      <c r="E111" s="4">
        <v>42762</v>
      </c>
      <c r="F111" s="4">
        <v>594</v>
      </c>
      <c r="G111" s="4">
        <v>4592</v>
      </c>
      <c r="H111" s="4">
        <v>2822</v>
      </c>
      <c r="I111" s="4">
        <v>1377</v>
      </c>
      <c r="J111" s="4">
        <v>9385</v>
      </c>
      <c r="K111" s="4">
        <v>4199</v>
      </c>
      <c r="L111" s="4">
        <v>63</v>
      </c>
      <c r="M111" s="4">
        <v>555</v>
      </c>
      <c r="N111" s="4">
        <v>713</v>
      </c>
      <c r="O111" s="4">
        <v>1331</v>
      </c>
      <c r="P111" s="4">
        <v>6</v>
      </c>
      <c r="Q111" s="4">
        <v>148</v>
      </c>
      <c r="R111" s="4">
        <v>47</v>
      </c>
      <c r="S111" s="4">
        <v>-25</v>
      </c>
      <c r="T111" s="4">
        <v>176</v>
      </c>
      <c r="U111" s="4">
        <v>22</v>
      </c>
    </row>
    <row r="112" spans="1:21" ht="12.5" x14ac:dyDescent="0.25">
      <c r="A112" s="20">
        <v>44001</v>
      </c>
      <c r="B112" s="4">
        <v>2373</v>
      </c>
      <c r="C112" s="4">
        <v>17349</v>
      </c>
      <c r="D112" s="4">
        <v>24081</v>
      </c>
      <c r="E112" s="4">
        <v>43803</v>
      </c>
      <c r="F112" s="4">
        <v>599</v>
      </c>
      <c r="G112" s="4">
        <v>4682</v>
      </c>
      <c r="H112" s="4">
        <v>2862</v>
      </c>
      <c r="I112" s="4">
        <v>1382</v>
      </c>
      <c r="J112" s="4">
        <v>9525</v>
      </c>
      <c r="K112" s="4">
        <v>4244</v>
      </c>
      <c r="L112" s="4">
        <v>34</v>
      </c>
      <c r="M112" s="4">
        <v>551</v>
      </c>
      <c r="N112" s="4">
        <v>456</v>
      </c>
      <c r="O112" s="4">
        <v>1041</v>
      </c>
      <c r="P112" s="4">
        <v>5</v>
      </c>
      <c r="Q112" s="4">
        <v>90</v>
      </c>
      <c r="R112" s="4">
        <v>40</v>
      </c>
      <c r="S112" s="4">
        <v>5</v>
      </c>
      <c r="T112" s="4">
        <v>140</v>
      </c>
      <c r="U112" s="4">
        <v>45</v>
      </c>
    </row>
    <row r="113" spans="1:21" ht="12.5" x14ac:dyDescent="0.25">
      <c r="A113" s="20">
        <v>44002</v>
      </c>
      <c r="B113" s="4">
        <v>2429</v>
      </c>
      <c r="C113" s="4">
        <v>17883</v>
      </c>
      <c r="D113" s="4">
        <v>24717</v>
      </c>
      <c r="E113" s="4">
        <v>45029</v>
      </c>
      <c r="F113" s="4">
        <v>603</v>
      </c>
      <c r="G113" s="4">
        <v>4821</v>
      </c>
      <c r="H113" s="4">
        <v>2939</v>
      </c>
      <c r="I113" s="4">
        <v>1340</v>
      </c>
      <c r="J113" s="4">
        <v>9703</v>
      </c>
      <c r="K113" s="4">
        <v>4279</v>
      </c>
      <c r="L113" s="4">
        <v>56</v>
      </c>
      <c r="M113" s="4">
        <v>534</v>
      </c>
      <c r="N113" s="4">
        <v>636</v>
      </c>
      <c r="O113" s="4">
        <v>1226</v>
      </c>
      <c r="P113" s="4">
        <v>4</v>
      </c>
      <c r="Q113" s="4">
        <v>139</v>
      </c>
      <c r="R113" s="4">
        <v>77</v>
      </c>
      <c r="S113" s="4">
        <v>-42</v>
      </c>
      <c r="T113" s="4">
        <v>178</v>
      </c>
      <c r="U113" s="4">
        <v>35</v>
      </c>
    </row>
    <row r="114" spans="1:21" ht="12.5" x14ac:dyDescent="0.25">
      <c r="A114" s="20">
        <v>44003</v>
      </c>
      <c r="B114" s="4">
        <v>2465</v>
      </c>
      <c r="C114" s="4">
        <v>18404</v>
      </c>
      <c r="D114" s="4">
        <v>25022</v>
      </c>
      <c r="E114" s="4">
        <v>45891</v>
      </c>
      <c r="F114" s="4">
        <v>615</v>
      </c>
      <c r="G114" s="4">
        <v>5054</v>
      </c>
      <c r="H114" s="4">
        <v>2874</v>
      </c>
      <c r="I114" s="4">
        <v>1287</v>
      </c>
      <c r="J114" s="4">
        <v>9830</v>
      </c>
      <c r="K114" s="4">
        <v>4161</v>
      </c>
      <c r="L114" s="4">
        <v>36</v>
      </c>
      <c r="M114" s="4">
        <v>521</v>
      </c>
      <c r="N114" s="4">
        <v>305</v>
      </c>
      <c r="O114" s="4">
        <v>862</v>
      </c>
      <c r="P114" s="4">
        <v>12</v>
      </c>
      <c r="Q114" s="4">
        <v>233</v>
      </c>
      <c r="R114" s="4">
        <v>-65</v>
      </c>
      <c r="S114" s="4">
        <v>-53</v>
      </c>
      <c r="T114" s="4">
        <v>127</v>
      </c>
      <c r="U114" s="4">
        <v>-118</v>
      </c>
    </row>
    <row r="115" spans="1:21" ht="12.5" x14ac:dyDescent="0.25">
      <c r="A115" s="20">
        <v>44004</v>
      </c>
      <c r="B115" s="4">
        <v>2500</v>
      </c>
      <c r="C115" s="4">
        <v>18735</v>
      </c>
      <c r="D115" s="4">
        <v>25610</v>
      </c>
      <c r="E115" s="4">
        <v>46845</v>
      </c>
      <c r="F115" s="4">
        <v>618</v>
      </c>
      <c r="G115" s="4">
        <v>5128</v>
      </c>
      <c r="H115" s="4">
        <v>2901</v>
      </c>
      <c r="I115" s="4">
        <v>1310</v>
      </c>
      <c r="J115" s="4">
        <v>9957</v>
      </c>
      <c r="K115" s="4">
        <v>4211</v>
      </c>
      <c r="L115" s="4">
        <v>35</v>
      </c>
      <c r="M115" s="4">
        <v>331</v>
      </c>
      <c r="N115" s="4">
        <v>588</v>
      </c>
      <c r="O115" s="4">
        <v>954</v>
      </c>
      <c r="P115" s="4">
        <v>3</v>
      </c>
      <c r="Q115" s="4">
        <v>74</v>
      </c>
      <c r="R115" s="4">
        <v>27</v>
      </c>
      <c r="S115" s="4">
        <v>23</v>
      </c>
      <c r="T115" s="4">
        <v>127</v>
      </c>
      <c r="U115" s="4">
        <v>50</v>
      </c>
    </row>
    <row r="116" spans="1:21" ht="12.5" x14ac:dyDescent="0.25">
      <c r="A116" s="20">
        <v>44005</v>
      </c>
      <c r="B116" s="4">
        <v>2535</v>
      </c>
      <c r="C116" s="4">
        <v>19241</v>
      </c>
      <c r="D116" s="4">
        <v>26120</v>
      </c>
      <c r="E116" s="4">
        <v>47896</v>
      </c>
      <c r="F116" s="4">
        <v>619</v>
      </c>
      <c r="G116" s="4">
        <v>5228</v>
      </c>
      <c r="H116" s="4">
        <v>2957</v>
      </c>
      <c r="I116" s="4">
        <v>1319</v>
      </c>
      <c r="J116" s="4">
        <v>10123</v>
      </c>
      <c r="K116" s="4">
        <v>4276</v>
      </c>
      <c r="L116" s="4">
        <v>35</v>
      </c>
      <c r="M116" s="4">
        <v>506</v>
      </c>
      <c r="N116" s="4">
        <v>510</v>
      </c>
      <c r="O116" s="4">
        <v>1051</v>
      </c>
      <c r="P116" s="4">
        <v>1</v>
      </c>
      <c r="Q116" s="4">
        <v>100</v>
      </c>
      <c r="R116" s="4">
        <v>56</v>
      </c>
      <c r="S116" s="4">
        <v>9</v>
      </c>
      <c r="T116" s="4">
        <v>166</v>
      </c>
      <c r="U116" s="4">
        <v>65</v>
      </c>
    </row>
    <row r="117" spans="1:21" ht="12.5" x14ac:dyDescent="0.25">
      <c r="A117" s="20">
        <v>44006</v>
      </c>
      <c r="B117" s="4">
        <v>2573</v>
      </c>
      <c r="C117" s="4">
        <v>19658</v>
      </c>
      <c r="D117" s="4">
        <v>26778</v>
      </c>
      <c r="E117" s="4">
        <v>49009</v>
      </c>
      <c r="F117" s="4">
        <v>628</v>
      </c>
      <c r="G117" s="4">
        <v>5322</v>
      </c>
      <c r="H117" s="4">
        <v>2978</v>
      </c>
      <c r="I117" s="4">
        <v>1349</v>
      </c>
      <c r="J117" s="4">
        <v>10277</v>
      </c>
      <c r="K117" s="4">
        <v>4327</v>
      </c>
      <c r="L117" s="4">
        <v>38</v>
      </c>
      <c r="M117" s="4">
        <v>417</v>
      </c>
      <c r="N117" s="4">
        <v>658</v>
      </c>
      <c r="O117" s="4">
        <v>1113</v>
      </c>
      <c r="P117" s="4">
        <v>9</v>
      </c>
      <c r="Q117" s="4">
        <v>94</v>
      </c>
      <c r="R117" s="4">
        <v>21</v>
      </c>
      <c r="S117" s="4">
        <v>30</v>
      </c>
      <c r="T117" s="4">
        <v>154</v>
      </c>
      <c r="U117" s="4">
        <v>51</v>
      </c>
    </row>
    <row r="118" spans="1:21" ht="12.5" x14ac:dyDescent="0.25">
      <c r="A118" s="20">
        <v>44007</v>
      </c>
      <c r="B118" s="4">
        <v>2620</v>
      </c>
      <c r="C118" s="4">
        <v>20449</v>
      </c>
      <c r="D118" s="4">
        <v>27118</v>
      </c>
      <c r="E118" s="4">
        <v>50187</v>
      </c>
      <c r="F118" s="4">
        <v>631</v>
      </c>
      <c r="G118" s="4">
        <v>5435</v>
      </c>
      <c r="H118" s="4">
        <v>3068</v>
      </c>
      <c r="I118" s="4">
        <v>1338</v>
      </c>
      <c r="J118" s="4">
        <v>10472</v>
      </c>
      <c r="K118" s="4">
        <v>4406</v>
      </c>
      <c r="L118" s="4">
        <v>47</v>
      </c>
      <c r="M118" s="4">
        <v>791</v>
      </c>
      <c r="N118" s="4">
        <v>340</v>
      </c>
      <c r="O118" s="4">
        <v>1178</v>
      </c>
      <c r="P118" s="4">
        <v>3</v>
      </c>
      <c r="Q118" s="4">
        <v>113</v>
      </c>
      <c r="R118" s="4">
        <v>90</v>
      </c>
      <c r="S118" s="4">
        <v>-11</v>
      </c>
      <c r="T118" s="4">
        <v>195</v>
      </c>
      <c r="U118" s="4">
        <v>79</v>
      </c>
    </row>
    <row r="119" spans="1:21" ht="12.5" x14ac:dyDescent="0.25">
      <c r="A119" s="20">
        <v>44008</v>
      </c>
      <c r="B119" s="4">
        <v>2683</v>
      </c>
      <c r="C119" s="4">
        <v>21333</v>
      </c>
      <c r="D119" s="4">
        <v>27411</v>
      </c>
      <c r="E119" s="4">
        <v>51427</v>
      </c>
      <c r="F119" s="4">
        <v>632</v>
      </c>
      <c r="G119" s="4">
        <v>5542</v>
      </c>
      <c r="H119" s="4">
        <v>3136</v>
      </c>
      <c r="I119" s="4">
        <v>1330</v>
      </c>
      <c r="J119" s="4">
        <v>10640</v>
      </c>
      <c r="K119" s="4">
        <v>4466</v>
      </c>
      <c r="L119" s="4">
        <v>63</v>
      </c>
      <c r="M119" s="4">
        <v>884</v>
      </c>
      <c r="N119" s="4">
        <v>293</v>
      </c>
      <c r="O119" s="4">
        <v>1240</v>
      </c>
      <c r="P119" s="4">
        <v>1</v>
      </c>
      <c r="Q119" s="4">
        <v>107</v>
      </c>
      <c r="R119" s="4">
        <v>68</v>
      </c>
      <c r="S119" s="4">
        <v>-8</v>
      </c>
      <c r="T119" s="4">
        <v>168</v>
      </c>
      <c r="U119" s="4">
        <v>60</v>
      </c>
    </row>
    <row r="120" spans="1:21" ht="12.5" x14ac:dyDescent="0.25">
      <c r="A120" s="20">
        <v>44009</v>
      </c>
      <c r="B120" s="4">
        <v>2720</v>
      </c>
      <c r="C120" s="4">
        <v>21909</v>
      </c>
      <c r="D120" s="4">
        <v>28183</v>
      </c>
      <c r="E120" s="4">
        <v>52812</v>
      </c>
      <c r="F120" s="4">
        <v>632</v>
      </c>
      <c r="G120" s="4">
        <v>5610</v>
      </c>
      <c r="H120" s="4">
        <v>3256</v>
      </c>
      <c r="I120" s="4">
        <v>1355</v>
      </c>
      <c r="J120" s="4">
        <v>10853</v>
      </c>
      <c r="K120" s="4">
        <v>4611</v>
      </c>
      <c r="L120" s="4">
        <v>37</v>
      </c>
      <c r="M120" s="4">
        <v>576</v>
      </c>
      <c r="N120" s="4">
        <v>772</v>
      </c>
      <c r="O120" s="4">
        <v>1385</v>
      </c>
      <c r="P120" s="4">
        <v>0</v>
      </c>
      <c r="Q120" s="4">
        <v>68</v>
      </c>
      <c r="R120" s="4">
        <v>120</v>
      </c>
      <c r="S120" s="4">
        <v>25</v>
      </c>
      <c r="T120" s="4">
        <v>213</v>
      </c>
      <c r="U120" s="4">
        <v>145</v>
      </c>
    </row>
    <row r="121" spans="1:21" ht="12.5" x14ac:dyDescent="0.25">
      <c r="A121" s="20">
        <v>44010</v>
      </c>
      <c r="B121" s="4">
        <v>2754</v>
      </c>
      <c r="C121" s="4">
        <v>22936</v>
      </c>
      <c r="D121" s="4">
        <v>28320</v>
      </c>
      <c r="E121" s="4">
        <v>54010</v>
      </c>
      <c r="F121" s="4">
        <v>635</v>
      </c>
      <c r="G121" s="4">
        <v>5865</v>
      </c>
      <c r="H121" s="4">
        <v>3163</v>
      </c>
      <c r="I121" s="4">
        <v>1322</v>
      </c>
      <c r="J121" s="4">
        <v>10985</v>
      </c>
      <c r="K121" s="4">
        <v>4485</v>
      </c>
      <c r="L121" s="4">
        <v>34</v>
      </c>
      <c r="M121" s="4">
        <v>1027</v>
      </c>
      <c r="N121" s="4">
        <v>137</v>
      </c>
      <c r="O121" s="4">
        <v>1198</v>
      </c>
      <c r="P121" s="4">
        <v>3</v>
      </c>
      <c r="Q121" s="4">
        <v>255</v>
      </c>
      <c r="R121" s="4">
        <v>-93</v>
      </c>
      <c r="S121" s="4">
        <v>-33</v>
      </c>
      <c r="T121" s="4">
        <v>132</v>
      </c>
      <c r="U121" s="4">
        <v>-126</v>
      </c>
    </row>
    <row r="122" spans="1:21" ht="12.5" x14ac:dyDescent="0.25">
      <c r="A122" s="20">
        <v>44011</v>
      </c>
      <c r="B122" s="4">
        <v>2805</v>
      </c>
      <c r="C122" s="4">
        <v>23800</v>
      </c>
      <c r="D122" s="4">
        <v>28487</v>
      </c>
      <c r="E122" s="4">
        <v>55092</v>
      </c>
      <c r="F122" s="4">
        <v>636</v>
      </c>
      <c r="G122" s="4">
        <v>6118</v>
      </c>
      <c r="H122" s="4">
        <v>3299</v>
      </c>
      <c r="I122" s="4">
        <v>1027</v>
      </c>
      <c r="J122" s="4">
        <v>11080</v>
      </c>
      <c r="K122" s="4">
        <v>4326</v>
      </c>
      <c r="L122" s="4">
        <v>51</v>
      </c>
      <c r="M122" s="4">
        <v>864</v>
      </c>
      <c r="N122" s="4">
        <v>167</v>
      </c>
      <c r="O122" s="4">
        <v>1082</v>
      </c>
      <c r="P122" s="4">
        <v>1</v>
      </c>
      <c r="Q122" s="4">
        <v>253</v>
      </c>
      <c r="R122" s="4">
        <v>136</v>
      </c>
      <c r="S122" s="4">
        <v>-295</v>
      </c>
      <c r="T122" s="4">
        <v>95</v>
      </c>
      <c r="U122" s="4">
        <v>-159</v>
      </c>
    </row>
    <row r="123" spans="1:21" ht="12.5" x14ac:dyDescent="0.25">
      <c r="A123" s="20">
        <v>44012</v>
      </c>
      <c r="B123" s="4">
        <v>2876</v>
      </c>
      <c r="C123" s="4">
        <v>24806</v>
      </c>
      <c r="D123" s="4">
        <v>28703</v>
      </c>
      <c r="E123" s="4">
        <v>56385</v>
      </c>
      <c r="F123" s="4">
        <v>641</v>
      </c>
      <c r="G123" s="4">
        <v>6512</v>
      </c>
      <c r="H123" s="4">
        <v>3172</v>
      </c>
      <c r="I123" s="4">
        <v>951</v>
      </c>
      <c r="J123" s="4">
        <v>11276</v>
      </c>
      <c r="K123" s="4">
        <v>4123</v>
      </c>
      <c r="L123" s="4">
        <v>71</v>
      </c>
      <c r="M123" s="4">
        <v>1006</v>
      </c>
      <c r="N123" s="4">
        <v>216</v>
      </c>
      <c r="O123" s="4">
        <v>1293</v>
      </c>
      <c r="P123" s="4">
        <v>5</v>
      </c>
      <c r="Q123" s="4">
        <v>394</v>
      </c>
      <c r="R123" s="4">
        <v>-127</v>
      </c>
      <c r="S123" s="4">
        <v>-76</v>
      </c>
      <c r="T123" s="4">
        <v>196</v>
      </c>
      <c r="U123" s="4">
        <v>-203</v>
      </c>
    </row>
    <row r="124" spans="1:21" ht="12.5" x14ac:dyDescent="0.25">
      <c r="A124" s="20">
        <v>44013</v>
      </c>
      <c r="B124" s="4">
        <v>2934</v>
      </c>
      <c r="C124" s="4">
        <v>25595</v>
      </c>
      <c r="D124" s="4">
        <v>29241</v>
      </c>
      <c r="E124" s="4">
        <v>57770</v>
      </c>
      <c r="F124" s="4">
        <v>644</v>
      </c>
      <c r="G124" s="4">
        <v>6680</v>
      </c>
      <c r="H124" s="4">
        <v>3269</v>
      </c>
      <c r="I124" s="4">
        <v>889</v>
      </c>
      <c r="J124" s="4">
        <v>11482</v>
      </c>
      <c r="K124" s="4">
        <v>4158</v>
      </c>
      <c r="L124" s="4">
        <v>58</v>
      </c>
      <c r="M124" s="4">
        <v>789</v>
      </c>
      <c r="N124" s="4">
        <v>538</v>
      </c>
      <c r="O124" s="4">
        <v>1385</v>
      </c>
      <c r="P124" s="4">
        <v>3</v>
      </c>
      <c r="Q124" s="4">
        <v>168</v>
      </c>
      <c r="R124" s="4">
        <v>97</v>
      </c>
      <c r="S124" s="4">
        <v>-62</v>
      </c>
      <c r="T124" s="4">
        <v>206</v>
      </c>
      <c r="U124" s="4">
        <v>35</v>
      </c>
    </row>
    <row r="125" spans="1:21" ht="12.5" x14ac:dyDescent="0.25">
      <c r="A125" s="20">
        <v>44014</v>
      </c>
      <c r="B125" s="4">
        <v>2987</v>
      </c>
      <c r="C125" s="4">
        <v>26667</v>
      </c>
      <c r="D125" s="4">
        <v>29740</v>
      </c>
      <c r="E125" s="4">
        <v>59394</v>
      </c>
      <c r="F125" s="4">
        <v>646</v>
      </c>
      <c r="G125" s="4">
        <v>6871</v>
      </c>
      <c r="H125" s="4">
        <v>3356</v>
      </c>
      <c r="I125" s="4">
        <v>804</v>
      </c>
      <c r="J125" s="4">
        <v>11677</v>
      </c>
      <c r="K125" s="4">
        <v>4160</v>
      </c>
      <c r="L125" s="4">
        <v>53</v>
      </c>
      <c r="M125" s="4">
        <v>1072</v>
      </c>
      <c r="N125" s="4">
        <v>499</v>
      </c>
      <c r="O125" s="4">
        <v>1624</v>
      </c>
      <c r="P125" s="4">
        <v>2</v>
      </c>
      <c r="Q125" s="4">
        <v>191</v>
      </c>
      <c r="R125" s="4">
        <v>87</v>
      </c>
      <c r="S125" s="4">
        <v>-85</v>
      </c>
      <c r="T125" s="4">
        <v>195</v>
      </c>
      <c r="U125" s="4">
        <v>2</v>
      </c>
    </row>
    <row r="126" spans="1:21" ht="12.5" x14ac:dyDescent="0.25">
      <c r="A126" s="20">
        <v>44015</v>
      </c>
      <c r="B126" s="4">
        <v>3036</v>
      </c>
      <c r="C126" s="4">
        <v>27568</v>
      </c>
      <c r="D126" s="4">
        <v>30091</v>
      </c>
      <c r="E126" s="4">
        <v>60695</v>
      </c>
      <c r="F126" s="4">
        <v>648</v>
      </c>
      <c r="G126" s="4">
        <v>7109</v>
      </c>
      <c r="H126" s="4">
        <v>3331</v>
      </c>
      <c r="I126" s="4">
        <v>736</v>
      </c>
      <c r="J126" s="4">
        <v>11824</v>
      </c>
      <c r="K126" s="4">
        <v>4067</v>
      </c>
      <c r="L126" s="4">
        <v>49</v>
      </c>
      <c r="M126" s="4">
        <v>901</v>
      </c>
      <c r="N126" s="4">
        <v>351</v>
      </c>
      <c r="O126" s="4">
        <v>1301</v>
      </c>
      <c r="P126" s="4">
        <v>2</v>
      </c>
      <c r="Q126" s="4">
        <v>238</v>
      </c>
      <c r="R126" s="4">
        <v>-25</v>
      </c>
      <c r="S126" s="4">
        <v>-68</v>
      </c>
      <c r="T126" s="4">
        <v>147</v>
      </c>
      <c r="U126" s="4">
        <v>-93</v>
      </c>
    </row>
    <row r="127" spans="1:21" ht="12.5" x14ac:dyDescent="0.25">
      <c r="A127" s="20">
        <v>44016</v>
      </c>
      <c r="B127" s="4">
        <v>3089</v>
      </c>
      <c r="C127" s="4">
        <v>28219</v>
      </c>
      <c r="D127" s="4">
        <v>30834</v>
      </c>
      <c r="E127" s="4">
        <v>62142</v>
      </c>
      <c r="F127" s="4">
        <v>650</v>
      </c>
      <c r="G127" s="4">
        <v>7377</v>
      </c>
      <c r="H127" s="4">
        <v>3366</v>
      </c>
      <c r="I127" s="4">
        <v>646</v>
      </c>
      <c r="J127" s="4">
        <v>12039</v>
      </c>
      <c r="K127" s="4">
        <v>4012</v>
      </c>
      <c r="L127" s="4">
        <v>53</v>
      </c>
      <c r="M127" s="4">
        <v>651</v>
      </c>
      <c r="N127" s="4">
        <v>743</v>
      </c>
      <c r="O127" s="4">
        <v>1447</v>
      </c>
      <c r="P127" s="4">
        <v>2</v>
      </c>
      <c r="Q127" s="4">
        <v>268</v>
      </c>
      <c r="R127" s="4">
        <v>35</v>
      </c>
      <c r="S127" s="4">
        <v>-90</v>
      </c>
      <c r="T127" s="4">
        <v>215</v>
      </c>
      <c r="U127" s="4">
        <v>-55</v>
      </c>
    </row>
    <row r="128" spans="1:21" ht="12.5" x14ac:dyDescent="0.25">
      <c r="A128" s="20">
        <v>44017</v>
      </c>
      <c r="B128" s="4">
        <v>3171</v>
      </c>
      <c r="C128" s="4">
        <v>29105</v>
      </c>
      <c r="D128" s="4">
        <v>31473</v>
      </c>
      <c r="E128" s="4">
        <v>63749</v>
      </c>
      <c r="F128" s="4">
        <v>658</v>
      </c>
      <c r="G128" s="4">
        <v>7663</v>
      </c>
      <c r="H128" s="4">
        <v>3390</v>
      </c>
      <c r="I128" s="4">
        <v>584</v>
      </c>
      <c r="J128" s="4">
        <v>12295</v>
      </c>
      <c r="K128" s="4">
        <v>3974</v>
      </c>
      <c r="L128" s="4">
        <v>82</v>
      </c>
      <c r="M128" s="4">
        <v>886</v>
      </c>
      <c r="N128" s="4">
        <v>639</v>
      </c>
      <c r="O128" s="4">
        <v>1607</v>
      </c>
      <c r="P128" s="4">
        <v>8</v>
      </c>
      <c r="Q128" s="4">
        <v>286</v>
      </c>
      <c r="R128" s="4">
        <v>24</v>
      </c>
      <c r="S128" s="4">
        <v>-62</v>
      </c>
      <c r="T128" s="4">
        <v>256</v>
      </c>
      <c r="U128" s="4">
        <v>-38</v>
      </c>
    </row>
    <row r="129" spans="1:21" ht="12.5" x14ac:dyDescent="0.25">
      <c r="A129" s="20">
        <v>44018</v>
      </c>
      <c r="B129" s="4">
        <v>3241</v>
      </c>
      <c r="C129" s="4">
        <v>29919</v>
      </c>
      <c r="D129" s="4">
        <v>31798</v>
      </c>
      <c r="E129" s="4">
        <v>64958</v>
      </c>
      <c r="F129" s="4">
        <v>658</v>
      </c>
      <c r="G129" s="4">
        <v>8033</v>
      </c>
      <c r="H129" s="4">
        <v>3340</v>
      </c>
      <c r="I129" s="4">
        <v>495</v>
      </c>
      <c r="J129" s="4">
        <v>12526</v>
      </c>
      <c r="K129" s="4">
        <v>3835</v>
      </c>
      <c r="L129" s="4">
        <v>70</v>
      </c>
      <c r="M129" s="4">
        <v>814</v>
      </c>
      <c r="N129" s="4">
        <v>325</v>
      </c>
      <c r="O129" s="4">
        <v>1209</v>
      </c>
      <c r="P129" s="4">
        <v>0</v>
      </c>
      <c r="Q129" s="4">
        <v>370</v>
      </c>
      <c r="R129" s="4">
        <v>-50</v>
      </c>
      <c r="S129" s="4">
        <v>-89</v>
      </c>
      <c r="T129" s="4">
        <v>231</v>
      </c>
      <c r="U129" s="4">
        <v>-139</v>
      </c>
    </row>
    <row r="130" spans="1:21" ht="12.5" x14ac:dyDescent="0.25">
      <c r="A130" s="20">
        <v>44019</v>
      </c>
      <c r="B130" s="4">
        <v>3309</v>
      </c>
      <c r="C130" s="4">
        <v>30785</v>
      </c>
      <c r="D130" s="4">
        <v>32132</v>
      </c>
      <c r="E130" s="4">
        <v>66226</v>
      </c>
      <c r="F130" s="4">
        <v>664</v>
      </c>
      <c r="G130" s="4">
        <v>8277</v>
      </c>
      <c r="H130" s="4">
        <v>3379</v>
      </c>
      <c r="I130" s="4">
        <v>405</v>
      </c>
      <c r="J130" s="4">
        <v>12725</v>
      </c>
      <c r="K130" s="4">
        <v>3784</v>
      </c>
      <c r="L130" s="4">
        <v>68</v>
      </c>
      <c r="M130" s="4">
        <v>866</v>
      </c>
      <c r="N130" s="4">
        <v>334</v>
      </c>
      <c r="O130" s="4">
        <v>1268</v>
      </c>
      <c r="P130" s="4">
        <v>6</v>
      </c>
      <c r="Q130" s="4">
        <v>244</v>
      </c>
      <c r="R130" s="4">
        <v>39</v>
      </c>
      <c r="S130" s="4">
        <v>-90</v>
      </c>
      <c r="T130" s="4">
        <v>199</v>
      </c>
      <c r="U130" s="4">
        <v>-51</v>
      </c>
    </row>
    <row r="131" spans="1:21" ht="12.5" x14ac:dyDescent="0.25">
      <c r="A131" s="20">
        <v>44020</v>
      </c>
      <c r="B131" s="4">
        <v>3359</v>
      </c>
      <c r="C131" s="4">
        <v>31585</v>
      </c>
      <c r="D131" s="4">
        <v>33135</v>
      </c>
      <c r="E131" s="4">
        <v>68079</v>
      </c>
      <c r="F131" s="4">
        <v>667</v>
      </c>
      <c r="G131" s="4">
        <v>8429</v>
      </c>
      <c r="H131" s="4">
        <v>3556</v>
      </c>
      <c r="I131" s="4">
        <v>417</v>
      </c>
      <c r="J131" s="4">
        <v>13069</v>
      </c>
      <c r="K131" s="4">
        <v>3973</v>
      </c>
      <c r="L131" s="4">
        <v>50</v>
      </c>
      <c r="M131" s="4">
        <v>800</v>
      </c>
      <c r="N131" s="4">
        <v>1003</v>
      </c>
      <c r="O131" s="4">
        <v>1853</v>
      </c>
      <c r="P131" s="4">
        <v>3</v>
      </c>
      <c r="Q131" s="4">
        <v>152</v>
      </c>
      <c r="R131" s="4">
        <v>177</v>
      </c>
      <c r="S131" s="4">
        <v>12</v>
      </c>
      <c r="T131" s="4">
        <v>344</v>
      </c>
      <c r="U131" s="4">
        <v>189</v>
      </c>
    </row>
    <row r="132" spans="1:21" ht="12.5" x14ac:dyDescent="0.25">
      <c r="A132" s="20">
        <v>44021</v>
      </c>
      <c r="B132" s="4">
        <v>3417</v>
      </c>
      <c r="C132" s="4">
        <v>32651</v>
      </c>
      <c r="D132" s="4">
        <v>34668</v>
      </c>
      <c r="E132" s="4">
        <v>70736</v>
      </c>
      <c r="F132" s="4">
        <v>677</v>
      </c>
      <c r="G132" s="4">
        <v>8647</v>
      </c>
      <c r="H132" s="4">
        <v>3584</v>
      </c>
      <c r="I132" s="4">
        <v>451</v>
      </c>
      <c r="J132" s="4">
        <v>13359</v>
      </c>
      <c r="K132" s="4">
        <v>4035</v>
      </c>
      <c r="L132" s="4">
        <v>58</v>
      </c>
      <c r="M132" s="4">
        <v>1066</v>
      </c>
      <c r="N132" s="4">
        <v>1533</v>
      </c>
      <c r="O132" s="4">
        <v>2657</v>
      </c>
      <c r="P132" s="4">
        <v>10</v>
      </c>
      <c r="Q132" s="4">
        <v>218</v>
      </c>
      <c r="R132" s="4">
        <v>28</v>
      </c>
      <c r="S132" s="4">
        <v>34</v>
      </c>
      <c r="T132" s="4">
        <v>290</v>
      </c>
      <c r="U132" s="4">
        <v>62</v>
      </c>
    </row>
    <row r="133" spans="1:21" ht="12.5" x14ac:dyDescent="0.25">
      <c r="A133" s="20">
        <v>44022</v>
      </c>
      <c r="B133" s="4">
        <v>3469</v>
      </c>
      <c r="C133" s="4">
        <v>33529</v>
      </c>
      <c r="D133" s="4">
        <v>35349</v>
      </c>
      <c r="E133" s="4">
        <v>72347</v>
      </c>
      <c r="F133" s="4">
        <v>684</v>
      </c>
      <c r="G133" s="4">
        <v>8825</v>
      </c>
      <c r="H133" s="4">
        <v>3613</v>
      </c>
      <c r="I133" s="4">
        <v>476</v>
      </c>
      <c r="J133" s="4">
        <v>13598</v>
      </c>
      <c r="K133" s="4">
        <v>4089</v>
      </c>
      <c r="L133" s="4">
        <v>52</v>
      </c>
      <c r="M133" s="4">
        <v>878</v>
      </c>
      <c r="N133" s="4">
        <v>681</v>
      </c>
      <c r="O133" s="4">
        <v>1611</v>
      </c>
      <c r="P133" s="4">
        <v>7</v>
      </c>
      <c r="Q133" s="4">
        <v>178</v>
      </c>
      <c r="R133" s="4">
        <v>29</v>
      </c>
      <c r="S133" s="4">
        <v>25</v>
      </c>
      <c r="T133" s="4">
        <v>239</v>
      </c>
      <c r="U133" s="4">
        <v>54</v>
      </c>
    </row>
    <row r="134" spans="1:21" ht="12.5" x14ac:dyDescent="0.25">
      <c r="A134" s="20">
        <v>44023</v>
      </c>
      <c r="B134" s="4">
        <v>3535</v>
      </c>
      <c r="C134" s="4">
        <v>34719</v>
      </c>
      <c r="D134" s="4">
        <v>35764</v>
      </c>
      <c r="E134" s="4">
        <v>74018</v>
      </c>
      <c r="F134" s="4">
        <v>690</v>
      </c>
      <c r="G134" s="4">
        <v>9040</v>
      </c>
      <c r="H134" s="4">
        <v>3732</v>
      </c>
      <c r="I134" s="4">
        <v>495</v>
      </c>
      <c r="J134" s="4">
        <v>13957</v>
      </c>
      <c r="K134" s="4">
        <v>4227</v>
      </c>
      <c r="L134" s="4">
        <v>66</v>
      </c>
      <c r="M134" s="4">
        <v>1190</v>
      </c>
      <c r="N134" s="4">
        <v>415</v>
      </c>
      <c r="O134" s="4">
        <v>1671</v>
      </c>
      <c r="P134" s="4">
        <v>6</v>
      </c>
      <c r="Q134" s="4">
        <v>215</v>
      </c>
      <c r="R134" s="4">
        <v>119</v>
      </c>
      <c r="S134" s="4">
        <v>19</v>
      </c>
      <c r="T134" s="4">
        <v>359</v>
      </c>
      <c r="U134" s="4">
        <v>138</v>
      </c>
    </row>
    <row r="135" spans="1:21" ht="12.5" x14ac:dyDescent="0.25">
      <c r="A135" s="20">
        <v>44024</v>
      </c>
      <c r="B135" s="4">
        <v>3606</v>
      </c>
      <c r="C135" s="4">
        <v>35638</v>
      </c>
      <c r="D135" s="4">
        <v>36455</v>
      </c>
      <c r="E135" s="4">
        <v>75699</v>
      </c>
      <c r="F135" s="4">
        <v>702</v>
      </c>
      <c r="G135" s="4">
        <v>9200</v>
      </c>
      <c r="H135" s="4">
        <v>3905</v>
      </c>
      <c r="I135" s="4">
        <v>554</v>
      </c>
      <c r="J135" s="4">
        <v>14361</v>
      </c>
      <c r="K135" s="4">
        <v>4459</v>
      </c>
      <c r="L135" s="4">
        <v>71</v>
      </c>
      <c r="M135" s="4">
        <v>919</v>
      </c>
      <c r="N135" s="4">
        <v>691</v>
      </c>
      <c r="O135" s="4">
        <v>1681</v>
      </c>
      <c r="P135" s="4">
        <v>12</v>
      </c>
      <c r="Q135" s="4">
        <v>160</v>
      </c>
      <c r="R135" s="4">
        <v>173</v>
      </c>
      <c r="S135" s="4">
        <v>59</v>
      </c>
      <c r="T135" s="4">
        <v>404</v>
      </c>
      <c r="U135" s="4">
        <v>232</v>
      </c>
    </row>
    <row r="136" spans="1:21" ht="12.5" x14ac:dyDescent="0.25">
      <c r="A136" s="20">
        <v>44025</v>
      </c>
      <c r="B136" s="4">
        <v>3656</v>
      </c>
      <c r="C136" s="4">
        <v>36689</v>
      </c>
      <c r="D136" s="4">
        <v>36636</v>
      </c>
      <c r="E136" s="4">
        <v>76981</v>
      </c>
      <c r="F136" s="4">
        <v>710</v>
      </c>
      <c r="G136" s="4">
        <v>9408</v>
      </c>
      <c r="H136" s="4">
        <v>3924</v>
      </c>
      <c r="I136" s="4">
        <v>597</v>
      </c>
      <c r="J136" s="4">
        <v>14639</v>
      </c>
      <c r="K136" s="4">
        <v>4521</v>
      </c>
      <c r="L136" s="4">
        <v>50</v>
      </c>
      <c r="M136" s="4">
        <v>1051</v>
      </c>
      <c r="N136" s="4">
        <v>181</v>
      </c>
      <c r="O136" s="4">
        <v>1282</v>
      </c>
      <c r="P136" s="4">
        <v>8</v>
      </c>
      <c r="Q136" s="4">
        <v>208</v>
      </c>
      <c r="R136" s="4">
        <v>19</v>
      </c>
      <c r="S136" s="4">
        <v>43</v>
      </c>
      <c r="T136" s="4">
        <v>278</v>
      </c>
      <c r="U136" s="4">
        <v>62</v>
      </c>
    </row>
    <row r="137" spans="1:21" ht="12.5" x14ac:dyDescent="0.25">
      <c r="A137" s="20">
        <v>44026</v>
      </c>
      <c r="B137" s="4">
        <v>3710</v>
      </c>
      <c r="C137" s="4">
        <v>37636</v>
      </c>
      <c r="D137" s="4">
        <v>37226</v>
      </c>
      <c r="E137" s="4">
        <v>78572</v>
      </c>
      <c r="F137" s="4">
        <v>714</v>
      </c>
      <c r="G137" s="4">
        <v>9528</v>
      </c>
      <c r="H137" s="4">
        <v>4053</v>
      </c>
      <c r="I137" s="4">
        <v>619</v>
      </c>
      <c r="J137" s="4">
        <v>14914</v>
      </c>
      <c r="K137" s="4">
        <v>4672</v>
      </c>
      <c r="L137" s="4">
        <v>54</v>
      </c>
      <c r="M137" s="4">
        <v>947</v>
      </c>
      <c r="N137" s="4">
        <v>590</v>
      </c>
      <c r="O137" s="4">
        <v>1591</v>
      </c>
      <c r="P137" s="4">
        <v>4</v>
      </c>
      <c r="Q137" s="4">
        <v>120</v>
      </c>
      <c r="R137" s="4">
        <v>129</v>
      </c>
      <c r="S137" s="4">
        <v>22</v>
      </c>
      <c r="T137" s="4">
        <v>275</v>
      </c>
      <c r="U137" s="4">
        <v>151</v>
      </c>
    </row>
    <row r="138" spans="1:21" ht="12.5" x14ac:dyDescent="0.25">
      <c r="A138" s="20">
        <v>44027</v>
      </c>
      <c r="B138" s="4">
        <v>3797</v>
      </c>
      <c r="C138" s="4">
        <v>39050</v>
      </c>
      <c r="D138" s="4">
        <v>37247</v>
      </c>
      <c r="E138" s="4">
        <v>80094</v>
      </c>
      <c r="F138" s="4">
        <v>720</v>
      </c>
      <c r="G138" s="4">
        <v>9721</v>
      </c>
      <c r="H138" s="4">
        <v>4041</v>
      </c>
      <c r="I138" s="4">
        <v>691</v>
      </c>
      <c r="J138" s="4">
        <v>15173</v>
      </c>
      <c r="K138" s="4">
        <v>4732</v>
      </c>
      <c r="L138" s="4">
        <v>87</v>
      </c>
      <c r="M138" s="4">
        <v>1414</v>
      </c>
      <c r="N138" s="4">
        <v>21</v>
      </c>
      <c r="O138" s="4">
        <v>1522</v>
      </c>
      <c r="P138" s="4">
        <v>6</v>
      </c>
      <c r="Q138" s="4">
        <v>193</v>
      </c>
      <c r="R138" s="4">
        <v>-12</v>
      </c>
      <c r="S138" s="4">
        <v>72</v>
      </c>
      <c r="T138" s="4">
        <v>259</v>
      </c>
      <c r="U138" s="4">
        <v>60</v>
      </c>
    </row>
    <row r="139" spans="1:21" ht="12.5" x14ac:dyDescent="0.25">
      <c r="A139" s="20">
        <v>44028</v>
      </c>
      <c r="B139" s="4">
        <v>3873</v>
      </c>
      <c r="C139" s="4">
        <v>40345</v>
      </c>
      <c r="D139" s="4">
        <v>37450</v>
      </c>
      <c r="E139" s="4">
        <v>81668</v>
      </c>
      <c r="F139" s="4">
        <v>722</v>
      </c>
      <c r="G139" s="4">
        <v>9857</v>
      </c>
      <c r="H139" s="4">
        <v>4110</v>
      </c>
      <c r="I139" s="4">
        <v>777</v>
      </c>
      <c r="J139" s="4">
        <v>15466</v>
      </c>
      <c r="K139" s="4">
        <v>4887</v>
      </c>
      <c r="L139" s="4">
        <v>76</v>
      </c>
      <c r="M139" s="4">
        <v>1295</v>
      </c>
      <c r="N139" s="4">
        <v>203</v>
      </c>
      <c r="O139" s="4">
        <v>1574</v>
      </c>
      <c r="P139" s="4">
        <v>2</v>
      </c>
      <c r="Q139" s="4">
        <v>136</v>
      </c>
      <c r="R139" s="4">
        <v>69</v>
      </c>
      <c r="S139" s="4">
        <v>86</v>
      </c>
      <c r="T139" s="4">
        <v>293</v>
      </c>
      <c r="U139" s="4">
        <v>155</v>
      </c>
    </row>
    <row r="140" spans="1:21" ht="12.5" x14ac:dyDescent="0.25">
      <c r="A140" s="20">
        <v>44029</v>
      </c>
      <c r="B140" s="4">
        <v>3957</v>
      </c>
      <c r="C140" s="4">
        <v>41834</v>
      </c>
      <c r="D140" s="4">
        <v>37339</v>
      </c>
      <c r="E140" s="4">
        <v>83130</v>
      </c>
      <c r="F140" s="4">
        <v>731</v>
      </c>
      <c r="G140" s="4">
        <v>9994</v>
      </c>
      <c r="H140" s="4">
        <v>4156</v>
      </c>
      <c r="I140" s="4">
        <v>826</v>
      </c>
      <c r="J140" s="4">
        <v>15707</v>
      </c>
      <c r="K140" s="4">
        <v>4982</v>
      </c>
      <c r="L140" s="4">
        <v>84</v>
      </c>
      <c r="M140" s="4">
        <v>1489</v>
      </c>
      <c r="N140" s="4">
        <v>-111</v>
      </c>
      <c r="O140" s="4">
        <v>1462</v>
      </c>
      <c r="P140" s="4">
        <v>9</v>
      </c>
      <c r="Q140" s="4">
        <v>137</v>
      </c>
      <c r="R140" s="4">
        <v>46</v>
      </c>
      <c r="S140" s="4">
        <v>49</v>
      </c>
      <c r="T140" s="4">
        <v>241</v>
      </c>
      <c r="U140" s="4">
        <v>95</v>
      </c>
    </row>
    <row r="141" spans="1:21" ht="12.5" x14ac:dyDescent="0.25">
      <c r="A141" s="20">
        <v>44030</v>
      </c>
      <c r="B141" s="4">
        <v>4016</v>
      </c>
      <c r="C141" s="4">
        <v>43268</v>
      </c>
      <c r="D141" s="4">
        <v>37598</v>
      </c>
      <c r="E141" s="4">
        <v>84882</v>
      </c>
      <c r="F141" s="4">
        <v>740</v>
      </c>
      <c r="G141" s="4">
        <v>10117</v>
      </c>
      <c r="H141" s="4">
        <v>4289</v>
      </c>
      <c r="I141" s="4">
        <v>892</v>
      </c>
      <c r="J141" s="4">
        <v>16038</v>
      </c>
      <c r="K141" s="4">
        <v>5181</v>
      </c>
      <c r="L141" s="4">
        <v>59</v>
      </c>
      <c r="M141" s="4">
        <v>1434</v>
      </c>
      <c r="N141" s="4">
        <v>259</v>
      </c>
      <c r="O141" s="4">
        <v>1752</v>
      </c>
      <c r="P141" s="4">
        <v>9</v>
      </c>
      <c r="Q141" s="4">
        <v>123</v>
      </c>
      <c r="R141" s="4">
        <v>133</v>
      </c>
      <c r="S141" s="4">
        <v>66</v>
      </c>
      <c r="T141" s="4">
        <v>331</v>
      </c>
      <c r="U141" s="4">
        <v>199</v>
      </c>
    </row>
    <row r="142" spans="1:21" ht="12.5" x14ac:dyDescent="0.25">
      <c r="A142" s="20">
        <v>44031</v>
      </c>
      <c r="B142" s="4">
        <v>4143</v>
      </c>
      <c r="C142" s="4">
        <v>45401</v>
      </c>
      <c r="D142" s="4">
        <v>36977</v>
      </c>
      <c r="E142" s="4">
        <v>86521</v>
      </c>
      <c r="F142" s="4">
        <v>748</v>
      </c>
      <c r="G142" s="4">
        <v>10444</v>
      </c>
      <c r="H142" s="4">
        <v>4236</v>
      </c>
      <c r="I142" s="4">
        <v>923</v>
      </c>
      <c r="J142" s="4">
        <v>16351</v>
      </c>
      <c r="K142" s="4">
        <v>5159</v>
      </c>
      <c r="L142" s="4">
        <v>127</v>
      </c>
      <c r="M142" s="4">
        <v>2133</v>
      </c>
      <c r="N142" s="4">
        <v>-621</v>
      </c>
      <c r="O142" s="4">
        <v>1639</v>
      </c>
      <c r="P142" s="4">
        <v>8</v>
      </c>
      <c r="Q142" s="4">
        <v>327</v>
      </c>
      <c r="R142" s="4">
        <v>-53</v>
      </c>
      <c r="S142" s="4">
        <v>31</v>
      </c>
      <c r="T142" s="4">
        <v>313</v>
      </c>
      <c r="U142" s="4">
        <v>-22</v>
      </c>
    </row>
    <row r="143" spans="1:21" ht="12.5" x14ac:dyDescent="0.25">
      <c r="A143" s="20">
        <v>44032</v>
      </c>
      <c r="B143" s="4">
        <v>4239</v>
      </c>
      <c r="C143" s="4">
        <v>46977</v>
      </c>
      <c r="D143" s="4">
        <v>36998</v>
      </c>
      <c r="E143" s="4">
        <v>88214</v>
      </c>
      <c r="F143" s="4">
        <v>749</v>
      </c>
      <c r="G143" s="4">
        <v>10602</v>
      </c>
      <c r="H143" s="4">
        <v>4335</v>
      </c>
      <c r="I143" s="4">
        <v>1026</v>
      </c>
      <c r="J143" s="4">
        <v>16712</v>
      </c>
      <c r="K143" s="4">
        <v>5361</v>
      </c>
      <c r="L143" s="4">
        <v>96</v>
      </c>
      <c r="M143" s="4">
        <v>1576</v>
      </c>
      <c r="N143" s="4">
        <v>21</v>
      </c>
      <c r="O143" s="4">
        <v>1693</v>
      </c>
      <c r="P143" s="4">
        <v>1</v>
      </c>
      <c r="Q143" s="4">
        <v>158</v>
      </c>
      <c r="R143" s="4">
        <v>99</v>
      </c>
      <c r="S143" s="4">
        <v>103</v>
      </c>
      <c r="T143" s="4">
        <v>361</v>
      </c>
      <c r="U143" s="4">
        <v>202</v>
      </c>
    </row>
    <row r="144" spans="1:21" ht="12.5" x14ac:dyDescent="0.25">
      <c r="A144" s="20">
        <v>44033</v>
      </c>
      <c r="B144" s="4">
        <v>4320</v>
      </c>
      <c r="C144" s="4">
        <v>48466</v>
      </c>
      <c r="D144" s="4">
        <v>37083</v>
      </c>
      <c r="E144" s="4">
        <v>89869</v>
      </c>
      <c r="F144" s="4">
        <v>758</v>
      </c>
      <c r="G144" s="4">
        <v>10864</v>
      </c>
      <c r="H144" s="4">
        <v>4458</v>
      </c>
      <c r="I144" s="4">
        <v>1073</v>
      </c>
      <c r="J144" s="4">
        <v>17153</v>
      </c>
      <c r="K144" s="4">
        <v>5531</v>
      </c>
      <c r="L144" s="4">
        <v>81</v>
      </c>
      <c r="M144" s="4">
        <v>1489</v>
      </c>
      <c r="N144" s="4">
        <v>85</v>
      </c>
      <c r="O144" s="4">
        <v>1655</v>
      </c>
      <c r="P144" s="4">
        <v>9</v>
      </c>
      <c r="Q144" s="4">
        <v>262</v>
      </c>
      <c r="R144" s="4">
        <v>123</v>
      </c>
      <c r="S144" s="4">
        <v>47</v>
      </c>
      <c r="T144" s="4">
        <v>441</v>
      </c>
      <c r="U144" s="4">
        <v>170</v>
      </c>
    </row>
    <row r="145" spans="1:21" ht="12.5" x14ac:dyDescent="0.25">
      <c r="A145" s="20">
        <v>44034</v>
      </c>
      <c r="B145" s="4">
        <v>4459</v>
      </c>
      <c r="C145" s="4">
        <v>50255</v>
      </c>
      <c r="D145" s="4">
        <v>37037</v>
      </c>
      <c r="E145" s="4">
        <v>91751</v>
      </c>
      <c r="F145" s="4">
        <v>766</v>
      </c>
      <c r="G145" s="4">
        <v>11187</v>
      </c>
      <c r="H145" s="4">
        <v>4383</v>
      </c>
      <c r="I145" s="4">
        <v>1193</v>
      </c>
      <c r="J145" s="4">
        <v>17529</v>
      </c>
      <c r="K145" s="4">
        <v>5576</v>
      </c>
      <c r="L145" s="4">
        <v>139</v>
      </c>
      <c r="M145" s="4">
        <v>1789</v>
      </c>
      <c r="N145" s="4">
        <v>-46</v>
      </c>
      <c r="O145" s="4">
        <v>1882</v>
      </c>
      <c r="P145" s="4">
        <v>8</v>
      </c>
      <c r="Q145" s="4">
        <v>323</v>
      </c>
      <c r="R145" s="4">
        <v>-75</v>
      </c>
      <c r="S145" s="4">
        <v>120</v>
      </c>
      <c r="T145" s="4">
        <v>376</v>
      </c>
      <c r="U145" s="4">
        <v>45</v>
      </c>
    </row>
    <row r="146" spans="1:21" ht="12.5" x14ac:dyDescent="0.25">
      <c r="A146" s="20">
        <v>44035</v>
      </c>
      <c r="B146" s="4">
        <v>4576</v>
      </c>
      <c r="C146" s="4">
        <v>52164</v>
      </c>
      <c r="D146" s="4">
        <v>36917</v>
      </c>
      <c r="E146" s="4">
        <v>93657</v>
      </c>
      <c r="F146" s="4">
        <v>767</v>
      </c>
      <c r="G146" s="4">
        <v>11302</v>
      </c>
      <c r="H146" s="4">
        <v>4675</v>
      </c>
      <c r="I146" s="4">
        <v>1201</v>
      </c>
      <c r="J146" s="4">
        <v>17945</v>
      </c>
      <c r="K146" s="4">
        <v>5876</v>
      </c>
      <c r="L146" s="4">
        <v>117</v>
      </c>
      <c r="M146" s="4">
        <v>1909</v>
      </c>
      <c r="N146" s="4">
        <v>-120</v>
      </c>
      <c r="O146" s="4">
        <v>1906</v>
      </c>
      <c r="P146" s="4">
        <v>1</v>
      </c>
      <c r="Q146" s="4">
        <v>115</v>
      </c>
      <c r="R146" s="4">
        <v>292</v>
      </c>
      <c r="S146" s="4">
        <v>8</v>
      </c>
      <c r="T146" s="4">
        <v>416</v>
      </c>
      <c r="U146" s="4">
        <v>300</v>
      </c>
    </row>
    <row r="147" spans="1:21" ht="12.5" x14ac:dyDescent="0.25">
      <c r="A147" s="20">
        <v>44036</v>
      </c>
      <c r="B147" s="4">
        <v>4665</v>
      </c>
      <c r="C147" s="4">
        <v>53945</v>
      </c>
      <c r="D147" s="4">
        <v>36808</v>
      </c>
      <c r="E147" s="4">
        <v>95418</v>
      </c>
      <c r="F147" s="4">
        <v>768</v>
      </c>
      <c r="G147" s="4">
        <v>11585</v>
      </c>
      <c r="H147" s="4">
        <v>4577</v>
      </c>
      <c r="I147" s="4">
        <v>1300</v>
      </c>
      <c r="J147" s="4">
        <v>18230</v>
      </c>
      <c r="K147" s="4">
        <v>5877</v>
      </c>
      <c r="L147" s="4">
        <v>89</v>
      </c>
      <c r="M147" s="4">
        <v>1781</v>
      </c>
      <c r="N147" s="4">
        <v>-109</v>
      </c>
      <c r="O147" s="4">
        <v>1761</v>
      </c>
      <c r="P147" s="4">
        <v>1</v>
      </c>
      <c r="Q147" s="4">
        <v>283</v>
      </c>
      <c r="R147" s="4">
        <v>-98</v>
      </c>
      <c r="S147" s="4">
        <v>99</v>
      </c>
      <c r="T147" s="4">
        <v>285</v>
      </c>
      <c r="U147" s="4">
        <v>1</v>
      </c>
    </row>
    <row r="148" spans="1:21" ht="12.5" x14ac:dyDescent="0.25">
      <c r="A148" s="20">
        <v>44037</v>
      </c>
      <c r="B148" s="4">
        <v>4714</v>
      </c>
      <c r="C148" s="4">
        <v>55354</v>
      </c>
      <c r="D148" s="4">
        <v>37218</v>
      </c>
      <c r="E148" s="4">
        <v>97286</v>
      </c>
      <c r="F148" s="4">
        <v>769</v>
      </c>
      <c r="G148" s="4">
        <v>11715</v>
      </c>
      <c r="H148" s="4">
        <v>4729</v>
      </c>
      <c r="I148" s="4">
        <v>1410</v>
      </c>
      <c r="J148" s="4">
        <v>18623</v>
      </c>
      <c r="K148" s="4">
        <v>6139</v>
      </c>
      <c r="L148" s="4">
        <v>49</v>
      </c>
      <c r="M148" s="4">
        <v>1409</v>
      </c>
      <c r="N148" s="4">
        <v>410</v>
      </c>
      <c r="O148" s="4">
        <v>1868</v>
      </c>
      <c r="P148" s="4">
        <v>1</v>
      </c>
      <c r="Q148" s="4">
        <v>130</v>
      </c>
      <c r="R148" s="4">
        <v>152</v>
      </c>
      <c r="S148" s="4">
        <v>110</v>
      </c>
      <c r="T148" s="4">
        <v>393</v>
      </c>
      <c r="U148" s="4">
        <v>262</v>
      </c>
    </row>
    <row r="149" spans="1:21" ht="12.5" x14ac:dyDescent="0.25">
      <c r="A149" s="20">
        <v>44038</v>
      </c>
      <c r="B149" s="4">
        <v>4781</v>
      </c>
      <c r="C149" s="4">
        <v>56655</v>
      </c>
      <c r="D149" s="4">
        <v>37342</v>
      </c>
      <c r="E149" s="4">
        <v>98778</v>
      </c>
      <c r="F149" s="4">
        <v>779</v>
      </c>
      <c r="G149" s="4">
        <v>11889</v>
      </c>
      <c r="H149" s="4">
        <v>4842</v>
      </c>
      <c r="I149" s="4">
        <v>1491</v>
      </c>
      <c r="J149" s="4">
        <v>19001</v>
      </c>
      <c r="K149" s="4">
        <v>6333</v>
      </c>
      <c r="L149" s="4">
        <v>67</v>
      </c>
      <c r="M149" s="4">
        <v>1301</v>
      </c>
      <c r="N149" s="4">
        <v>124</v>
      </c>
      <c r="O149" s="4">
        <v>1492</v>
      </c>
      <c r="P149" s="4">
        <v>10</v>
      </c>
      <c r="Q149" s="4">
        <v>174</v>
      </c>
      <c r="R149" s="4">
        <v>113</v>
      </c>
      <c r="S149" s="4">
        <v>81</v>
      </c>
      <c r="T149" s="4">
        <v>378</v>
      </c>
      <c r="U149" s="4">
        <v>194</v>
      </c>
    </row>
    <row r="150" spans="1:21" ht="12.5" x14ac:dyDescent="0.25">
      <c r="A150" s="20">
        <v>44039</v>
      </c>
      <c r="B150" s="4">
        <v>4838</v>
      </c>
      <c r="C150" s="4">
        <v>58173</v>
      </c>
      <c r="D150" s="4">
        <v>37292</v>
      </c>
      <c r="E150" s="4">
        <v>100303</v>
      </c>
      <c r="F150" s="4">
        <v>782</v>
      </c>
      <c r="G150" s="4">
        <v>11996</v>
      </c>
      <c r="H150" s="4">
        <v>4993</v>
      </c>
      <c r="I150" s="4">
        <v>1702</v>
      </c>
      <c r="J150" s="4">
        <v>19473</v>
      </c>
      <c r="K150" s="4">
        <v>6695</v>
      </c>
      <c r="L150" s="4">
        <v>57</v>
      </c>
      <c r="M150" s="4">
        <v>1518</v>
      </c>
      <c r="N150" s="4">
        <v>-50</v>
      </c>
      <c r="O150" s="4">
        <v>1525</v>
      </c>
      <c r="P150" s="4">
        <v>3</v>
      </c>
      <c r="Q150" s="4">
        <v>107</v>
      </c>
      <c r="R150" s="4">
        <v>151</v>
      </c>
      <c r="S150" s="4">
        <v>211</v>
      </c>
      <c r="T150" s="4">
        <v>472</v>
      </c>
      <c r="U150" s="4">
        <v>362</v>
      </c>
    </row>
    <row r="151" spans="1:21" ht="12.5" x14ac:dyDescent="0.25">
      <c r="A151" s="20">
        <v>44040</v>
      </c>
      <c r="B151" s="4">
        <v>4901</v>
      </c>
      <c r="C151" s="4">
        <v>60539</v>
      </c>
      <c r="D151" s="4">
        <v>36611</v>
      </c>
      <c r="E151" s="4">
        <v>102051</v>
      </c>
      <c r="F151" s="4">
        <v>795</v>
      </c>
      <c r="G151" s="4">
        <v>12373</v>
      </c>
      <c r="H151" s="4">
        <v>4869</v>
      </c>
      <c r="I151" s="4">
        <v>1848</v>
      </c>
      <c r="J151" s="4">
        <v>19885</v>
      </c>
      <c r="K151" s="4">
        <v>6717</v>
      </c>
      <c r="L151" s="4">
        <v>63</v>
      </c>
      <c r="M151" s="4">
        <v>2366</v>
      </c>
      <c r="N151" s="4">
        <v>-681</v>
      </c>
      <c r="O151" s="4">
        <v>1748</v>
      </c>
      <c r="P151" s="4">
        <v>13</v>
      </c>
      <c r="Q151" s="4">
        <v>377</v>
      </c>
      <c r="R151" s="4">
        <v>-124</v>
      </c>
      <c r="S151" s="4">
        <v>146</v>
      </c>
      <c r="T151" s="4">
        <v>412</v>
      </c>
      <c r="U151" s="4">
        <v>22</v>
      </c>
    </row>
    <row r="152" spans="1:21" ht="12.5" x14ac:dyDescent="0.25">
      <c r="A152" s="20">
        <v>44041</v>
      </c>
      <c r="B152" s="4">
        <v>4975</v>
      </c>
      <c r="C152" s="4">
        <v>62138</v>
      </c>
      <c r="D152" s="4">
        <v>37319</v>
      </c>
      <c r="E152" s="4">
        <v>104432</v>
      </c>
      <c r="F152" s="4">
        <v>820</v>
      </c>
      <c r="G152" s="4">
        <v>12613</v>
      </c>
      <c r="H152" s="4">
        <v>5093</v>
      </c>
      <c r="I152" s="4">
        <v>1944</v>
      </c>
      <c r="J152" s="4">
        <v>20470</v>
      </c>
      <c r="K152" s="4">
        <v>7037</v>
      </c>
      <c r="L152" s="4">
        <v>74</v>
      </c>
      <c r="M152" s="4">
        <v>1599</v>
      </c>
      <c r="N152" s="4">
        <v>708</v>
      </c>
      <c r="O152" s="4">
        <v>2381</v>
      </c>
      <c r="P152" s="4">
        <v>25</v>
      </c>
      <c r="Q152" s="4">
        <v>240</v>
      </c>
      <c r="R152" s="4">
        <v>224</v>
      </c>
      <c r="S152" s="4">
        <v>96</v>
      </c>
      <c r="T152" s="4">
        <v>585</v>
      </c>
      <c r="U152" s="4">
        <v>320</v>
      </c>
    </row>
    <row r="153" spans="1:21" ht="12.5" x14ac:dyDescent="0.25">
      <c r="A153" s="20">
        <v>44042</v>
      </c>
      <c r="B153" s="4">
        <v>5058</v>
      </c>
      <c r="C153" s="4">
        <v>64292</v>
      </c>
      <c r="D153" s="4">
        <v>36986</v>
      </c>
      <c r="E153" s="4">
        <v>106336</v>
      </c>
      <c r="F153" s="4">
        <v>821</v>
      </c>
      <c r="G153" s="4">
        <v>12801</v>
      </c>
      <c r="H153" s="4">
        <v>5098</v>
      </c>
      <c r="I153" s="4">
        <v>2049</v>
      </c>
      <c r="J153" s="4">
        <v>20769</v>
      </c>
      <c r="K153" s="4">
        <v>7147</v>
      </c>
      <c r="L153" s="4">
        <v>83</v>
      </c>
      <c r="M153" s="4">
        <v>2154</v>
      </c>
      <c r="N153" s="4">
        <v>-333</v>
      </c>
      <c r="O153" s="4">
        <v>1904</v>
      </c>
      <c r="P153" s="4">
        <v>1</v>
      </c>
      <c r="Q153" s="4">
        <v>188</v>
      </c>
      <c r="R153" s="4">
        <v>5</v>
      </c>
      <c r="S153" s="4">
        <v>105</v>
      </c>
      <c r="T153" s="4">
        <v>299</v>
      </c>
      <c r="U153" s="4">
        <v>110</v>
      </c>
    </row>
    <row r="154" spans="1:21" ht="12.5" x14ac:dyDescent="0.25">
      <c r="A154" s="20">
        <v>44043</v>
      </c>
      <c r="B154" s="4">
        <v>5131</v>
      </c>
      <c r="C154" s="4">
        <v>65907</v>
      </c>
      <c r="D154" s="4">
        <v>37338</v>
      </c>
      <c r="E154" s="4">
        <v>108376</v>
      </c>
      <c r="F154" s="4">
        <v>836</v>
      </c>
      <c r="G154" s="4">
        <v>13208</v>
      </c>
      <c r="H154" s="4">
        <v>4974</v>
      </c>
      <c r="I154" s="4">
        <v>2183</v>
      </c>
      <c r="J154" s="4">
        <v>21201</v>
      </c>
      <c r="K154" s="4">
        <v>7157</v>
      </c>
      <c r="L154" s="4">
        <v>73</v>
      </c>
      <c r="M154" s="4">
        <v>1615</v>
      </c>
      <c r="N154" s="4">
        <v>352</v>
      </c>
      <c r="O154" s="4">
        <v>2040</v>
      </c>
      <c r="P154" s="4">
        <v>15</v>
      </c>
      <c r="Q154" s="4">
        <v>407</v>
      </c>
      <c r="R154" s="4">
        <v>-124</v>
      </c>
      <c r="S154" s="4">
        <v>134</v>
      </c>
      <c r="T154" s="4">
        <v>432</v>
      </c>
      <c r="U154" s="4">
        <v>10</v>
      </c>
    </row>
    <row r="155" spans="1:21" ht="12.5" x14ac:dyDescent="0.25">
      <c r="A155" s="20">
        <v>44044</v>
      </c>
      <c r="B155" s="4">
        <v>5193</v>
      </c>
      <c r="C155" s="4">
        <v>67919</v>
      </c>
      <c r="D155" s="4">
        <v>36824</v>
      </c>
      <c r="E155" s="4">
        <v>109936</v>
      </c>
      <c r="F155" s="4">
        <v>852</v>
      </c>
      <c r="G155" s="4">
        <v>13887</v>
      </c>
      <c r="H155" s="4">
        <v>4683</v>
      </c>
      <c r="I155" s="4">
        <v>2153</v>
      </c>
      <c r="J155" s="4">
        <v>21575</v>
      </c>
      <c r="K155" s="4">
        <v>6836</v>
      </c>
      <c r="L155" s="4">
        <v>62</v>
      </c>
      <c r="M155" s="4">
        <v>2012</v>
      </c>
      <c r="N155" s="4">
        <v>-514</v>
      </c>
      <c r="O155" s="4">
        <v>1560</v>
      </c>
      <c r="P155" s="4">
        <v>16</v>
      </c>
      <c r="Q155" s="4">
        <v>679</v>
      </c>
      <c r="R155" s="4">
        <v>-291</v>
      </c>
      <c r="S155" s="4">
        <v>-30</v>
      </c>
      <c r="T155" s="4">
        <v>374</v>
      </c>
      <c r="U155" s="4">
        <v>-321</v>
      </c>
    </row>
    <row r="156" spans="1:21" ht="12.5" x14ac:dyDescent="0.25">
      <c r="A156" s="20">
        <v>44045</v>
      </c>
      <c r="B156" s="4">
        <v>5236</v>
      </c>
      <c r="C156" s="4">
        <v>68975</v>
      </c>
      <c r="D156" s="4">
        <v>37244</v>
      </c>
      <c r="E156" s="4">
        <v>111455</v>
      </c>
      <c r="F156" s="4">
        <v>852</v>
      </c>
      <c r="G156" s="4">
        <v>14027</v>
      </c>
      <c r="H156" s="4">
        <v>4916</v>
      </c>
      <c r="I156" s="4">
        <v>2159</v>
      </c>
      <c r="J156" s="4">
        <v>21954</v>
      </c>
      <c r="K156" s="4">
        <v>7075</v>
      </c>
      <c r="L156" s="4">
        <v>43</v>
      </c>
      <c r="M156" s="4">
        <v>1056</v>
      </c>
      <c r="N156" s="4">
        <v>420</v>
      </c>
      <c r="O156" s="4">
        <v>1519</v>
      </c>
      <c r="P156" s="4">
        <v>0</v>
      </c>
      <c r="Q156" s="4">
        <v>140</v>
      </c>
      <c r="R156" s="4">
        <v>233</v>
      </c>
      <c r="S156" s="4">
        <v>6</v>
      </c>
      <c r="T156" s="4">
        <v>379</v>
      </c>
      <c r="U156" s="4">
        <v>239</v>
      </c>
    </row>
    <row r="157" spans="1:21" ht="12.5" x14ac:dyDescent="0.25">
      <c r="A157" s="20">
        <v>44046</v>
      </c>
      <c r="B157" s="4">
        <v>5302</v>
      </c>
      <c r="C157" s="4">
        <v>70237</v>
      </c>
      <c r="D157" s="4">
        <v>37595</v>
      </c>
      <c r="E157" s="4">
        <v>113134</v>
      </c>
      <c r="F157" s="4">
        <v>867</v>
      </c>
      <c r="G157" s="4">
        <v>14165</v>
      </c>
      <c r="H157" s="4">
        <v>5084</v>
      </c>
      <c r="I157" s="4">
        <v>2327</v>
      </c>
      <c r="J157" s="4">
        <v>22443</v>
      </c>
      <c r="K157" s="4">
        <v>7411</v>
      </c>
      <c r="L157" s="4">
        <v>66</v>
      </c>
      <c r="M157" s="4">
        <v>1262</v>
      </c>
      <c r="N157" s="4">
        <v>351</v>
      </c>
      <c r="O157" s="4">
        <v>1679</v>
      </c>
      <c r="P157" s="4">
        <v>15</v>
      </c>
      <c r="Q157" s="4">
        <v>138</v>
      </c>
      <c r="R157" s="4">
        <v>168</v>
      </c>
      <c r="S157" s="4">
        <v>168</v>
      </c>
      <c r="T157" s="4">
        <v>489</v>
      </c>
      <c r="U157" s="4">
        <v>336</v>
      </c>
    </row>
    <row r="158" spans="1:21" ht="12.5" x14ac:dyDescent="0.25">
      <c r="A158" s="20">
        <v>44047</v>
      </c>
      <c r="B158" s="4">
        <v>5388</v>
      </c>
      <c r="C158" s="4">
        <v>72050</v>
      </c>
      <c r="D158" s="4">
        <v>37618</v>
      </c>
      <c r="E158" s="4">
        <v>115056</v>
      </c>
      <c r="F158" s="4">
        <v>880</v>
      </c>
      <c r="G158" s="4">
        <v>14381</v>
      </c>
      <c r="H158" s="4">
        <v>5216</v>
      </c>
      <c r="I158" s="4">
        <v>2432</v>
      </c>
      <c r="J158" s="4">
        <v>22909</v>
      </c>
      <c r="K158" s="4">
        <v>7648</v>
      </c>
      <c r="L158" s="4">
        <v>86</v>
      </c>
      <c r="M158" s="4">
        <v>1813</v>
      </c>
      <c r="N158" s="4">
        <v>23</v>
      </c>
      <c r="O158" s="4">
        <v>1922</v>
      </c>
      <c r="P158" s="4">
        <v>13</v>
      </c>
      <c r="Q158" s="4">
        <v>216</v>
      </c>
      <c r="R158" s="4">
        <v>132</v>
      </c>
      <c r="S158" s="4">
        <v>105</v>
      </c>
      <c r="T158" s="4">
        <v>466</v>
      </c>
      <c r="U158" s="4">
        <v>237</v>
      </c>
    </row>
    <row r="159" spans="1:21" ht="12.5" x14ac:dyDescent="0.25">
      <c r="A159" s="20">
        <v>44048</v>
      </c>
      <c r="B159" s="4">
        <v>5452</v>
      </c>
      <c r="C159" s="4">
        <v>73889</v>
      </c>
      <c r="D159" s="4">
        <v>37530</v>
      </c>
      <c r="E159" s="4">
        <v>116871</v>
      </c>
      <c r="F159" s="4">
        <v>895</v>
      </c>
      <c r="G159" s="4">
        <v>14760</v>
      </c>
      <c r="H159" s="4">
        <v>5128</v>
      </c>
      <c r="I159" s="4">
        <v>2483</v>
      </c>
      <c r="J159" s="4">
        <v>23266</v>
      </c>
      <c r="K159" s="4">
        <v>7611</v>
      </c>
      <c r="L159" s="4">
        <v>64</v>
      </c>
      <c r="M159" s="4">
        <v>1839</v>
      </c>
      <c r="N159" s="4">
        <v>-88</v>
      </c>
      <c r="O159" s="4">
        <v>1815</v>
      </c>
      <c r="P159" s="4">
        <v>15</v>
      </c>
      <c r="Q159" s="4">
        <v>379</v>
      </c>
      <c r="R159" s="4">
        <v>-88</v>
      </c>
      <c r="S159" s="4">
        <v>51</v>
      </c>
      <c r="T159" s="4">
        <v>357</v>
      </c>
      <c r="U159" s="4">
        <v>-37</v>
      </c>
    </row>
    <row r="160" spans="1:21" ht="12.5" x14ac:dyDescent="0.25">
      <c r="A160" s="20">
        <v>44049</v>
      </c>
      <c r="B160" s="4">
        <v>5521</v>
      </c>
      <c r="C160" s="4">
        <v>75645</v>
      </c>
      <c r="D160" s="4">
        <v>37587</v>
      </c>
      <c r="E160" s="4">
        <v>118753</v>
      </c>
      <c r="F160" s="4">
        <v>908</v>
      </c>
      <c r="G160" s="4">
        <v>15006</v>
      </c>
      <c r="H160" s="4">
        <v>5397</v>
      </c>
      <c r="I160" s="4">
        <v>2552</v>
      </c>
      <c r="J160" s="4">
        <v>23863</v>
      </c>
      <c r="K160" s="4">
        <v>7949</v>
      </c>
      <c r="L160" s="4">
        <v>69</v>
      </c>
      <c r="M160" s="4">
        <v>1756</v>
      </c>
      <c r="N160" s="4">
        <v>57</v>
      </c>
      <c r="O160" s="4">
        <v>1882</v>
      </c>
      <c r="P160" s="4">
        <v>13</v>
      </c>
      <c r="Q160" s="4">
        <v>246</v>
      </c>
      <c r="R160" s="4">
        <v>269</v>
      </c>
      <c r="S160" s="4">
        <v>69</v>
      </c>
      <c r="T160" s="4">
        <v>597</v>
      </c>
      <c r="U160" s="4">
        <v>338</v>
      </c>
    </row>
    <row r="161" spans="1:21" ht="12.5" x14ac:dyDescent="0.25">
      <c r="A161" s="20">
        <v>44050</v>
      </c>
      <c r="B161" s="4">
        <v>5593</v>
      </c>
      <c r="C161" s="4">
        <v>77557</v>
      </c>
      <c r="D161" s="4">
        <v>38076</v>
      </c>
      <c r="E161" s="4">
        <v>121226</v>
      </c>
      <c r="F161" s="4">
        <v>922</v>
      </c>
      <c r="G161" s="4">
        <v>15201</v>
      </c>
      <c r="H161" s="4">
        <v>5803</v>
      </c>
      <c r="I161" s="4">
        <v>2595</v>
      </c>
      <c r="J161" s="4">
        <v>24521</v>
      </c>
      <c r="K161" s="4">
        <v>8398</v>
      </c>
      <c r="L161" s="4">
        <v>72</v>
      </c>
      <c r="M161" s="4">
        <v>1912</v>
      </c>
      <c r="N161" s="4">
        <v>489</v>
      </c>
      <c r="O161" s="4">
        <v>2473</v>
      </c>
      <c r="P161" s="4">
        <v>14</v>
      </c>
      <c r="Q161" s="4">
        <v>195</v>
      </c>
      <c r="R161" s="4">
        <v>406</v>
      </c>
      <c r="S161" s="4">
        <v>43</v>
      </c>
      <c r="T161" s="4">
        <v>658</v>
      </c>
      <c r="U161" s="4">
        <v>449</v>
      </c>
    </row>
    <row r="162" spans="1:21" ht="12.5" x14ac:dyDescent="0.25">
      <c r="A162" s="20">
        <v>44051</v>
      </c>
      <c r="B162" s="4">
        <v>5658</v>
      </c>
      <c r="C162" s="4">
        <v>79306</v>
      </c>
      <c r="D162" s="4">
        <v>38539</v>
      </c>
      <c r="E162" s="4">
        <v>123503</v>
      </c>
      <c r="F162" s="4">
        <v>934</v>
      </c>
      <c r="G162" s="4">
        <v>15710</v>
      </c>
      <c r="H162" s="4">
        <v>6110</v>
      </c>
      <c r="I162" s="4">
        <v>2488</v>
      </c>
      <c r="J162" s="4">
        <v>25242</v>
      </c>
      <c r="K162" s="4">
        <v>8598</v>
      </c>
      <c r="L162" s="4">
        <v>65</v>
      </c>
      <c r="M162" s="4">
        <v>1749</v>
      </c>
      <c r="N162" s="4">
        <v>463</v>
      </c>
      <c r="O162" s="4">
        <v>2277</v>
      </c>
      <c r="P162" s="4">
        <v>12</v>
      </c>
      <c r="Q162" s="4">
        <v>509</v>
      </c>
      <c r="R162" s="4">
        <v>307</v>
      </c>
      <c r="S162" s="4">
        <v>-107</v>
      </c>
      <c r="T162" s="4">
        <v>721</v>
      </c>
      <c r="U162" s="4">
        <v>200</v>
      </c>
    </row>
    <row r="163" spans="1:21" ht="12.5" x14ac:dyDescent="0.25">
      <c r="A163" s="20">
        <v>44052</v>
      </c>
      <c r="B163" s="4">
        <v>5723</v>
      </c>
      <c r="C163" s="4">
        <v>80952</v>
      </c>
      <c r="D163" s="4">
        <v>38721</v>
      </c>
      <c r="E163" s="4">
        <v>125396</v>
      </c>
      <c r="F163" s="4">
        <v>939</v>
      </c>
      <c r="G163" s="4">
        <v>16268</v>
      </c>
      <c r="H163" s="4">
        <v>6091</v>
      </c>
      <c r="I163" s="4">
        <v>2416</v>
      </c>
      <c r="J163" s="4">
        <v>25714</v>
      </c>
      <c r="K163" s="4">
        <v>8507</v>
      </c>
      <c r="L163" s="4">
        <v>65</v>
      </c>
      <c r="M163" s="4">
        <v>1646</v>
      </c>
      <c r="N163" s="4">
        <v>182</v>
      </c>
      <c r="O163" s="4">
        <v>1893</v>
      </c>
      <c r="P163" s="4">
        <v>5</v>
      </c>
      <c r="Q163" s="4">
        <v>558</v>
      </c>
      <c r="R163" s="4">
        <v>-19</v>
      </c>
      <c r="S163" s="4">
        <v>-72</v>
      </c>
      <c r="T163" s="4">
        <v>472</v>
      </c>
      <c r="U163" s="4">
        <v>-91</v>
      </c>
    </row>
    <row r="164" spans="1:21" ht="12.5" x14ac:dyDescent="0.25">
      <c r="A164" s="20">
        <v>44053</v>
      </c>
      <c r="B164" s="4">
        <v>5765</v>
      </c>
      <c r="C164" s="4">
        <v>82236</v>
      </c>
      <c r="D164" s="4">
        <v>39082</v>
      </c>
      <c r="E164" s="4">
        <v>127083</v>
      </c>
      <c r="F164" s="4">
        <v>940</v>
      </c>
      <c r="G164" s="4">
        <v>16446</v>
      </c>
      <c r="H164" s="4">
        <v>6252</v>
      </c>
      <c r="I164" s="4">
        <v>2555</v>
      </c>
      <c r="J164" s="4">
        <v>26193</v>
      </c>
      <c r="K164" s="4">
        <v>8807</v>
      </c>
      <c r="L164" s="4">
        <v>42</v>
      </c>
      <c r="M164" s="4">
        <v>1284</v>
      </c>
      <c r="N164" s="4">
        <v>361</v>
      </c>
      <c r="O164" s="4">
        <v>1687</v>
      </c>
      <c r="P164" s="4">
        <v>1</v>
      </c>
      <c r="Q164" s="4">
        <v>178</v>
      </c>
      <c r="R164" s="4">
        <v>161</v>
      </c>
      <c r="S164" s="4">
        <v>139</v>
      </c>
      <c r="T164" s="4">
        <v>479</v>
      </c>
      <c r="U164" s="4">
        <v>300</v>
      </c>
    </row>
    <row r="165" spans="1:21" ht="12.5" x14ac:dyDescent="0.25">
      <c r="A165" s="20">
        <v>44054</v>
      </c>
      <c r="B165" s="4">
        <v>5824</v>
      </c>
      <c r="C165" s="4">
        <v>83710</v>
      </c>
      <c r="D165" s="4">
        <v>39242</v>
      </c>
      <c r="E165" s="4">
        <v>128776</v>
      </c>
      <c r="F165" s="4">
        <v>953</v>
      </c>
      <c r="G165" s="4">
        <v>16927</v>
      </c>
      <c r="H165" s="4">
        <v>6236</v>
      </c>
      <c r="I165" s="4">
        <v>2548</v>
      </c>
      <c r="J165" s="4">
        <v>26664</v>
      </c>
      <c r="K165" s="4">
        <v>8784</v>
      </c>
      <c r="L165" s="4">
        <v>59</v>
      </c>
      <c r="M165" s="4">
        <v>1474</v>
      </c>
      <c r="N165" s="4">
        <v>160</v>
      </c>
      <c r="O165" s="4">
        <v>1693</v>
      </c>
      <c r="P165" s="4">
        <v>13</v>
      </c>
      <c r="Q165" s="4">
        <v>481</v>
      </c>
      <c r="R165" s="4">
        <v>-16</v>
      </c>
      <c r="S165" s="4">
        <v>-7</v>
      </c>
      <c r="T165" s="4">
        <v>471</v>
      </c>
      <c r="U165" s="4">
        <v>-23</v>
      </c>
    </row>
    <row r="166" spans="1:21" ht="12.5" x14ac:dyDescent="0.25">
      <c r="A166" s="20">
        <v>44055</v>
      </c>
      <c r="B166" s="4">
        <v>5903</v>
      </c>
      <c r="C166" s="4">
        <v>85798</v>
      </c>
      <c r="D166" s="4">
        <v>39017</v>
      </c>
      <c r="E166" s="4">
        <v>130718</v>
      </c>
      <c r="F166" s="4">
        <v>968</v>
      </c>
      <c r="G166" s="4">
        <v>17349</v>
      </c>
      <c r="H166" s="4">
        <v>6208</v>
      </c>
      <c r="I166" s="4">
        <v>2717</v>
      </c>
      <c r="J166" s="4">
        <v>27242</v>
      </c>
      <c r="K166" s="4">
        <v>8925</v>
      </c>
      <c r="L166" s="4">
        <v>79</v>
      </c>
      <c r="M166" s="4">
        <v>2088</v>
      </c>
      <c r="N166" s="4">
        <v>-225</v>
      </c>
      <c r="O166" s="4">
        <v>1942</v>
      </c>
      <c r="P166" s="4">
        <v>15</v>
      </c>
      <c r="Q166" s="4">
        <v>422</v>
      </c>
      <c r="R166" s="4">
        <v>-28</v>
      </c>
      <c r="S166" s="4">
        <v>169</v>
      </c>
      <c r="T166" s="4">
        <v>578</v>
      </c>
      <c r="U166" s="4">
        <v>141</v>
      </c>
    </row>
    <row r="167" spans="1:21" ht="12.5" x14ac:dyDescent="0.25">
      <c r="A167" s="20">
        <v>44056</v>
      </c>
      <c r="B167" s="4">
        <v>5968</v>
      </c>
      <c r="C167" s="4">
        <v>87558</v>
      </c>
      <c r="D167" s="4">
        <v>39290</v>
      </c>
      <c r="E167" s="4">
        <v>132816</v>
      </c>
      <c r="F167" s="4">
        <v>981</v>
      </c>
      <c r="G167" s="4">
        <v>17838</v>
      </c>
      <c r="H167" s="4">
        <v>6330</v>
      </c>
      <c r="I167" s="4">
        <v>2714</v>
      </c>
      <c r="J167" s="4">
        <v>27863</v>
      </c>
      <c r="K167" s="4">
        <v>9044</v>
      </c>
      <c r="L167" s="4">
        <v>65</v>
      </c>
      <c r="M167" s="4">
        <v>1760</v>
      </c>
      <c r="N167" s="4">
        <v>273</v>
      </c>
      <c r="O167" s="4">
        <v>2098</v>
      </c>
      <c r="P167" s="4">
        <v>13</v>
      </c>
      <c r="Q167" s="4">
        <v>489</v>
      </c>
      <c r="R167" s="4">
        <v>122</v>
      </c>
      <c r="S167" s="4">
        <v>-3</v>
      </c>
      <c r="T167" s="4">
        <v>621</v>
      </c>
      <c r="U167" s="4">
        <v>119</v>
      </c>
    </row>
    <row r="168" spans="1:21" ht="12.5" x14ac:dyDescent="0.25">
      <c r="A168" s="20">
        <v>44057</v>
      </c>
      <c r="B168" s="4">
        <v>6021</v>
      </c>
      <c r="C168" s="4">
        <v>89618</v>
      </c>
      <c r="D168" s="4">
        <v>39484</v>
      </c>
      <c r="E168" s="4">
        <v>135123</v>
      </c>
      <c r="F168" s="4">
        <v>985</v>
      </c>
      <c r="G168" s="4">
        <v>18528</v>
      </c>
      <c r="H168" s="4">
        <v>6331</v>
      </c>
      <c r="I168" s="4">
        <v>2594</v>
      </c>
      <c r="J168" s="4">
        <v>28438</v>
      </c>
      <c r="K168" s="4">
        <v>8925</v>
      </c>
      <c r="L168" s="4">
        <v>53</v>
      </c>
      <c r="M168" s="4">
        <v>2060</v>
      </c>
      <c r="N168" s="4">
        <v>194</v>
      </c>
      <c r="O168" s="4">
        <v>2307</v>
      </c>
      <c r="P168" s="4">
        <v>4</v>
      </c>
      <c r="Q168" s="4">
        <v>690</v>
      </c>
      <c r="R168" s="4">
        <v>1</v>
      </c>
      <c r="S168" s="4">
        <v>-120</v>
      </c>
      <c r="T168" s="4">
        <v>575</v>
      </c>
      <c r="U168" s="4">
        <v>-119</v>
      </c>
    </row>
    <row r="169" spans="1:21" ht="12.5" x14ac:dyDescent="0.25">
      <c r="A169" s="20">
        <v>44058</v>
      </c>
      <c r="B169" s="4">
        <v>6071</v>
      </c>
      <c r="C169" s="4">
        <v>91321</v>
      </c>
      <c r="D169" s="4">
        <v>40076</v>
      </c>
      <c r="E169" s="4">
        <v>137468</v>
      </c>
      <c r="F169" s="4">
        <v>991</v>
      </c>
      <c r="G169" s="4">
        <v>18974</v>
      </c>
      <c r="H169" s="4">
        <v>6457</v>
      </c>
      <c r="I169" s="4">
        <v>2614</v>
      </c>
      <c r="J169" s="4">
        <v>29036</v>
      </c>
      <c r="K169" s="4">
        <v>9071</v>
      </c>
      <c r="L169" s="4">
        <v>50</v>
      </c>
      <c r="M169" s="4">
        <v>1703</v>
      </c>
      <c r="N169" s="4">
        <v>592</v>
      </c>
      <c r="O169" s="4">
        <v>2345</v>
      </c>
      <c r="P169" s="4">
        <v>6</v>
      </c>
      <c r="Q169" s="4">
        <v>446</v>
      </c>
      <c r="R169" s="4">
        <v>126</v>
      </c>
      <c r="S169" s="4">
        <v>20</v>
      </c>
      <c r="T169" s="4">
        <v>598</v>
      </c>
      <c r="U169" s="4">
        <v>146</v>
      </c>
    </row>
    <row r="170" spans="1:21" ht="12.5" x14ac:dyDescent="0.25">
      <c r="A170" s="20">
        <v>44059</v>
      </c>
      <c r="B170" s="4">
        <v>6150</v>
      </c>
      <c r="C170" s="4">
        <v>93103</v>
      </c>
      <c r="D170" s="4">
        <v>40296</v>
      </c>
      <c r="E170" s="4">
        <v>139549</v>
      </c>
      <c r="F170" s="4">
        <v>995</v>
      </c>
      <c r="G170" s="4">
        <v>19708</v>
      </c>
      <c r="H170" s="4">
        <v>6284</v>
      </c>
      <c r="I170" s="4">
        <v>2567</v>
      </c>
      <c r="J170" s="4">
        <v>29554</v>
      </c>
      <c r="K170" s="4">
        <v>8851</v>
      </c>
      <c r="L170" s="4">
        <v>79</v>
      </c>
      <c r="M170" s="4">
        <v>1782</v>
      </c>
      <c r="N170" s="4">
        <v>220</v>
      </c>
      <c r="O170" s="4">
        <v>2081</v>
      </c>
      <c r="P170" s="4">
        <v>4</v>
      </c>
      <c r="Q170" s="4">
        <v>734</v>
      </c>
      <c r="R170" s="4">
        <v>-173</v>
      </c>
      <c r="S170" s="4">
        <v>-47</v>
      </c>
      <c r="T170" s="4">
        <v>518</v>
      </c>
      <c r="U170" s="4">
        <v>-220</v>
      </c>
    </row>
    <row r="171" spans="1:21" ht="12.5" x14ac:dyDescent="0.25">
      <c r="A171" s="20">
        <v>44060</v>
      </c>
      <c r="B171" s="4">
        <v>6207</v>
      </c>
      <c r="C171" s="4">
        <v>94458</v>
      </c>
      <c r="D171" s="4">
        <v>40705</v>
      </c>
      <c r="E171" s="4">
        <v>141370</v>
      </c>
      <c r="F171" s="4">
        <v>1011</v>
      </c>
      <c r="G171" s="4">
        <v>19916</v>
      </c>
      <c r="H171" s="4">
        <v>6514</v>
      </c>
      <c r="I171" s="4">
        <v>2651</v>
      </c>
      <c r="J171" s="4">
        <v>30092</v>
      </c>
      <c r="K171" s="4">
        <v>9165</v>
      </c>
      <c r="L171" s="4">
        <v>57</v>
      </c>
      <c r="M171" s="4">
        <v>1355</v>
      </c>
      <c r="N171" s="4">
        <v>409</v>
      </c>
      <c r="O171" s="4">
        <v>1821</v>
      </c>
      <c r="P171" s="4">
        <v>16</v>
      </c>
      <c r="Q171" s="4">
        <v>208</v>
      </c>
      <c r="R171" s="4">
        <v>230</v>
      </c>
      <c r="S171" s="4">
        <v>84</v>
      </c>
      <c r="T171" s="4">
        <v>538</v>
      </c>
      <c r="U171" s="4">
        <v>314</v>
      </c>
    </row>
    <row r="172" spans="1:21" ht="12.5" x14ac:dyDescent="0.25">
      <c r="A172" s="20">
        <v>44061</v>
      </c>
      <c r="B172" s="4">
        <v>6277</v>
      </c>
      <c r="C172" s="4">
        <v>96306</v>
      </c>
      <c r="D172" s="4">
        <v>40460</v>
      </c>
      <c r="E172" s="4">
        <v>143043</v>
      </c>
      <c r="F172" s="4">
        <v>1028</v>
      </c>
      <c r="G172" s="4">
        <v>20505</v>
      </c>
      <c r="H172" s="4">
        <v>6602</v>
      </c>
      <c r="I172" s="4">
        <v>2462</v>
      </c>
      <c r="J172" s="4">
        <v>30597</v>
      </c>
      <c r="K172" s="4">
        <v>9064</v>
      </c>
      <c r="L172" s="4">
        <v>70</v>
      </c>
      <c r="M172" s="4">
        <v>1848</v>
      </c>
      <c r="N172" s="4">
        <v>-245</v>
      </c>
      <c r="O172" s="4">
        <v>1673</v>
      </c>
      <c r="P172" s="4">
        <v>17</v>
      </c>
      <c r="Q172" s="4">
        <v>589</v>
      </c>
      <c r="R172" s="4">
        <v>88</v>
      </c>
      <c r="S172" s="4">
        <v>-189</v>
      </c>
      <c r="T172" s="4">
        <v>505</v>
      </c>
      <c r="U172" s="4">
        <v>-101</v>
      </c>
    </row>
    <row r="173" spans="1:21" ht="12.5" x14ac:dyDescent="0.25">
      <c r="A173" s="20">
        <v>44062</v>
      </c>
      <c r="B173" s="4">
        <v>6346</v>
      </c>
      <c r="C173" s="4">
        <v>98657</v>
      </c>
      <c r="D173" s="4">
        <v>39942</v>
      </c>
      <c r="E173" s="4">
        <v>144945</v>
      </c>
      <c r="F173" s="4">
        <v>1046</v>
      </c>
      <c r="G173" s="4">
        <v>21069</v>
      </c>
      <c r="H173" s="4">
        <v>6488</v>
      </c>
      <c r="I173" s="4">
        <v>2559</v>
      </c>
      <c r="J173" s="4">
        <v>31162</v>
      </c>
      <c r="K173" s="4">
        <v>9047</v>
      </c>
      <c r="L173" s="4">
        <v>69</v>
      </c>
      <c r="M173" s="4">
        <v>2351</v>
      </c>
      <c r="N173" s="4">
        <v>-518</v>
      </c>
      <c r="O173" s="4">
        <v>1902</v>
      </c>
      <c r="P173" s="4">
        <v>18</v>
      </c>
      <c r="Q173" s="4">
        <v>564</v>
      </c>
      <c r="R173" s="4">
        <v>-114</v>
      </c>
      <c r="S173" s="4">
        <v>97</v>
      </c>
      <c r="T173" s="4">
        <v>565</v>
      </c>
      <c r="U173" s="4">
        <v>-17</v>
      </c>
    </row>
    <row r="174" spans="1:21" ht="12.5" x14ac:dyDescent="0.25">
      <c r="A174" s="20">
        <v>44063</v>
      </c>
      <c r="B174" s="4">
        <v>6418</v>
      </c>
      <c r="C174" s="4">
        <v>100674</v>
      </c>
      <c r="D174" s="4">
        <v>40119</v>
      </c>
      <c r="E174" s="4">
        <v>147211</v>
      </c>
      <c r="F174" s="4">
        <v>1061</v>
      </c>
      <c r="G174" s="4">
        <v>21795</v>
      </c>
      <c r="H174" s="4">
        <v>6357</v>
      </c>
      <c r="I174" s="4">
        <v>2544</v>
      </c>
      <c r="J174" s="4">
        <v>31757</v>
      </c>
      <c r="K174" s="4">
        <v>8901</v>
      </c>
      <c r="L174" s="4">
        <v>72</v>
      </c>
      <c r="M174" s="4">
        <v>2017</v>
      </c>
      <c r="N174" s="4">
        <v>177</v>
      </c>
      <c r="O174" s="4">
        <v>2266</v>
      </c>
      <c r="P174" s="4">
        <v>15</v>
      </c>
      <c r="Q174" s="4">
        <v>726</v>
      </c>
      <c r="R174" s="4">
        <v>-131</v>
      </c>
      <c r="S174" s="4">
        <v>-15</v>
      </c>
      <c r="T174" s="4">
        <v>595</v>
      </c>
      <c r="U174" s="4">
        <v>-146</v>
      </c>
    </row>
    <row r="175" spans="1:21" ht="12.5" x14ac:dyDescent="0.25">
      <c r="A175" s="20">
        <v>44064</v>
      </c>
      <c r="B175" s="4">
        <v>6500</v>
      </c>
      <c r="C175" s="4">
        <v>102991</v>
      </c>
      <c r="D175" s="4">
        <v>39917</v>
      </c>
      <c r="E175" s="4">
        <v>149408</v>
      </c>
      <c r="F175" s="4">
        <v>1076</v>
      </c>
      <c r="G175" s="4">
        <v>22228</v>
      </c>
      <c r="H175" s="4">
        <v>6518</v>
      </c>
      <c r="I175" s="4">
        <v>2576</v>
      </c>
      <c r="J175" s="4">
        <v>32398</v>
      </c>
      <c r="K175" s="4">
        <v>9094</v>
      </c>
      <c r="L175" s="4">
        <v>82</v>
      </c>
      <c r="M175" s="4">
        <v>2317</v>
      </c>
      <c r="N175" s="4">
        <v>-202</v>
      </c>
      <c r="O175" s="4">
        <v>2197</v>
      </c>
      <c r="P175" s="4">
        <v>15</v>
      </c>
      <c r="Q175" s="4">
        <v>433</v>
      </c>
      <c r="R175" s="4">
        <v>161</v>
      </c>
      <c r="S175" s="4">
        <v>32</v>
      </c>
      <c r="T175" s="4">
        <v>641</v>
      </c>
      <c r="U175" s="4">
        <v>193</v>
      </c>
    </row>
    <row r="176" spans="1:21" ht="12.5" x14ac:dyDescent="0.25">
      <c r="A176" s="20">
        <v>44065</v>
      </c>
      <c r="B176" s="4">
        <v>6594</v>
      </c>
      <c r="C176" s="4">
        <v>105198</v>
      </c>
      <c r="D176" s="4">
        <v>39706</v>
      </c>
      <c r="E176" s="4">
        <v>151498</v>
      </c>
      <c r="F176" s="4">
        <v>1091</v>
      </c>
      <c r="G176" s="4">
        <v>22877</v>
      </c>
      <c r="H176" s="4">
        <v>6269</v>
      </c>
      <c r="I176" s="4">
        <v>2762</v>
      </c>
      <c r="J176" s="4">
        <v>32999</v>
      </c>
      <c r="K176" s="4">
        <v>9031</v>
      </c>
      <c r="L176" s="4">
        <v>94</v>
      </c>
      <c r="M176" s="4">
        <v>2207</v>
      </c>
      <c r="N176" s="4">
        <v>-211</v>
      </c>
      <c r="O176" s="4">
        <v>2090</v>
      </c>
      <c r="P176" s="4">
        <v>15</v>
      </c>
      <c r="Q176" s="4">
        <v>649</v>
      </c>
      <c r="R176" s="4">
        <v>-249</v>
      </c>
      <c r="S176" s="4">
        <v>186</v>
      </c>
      <c r="T176" s="4">
        <v>601</v>
      </c>
      <c r="U176" s="4">
        <v>-63</v>
      </c>
    </row>
    <row r="177" spans="1:21" ht="12.5" x14ac:dyDescent="0.25">
      <c r="A177" s="20">
        <v>44066</v>
      </c>
      <c r="B177" s="4">
        <v>6680</v>
      </c>
      <c r="C177" s="4">
        <v>107500</v>
      </c>
      <c r="D177" s="4">
        <v>39355</v>
      </c>
      <c r="E177" s="4">
        <v>153535</v>
      </c>
      <c r="F177" s="4">
        <v>1107</v>
      </c>
      <c r="G177" s="4">
        <v>23567</v>
      </c>
      <c r="H177" s="4">
        <v>6040</v>
      </c>
      <c r="I177" s="4">
        <v>2922</v>
      </c>
      <c r="J177" s="4">
        <v>33636</v>
      </c>
      <c r="K177" s="4">
        <v>8962</v>
      </c>
      <c r="L177" s="4">
        <v>86</v>
      </c>
      <c r="M177" s="4">
        <v>2302</v>
      </c>
      <c r="N177" s="4">
        <v>-351</v>
      </c>
      <c r="O177" s="4">
        <v>2037</v>
      </c>
      <c r="P177" s="4">
        <v>16</v>
      </c>
      <c r="Q177" s="4">
        <v>690</v>
      </c>
      <c r="R177" s="4">
        <v>-229</v>
      </c>
      <c r="S177" s="4">
        <v>160</v>
      </c>
      <c r="T177" s="4">
        <v>637</v>
      </c>
      <c r="U177" s="4">
        <v>-69</v>
      </c>
    </row>
    <row r="178" spans="1:21" ht="12.5" x14ac:dyDescent="0.25">
      <c r="A178" s="20">
        <v>44067</v>
      </c>
      <c r="B178" s="4">
        <v>6759</v>
      </c>
      <c r="C178" s="4">
        <v>111060</v>
      </c>
      <c r="D178" s="4">
        <v>37593</v>
      </c>
      <c r="E178" s="4">
        <v>155412</v>
      </c>
      <c r="F178" s="4">
        <v>1112</v>
      </c>
      <c r="G178" s="4">
        <v>25463</v>
      </c>
      <c r="H178" s="4">
        <v>5090</v>
      </c>
      <c r="I178" s="4">
        <v>2630</v>
      </c>
      <c r="J178" s="4">
        <v>34295</v>
      </c>
      <c r="K178" s="4">
        <v>7720</v>
      </c>
      <c r="L178" s="4">
        <v>79</v>
      </c>
      <c r="M178" s="4">
        <v>3560</v>
      </c>
      <c r="N178" s="4">
        <v>-1762</v>
      </c>
      <c r="O178" s="4">
        <v>1877</v>
      </c>
      <c r="P178" s="4">
        <v>5</v>
      </c>
      <c r="Q178" s="4">
        <v>1896</v>
      </c>
      <c r="R178" s="4">
        <v>-950</v>
      </c>
      <c r="S178" s="4">
        <v>-292</v>
      </c>
      <c r="T178" s="4">
        <v>659</v>
      </c>
      <c r="U178" s="4">
        <v>-1242</v>
      </c>
    </row>
    <row r="179" spans="1:21" ht="12.5" x14ac:dyDescent="0.25">
      <c r="A179" s="20">
        <v>44068</v>
      </c>
      <c r="B179" s="4">
        <v>6858</v>
      </c>
      <c r="C179" s="4">
        <v>112867</v>
      </c>
      <c r="D179" s="4">
        <v>38134</v>
      </c>
      <c r="E179" s="4">
        <v>157859</v>
      </c>
      <c r="F179" s="4">
        <v>1129</v>
      </c>
      <c r="G179" s="4">
        <v>25986</v>
      </c>
      <c r="H179" s="4">
        <v>5130</v>
      </c>
      <c r="I179" s="4">
        <v>2686</v>
      </c>
      <c r="J179" s="4">
        <v>34931</v>
      </c>
      <c r="K179" s="4">
        <v>7816</v>
      </c>
      <c r="L179" s="4">
        <v>99</v>
      </c>
      <c r="M179" s="4">
        <v>1807</v>
      </c>
      <c r="N179" s="4">
        <v>541</v>
      </c>
      <c r="O179" s="4">
        <v>2447</v>
      </c>
      <c r="P179" s="4">
        <v>17</v>
      </c>
      <c r="Q179" s="4">
        <v>523</v>
      </c>
      <c r="R179" s="4">
        <v>40</v>
      </c>
      <c r="S179" s="4">
        <v>56</v>
      </c>
      <c r="T179" s="4">
        <v>636</v>
      </c>
      <c r="U179" s="4">
        <v>96</v>
      </c>
    </row>
    <row r="180" spans="1:21" ht="12.5" x14ac:dyDescent="0.25">
      <c r="A180" s="20">
        <v>44069</v>
      </c>
      <c r="B180" s="4">
        <v>6944</v>
      </c>
      <c r="C180" s="4">
        <v>115409</v>
      </c>
      <c r="D180" s="4">
        <v>37812</v>
      </c>
      <c r="E180" s="4">
        <v>160165</v>
      </c>
      <c r="F180" s="4">
        <v>1144</v>
      </c>
      <c r="G180" s="4">
        <v>26750</v>
      </c>
      <c r="H180" s="4">
        <v>4978</v>
      </c>
      <c r="I180" s="4">
        <v>2770</v>
      </c>
      <c r="J180" s="4">
        <v>35642</v>
      </c>
      <c r="K180" s="4">
        <v>7748</v>
      </c>
      <c r="L180" s="4">
        <v>86</v>
      </c>
      <c r="M180" s="4">
        <v>2542</v>
      </c>
      <c r="N180" s="4">
        <v>-322</v>
      </c>
      <c r="O180" s="4">
        <v>2306</v>
      </c>
      <c r="P180" s="4">
        <v>15</v>
      </c>
      <c r="Q180" s="4">
        <v>764</v>
      </c>
      <c r="R180" s="4">
        <v>-152</v>
      </c>
      <c r="S180" s="4">
        <v>84</v>
      </c>
      <c r="T180" s="4">
        <v>711</v>
      </c>
      <c r="U180" s="4">
        <v>-68</v>
      </c>
    </row>
    <row r="181" spans="1:21" ht="12.5" x14ac:dyDescent="0.25">
      <c r="A181" s="20">
        <v>44070</v>
      </c>
      <c r="B181" s="4">
        <v>7064</v>
      </c>
      <c r="C181" s="4">
        <v>118575</v>
      </c>
      <c r="D181" s="4">
        <v>37245</v>
      </c>
      <c r="E181" s="4">
        <v>162884</v>
      </c>
      <c r="F181" s="4">
        <v>1147</v>
      </c>
      <c r="G181" s="4">
        <v>28288</v>
      </c>
      <c r="H181" s="4">
        <v>4499</v>
      </c>
      <c r="I181" s="4">
        <v>2528</v>
      </c>
      <c r="J181" s="4">
        <v>36462</v>
      </c>
      <c r="K181" s="4">
        <v>7027</v>
      </c>
      <c r="L181" s="4">
        <v>120</v>
      </c>
      <c r="M181" s="4">
        <v>3166</v>
      </c>
      <c r="N181" s="4">
        <v>-567</v>
      </c>
      <c r="O181" s="4">
        <v>2719</v>
      </c>
      <c r="P181" s="4">
        <v>3</v>
      </c>
      <c r="Q181" s="4">
        <v>1538</v>
      </c>
      <c r="R181" s="4">
        <v>-479</v>
      </c>
      <c r="S181" s="4">
        <v>-242</v>
      </c>
      <c r="T181" s="4">
        <v>820</v>
      </c>
      <c r="U181" s="4">
        <v>-721</v>
      </c>
    </row>
    <row r="182" spans="1:21" ht="12.5" x14ac:dyDescent="0.25">
      <c r="A182" s="20">
        <v>44071</v>
      </c>
      <c r="B182" s="4">
        <v>7169</v>
      </c>
      <c r="C182" s="4">
        <v>120900</v>
      </c>
      <c r="D182" s="4">
        <v>37818</v>
      </c>
      <c r="E182" s="4">
        <v>165887</v>
      </c>
      <c r="F182" s="4">
        <v>1154</v>
      </c>
      <c r="G182" s="4">
        <v>29169</v>
      </c>
      <c r="H182" s="4">
        <v>4128</v>
      </c>
      <c r="I182" s="4">
        <v>2827</v>
      </c>
      <c r="J182" s="4">
        <v>37278</v>
      </c>
      <c r="K182" s="4">
        <v>6955</v>
      </c>
      <c r="L182" s="4">
        <v>105</v>
      </c>
      <c r="M182" s="4">
        <v>2325</v>
      </c>
      <c r="N182" s="4">
        <v>573</v>
      </c>
      <c r="O182" s="4">
        <v>3003</v>
      </c>
      <c r="P182" s="4">
        <v>7</v>
      </c>
      <c r="Q182" s="4">
        <v>881</v>
      </c>
      <c r="R182" s="4">
        <v>-371</v>
      </c>
      <c r="S182" s="4">
        <v>299</v>
      </c>
      <c r="T182" s="4">
        <v>816</v>
      </c>
      <c r="U182" s="4">
        <v>-72</v>
      </c>
    </row>
    <row r="183" spans="1:21" ht="12.5" x14ac:dyDescent="0.25">
      <c r="A183" s="20">
        <v>44072</v>
      </c>
      <c r="B183" s="4">
        <v>7261</v>
      </c>
      <c r="C183" s="4">
        <v>122802</v>
      </c>
      <c r="D183" s="4">
        <v>39132</v>
      </c>
      <c r="E183" s="4">
        <v>169195</v>
      </c>
      <c r="F183" s="4">
        <v>1172</v>
      </c>
      <c r="G183" s="4">
        <v>29768</v>
      </c>
      <c r="H183" s="4">
        <v>4414</v>
      </c>
      <c r="I183" s="4">
        <v>2812</v>
      </c>
      <c r="J183" s="4">
        <v>38166</v>
      </c>
      <c r="K183" s="4">
        <v>7226</v>
      </c>
      <c r="L183" s="4">
        <v>92</v>
      </c>
      <c r="M183" s="4">
        <v>1902</v>
      </c>
      <c r="N183" s="4">
        <v>1314</v>
      </c>
      <c r="O183" s="4">
        <v>3308</v>
      </c>
      <c r="P183" s="4">
        <v>18</v>
      </c>
      <c r="Q183" s="4">
        <v>599</v>
      </c>
      <c r="R183" s="4">
        <v>286</v>
      </c>
      <c r="S183" s="4">
        <v>-15</v>
      </c>
      <c r="T183" s="4">
        <v>888</v>
      </c>
      <c r="U183" s="4">
        <v>271</v>
      </c>
    </row>
    <row r="184" spans="1:21" ht="12.5" x14ac:dyDescent="0.25">
      <c r="A184" s="20">
        <v>44073</v>
      </c>
      <c r="B184" s="4">
        <v>7343</v>
      </c>
      <c r="C184" s="4">
        <v>124185</v>
      </c>
      <c r="D184" s="4">
        <v>40525</v>
      </c>
      <c r="E184" s="4">
        <v>172053</v>
      </c>
      <c r="F184" s="4">
        <v>1186</v>
      </c>
      <c r="G184" s="4">
        <v>30134</v>
      </c>
      <c r="H184" s="4">
        <v>4945</v>
      </c>
      <c r="I184" s="4">
        <v>3015</v>
      </c>
      <c r="J184" s="4">
        <v>39280</v>
      </c>
      <c r="K184" s="4">
        <v>7960</v>
      </c>
      <c r="L184" s="4">
        <v>82</v>
      </c>
      <c r="M184" s="4">
        <v>1383</v>
      </c>
      <c r="N184" s="4">
        <v>1393</v>
      </c>
      <c r="O184" s="4">
        <v>2858</v>
      </c>
      <c r="P184" s="4">
        <v>14</v>
      </c>
      <c r="Q184" s="4">
        <v>366</v>
      </c>
      <c r="R184" s="4">
        <v>531</v>
      </c>
      <c r="S184" s="4">
        <v>203</v>
      </c>
      <c r="T184" s="4">
        <v>1114</v>
      </c>
      <c r="U184" s="4">
        <v>734</v>
      </c>
    </row>
    <row r="185" spans="1:21" ht="12.5" x14ac:dyDescent="0.25">
      <c r="A185" s="20">
        <v>44074</v>
      </c>
      <c r="B185" s="4">
        <v>7417</v>
      </c>
      <c r="C185" s="4">
        <v>125959</v>
      </c>
      <c r="D185" s="4">
        <v>41420</v>
      </c>
      <c r="E185" s="4">
        <v>174796</v>
      </c>
      <c r="F185" s="4">
        <v>1202</v>
      </c>
      <c r="G185" s="4">
        <v>30538</v>
      </c>
      <c r="H185" s="4">
        <v>5281</v>
      </c>
      <c r="I185" s="4">
        <v>3288</v>
      </c>
      <c r="J185" s="4">
        <v>40309</v>
      </c>
      <c r="K185" s="4">
        <v>8569</v>
      </c>
      <c r="L185" s="4">
        <v>74</v>
      </c>
      <c r="M185" s="4">
        <v>1774</v>
      </c>
      <c r="N185" s="4">
        <v>895</v>
      </c>
      <c r="O185" s="4">
        <v>2743</v>
      </c>
      <c r="P185" s="4">
        <v>16</v>
      </c>
      <c r="Q185" s="4">
        <v>404</v>
      </c>
      <c r="R185" s="4">
        <v>336</v>
      </c>
      <c r="S185" s="4">
        <v>273</v>
      </c>
      <c r="T185" s="4">
        <v>1029</v>
      </c>
      <c r="U185" s="4">
        <v>609</v>
      </c>
    </row>
    <row r="186" spans="1:21" ht="12.5" x14ac:dyDescent="0.25">
      <c r="A186" s="20">
        <v>44075</v>
      </c>
      <c r="B186" s="4">
        <v>7505</v>
      </c>
      <c r="C186" s="4">
        <v>128057</v>
      </c>
      <c r="D186" s="4">
        <v>42009</v>
      </c>
      <c r="E186" s="4">
        <v>177571</v>
      </c>
      <c r="F186" s="4">
        <v>1219</v>
      </c>
      <c r="G186" s="4">
        <v>31267</v>
      </c>
      <c r="H186" s="4">
        <v>5423</v>
      </c>
      <c r="I186" s="4">
        <v>3341</v>
      </c>
      <c r="J186" s="4">
        <v>41250</v>
      </c>
      <c r="K186" s="4">
        <v>8764</v>
      </c>
      <c r="L186" s="4">
        <v>88</v>
      </c>
      <c r="M186" s="4">
        <v>2098</v>
      </c>
      <c r="N186" s="4">
        <v>589</v>
      </c>
      <c r="O186" s="4">
        <v>2775</v>
      </c>
      <c r="P186" s="4">
        <v>17</v>
      </c>
      <c r="Q186" s="4">
        <v>729</v>
      </c>
      <c r="R186" s="4">
        <v>142</v>
      </c>
      <c r="S186" s="4">
        <v>53</v>
      </c>
      <c r="T186" s="4">
        <v>941</v>
      </c>
      <c r="U186" s="4">
        <v>195</v>
      </c>
    </row>
    <row r="187" spans="1:21" ht="12.5" x14ac:dyDescent="0.25">
      <c r="A187" s="20">
        <v>44076</v>
      </c>
      <c r="B187" s="4">
        <v>7616</v>
      </c>
      <c r="C187" s="4">
        <v>129971</v>
      </c>
      <c r="D187" s="4">
        <v>43059</v>
      </c>
      <c r="E187" s="4">
        <v>180646</v>
      </c>
      <c r="F187" s="4">
        <v>1237</v>
      </c>
      <c r="G187" s="4">
        <v>31741</v>
      </c>
      <c r="H187" s="4">
        <v>5757</v>
      </c>
      <c r="I187" s="4">
        <v>3568</v>
      </c>
      <c r="J187" s="4">
        <v>42303</v>
      </c>
      <c r="K187" s="4">
        <v>9325</v>
      </c>
      <c r="L187" s="4">
        <v>111</v>
      </c>
      <c r="M187" s="4">
        <v>1914</v>
      </c>
      <c r="N187" s="4">
        <v>1050</v>
      </c>
      <c r="O187" s="4">
        <v>3075</v>
      </c>
      <c r="P187" s="4">
        <v>18</v>
      </c>
      <c r="Q187" s="4">
        <v>474</v>
      </c>
      <c r="R187" s="4">
        <v>334</v>
      </c>
      <c r="S187" s="4">
        <v>227</v>
      </c>
      <c r="T187" s="4">
        <v>1053</v>
      </c>
      <c r="U187" s="4">
        <v>561</v>
      </c>
    </row>
    <row r="188" spans="1:21" ht="12.5" x14ac:dyDescent="0.25">
      <c r="A188" s="20">
        <v>44077</v>
      </c>
      <c r="B188" s="4">
        <v>7750</v>
      </c>
      <c r="C188" s="4">
        <v>132055</v>
      </c>
      <c r="D188" s="4">
        <v>44463</v>
      </c>
      <c r="E188" s="4">
        <v>184268</v>
      </c>
      <c r="F188" s="4">
        <v>1253</v>
      </c>
      <c r="G188" s="4">
        <v>32424</v>
      </c>
      <c r="H188" s="4">
        <v>6323</v>
      </c>
      <c r="I188" s="4">
        <v>3709</v>
      </c>
      <c r="J188" s="4">
        <v>43709</v>
      </c>
      <c r="K188" s="4">
        <v>10032</v>
      </c>
      <c r="L188" s="4">
        <v>134</v>
      </c>
      <c r="M188" s="4">
        <v>2084</v>
      </c>
      <c r="N188" s="4">
        <v>1404</v>
      </c>
      <c r="O188" s="4">
        <v>3622</v>
      </c>
      <c r="P188" s="4">
        <v>16</v>
      </c>
      <c r="Q188" s="4">
        <v>683</v>
      </c>
      <c r="R188" s="4">
        <v>566</v>
      </c>
      <c r="S188" s="4">
        <v>141</v>
      </c>
      <c r="T188" s="4">
        <v>1406</v>
      </c>
      <c r="U188" s="4">
        <v>707</v>
      </c>
    </row>
    <row r="189" spans="1:21" ht="12.5" x14ac:dyDescent="0.25">
      <c r="A189" s="20">
        <v>44078</v>
      </c>
      <c r="B189" s="4">
        <v>7832</v>
      </c>
      <c r="C189" s="4">
        <v>134181</v>
      </c>
      <c r="D189" s="4">
        <v>45524</v>
      </c>
      <c r="E189" s="4">
        <v>187537</v>
      </c>
      <c r="F189" s="4">
        <v>1260</v>
      </c>
      <c r="G189" s="4">
        <v>33260</v>
      </c>
      <c r="H189" s="4">
        <v>6257</v>
      </c>
      <c r="I189" s="4">
        <v>3827</v>
      </c>
      <c r="J189" s="4">
        <v>44604</v>
      </c>
      <c r="K189" s="4">
        <v>10084</v>
      </c>
      <c r="L189" s="4">
        <v>82</v>
      </c>
      <c r="M189" s="4">
        <v>2126</v>
      </c>
      <c r="N189" s="4">
        <v>1061</v>
      </c>
      <c r="O189" s="4">
        <v>3269</v>
      </c>
      <c r="P189" s="4">
        <v>7</v>
      </c>
      <c r="Q189" s="4">
        <v>836</v>
      </c>
      <c r="R189" s="4">
        <v>-66</v>
      </c>
      <c r="S189" s="4">
        <v>118</v>
      </c>
      <c r="T189" s="4">
        <v>895</v>
      </c>
      <c r="U189" s="4">
        <v>52</v>
      </c>
    </row>
    <row r="190" spans="1:21" ht="12.5" x14ac:dyDescent="0.25">
      <c r="A190" s="20">
        <v>44079</v>
      </c>
      <c r="B190" s="4">
        <v>7940</v>
      </c>
      <c r="C190" s="4">
        <v>136401</v>
      </c>
      <c r="D190" s="4">
        <v>46324</v>
      </c>
      <c r="E190" s="4">
        <v>190665</v>
      </c>
      <c r="F190" s="4">
        <v>1277</v>
      </c>
      <c r="G190" s="4">
        <v>33991</v>
      </c>
      <c r="H190" s="4">
        <v>6501</v>
      </c>
      <c r="I190" s="4">
        <v>3677</v>
      </c>
      <c r="J190" s="4">
        <v>45446</v>
      </c>
      <c r="K190" s="4">
        <v>10178</v>
      </c>
      <c r="L190" s="4">
        <v>108</v>
      </c>
      <c r="M190" s="4">
        <v>2220</v>
      </c>
      <c r="N190" s="4">
        <v>800</v>
      </c>
      <c r="O190" s="4">
        <v>3128</v>
      </c>
      <c r="P190" s="4">
        <v>17</v>
      </c>
      <c r="Q190" s="4">
        <v>731</v>
      </c>
      <c r="R190" s="4">
        <v>244</v>
      </c>
      <c r="S190" s="4">
        <v>-150</v>
      </c>
      <c r="T190" s="4">
        <v>842</v>
      </c>
      <c r="U190" s="4">
        <v>94</v>
      </c>
    </row>
    <row r="191" spans="1:21" ht="12.5" x14ac:dyDescent="0.25">
      <c r="A191" s="20">
        <v>44080</v>
      </c>
      <c r="B191" s="4">
        <v>8025</v>
      </c>
      <c r="C191" s="4">
        <v>138575</v>
      </c>
      <c r="D191" s="4">
        <v>47509</v>
      </c>
      <c r="E191" s="4">
        <v>194109</v>
      </c>
      <c r="F191" s="4">
        <v>1289</v>
      </c>
      <c r="G191" s="4">
        <v>34738</v>
      </c>
      <c r="H191" s="4">
        <v>6582</v>
      </c>
      <c r="I191" s="4">
        <v>4082</v>
      </c>
      <c r="J191" s="4">
        <v>46691</v>
      </c>
      <c r="K191" s="4">
        <v>10664</v>
      </c>
      <c r="L191" s="4">
        <v>85</v>
      </c>
      <c r="M191" s="4">
        <v>2174</v>
      </c>
      <c r="N191" s="4">
        <v>1185</v>
      </c>
      <c r="O191" s="4">
        <v>3444</v>
      </c>
      <c r="P191" s="4">
        <v>12</v>
      </c>
      <c r="Q191" s="4">
        <v>747</v>
      </c>
      <c r="R191" s="4">
        <v>81</v>
      </c>
      <c r="S191" s="4">
        <v>405</v>
      </c>
      <c r="T191" s="4">
        <v>1245</v>
      </c>
      <c r="U191" s="4">
        <v>486</v>
      </c>
    </row>
    <row r="192" spans="1:21" ht="12.5" x14ac:dyDescent="0.25">
      <c r="A192" s="20">
        <v>44081</v>
      </c>
      <c r="B192" s="4">
        <v>8130</v>
      </c>
      <c r="C192" s="4">
        <v>140652</v>
      </c>
      <c r="D192" s="4">
        <v>48207</v>
      </c>
      <c r="E192" s="4">
        <v>196989</v>
      </c>
      <c r="F192" s="4">
        <v>1318</v>
      </c>
      <c r="G192" s="4">
        <v>35431</v>
      </c>
      <c r="H192" s="4">
        <v>6706</v>
      </c>
      <c r="I192" s="4">
        <v>4341</v>
      </c>
      <c r="J192" s="4">
        <v>47796</v>
      </c>
      <c r="K192" s="4">
        <v>11047</v>
      </c>
      <c r="L192" s="4">
        <v>105</v>
      </c>
      <c r="M192" s="4">
        <v>2077</v>
      </c>
      <c r="N192" s="4">
        <v>698</v>
      </c>
      <c r="O192" s="4">
        <v>2880</v>
      </c>
      <c r="P192" s="4">
        <v>29</v>
      </c>
      <c r="Q192" s="4">
        <v>693</v>
      </c>
      <c r="R192" s="4">
        <v>124</v>
      </c>
      <c r="S192" s="4">
        <v>259</v>
      </c>
      <c r="T192" s="4">
        <v>1105</v>
      </c>
      <c r="U192" s="4">
        <v>383</v>
      </c>
    </row>
    <row r="193" spans="1:27" ht="12.5" x14ac:dyDescent="0.25">
      <c r="A193" s="20">
        <v>44082</v>
      </c>
      <c r="B193" s="4">
        <v>8230</v>
      </c>
      <c r="C193" s="4">
        <v>142958</v>
      </c>
      <c r="D193" s="4">
        <v>48847</v>
      </c>
      <c r="E193" s="4">
        <v>200035</v>
      </c>
      <c r="F193" s="4">
        <v>1330</v>
      </c>
      <c r="G193" s="4">
        <v>36451</v>
      </c>
      <c r="H193" s="4">
        <v>6598</v>
      </c>
      <c r="I193" s="4">
        <v>4432</v>
      </c>
      <c r="J193" s="4">
        <v>48811</v>
      </c>
      <c r="K193" s="4">
        <v>11030</v>
      </c>
      <c r="L193" s="4">
        <v>100</v>
      </c>
      <c r="M193" s="4">
        <v>2306</v>
      </c>
      <c r="N193" s="4">
        <v>640</v>
      </c>
      <c r="O193" s="4">
        <v>3046</v>
      </c>
      <c r="P193" s="4">
        <v>12</v>
      </c>
      <c r="Q193" s="4">
        <v>1020</v>
      </c>
      <c r="R193" s="4">
        <v>-108</v>
      </c>
      <c r="S193" s="4">
        <v>91</v>
      </c>
      <c r="T193" s="4">
        <v>1015</v>
      </c>
      <c r="U193" s="4">
        <v>-17</v>
      </c>
    </row>
    <row r="194" spans="1:27" ht="12.5" x14ac:dyDescent="0.25">
      <c r="A194" s="20">
        <v>44083</v>
      </c>
      <c r="B194" s="4">
        <v>8336</v>
      </c>
      <c r="C194" s="4">
        <v>145200</v>
      </c>
      <c r="D194" s="4">
        <v>49806</v>
      </c>
      <c r="E194" s="4">
        <v>203342</v>
      </c>
      <c r="F194" s="4">
        <v>1347</v>
      </c>
      <c r="G194" s="4">
        <v>37245</v>
      </c>
      <c r="H194" s="4">
        <v>6691</v>
      </c>
      <c r="I194" s="4">
        <v>4554</v>
      </c>
      <c r="J194" s="4">
        <v>49837</v>
      </c>
      <c r="K194" s="4">
        <v>11245</v>
      </c>
      <c r="L194" s="4">
        <v>106</v>
      </c>
      <c r="M194" s="4">
        <v>2242</v>
      </c>
      <c r="N194" s="4">
        <v>959</v>
      </c>
      <c r="O194" s="4">
        <v>3307</v>
      </c>
      <c r="P194" s="4">
        <v>17</v>
      </c>
      <c r="Q194" s="4">
        <v>794</v>
      </c>
      <c r="R194" s="4">
        <v>93</v>
      </c>
      <c r="S194" s="4">
        <v>122</v>
      </c>
      <c r="T194" s="4">
        <v>1026</v>
      </c>
      <c r="U194" s="4">
        <v>215</v>
      </c>
    </row>
    <row r="195" spans="1:27" ht="12.5" x14ac:dyDescent="0.25">
      <c r="A195" s="20">
        <v>44084</v>
      </c>
      <c r="B195" s="4">
        <v>8456</v>
      </c>
      <c r="C195" s="4">
        <v>147510</v>
      </c>
      <c r="D195" s="4">
        <v>51237</v>
      </c>
      <c r="E195" s="4">
        <v>207203</v>
      </c>
      <c r="F195" s="4">
        <v>1365</v>
      </c>
      <c r="G195" s="4">
        <v>38226</v>
      </c>
      <c r="H195" s="4">
        <v>6968</v>
      </c>
      <c r="I195" s="4">
        <v>4728</v>
      </c>
      <c r="J195" s="4">
        <v>51287</v>
      </c>
      <c r="K195" s="4">
        <v>11696</v>
      </c>
      <c r="L195" s="4">
        <v>120</v>
      </c>
      <c r="M195" s="4">
        <v>2310</v>
      </c>
      <c r="N195" s="4">
        <v>1431</v>
      </c>
      <c r="O195" s="4">
        <v>3861</v>
      </c>
      <c r="P195" s="4">
        <v>18</v>
      </c>
      <c r="Q195" s="4">
        <v>981</v>
      </c>
      <c r="R195" s="4">
        <v>277</v>
      </c>
      <c r="S195" s="4">
        <v>174</v>
      </c>
      <c r="T195" s="4">
        <v>1450</v>
      </c>
      <c r="U195" s="4">
        <v>451</v>
      </c>
    </row>
    <row r="196" spans="1:27" ht="12.5" x14ac:dyDescent="0.25">
      <c r="A196" s="20">
        <v>44085</v>
      </c>
      <c r="B196" s="4">
        <v>8544</v>
      </c>
      <c r="C196" s="4">
        <v>150217</v>
      </c>
      <c r="D196" s="4">
        <v>52179</v>
      </c>
      <c r="E196" s="4">
        <v>210940</v>
      </c>
      <c r="F196" s="4">
        <v>1382</v>
      </c>
      <c r="G196" s="4">
        <v>39115</v>
      </c>
      <c r="H196" s="4">
        <v>7143</v>
      </c>
      <c r="I196" s="4">
        <v>4681</v>
      </c>
      <c r="J196" s="4">
        <v>52321</v>
      </c>
      <c r="K196" s="4">
        <v>11824</v>
      </c>
      <c r="L196" s="4">
        <v>88</v>
      </c>
      <c r="M196" s="4">
        <v>2707</v>
      </c>
      <c r="N196" s="4">
        <v>942</v>
      </c>
      <c r="O196" s="4">
        <v>3737</v>
      </c>
      <c r="P196" s="4">
        <v>17</v>
      </c>
      <c r="Q196" s="4">
        <v>889</v>
      </c>
      <c r="R196" s="4">
        <v>175</v>
      </c>
      <c r="S196" s="4">
        <v>-47</v>
      </c>
      <c r="T196" s="4">
        <v>1034</v>
      </c>
      <c r="U196" s="4">
        <v>128</v>
      </c>
    </row>
    <row r="197" spans="1:27" ht="12.5" x14ac:dyDescent="0.25">
      <c r="A197" s="20">
        <v>44086</v>
      </c>
      <c r="B197" s="4">
        <v>8650</v>
      </c>
      <c r="C197" s="4">
        <v>152458</v>
      </c>
      <c r="D197" s="4">
        <v>53638</v>
      </c>
      <c r="E197" s="4">
        <v>214746</v>
      </c>
      <c r="F197" s="4">
        <v>1404</v>
      </c>
      <c r="G197" s="4">
        <v>40183</v>
      </c>
      <c r="H197" s="4">
        <v>7490</v>
      </c>
      <c r="I197" s="4">
        <v>4684</v>
      </c>
      <c r="J197" s="4">
        <v>53761</v>
      </c>
      <c r="K197" s="4">
        <v>12174</v>
      </c>
      <c r="L197" s="4">
        <v>106</v>
      </c>
      <c r="M197" s="4">
        <v>2241</v>
      </c>
      <c r="N197" s="4">
        <v>1459</v>
      </c>
      <c r="O197" s="4">
        <v>3806</v>
      </c>
      <c r="P197" s="4">
        <v>22</v>
      </c>
      <c r="Q197" s="4">
        <v>1068</v>
      </c>
      <c r="R197" s="4">
        <v>347</v>
      </c>
      <c r="S197" s="4">
        <v>3</v>
      </c>
      <c r="T197" s="4">
        <v>1440</v>
      </c>
      <c r="U197" s="4">
        <v>350</v>
      </c>
    </row>
    <row r="198" spans="1:27" ht="12.5" x14ac:dyDescent="0.25">
      <c r="A198" s="21">
        <v>44087</v>
      </c>
      <c r="B198" s="22">
        <v>8723</v>
      </c>
      <c r="C198" s="22">
        <v>155010</v>
      </c>
      <c r="D198" s="22">
        <v>54649</v>
      </c>
      <c r="E198" s="22">
        <v>218382</v>
      </c>
      <c r="F198" s="22">
        <v>1410</v>
      </c>
      <c r="G198" s="22">
        <v>41014</v>
      </c>
      <c r="H198" s="22">
        <v>7791</v>
      </c>
      <c r="I198" s="22">
        <v>4649</v>
      </c>
      <c r="J198" s="22">
        <v>54864</v>
      </c>
      <c r="K198" s="22">
        <v>12440</v>
      </c>
      <c r="L198" s="23">
        <v>73</v>
      </c>
      <c r="M198" s="23">
        <v>2552</v>
      </c>
      <c r="N198" s="23">
        <v>1011</v>
      </c>
      <c r="O198" s="23">
        <v>3636</v>
      </c>
      <c r="P198" s="23">
        <v>6</v>
      </c>
      <c r="Q198" s="23">
        <v>831</v>
      </c>
      <c r="R198" s="23">
        <v>301</v>
      </c>
      <c r="S198" s="23">
        <v>-35</v>
      </c>
      <c r="T198" s="23">
        <v>1103</v>
      </c>
      <c r="U198" s="23">
        <v>266</v>
      </c>
      <c r="V198" s="24"/>
    </row>
    <row r="199" spans="1:27" ht="12.5" x14ac:dyDescent="0.25">
      <c r="A199" s="20">
        <v>44088</v>
      </c>
      <c r="B199" s="4">
        <v>8841</v>
      </c>
      <c r="C199" s="4">
        <v>158405</v>
      </c>
      <c r="D199" s="4">
        <v>54277</v>
      </c>
      <c r="E199" s="4">
        <v>221523</v>
      </c>
      <c r="F199" s="4">
        <v>1440</v>
      </c>
      <c r="G199" s="4">
        <v>42325</v>
      </c>
      <c r="H199" s="4">
        <v>7530</v>
      </c>
      <c r="I199" s="4">
        <v>4631</v>
      </c>
      <c r="J199" s="4">
        <v>55926</v>
      </c>
      <c r="K199" s="4">
        <v>12161</v>
      </c>
      <c r="L199" s="4">
        <v>118</v>
      </c>
      <c r="M199" s="4">
        <v>3395</v>
      </c>
      <c r="N199" s="4">
        <v>-372</v>
      </c>
      <c r="O199" s="4">
        <v>3141</v>
      </c>
      <c r="P199" s="4">
        <v>30</v>
      </c>
      <c r="Q199" s="4">
        <v>1311</v>
      </c>
      <c r="R199" s="4">
        <v>-261</v>
      </c>
      <c r="S199" s="4">
        <v>-18</v>
      </c>
      <c r="T199" s="4">
        <v>1062</v>
      </c>
      <c r="U199" s="4">
        <v>-279</v>
      </c>
    </row>
    <row r="200" spans="1:27" ht="12.5" x14ac:dyDescent="0.25">
      <c r="A200" s="20">
        <v>44089</v>
      </c>
      <c r="B200" s="4">
        <v>8965</v>
      </c>
      <c r="C200" s="4">
        <v>161065</v>
      </c>
      <c r="D200" s="4">
        <v>55000</v>
      </c>
      <c r="E200" s="4">
        <v>225030</v>
      </c>
      <c r="F200" s="4">
        <v>1468</v>
      </c>
      <c r="G200" s="4">
        <v>43306</v>
      </c>
      <c r="H200" s="4">
        <v>7711</v>
      </c>
      <c r="I200" s="4">
        <v>4468</v>
      </c>
      <c r="J200" s="4">
        <v>56953</v>
      </c>
      <c r="K200" s="4">
        <v>12179</v>
      </c>
      <c r="L200" s="4">
        <v>124</v>
      </c>
      <c r="M200" s="4">
        <v>2660</v>
      </c>
      <c r="N200" s="4">
        <v>723</v>
      </c>
      <c r="O200" s="4">
        <v>3507</v>
      </c>
      <c r="P200" s="4">
        <v>28</v>
      </c>
      <c r="Q200" s="4">
        <v>981</v>
      </c>
      <c r="R200" s="4">
        <v>181</v>
      </c>
      <c r="S200" s="4">
        <v>-163</v>
      </c>
      <c r="T200" s="4">
        <v>1027</v>
      </c>
      <c r="U200" s="4">
        <v>18</v>
      </c>
    </row>
    <row r="201" spans="1:27" ht="12.5" x14ac:dyDescent="0.25">
      <c r="A201" s="20">
        <v>44090</v>
      </c>
      <c r="B201" s="4">
        <v>9100</v>
      </c>
      <c r="C201" s="4">
        <v>164101</v>
      </c>
      <c r="D201" s="4">
        <v>55792</v>
      </c>
      <c r="E201" s="4">
        <v>228993</v>
      </c>
      <c r="F201" s="4">
        <v>1498</v>
      </c>
      <c r="G201" s="4">
        <v>44251</v>
      </c>
      <c r="H201" s="4">
        <v>7907</v>
      </c>
      <c r="I201" s="4">
        <v>4802</v>
      </c>
      <c r="J201" s="4">
        <v>58458</v>
      </c>
      <c r="K201" s="4">
        <v>12709</v>
      </c>
      <c r="L201" s="4">
        <v>135</v>
      </c>
      <c r="M201" s="4">
        <v>3036</v>
      </c>
      <c r="N201" s="4">
        <v>792</v>
      </c>
      <c r="O201" s="4">
        <v>3963</v>
      </c>
      <c r="P201" s="4">
        <v>30</v>
      </c>
      <c r="Q201" s="4">
        <v>945</v>
      </c>
      <c r="R201" s="4">
        <v>196</v>
      </c>
      <c r="S201" s="4">
        <v>334</v>
      </c>
      <c r="T201" s="4">
        <v>1505</v>
      </c>
      <c r="U201" s="4">
        <v>530</v>
      </c>
    </row>
    <row r="202" spans="1:27" ht="12.5" x14ac:dyDescent="0.25">
      <c r="A202" s="20">
        <v>44091</v>
      </c>
      <c r="B202" s="4">
        <v>9222</v>
      </c>
      <c r="C202" s="4">
        <v>166686</v>
      </c>
      <c r="D202" s="4">
        <v>56720</v>
      </c>
      <c r="E202" s="4">
        <v>232628</v>
      </c>
      <c r="F202" s="4">
        <v>1513</v>
      </c>
      <c r="G202" s="4">
        <v>45207</v>
      </c>
      <c r="H202" s="4">
        <v>8013</v>
      </c>
      <c r="I202" s="4">
        <v>4739</v>
      </c>
      <c r="J202" s="4">
        <v>59472</v>
      </c>
      <c r="K202" s="4">
        <v>12752</v>
      </c>
      <c r="L202" s="4">
        <v>122</v>
      </c>
      <c r="M202" s="4">
        <v>2585</v>
      </c>
      <c r="N202" s="4">
        <v>928</v>
      </c>
      <c r="O202" s="4">
        <v>3635</v>
      </c>
      <c r="P202" s="4">
        <v>15</v>
      </c>
      <c r="Q202" s="4">
        <v>956</v>
      </c>
      <c r="R202" s="4">
        <v>106</v>
      </c>
      <c r="S202" s="4">
        <v>-63</v>
      </c>
      <c r="T202" s="4">
        <v>1014</v>
      </c>
      <c r="U202" s="4">
        <v>43</v>
      </c>
    </row>
    <row r="203" spans="1:27" ht="14.5" x14ac:dyDescent="0.35">
      <c r="A203" s="20">
        <v>44092</v>
      </c>
      <c r="B203" s="6">
        <v>9336</v>
      </c>
      <c r="C203" s="6">
        <v>170774</v>
      </c>
      <c r="D203" s="6">
        <v>56409</v>
      </c>
      <c r="E203" s="6">
        <v>236519</v>
      </c>
      <c r="F203" s="6">
        <v>1535</v>
      </c>
      <c r="G203" s="6">
        <v>46235</v>
      </c>
      <c r="H203" s="6">
        <v>8450</v>
      </c>
      <c r="I203" s="6">
        <v>4655</v>
      </c>
      <c r="J203" s="6">
        <v>60875</v>
      </c>
      <c r="K203" s="6">
        <v>13105</v>
      </c>
      <c r="L203" s="6">
        <v>114</v>
      </c>
      <c r="M203" s="6">
        <v>4088</v>
      </c>
      <c r="N203" s="6">
        <v>-311</v>
      </c>
      <c r="O203" s="6">
        <v>3891</v>
      </c>
      <c r="P203" s="6">
        <v>22</v>
      </c>
      <c r="Q203" s="6">
        <v>1028</v>
      </c>
      <c r="R203" s="6">
        <v>437</v>
      </c>
      <c r="S203" s="6">
        <v>-84</v>
      </c>
      <c r="T203" s="6">
        <v>1403</v>
      </c>
      <c r="U203" s="25">
        <v>353</v>
      </c>
    </row>
    <row r="204" spans="1:27" ht="12.5" x14ac:dyDescent="0.25">
      <c r="A204" s="20">
        <v>44093</v>
      </c>
      <c r="B204" s="4">
        <v>9448</v>
      </c>
      <c r="C204" s="4">
        <v>174350</v>
      </c>
      <c r="D204" s="4">
        <v>56889</v>
      </c>
      <c r="E204" s="4">
        <v>240687</v>
      </c>
      <c r="F204" s="4">
        <v>1546</v>
      </c>
      <c r="G204" s="4">
        <v>47260</v>
      </c>
      <c r="H204" s="4">
        <v>8696</v>
      </c>
      <c r="I204" s="4">
        <v>4305</v>
      </c>
      <c r="J204" s="4">
        <v>61807</v>
      </c>
      <c r="K204" s="4">
        <v>13001</v>
      </c>
      <c r="L204" s="4">
        <v>112</v>
      </c>
      <c r="M204" s="4">
        <v>3576</v>
      </c>
      <c r="N204" s="4">
        <v>480</v>
      </c>
      <c r="O204" s="4">
        <v>4168</v>
      </c>
      <c r="P204" s="4">
        <v>11</v>
      </c>
      <c r="Q204" s="4">
        <v>1025</v>
      </c>
      <c r="R204" s="4">
        <v>246</v>
      </c>
      <c r="S204" s="4">
        <v>-350</v>
      </c>
      <c r="T204" s="4">
        <v>932</v>
      </c>
      <c r="U204" s="4">
        <v>-104</v>
      </c>
    </row>
    <row r="205" spans="1:27" ht="14.5" x14ac:dyDescent="0.35">
      <c r="A205" s="26">
        <v>44094</v>
      </c>
      <c r="B205" s="6">
        <v>9553</v>
      </c>
      <c r="C205" s="6">
        <v>177327</v>
      </c>
      <c r="D205" s="6">
        <v>57796</v>
      </c>
      <c r="E205" s="6">
        <v>244676</v>
      </c>
      <c r="F205" s="6">
        <v>1561</v>
      </c>
      <c r="G205" s="6">
        <v>49209</v>
      </c>
      <c r="H205" s="6">
        <v>8297</v>
      </c>
      <c r="I205" s="6">
        <v>3819</v>
      </c>
      <c r="J205" s="6">
        <v>62886</v>
      </c>
      <c r="K205" s="6">
        <v>12116</v>
      </c>
      <c r="L205" s="6">
        <v>105</v>
      </c>
      <c r="M205" s="6">
        <v>2977</v>
      </c>
      <c r="N205" s="6">
        <v>907</v>
      </c>
      <c r="O205" s="6">
        <v>3989</v>
      </c>
      <c r="P205" s="6">
        <v>15</v>
      </c>
      <c r="Q205" s="6">
        <v>1949</v>
      </c>
      <c r="R205" s="6">
        <v>-399</v>
      </c>
      <c r="S205" s="6">
        <v>-486</v>
      </c>
      <c r="T205" s="6">
        <v>1079</v>
      </c>
      <c r="U205" s="25">
        <v>-885</v>
      </c>
      <c r="V205" s="12"/>
      <c r="W205" s="12"/>
      <c r="X205" s="27"/>
      <c r="Y205" s="27"/>
      <c r="Z205" s="27"/>
      <c r="AA205" s="27"/>
    </row>
    <row r="206" spans="1:27" ht="12.5" x14ac:dyDescent="0.25">
      <c r="A206" s="20">
        <v>44095</v>
      </c>
      <c r="B206" s="4">
        <v>9677</v>
      </c>
      <c r="C206" s="4">
        <v>180797</v>
      </c>
      <c r="D206" s="4">
        <v>58378</v>
      </c>
      <c r="E206" s="4">
        <v>248852</v>
      </c>
      <c r="F206" s="4">
        <v>1592</v>
      </c>
      <c r="G206" s="4">
        <v>49630</v>
      </c>
      <c r="H206" s="4">
        <v>9225</v>
      </c>
      <c r="I206" s="4">
        <v>3749</v>
      </c>
      <c r="J206" s="4">
        <v>64196</v>
      </c>
      <c r="K206" s="4">
        <v>12974</v>
      </c>
      <c r="L206" s="4">
        <v>124</v>
      </c>
      <c r="M206" s="4">
        <v>3470</v>
      </c>
      <c r="N206" s="4">
        <v>582</v>
      </c>
      <c r="O206" s="4">
        <v>4176</v>
      </c>
      <c r="P206" s="4">
        <v>31</v>
      </c>
      <c r="Q206" s="4">
        <v>421</v>
      </c>
      <c r="R206" s="4">
        <v>928</v>
      </c>
      <c r="S206" s="4">
        <v>-70</v>
      </c>
      <c r="T206" s="4">
        <v>1310</v>
      </c>
      <c r="U206" s="4">
        <v>858</v>
      </c>
    </row>
    <row r="207" spans="1:27" ht="12.5" x14ac:dyDescent="0.25">
      <c r="A207" s="20">
        <v>44096</v>
      </c>
      <c r="B207" s="4">
        <v>9837</v>
      </c>
      <c r="C207" s="4">
        <v>184298</v>
      </c>
      <c r="D207" s="4">
        <v>58788</v>
      </c>
      <c r="E207" s="4">
        <v>252923</v>
      </c>
      <c r="F207" s="4">
        <v>1624</v>
      </c>
      <c r="G207" s="4">
        <v>50473</v>
      </c>
      <c r="H207" s="4">
        <v>9380</v>
      </c>
      <c r="I207" s="4">
        <v>3841</v>
      </c>
      <c r="J207" s="4">
        <v>65318</v>
      </c>
      <c r="K207" s="4">
        <v>13221</v>
      </c>
      <c r="L207" s="4">
        <v>160</v>
      </c>
      <c r="M207" s="4">
        <v>3501</v>
      </c>
      <c r="N207" s="4">
        <v>410</v>
      </c>
      <c r="O207" s="4">
        <v>4071</v>
      </c>
      <c r="P207" s="4">
        <v>32</v>
      </c>
      <c r="Q207" s="4">
        <v>843</v>
      </c>
      <c r="R207" s="4">
        <v>155</v>
      </c>
      <c r="S207" s="4">
        <v>92</v>
      </c>
      <c r="T207" s="4">
        <v>1122</v>
      </c>
      <c r="U207" s="4">
        <v>247</v>
      </c>
    </row>
    <row r="208" spans="1:27" ht="12.5" x14ac:dyDescent="0.25">
      <c r="A208" s="20">
        <v>44097</v>
      </c>
      <c r="B208" s="4">
        <v>9977</v>
      </c>
      <c r="C208" s="4">
        <v>187958</v>
      </c>
      <c r="D208" s="4">
        <v>59453</v>
      </c>
      <c r="E208" s="4">
        <v>257388</v>
      </c>
      <c r="F208" s="4">
        <v>1650</v>
      </c>
      <c r="G208" s="4">
        <v>51578</v>
      </c>
      <c r="H208" s="4">
        <v>9611</v>
      </c>
      <c r="I208" s="4">
        <v>3666</v>
      </c>
      <c r="J208" s="4">
        <v>66505</v>
      </c>
      <c r="K208" s="4">
        <v>13277</v>
      </c>
      <c r="L208" s="4">
        <v>140</v>
      </c>
      <c r="M208" s="4">
        <v>3660</v>
      </c>
      <c r="N208" s="4">
        <v>665</v>
      </c>
      <c r="O208" s="4">
        <v>4465</v>
      </c>
      <c r="P208" s="4">
        <v>26</v>
      </c>
      <c r="Q208" s="4">
        <v>1105</v>
      </c>
      <c r="R208" s="4">
        <v>231</v>
      </c>
      <c r="S208" s="4">
        <v>-175</v>
      </c>
      <c r="T208" s="4">
        <v>1187</v>
      </c>
      <c r="U208" s="4">
        <v>56</v>
      </c>
    </row>
    <row r="209" spans="1:27" ht="12.5" x14ac:dyDescent="0.25">
      <c r="A209" s="20">
        <v>44098</v>
      </c>
      <c r="B209" s="4">
        <v>10105</v>
      </c>
      <c r="C209" s="4">
        <v>191853</v>
      </c>
      <c r="D209" s="4">
        <v>60064</v>
      </c>
      <c r="E209" s="4">
        <v>262022</v>
      </c>
      <c r="F209" s="4">
        <v>1664</v>
      </c>
      <c r="G209" s="4">
        <v>52742</v>
      </c>
      <c r="H209" s="4">
        <v>9714</v>
      </c>
      <c r="I209" s="4">
        <v>3518</v>
      </c>
      <c r="J209" s="4">
        <v>67638</v>
      </c>
      <c r="K209" s="4">
        <v>13232</v>
      </c>
      <c r="L209" s="4">
        <v>128</v>
      </c>
      <c r="M209" s="4">
        <v>3895</v>
      </c>
      <c r="N209" s="4">
        <v>611</v>
      </c>
      <c r="O209" s="4">
        <v>4634</v>
      </c>
      <c r="P209" s="4">
        <v>14</v>
      </c>
      <c r="Q209" s="4">
        <v>1164</v>
      </c>
      <c r="R209" s="4">
        <v>103</v>
      </c>
      <c r="S209" s="4">
        <v>-148</v>
      </c>
      <c r="T209" s="4">
        <v>1133</v>
      </c>
      <c r="U209" s="4">
        <v>-45</v>
      </c>
    </row>
    <row r="210" spans="1:27" ht="14.5" x14ac:dyDescent="0.35">
      <c r="A210" s="20">
        <v>44099</v>
      </c>
      <c r="B210" s="6">
        <v>10218</v>
      </c>
      <c r="C210" s="6">
        <v>196196</v>
      </c>
      <c r="D210" s="6">
        <v>60431</v>
      </c>
      <c r="E210" s="6">
        <v>266845</v>
      </c>
      <c r="F210" s="6">
        <v>1677</v>
      </c>
      <c r="G210" s="6">
        <v>54352</v>
      </c>
      <c r="H210" s="6">
        <v>10027</v>
      </c>
      <c r="I210" s="6">
        <v>2871</v>
      </c>
      <c r="J210" s="6">
        <v>68927</v>
      </c>
      <c r="K210" s="6">
        <v>12898</v>
      </c>
      <c r="L210" s="6">
        <v>113</v>
      </c>
      <c r="M210" s="6">
        <v>4343</v>
      </c>
      <c r="N210" s="6">
        <v>367</v>
      </c>
      <c r="O210" s="6">
        <v>4823</v>
      </c>
      <c r="P210" s="6">
        <v>13</v>
      </c>
      <c r="Q210" s="6">
        <v>1610</v>
      </c>
      <c r="R210" s="6">
        <v>313</v>
      </c>
      <c r="S210" s="6">
        <v>-647</v>
      </c>
      <c r="T210" s="6">
        <v>1289</v>
      </c>
      <c r="U210" s="25">
        <v>-334</v>
      </c>
    </row>
    <row r="211" spans="1:27" ht="12.5" x14ac:dyDescent="0.25">
      <c r="A211" s="20">
        <v>44100</v>
      </c>
      <c r="B211" s="4">
        <v>10308</v>
      </c>
      <c r="C211" s="4">
        <v>199403</v>
      </c>
      <c r="D211" s="4">
        <v>61628</v>
      </c>
      <c r="E211" s="4">
        <v>271339</v>
      </c>
      <c r="F211" s="4">
        <v>1679</v>
      </c>
      <c r="G211" s="4">
        <v>55350</v>
      </c>
      <c r="H211" s="4">
        <v>10594</v>
      </c>
      <c r="I211" s="4">
        <v>2561</v>
      </c>
      <c r="J211" s="4">
        <v>70184</v>
      </c>
      <c r="K211" s="4">
        <v>13155</v>
      </c>
      <c r="L211" s="4">
        <v>90</v>
      </c>
      <c r="M211" s="4">
        <v>3207</v>
      </c>
      <c r="N211" s="4">
        <v>1197</v>
      </c>
      <c r="O211" s="4">
        <v>4494</v>
      </c>
      <c r="P211" s="4">
        <v>2</v>
      </c>
      <c r="Q211" s="4">
        <v>998</v>
      </c>
      <c r="R211" s="4">
        <v>567</v>
      </c>
      <c r="S211" s="4">
        <v>-310</v>
      </c>
      <c r="T211" s="4">
        <v>1257</v>
      </c>
      <c r="U211" s="4">
        <v>257</v>
      </c>
    </row>
    <row r="212" spans="1:27" ht="14.5" x14ac:dyDescent="0.35">
      <c r="A212" s="26">
        <v>44101</v>
      </c>
      <c r="B212" s="6">
        <v>10386</v>
      </c>
      <c r="C212" s="6">
        <v>203014</v>
      </c>
      <c r="D212" s="6">
        <v>61813</v>
      </c>
      <c r="E212" s="6">
        <v>275213</v>
      </c>
      <c r="F212" s="6">
        <v>1692</v>
      </c>
      <c r="G212" s="6">
        <v>56413</v>
      </c>
      <c r="H212" s="6">
        <v>10915</v>
      </c>
      <c r="I212" s="6">
        <v>2350</v>
      </c>
      <c r="J212" s="6">
        <v>71370</v>
      </c>
      <c r="K212" s="6">
        <v>13265</v>
      </c>
      <c r="L212" s="6">
        <v>78</v>
      </c>
      <c r="M212" s="6">
        <v>3611</v>
      </c>
      <c r="N212" s="6">
        <v>185</v>
      </c>
      <c r="O212" s="6">
        <v>3874</v>
      </c>
      <c r="P212" s="6">
        <v>13</v>
      </c>
      <c r="Q212" s="6">
        <v>1063</v>
      </c>
      <c r="R212" s="6">
        <v>321</v>
      </c>
      <c r="S212" s="6">
        <v>-211</v>
      </c>
      <c r="T212" s="6">
        <v>1186</v>
      </c>
      <c r="U212" s="25">
        <v>110</v>
      </c>
      <c r="V212" s="12"/>
      <c r="W212" s="12"/>
      <c r="X212" s="27"/>
      <c r="Y212" s="27"/>
      <c r="Z212" s="27"/>
      <c r="AA212" s="27"/>
    </row>
    <row r="213" spans="1:27" ht="12.5" x14ac:dyDescent="0.25">
      <c r="A213" s="20">
        <v>44102</v>
      </c>
      <c r="B213" s="4">
        <v>10473</v>
      </c>
      <c r="C213" s="4">
        <v>206870</v>
      </c>
      <c r="D213" s="4">
        <v>61379</v>
      </c>
      <c r="E213" s="4">
        <v>278722</v>
      </c>
      <c r="F213" s="4">
        <v>1704</v>
      </c>
      <c r="G213" s="4">
        <v>57741</v>
      </c>
      <c r="H213" s="4">
        <v>10474</v>
      </c>
      <c r="I213" s="4">
        <v>2258</v>
      </c>
      <c r="J213" s="4">
        <v>72177</v>
      </c>
      <c r="K213" s="4">
        <v>12732</v>
      </c>
      <c r="L213" s="4">
        <v>87</v>
      </c>
      <c r="M213" s="4">
        <v>3856</v>
      </c>
      <c r="N213" s="4">
        <v>-434</v>
      </c>
      <c r="O213" s="4">
        <v>3509</v>
      </c>
      <c r="P213" s="4">
        <v>12</v>
      </c>
      <c r="Q213" s="4">
        <v>1328</v>
      </c>
      <c r="R213" s="4">
        <v>-441</v>
      </c>
      <c r="S213" s="4">
        <v>-92</v>
      </c>
      <c r="T213" s="4">
        <v>807</v>
      </c>
      <c r="U213" s="4">
        <v>-533</v>
      </c>
    </row>
    <row r="214" spans="1:27" ht="14.5" x14ac:dyDescent="0.35">
      <c r="A214" s="20">
        <v>44103</v>
      </c>
      <c r="B214" s="6">
        <v>10601</v>
      </c>
      <c r="C214" s="6">
        <v>210437</v>
      </c>
      <c r="D214" s="6">
        <v>61686</v>
      </c>
      <c r="E214" s="6">
        <v>282724</v>
      </c>
      <c r="F214" s="6">
        <v>1718</v>
      </c>
      <c r="G214" s="6">
        <v>58865</v>
      </c>
      <c r="H214" s="6">
        <v>10659</v>
      </c>
      <c r="I214" s="6">
        <v>2067</v>
      </c>
      <c r="J214" s="6">
        <v>73309</v>
      </c>
      <c r="K214" s="6">
        <v>12726</v>
      </c>
      <c r="L214" s="6">
        <v>128</v>
      </c>
      <c r="M214" s="6">
        <v>3567</v>
      </c>
      <c r="N214" s="6">
        <v>307</v>
      </c>
      <c r="O214" s="6">
        <v>4002</v>
      </c>
      <c r="P214" s="6">
        <v>14</v>
      </c>
      <c r="Q214" s="6">
        <v>1124</v>
      </c>
      <c r="R214" s="6">
        <v>185</v>
      </c>
      <c r="S214" s="6">
        <v>-191</v>
      </c>
      <c r="T214" s="6">
        <v>1132</v>
      </c>
      <c r="U214" s="25">
        <v>-6</v>
      </c>
      <c r="V214" s="12"/>
      <c r="W214" s="12"/>
    </row>
    <row r="215" spans="1:27" ht="12.5" x14ac:dyDescent="0.25">
      <c r="A215" s="20">
        <v>44104</v>
      </c>
      <c r="B215" s="4">
        <v>10740</v>
      </c>
      <c r="C215" s="4">
        <v>214947</v>
      </c>
      <c r="D215" s="4">
        <v>61321</v>
      </c>
      <c r="E215" s="4">
        <v>287008</v>
      </c>
      <c r="F215" s="4">
        <v>1731</v>
      </c>
      <c r="G215" s="4">
        <v>60320</v>
      </c>
      <c r="H215" s="4">
        <v>10353</v>
      </c>
      <c r="I215" s="4">
        <v>1964</v>
      </c>
      <c r="J215" s="4">
        <v>74368</v>
      </c>
      <c r="K215" s="4">
        <v>12317</v>
      </c>
      <c r="L215" s="4">
        <v>139</v>
      </c>
      <c r="M215" s="4">
        <v>4510</v>
      </c>
      <c r="N215" s="4">
        <v>-365</v>
      </c>
      <c r="O215" s="4">
        <v>4284</v>
      </c>
      <c r="P215" s="4">
        <v>13</v>
      </c>
      <c r="Q215" s="4">
        <v>1455</v>
      </c>
      <c r="R215" s="4">
        <v>-306</v>
      </c>
      <c r="S215" s="4">
        <v>-103</v>
      </c>
      <c r="T215" s="4">
        <v>1059</v>
      </c>
      <c r="U215" s="4">
        <v>-409</v>
      </c>
    </row>
    <row r="216" spans="1:27" ht="12.5" x14ac:dyDescent="0.25">
      <c r="A216" s="2">
        <v>44105</v>
      </c>
      <c r="B216" s="4">
        <v>10856</v>
      </c>
      <c r="C216" s="4">
        <v>218487</v>
      </c>
      <c r="D216" s="4">
        <v>61839</v>
      </c>
      <c r="E216" s="4">
        <v>291182</v>
      </c>
      <c r="F216" s="4">
        <v>1737</v>
      </c>
      <c r="G216" s="4">
        <v>61444</v>
      </c>
      <c r="H216" s="4">
        <v>10545</v>
      </c>
      <c r="I216" s="4">
        <v>1795</v>
      </c>
      <c r="J216" s="4">
        <v>75521</v>
      </c>
      <c r="K216" s="4">
        <v>12340</v>
      </c>
      <c r="L216" s="4">
        <v>116</v>
      </c>
      <c r="M216" s="4">
        <v>3540</v>
      </c>
      <c r="N216" s="4">
        <v>518</v>
      </c>
      <c r="O216" s="4">
        <v>4174</v>
      </c>
      <c r="P216" s="4">
        <v>6</v>
      </c>
      <c r="Q216" s="4">
        <v>1124</v>
      </c>
      <c r="R216" s="4">
        <v>192</v>
      </c>
      <c r="S216" s="4">
        <v>-169</v>
      </c>
      <c r="T216" s="4">
        <v>1153</v>
      </c>
      <c r="U216" s="4">
        <v>23</v>
      </c>
    </row>
    <row r="217" spans="1:27" ht="14.5" x14ac:dyDescent="0.35">
      <c r="A217" s="2">
        <v>44106</v>
      </c>
      <c r="B217" s="28">
        <v>10972</v>
      </c>
      <c r="C217" s="28">
        <v>221340</v>
      </c>
      <c r="D217" s="25">
        <v>63187</v>
      </c>
      <c r="E217" s="28">
        <v>295499</v>
      </c>
      <c r="F217" s="6">
        <v>1740</v>
      </c>
      <c r="G217" s="6">
        <v>62279</v>
      </c>
      <c r="H217" s="6">
        <v>10496</v>
      </c>
      <c r="I217" s="6">
        <v>2104</v>
      </c>
      <c r="J217" s="6">
        <v>76619</v>
      </c>
      <c r="K217" s="6">
        <v>12600</v>
      </c>
      <c r="L217" s="6">
        <v>116</v>
      </c>
      <c r="M217" s="6">
        <v>2853</v>
      </c>
      <c r="N217" s="6">
        <v>1348</v>
      </c>
      <c r="O217" s="6">
        <v>4317</v>
      </c>
      <c r="P217" s="6">
        <v>3</v>
      </c>
      <c r="Q217" s="6">
        <v>835</v>
      </c>
      <c r="R217" s="6">
        <v>-49</v>
      </c>
      <c r="S217" s="6">
        <v>309</v>
      </c>
      <c r="T217" s="6">
        <v>1098</v>
      </c>
      <c r="U217" s="25">
        <v>260</v>
      </c>
      <c r="V217" s="12"/>
      <c r="W217" s="12"/>
      <c r="X217" s="12"/>
      <c r="Y217" s="12"/>
      <c r="Z217" s="12"/>
      <c r="AA217" s="12"/>
    </row>
    <row r="218" spans="1:27" ht="12.5" x14ac:dyDescent="0.25">
      <c r="A218" s="2">
        <v>44107</v>
      </c>
      <c r="B218" s="4">
        <v>11055</v>
      </c>
      <c r="C218" s="4">
        <v>225052</v>
      </c>
      <c r="D218" s="4">
        <v>63399</v>
      </c>
      <c r="E218" s="4">
        <v>299506</v>
      </c>
      <c r="F218" s="4">
        <v>1743</v>
      </c>
      <c r="G218" s="4">
        <v>63286</v>
      </c>
      <c r="H218" s="4">
        <v>10652</v>
      </c>
      <c r="I218" s="4">
        <v>2103</v>
      </c>
      <c r="J218" s="4">
        <v>77784</v>
      </c>
      <c r="K218" s="4">
        <v>12755</v>
      </c>
      <c r="L218" s="4">
        <v>83</v>
      </c>
      <c r="M218" s="4">
        <v>3712</v>
      </c>
      <c r="N218" s="4">
        <v>212</v>
      </c>
      <c r="O218" s="4">
        <v>4007</v>
      </c>
      <c r="P218" s="4">
        <v>3</v>
      </c>
      <c r="Q218" s="4">
        <v>1007</v>
      </c>
      <c r="R218" s="4">
        <v>156</v>
      </c>
      <c r="S218" s="4">
        <v>-1</v>
      </c>
      <c r="T218" s="4">
        <v>1165</v>
      </c>
      <c r="U218" s="4">
        <v>155</v>
      </c>
    </row>
    <row r="219" spans="1:27" ht="14.5" x14ac:dyDescent="0.35">
      <c r="A219" s="29">
        <v>44108</v>
      </c>
      <c r="B219" s="6">
        <v>11151</v>
      </c>
      <c r="C219" s="6">
        <v>228453</v>
      </c>
      <c r="D219" s="6">
        <v>63894</v>
      </c>
      <c r="E219" s="6">
        <v>303498</v>
      </c>
      <c r="F219" s="6">
        <v>1761</v>
      </c>
      <c r="G219" s="6">
        <v>64319</v>
      </c>
      <c r="H219" s="6">
        <v>11091</v>
      </c>
      <c r="I219" s="6">
        <v>2043</v>
      </c>
      <c r="J219" s="6">
        <v>79214</v>
      </c>
      <c r="K219" s="6">
        <v>13134</v>
      </c>
      <c r="L219" s="6">
        <v>96</v>
      </c>
      <c r="M219" s="6">
        <v>3401</v>
      </c>
      <c r="N219" s="6">
        <v>495</v>
      </c>
      <c r="O219" s="6">
        <v>3992</v>
      </c>
      <c r="P219" s="6">
        <v>18</v>
      </c>
      <c r="Q219" s="6">
        <v>1033</v>
      </c>
      <c r="R219" s="6">
        <v>439</v>
      </c>
      <c r="S219" s="6">
        <v>-60</v>
      </c>
      <c r="T219" s="6">
        <v>1430</v>
      </c>
      <c r="U219" s="25">
        <v>379</v>
      </c>
      <c r="V219" s="12"/>
      <c r="W219" s="12"/>
      <c r="X219" s="12"/>
      <c r="Y219" s="12"/>
      <c r="Z219" s="12"/>
      <c r="AA219" s="12"/>
    </row>
    <row r="220" spans="1:27" ht="12.5" x14ac:dyDescent="0.25">
      <c r="A220" s="2">
        <v>44109</v>
      </c>
      <c r="B220" s="4">
        <v>11253</v>
      </c>
      <c r="C220" s="4">
        <v>232593</v>
      </c>
      <c r="D220" s="4">
        <v>63274</v>
      </c>
      <c r="E220" s="4">
        <v>307120</v>
      </c>
      <c r="F220" s="4">
        <v>1772</v>
      </c>
      <c r="G220" s="4">
        <v>65295</v>
      </c>
      <c r="H220" s="4">
        <v>10912</v>
      </c>
      <c r="I220" s="4">
        <v>2057</v>
      </c>
      <c r="J220" s="4">
        <v>80036</v>
      </c>
      <c r="K220" s="4">
        <v>12969</v>
      </c>
      <c r="L220" s="4">
        <v>102</v>
      </c>
      <c r="M220" s="4">
        <v>4140</v>
      </c>
      <c r="N220" s="4">
        <v>-620</v>
      </c>
      <c r="O220" s="4">
        <v>3622</v>
      </c>
      <c r="P220" s="4">
        <v>11</v>
      </c>
      <c r="Q220" s="4">
        <v>976</v>
      </c>
      <c r="R220" s="4">
        <v>-179</v>
      </c>
      <c r="S220" s="4">
        <v>14</v>
      </c>
      <c r="T220" s="4">
        <v>822</v>
      </c>
      <c r="U220" s="4">
        <v>-165</v>
      </c>
    </row>
    <row r="221" spans="1:27" ht="12.5" x14ac:dyDescent="0.25">
      <c r="A221" s="2">
        <v>44110</v>
      </c>
      <c r="B221" s="4">
        <v>11374</v>
      </c>
      <c r="C221" s="4">
        <v>236437</v>
      </c>
      <c r="D221" s="4">
        <v>63365</v>
      </c>
      <c r="E221" s="4">
        <v>311176</v>
      </c>
      <c r="F221" s="4">
        <v>1806</v>
      </c>
      <c r="G221" s="4">
        <v>66315</v>
      </c>
      <c r="H221" s="4">
        <v>10787</v>
      </c>
      <c r="I221" s="4">
        <v>2135</v>
      </c>
      <c r="J221" s="4">
        <v>81043</v>
      </c>
      <c r="K221" s="4">
        <v>12922</v>
      </c>
      <c r="L221" s="4">
        <v>121</v>
      </c>
      <c r="M221" s="4">
        <v>3844</v>
      </c>
      <c r="N221" s="4">
        <v>91</v>
      </c>
      <c r="O221" s="4">
        <v>4056</v>
      </c>
      <c r="P221" s="4">
        <v>34</v>
      </c>
      <c r="Q221" s="4">
        <v>1020</v>
      </c>
      <c r="R221" s="4">
        <v>-125</v>
      </c>
      <c r="S221" s="4">
        <v>78</v>
      </c>
      <c r="T221" s="4">
        <v>1007</v>
      </c>
      <c r="U221" s="4">
        <v>-47</v>
      </c>
    </row>
    <row r="222" spans="1:27" ht="12.5" x14ac:dyDescent="0.25">
      <c r="A222" s="2">
        <v>44111</v>
      </c>
      <c r="B222" s="4">
        <v>11472</v>
      </c>
      <c r="C222" s="4">
        <v>240291</v>
      </c>
      <c r="D222" s="4">
        <v>63951</v>
      </c>
      <c r="E222" s="4">
        <v>315714</v>
      </c>
      <c r="F222" s="4">
        <v>1819</v>
      </c>
      <c r="G222" s="4">
        <v>67310</v>
      </c>
      <c r="H222" s="4">
        <v>10807</v>
      </c>
      <c r="I222" s="4">
        <v>2447</v>
      </c>
      <c r="J222" s="4">
        <v>82383</v>
      </c>
      <c r="K222" s="4">
        <v>13254</v>
      </c>
      <c r="L222" s="4">
        <v>98</v>
      </c>
      <c r="M222" s="4">
        <v>3854</v>
      </c>
      <c r="N222" s="4">
        <v>586</v>
      </c>
      <c r="O222" s="4">
        <v>4538</v>
      </c>
      <c r="P222" s="4">
        <v>13</v>
      </c>
      <c r="Q222" s="4">
        <v>995</v>
      </c>
      <c r="R222" s="4">
        <v>20</v>
      </c>
      <c r="S222" s="4">
        <v>312</v>
      </c>
      <c r="T222" s="4">
        <v>1340</v>
      </c>
      <c r="U222" s="4">
        <v>332</v>
      </c>
    </row>
    <row r="223" spans="1:27" ht="12.5" x14ac:dyDescent="0.25">
      <c r="A223" s="2">
        <v>44112</v>
      </c>
      <c r="B223" s="4">
        <v>11580</v>
      </c>
      <c r="C223" s="4">
        <v>244060</v>
      </c>
      <c r="D223" s="4">
        <v>64924</v>
      </c>
      <c r="E223" s="4">
        <v>320564</v>
      </c>
      <c r="F223" s="4">
        <v>1838</v>
      </c>
      <c r="G223" s="4">
        <v>68352</v>
      </c>
      <c r="H223" s="4">
        <v>10717</v>
      </c>
      <c r="I223" s="4">
        <v>2485</v>
      </c>
      <c r="J223" s="4">
        <v>83392</v>
      </c>
      <c r="K223" s="4">
        <v>13202</v>
      </c>
      <c r="L223" s="4">
        <v>108</v>
      </c>
      <c r="M223" s="4">
        <v>3769</v>
      </c>
      <c r="N223" s="4">
        <v>973</v>
      </c>
      <c r="O223" s="4">
        <v>4850</v>
      </c>
      <c r="P223" s="4">
        <v>19</v>
      </c>
      <c r="Q223" s="4">
        <v>1042</v>
      </c>
      <c r="R223" s="4">
        <v>-90</v>
      </c>
      <c r="S223" s="4">
        <v>38</v>
      </c>
      <c r="T223" s="4">
        <v>1009</v>
      </c>
      <c r="U223" s="4">
        <v>-52</v>
      </c>
    </row>
    <row r="224" spans="1:27" ht="14.5" x14ac:dyDescent="0.35">
      <c r="A224" s="29">
        <v>44113</v>
      </c>
      <c r="B224" s="6">
        <v>11677</v>
      </c>
      <c r="C224" s="6">
        <v>247667</v>
      </c>
      <c r="D224" s="6">
        <v>65314</v>
      </c>
      <c r="E224" s="6">
        <v>324658</v>
      </c>
      <c r="F224" s="6">
        <v>1860</v>
      </c>
      <c r="G224" s="6">
        <v>69203</v>
      </c>
      <c r="H224" s="6">
        <v>10746</v>
      </c>
      <c r="I224" s="6">
        <v>2555</v>
      </c>
      <c r="J224" s="6">
        <v>84364</v>
      </c>
      <c r="K224" s="6">
        <v>13301</v>
      </c>
      <c r="L224" s="6">
        <v>97</v>
      </c>
      <c r="M224" s="6">
        <v>3607</v>
      </c>
      <c r="N224" s="6">
        <v>390</v>
      </c>
      <c r="O224" s="6">
        <v>4094</v>
      </c>
      <c r="P224" s="6">
        <v>22</v>
      </c>
      <c r="Q224" s="6">
        <v>851</v>
      </c>
      <c r="R224" s="6">
        <v>29</v>
      </c>
      <c r="S224" s="6">
        <v>70</v>
      </c>
      <c r="T224" s="6">
        <v>972</v>
      </c>
      <c r="U224" s="25">
        <v>99</v>
      </c>
      <c r="V224" s="12"/>
      <c r="W224" s="12"/>
      <c r="X224" s="12"/>
      <c r="Y224" s="12"/>
      <c r="Z224" s="12"/>
      <c r="AA224" s="12"/>
    </row>
    <row r="225" spans="1:27" ht="12.5" x14ac:dyDescent="0.25">
      <c r="A225" s="2">
        <v>44114</v>
      </c>
      <c r="B225" s="4">
        <v>11765</v>
      </c>
      <c r="C225" s="4">
        <v>251481</v>
      </c>
      <c r="D225" s="4">
        <v>65706</v>
      </c>
      <c r="E225" s="4">
        <v>328952</v>
      </c>
      <c r="F225" s="4">
        <v>1877</v>
      </c>
      <c r="G225" s="4">
        <v>70487</v>
      </c>
      <c r="H225" s="4">
        <v>10698</v>
      </c>
      <c r="I225" s="4">
        <v>2555</v>
      </c>
      <c r="J225" s="4">
        <v>85617</v>
      </c>
      <c r="K225" s="4">
        <v>13253</v>
      </c>
      <c r="L225" s="4">
        <v>88</v>
      </c>
      <c r="M225" s="4">
        <v>3814</v>
      </c>
      <c r="N225" s="4">
        <v>392</v>
      </c>
      <c r="O225" s="4">
        <v>4294</v>
      </c>
      <c r="P225" s="4">
        <v>17</v>
      </c>
      <c r="Q225" s="4">
        <v>1284</v>
      </c>
      <c r="R225" s="4">
        <v>-48</v>
      </c>
      <c r="S225" s="4">
        <v>0</v>
      </c>
      <c r="T225" s="4">
        <v>1253</v>
      </c>
      <c r="U225" s="4">
        <v>-48</v>
      </c>
    </row>
    <row r="226" spans="1:27" ht="14.5" x14ac:dyDescent="0.35">
      <c r="A226" s="29">
        <v>44115</v>
      </c>
      <c r="B226" s="28">
        <v>11844</v>
      </c>
      <c r="C226" s="28">
        <v>255027</v>
      </c>
      <c r="D226" s="25">
        <v>66578</v>
      </c>
      <c r="E226" s="25">
        <v>333449</v>
      </c>
      <c r="F226" s="6">
        <v>1901</v>
      </c>
      <c r="G226" s="6">
        <v>71549</v>
      </c>
      <c r="H226" s="6">
        <v>10863</v>
      </c>
      <c r="I226" s="6">
        <v>2693</v>
      </c>
      <c r="J226" s="6">
        <v>87006</v>
      </c>
      <c r="K226" s="6">
        <v>13556</v>
      </c>
      <c r="L226" s="6">
        <v>79</v>
      </c>
      <c r="M226" s="6">
        <v>3546</v>
      </c>
      <c r="N226" s="6">
        <v>872</v>
      </c>
      <c r="O226" s="6">
        <v>4497</v>
      </c>
      <c r="P226" s="6">
        <v>24</v>
      </c>
      <c r="Q226" s="6">
        <v>1062</v>
      </c>
      <c r="R226" s="6">
        <v>165</v>
      </c>
      <c r="S226" s="6">
        <v>138</v>
      </c>
      <c r="T226" s="6">
        <v>1389</v>
      </c>
      <c r="U226" s="25">
        <v>303</v>
      </c>
      <c r="V226" s="12"/>
      <c r="W226" s="12"/>
      <c r="X226" s="12"/>
      <c r="Y226" s="12"/>
      <c r="Z226" s="12"/>
      <c r="AA226" s="12"/>
    </row>
    <row r="227" spans="1:27" ht="12.5" x14ac:dyDescent="0.25">
      <c r="A227" s="29">
        <v>44116</v>
      </c>
      <c r="B227" s="4">
        <v>11935</v>
      </c>
      <c r="C227" s="4">
        <v>258519</v>
      </c>
      <c r="D227" s="4">
        <v>66262</v>
      </c>
      <c r="E227" s="4">
        <v>336716</v>
      </c>
      <c r="F227" s="4">
        <v>1922</v>
      </c>
      <c r="G227" s="4">
        <v>72633</v>
      </c>
      <c r="H227" s="4">
        <v>10814</v>
      </c>
      <c r="I227" s="4">
        <v>2805</v>
      </c>
      <c r="J227" s="4">
        <v>88174</v>
      </c>
      <c r="K227" s="4">
        <v>13619</v>
      </c>
      <c r="L227" s="4">
        <v>91</v>
      </c>
      <c r="M227" s="4">
        <v>3492</v>
      </c>
      <c r="N227" s="4">
        <v>-316</v>
      </c>
      <c r="O227" s="4">
        <v>3267</v>
      </c>
      <c r="P227" s="4">
        <v>21</v>
      </c>
      <c r="Q227" s="4">
        <v>1084</v>
      </c>
      <c r="R227" s="4">
        <v>-49</v>
      </c>
      <c r="S227" s="4">
        <v>112</v>
      </c>
      <c r="T227" s="4">
        <v>1168</v>
      </c>
      <c r="U227" s="4">
        <v>63</v>
      </c>
    </row>
    <row r="228" spans="1:27" ht="14.5" x14ac:dyDescent="0.35">
      <c r="A228" s="29">
        <v>44117</v>
      </c>
      <c r="B228" s="28">
        <v>12027</v>
      </c>
      <c r="C228" s="28">
        <v>263296</v>
      </c>
      <c r="D228" s="25">
        <v>65299</v>
      </c>
      <c r="E228" s="28">
        <v>340622</v>
      </c>
      <c r="F228" s="6">
        <v>1944</v>
      </c>
      <c r="G228" s="6">
        <v>73733</v>
      </c>
      <c r="H228" s="6">
        <v>10908</v>
      </c>
      <c r="I228" s="6">
        <v>2643</v>
      </c>
      <c r="J228" s="6">
        <v>89228</v>
      </c>
      <c r="K228" s="6">
        <v>13551</v>
      </c>
      <c r="L228" s="6">
        <v>92</v>
      </c>
      <c r="M228" s="6">
        <v>4777</v>
      </c>
      <c r="N228" s="6">
        <v>-963</v>
      </c>
      <c r="O228" s="6">
        <v>3906</v>
      </c>
      <c r="P228" s="6">
        <v>22</v>
      </c>
      <c r="Q228" s="6">
        <v>1100</v>
      </c>
      <c r="R228" s="6">
        <v>94</v>
      </c>
      <c r="S228" s="6">
        <v>-162</v>
      </c>
      <c r="T228" s="6">
        <v>1054</v>
      </c>
      <c r="U228" s="25">
        <v>-68</v>
      </c>
      <c r="V228" s="12"/>
      <c r="W228" s="12"/>
      <c r="X228" s="12"/>
      <c r="Y228" s="12"/>
      <c r="Z228" s="12"/>
      <c r="AA228" s="12"/>
    </row>
    <row r="229" spans="1:27" ht="12.5" x14ac:dyDescent="0.25">
      <c r="A229" s="29">
        <v>44118</v>
      </c>
      <c r="B229" s="4">
        <v>12156</v>
      </c>
      <c r="C229" s="4">
        <v>267851</v>
      </c>
      <c r="D229" s="4">
        <v>64742</v>
      </c>
      <c r="E229" s="4">
        <v>344749</v>
      </c>
      <c r="F229" s="4">
        <v>1961</v>
      </c>
      <c r="G229" s="4">
        <v>74924</v>
      </c>
      <c r="H229" s="4">
        <v>10822</v>
      </c>
      <c r="I229" s="4">
        <v>2559</v>
      </c>
      <c r="J229" s="4">
        <v>90266</v>
      </c>
      <c r="K229" s="4">
        <v>13381</v>
      </c>
      <c r="L229" s="4">
        <v>129</v>
      </c>
      <c r="M229" s="4">
        <v>4555</v>
      </c>
      <c r="N229" s="4">
        <v>-557</v>
      </c>
      <c r="O229" s="4">
        <v>4127</v>
      </c>
      <c r="P229" s="4">
        <v>17</v>
      </c>
      <c r="Q229" s="4">
        <v>1191</v>
      </c>
      <c r="R229" s="4">
        <v>-86</v>
      </c>
      <c r="S229" s="4">
        <v>-84</v>
      </c>
      <c r="T229" s="4">
        <v>1038</v>
      </c>
      <c r="U229" s="4">
        <v>-170</v>
      </c>
    </row>
    <row r="230" spans="1:27" ht="12.5" x14ac:dyDescent="0.25">
      <c r="A230" s="2">
        <v>44119</v>
      </c>
      <c r="B230" s="4">
        <v>12268</v>
      </c>
      <c r="C230" s="4">
        <v>273661</v>
      </c>
      <c r="D230" s="4">
        <v>63231</v>
      </c>
      <c r="E230" s="4">
        <v>349160</v>
      </c>
      <c r="F230" s="4">
        <v>1984</v>
      </c>
      <c r="G230" s="4">
        <v>75974</v>
      </c>
      <c r="H230" s="4">
        <v>10636</v>
      </c>
      <c r="I230" s="4">
        <v>2743</v>
      </c>
      <c r="J230" s="4">
        <v>91337</v>
      </c>
      <c r="K230" s="4">
        <v>13379</v>
      </c>
      <c r="L230" s="4">
        <v>112</v>
      </c>
      <c r="M230" s="4">
        <v>5810</v>
      </c>
      <c r="N230" s="4">
        <v>-1511</v>
      </c>
      <c r="O230" s="4">
        <v>4411</v>
      </c>
      <c r="P230" s="4">
        <v>23</v>
      </c>
      <c r="Q230" s="4">
        <v>1050</v>
      </c>
      <c r="R230" s="4">
        <v>-186</v>
      </c>
      <c r="S230" s="4">
        <v>184</v>
      </c>
      <c r="T230" s="4">
        <v>1071</v>
      </c>
      <c r="U230" s="4">
        <v>-2</v>
      </c>
    </row>
    <row r="231" spans="1:27" ht="12.5" x14ac:dyDescent="0.25">
      <c r="A231" s="2">
        <v>44120</v>
      </c>
      <c r="B231" s="4">
        <v>12347</v>
      </c>
      <c r="C231" s="4">
        <v>277544</v>
      </c>
      <c r="D231" s="4">
        <v>63570</v>
      </c>
      <c r="E231" s="4">
        <v>353461</v>
      </c>
      <c r="F231" s="4">
        <v>2008</v>
      </c>
      <c r="G231" s="4">
        <v>76956</v>
      </c>
      <c r="H231" s="4">
        <v>10498</v>
      </c>
      <c r="I231" s="4">
        <v>2920</v>
      </c>
      <c r="J231" s="4">
        <v>92382</v>
      </c>
      <c r="K231" s="4">
        <v>13418</v>
      </c>
      <c r="L231" s="4">
        <v>79</v>
      </c>
      <c r="M231" s="4">
        <v>3883</v>
      </c>
      <c r="N231" s="4">
        <v>339</v>
      </c>
      <c r="O231" s="4">
        <v>4301</v>
      </c>
      <c r="P231" s="4">
        <v>24</v>
      </c>
      <c r="Q231" s="4">
        <v>982</v>
      </c>
      <c r="R231" s="4">
        <v>-138</v>
      </c>
      <c r="S231" s="4">
        <v>177</v>
      </c>
      <c r="T231" s="4">
        <v>1045</v>
      </c>
      <c r="U231" s="4">
        <v>39</v>
      </c>
    </row>
    <row r="232" spans="1:27" ht="12.5" x14ac:dyDescent="0.25">
      <c r="A232" s="2">
        <v>44121</v>
      </c>
      <c r="B232" s="4">
        <v>12431</v>
      </c>
      <c r="C232" s="4">
        <v>281592</v>
      </c>
      <c r="D232" s="4">
        <v>63739</v>
      </c>
      <c r="E232" s="4">
        <v>357762</v>
      </c>
      <c r="F232" s="4">
        <v>2032</v>
      </c>
      <c r="G232" s="4">
        <v>78062</v>
      </c>
      <c r="H232" s="4">
        <v>10591</v>
      </c>
      <c r="I232" s="4">
        <v>2671</v>
      </c>
      <c r="J232" s="4">
        <v>93356</v>
      </c>
      <c r="K232" s="4">
        <v>13262</v>
      </c>
      <c r="L232" s="4">
        <v>84</v>
      </c>
      <c r="M232" s="4">
        <v>4048</v>
      </c>
      <c r="N232" s="4">
        <v>169</v>
      </c>
      <c r="O232" s="4">
        <v>4301</v>
      </c>
      <c r="P232" s="4">
        <v>24</v>
      </c>
      <c r="Q232" s="4">
        <v>1106</v>
      </c>
      <c r="R232" s="4">
        <v>93</v>
      </c>
      <c r="S232" s="4">
        <v>-249</v>
      </c>
      <c r="T232" s="4">
        <v>974</v>
      </c>
      <c r="U232" s="4">
        <v>-156</v>
      </c>
    </row>
    <row r="233" spans="1:27" ht="14.5" x14ac:dyDescent="0.35">
      <c r="A233" s="29">
        <v>44122</v>
      </c>
      <c r="B233" s="28">
        <v>12511</v>
      </c>
      <c r="C233" s="28">
        <v>285324</v>
      </c>
      <c r="D233" s="25">
        <v>64032</v>
      </c>
      <c r="E233" s="25">
        <v>361867</v>
      </c>
      <c r="F233" s="6">
        <v>2051</v>
      </c>
      <c r="G233" s="6">
        <v>79136</v>
      </c>
      <c r="H233" s="6">
        <v>10782</v>
      </c>
      <c r="I233" s="6">
        <v>2358</v>
      </c>
      <c r="J233" s="6">
        <v>94327</v>
      </c>
      <c r="K233" s="6">
        <v>13140</v>
      </c>
      <c r="L233" s="6">
        <v>80</v>
      </c>
      <c r="M233" s="6">
        <v>3732</v>
      </c>
      <c r="N233" s="6">
        <v>293</v>
      </c>
      <c r="O233" s="6">
        <v>4105</v>
      </c>
      <c r="P233" s="6">
        <v>19</v>
      </c>
      <c r="Q233" s="6">
        <v>1074</v>
      </c>
      <c r="R233" s="6">
        <v>191</v>
      </c>
      <c r="S233" s="6">
        <v>-313</v>
      </c>
      <c r="T233" s="6">
        <v>971</v>
      </c>
      <c r="U233" s="25">
        <v>-122</v>
      </c>
      <c r="V233" s="12"/>
      <c r="W233" s="12"/>
      <c r="X233" s="12"/>
      <c r="Y233" s="12"/>
      <c r="Z233" s="12"/>
      <c r="AA233" s="12"/>
    </row>
    <row r="234" spans="1:27" ht="12.5" x14ac:dyDescent="0.25">
      <c r="A234" s="2">
        <v>44123</v>
      </c>
      <c r="B234" s="4">
        <v>12617</v>
      </c>
      <c r="C234" s="4">
        <v>289243</v>
      </c>
      <c r="D234" s="4">
        <v>63380</v>
      </c>
      <c r="E234" s="4">
        <v>365240</v>
      </c>
      <c r="F234" s="4">
        <v>2064</v>
      </c>
      <c r="G234" s="4">
        <v>80261</v>
      </c>
      <c r="H234" s="4">
        <v>10325</v>
      </c>
      <c r="I234" s="4">
        <v>2603</v>
      </c>
      <c r="J234" s="4">
        <v>95253</v>
      </c>
      <c r="K234" s="4">
        <v>12928</v>
      </c>
      <c r="L234" s="4">
        <v>106</v>
      </c>
      <c r="M234" s="4">
        <v>3919</v>
      </c>
      <c r="N234" s="4">
        <v>-652</v>
      </c>
      <c r="O234" s="4">
        <v>3373</v>
      </c>
      <c r="P234" s="4">
        <v>13</v>
      </c>
      <c r="Q234" s="4">
        <v>1125</v>
      </c>
      <c r="R234" s="4">
        <v>-457</v>
      </c>
      <c r="S234" s="4">
        <v>245</v>
      </c>
      <c r="T234" s="4">
        <v>926</v>
      </c>
      <c r="U234" s="4">
        <v>-212</v>
      </c>
    </row>
    <row r="235" spans="1:27" ht="12.5" x14ac:dyDescent="0.25">
      <c r="A235" s="29">
        <v>44124</v>
      </c>
      <c r="B235" s="4">
        <v>12734</v>
      </c>
      <c r="C235" s="4">
        <v>293653</v>
      </c>
      <c r="D235" s="4">
        <v>62455</v>
      </c>
      <c r="E235" s="4">
        <v>368842</v>
      </c>
      <c r="F235" s="4">
        <v>2086</v>
      </c>
      <c r="G235" s="4">
        <v>81107</v>
      </c>
      <c r="H235" s="4">
        <v>10292</v>
      </c>
      <c r="I235" s="4">
        <v>2732</v>
      </c>
      <c r="J235" s="4">
        <v>96217</v>
      </c>
      <c r="K235" s="4">
        <v>13024</v>
      </c>
      <c r="L235" s="4">
        <v>117</v>
      </c>
      <c r="M235" s="4">
        <v>4410</v>
      </c>
      <c r="N235" s="4">
        <v>-925</v>
      </c>
      <c r="O235" s="4">
        <v>3602</v>
      </c>
      <c r="P235" s="4">
        <v>22</v>
      </c>
      <c r="Q235" s="4">
        <v>846</v>
      </c>
      <c r="R235" s="4">
        <v>-33</v>
      </c>
      <c r="S235" s="4">
        <v>129</v>
      </c>
      <c r="T235" s="4">
        <v>964</v>
      </c>
      <c r="U235" s="4">
        <v>96</v>
      </c>
    </row>
    <row r="236" spans="1:27" ht="12.5" x14ac:dyDescent="0.25">
      <c r="A236" s="29">
        <v>44125</v>
      </c>
      <c r="B236" s="4">
        <v>12857</v>
      </c>
      <c r="C236" s="4">
        <v>297509</v>
      </c>
      <c r="D236" s="4">
        <v>62743</v>
      </c>
      <c r="E236" s="4">
        <v>373109</v>
      </c>
      <c r="F236" s="4">
        <v>2105</v>
      </c>
      <c r="G236" s="4">
        <v>82178</v>
      </c>
      <c r="H236" s="4">
        <v>10273</v>
      </c>
      <c r="I236" s="4">
        <v>2661</v>
      </c>
      <c r="J236" s="4">
        <v>97217</v>
      </c>
      <c r="K236" s="4">
        <v>12934</v>
      </c>
      <c r="L236" s="4">
        <v>123</v>
      </c>
      <c r="M236" s="4">
        <v>3856</v>
      </c>
      <c r="N236" s="4">
        <v>288</v>
      </c>
      <c r="O236" s="4">
        <v>4267</v>
      </c>
      <c r="P236" s="4">
        <v>19</v>
      </c>
      <c r="Q236" s="4">
        <v>1071</v>
      </c>
      <c r="R236" s="4">
        <v>-19</v>
      </c>
      <c r="S236" s="4">
        <v>-71</v>
      </c>
      <c r="T236" s="4">
        <v>1000</v>
      </c>
      <c r="U236" s="4">
        <v>-90</v>
      </c>
    </row>
    <row r="237" spans="1:27" ht="12.5" x14ac:dyDescent="0.25">
      <c r="A237" s="2">
        <v>44126</v>
      </c>
      <c r="B237" s="4">
        <v>12959</v>
      </c>
      <c r="C237" s="4">
        <v>301006</v>
      </c>
      <c r="D237" s="4">
        <v>63576</v>
      </c>
      <c r="E237" s="4">
        <v>377541</v>
      </c>
      <c r="F237" s="4">
        <v>2120</v>
      </c>
      <c r="G237" s="4">
        <v>83338</v>
      </c>
      <c r="H237" s="4">
        <v>9980</v>
      </c>
      <c r="I237" s="4">
        <v>2768</v>
      </c>
      <c r="J237" s="4">
        <v>98206</v>
      </c>
      <c r="K237" s="4">
        <v>12748</v>
      </c>
      <c r="L237" s="4">
        <v>102</v>
      </c>
      <c r="M237" s="4">
        <v>3497</v>
      </c>
      <c r="N237" s="4">
        <v>833</v>
      </c>
      <c r="O237" s="4">
        <v>4432</v>
      </c>
      <c r="P237" s="4">
        <v>15</v>
      </c>
      <c r="Q237" s="4">
        <v>1160</v>
      </c>
      <c r="R237" s="4">
        <v>-293</v>
      </c>
      <c r="S237" s="4">
        <v>107</v>
      </c>
      <c r="T237" s="4">
        <v>989</v>
      </c>
      <c r="U237" s="4">
        <v>-186</v>
      </c>
    </row>
    <row r="238" spans="1:27" ht="14.5" x14ac:dyDescent="0.35">
      <c r="A238" s="29">
        <v>44127</v>
      </c>
      <c r="B238" s="28">
        <v>13077</v>
      </c>
      <c r="C238" s="28">
        <v>305100</v>
      </c>
      <c r="D238" s="25">
        <v>63733</v>
      </c>
      <c r="E238" s="25">
        <v>381910</v>
      </c>
      <c r="F238" s="6">
        <v>2138</v>
      </c>
      <c r="G238" s="6">
        <v>84430</v>
      </c>
      <c r="H238" s="6">
        <v>9604</v>
      </c>
      <c r="I238" s="6">
        <v>2986</v>
      </c>
      <c r="J238" s="6">
        <v>99158</v>
      </c>
      <c r="K238" s="6">
        <v>12590</v>
      </c>
      <c r="L238" s="6">
        <v>118</v>
      </c>
      <c r="M238" s="6">
        <v>4094</v>
      </c>
      <c r="N238" s="6">
        <v>157</v>
      </c>
      <c r="O238" s="6">
        <v>4369</v>
      </c>
      <c r="P238" s="6">
        <v>18</v>
      </c>
      <c r="Q238" s="6">
        <v>1092</v>
      </c>
      <c r="R238" s="6">
        <v>-376</v>
      </c>
      <c r="S238" s="6">
        <v>218</v>
      </c>
      <c r="T238" s="6">
        <v>952</v>
      </c>
      <c r="U238" s="25">
        <v>-158</v>
      </c>
      <c r="V238" s="12"/>
      <c r="W238" s="12"/>
      <c r="X238" s="12"/>
      <c r="Y238" s="12"/>
      <c r="Z238" s="12"/>
      <c r="AA238" s="12"/>
    </row>
    <row r="239" spans="1:27" ht="12.5" x14ac:dyDescent="0.25">
      <c r="A239" s="2">
        <v>44128</v>
      </c>
      <c r="B239" s="4">
        <v>13205</v>
      </c>
      <c r="C239" s="4">
        <v>309219</v>
      </c>
      <c r="D239" s="4">
        <v>63556</v>
      </c>
      <c r="E239" s="4">
        <v>385980</v>
      </c>
      <c r="F239" s="4">
        <v>2153</v>
      </c>
      <c r="G239" s="4">
        <v>85586</v>
      </c>
      <c r="H239" s="4">
        <v>9557</v>
      </c>
      <c r="I239" s="4">
        <v>2924</v>
      </c>
      <c r="J239" s="4">
        <v>100220</v>
      </c>
      <c r="K239" s="4">
        <v>12481</v>
      </c>
      <c r="L239" s="4">
        <v>128</v>
      </c>
      <c r="M239" s="4">
        <v>4119</v>
      </c>
      <c r="N239" s="4">
        <v>-177</v>
      </c>
      <c r="O239" s="4">
        <v>4070</v>
      </c>
      <c r="P239" s="4">
        <v>15</v>
      </c>
      <c r="Q239" s="4">
        <v>1156</v>
      </c>
      <c r="R239" s="4">
        <v>-47</v>
      </c>
      <c r="S239" s="4">
        <v>-62</v>
      </c>
      <c r="T239" s="4">
        <v>1062</v>
      </c>
      <c r="U239" s="4">
        <v>-109</v>
      </c>
    </row>
    <row r="240" spans="1:27" ht="14.5" x14ac:dyDescent="0.35">
      <c r="A240" s="29">
        <v>44129</v>
      </c>
      <c r="B240" s="28">
        <v>13299</v>
      </c>
      <c r="C240" s="28">
        <v>313764</v>
      </c>
      <c r="D240" s="25">
        <v>62649</v>
      </c>
      <c r="E240" s="28">
        <v>389712</v>
      </c>
      <c r="F240" s="6">
        <v>2164</v>
      </c>
      <c r="G240" s="6">
        <v>86815</v>
      </c>
      <c r="H240" s="6">
        <v>9151</v>
      </c>
      <c r="I240" s="6">
        <v>2861</v>
      </c>
      <c r="J240" s="6">
        <v>100991</v>
      </c>
      <c r="K240" s="6">
        <v>12012</v>
      </c>
      <c r="L240" s="6">
        <v>94</v>
      </c>
      <c r="M240" s="6">
        <v>4545</v>
      </c>
      <c r="N240" s="6">
        <v>-907</v>
      </c>
      <c r="O240" s="6">
        <v>3732</v>
      </c>
      <c r="P240" s="6">
        <v>11</v>
      </c>
      <c r="Q240" s="6">
        <v>1229</v>
      </c>
      <c r="R240" s="6">
        <v>-406</v>
      </c>
      <c r="S240" s="6">
        <v>-63</v>
      </c>
      <c r="T240" s="6">
        <v>771</v>
      </c>
      <c r="U240" s="25">
        <v>-469</v>
      </c>
      <c r="V240" s="12"/>
      <c r="W240" s="12"/>
      <c r="X240" s="12"/>
      <c r="Y240" s="12"/>
      <c r="Z240" s="12"/>
      <c r="AA240" s="12"/>
    </row>
    <row r="241" spans="1:27" ht="12.5" x14ac:dyDescent="0.25">
      <c r="A241" s="2">
        <v>44130</v>
      </c>
      <c r="B241" s="4">
        <v>13411</v>
      </c>
      <c r="C241" s="4">
        <v>317672</v>
      </c>
      <c r="D241" s="4">
        <v>61851</v>
      </c>
      <c r="E241" s="4">
        <v>392934</v>
      </c>
      <c r="F241" s="4">
        <v>2185</v>
      </c>
      <c r="G241" s="4">
        <v>87977</v>
      </c>
      <c r="H241" s="4">
        <v>8960</v>
      </c>
      <c r="I241" s="4">
        <v>2775</v>
      </c>
      <c r="J241" s="4">
        <v>101897</v>
      </c>
      <c r="K241" s="4">
        <v>11735</v>
      </c>
      <c r="L241" s="4">
        <v>112</v>
      </c>
      <c r="M241" s="4">
        <v>3908</v>
      </c>
      <c r="N241" s="4">
        <v>-798</v>
      </c>
      <c r="O241" s="4">
        <v>3222</v>
      </c>
      <c r="P241" s="4">
        <v>21</v>
      </c>
      <c r="Q241" s="4">
        <v>1162</v>
      </c>
      <c r="R241" s="4">
        <v>-191</v>
      </c>
      <c r="S241" s="4">
        <v>-86</v>
      </c>
      <c r="T241" s="4">
        <v>906</v>
      </c>
      <c r="U241" s="4">
        <v>-277</v>
      </c>
    </row>
    <row r="242" spans="1:27" ht="14.5" x14ac:dyDescent="0.35">
      <c r="A242" s="2">
        <v>44131</v>
      </c>
      <c r="B242" s="6">
        <v>13512</v>
      </c>
      <c r="C242" s="6">
        <v>322248</v>
      </c>
      <c r="D242" s="6">
        <v>60694</v>
      </c>
      <c r="E242" s="6">
        <v>396454</v>
      </c>
      <c r="F242" s="6">
        <v>2195</v>
      </c>
      <c r="G242" s="6">
        <v>89060</v>
      </c>
      <c r="H242" s="6">
        <v>8743</v>
      </c>
      <c r="I242" s="6">
        <v>2680</v>
      </c>
      <c r="J242" s="6">
        <v>102678</v>
      </c>
      <c r="K242" s="6">
        <v>11423</v>
      </c>
      <c r="L242" s="6">
        <v>101</v>
      </c>
      <c r="M242" s="6">
        <v>4576</v>
      </c>
      <c r="N242" s="6">
        <v>-1157</v>
      </c>
      <c r="O242" s="6">
        <v>3520</v>
      </c>
      <c r="P242" s="6">
        <v>10</v>
      </c>
      <c r="Q242" s="6">
        <v>1083</v>
      </c>
      <c r="R242" s="6">
        <v>-217</v>
      </c>
      <c r="S242" s="6">
        <v>-95</v>
      </c>
      <c r="T242" s="6">
        <v>781</v>
      </c>
      <c r="U242" s="25">
        <v>-312</v>
      </c>
      <c r="V242" s="12"/>
      <c r="W242" s="12"/>
      <c r="X242" s="12"/>
      <c r="Y242" s="12"/>
      <c r="Z242" s="12"/>
      <c r="AA242" s="12"/>
    </row>
    <row r="243" spans="1:27" ht="12.5" x14ac:dyDescent="0.25">
      <c r="A243" s="2">
        <v>44132</v>
      </c>
      <c r="B243" s="4">
        <v>13612</v>
      </c>
      <c r="C243" s="4">
        <v>325793</v>
      </c>
      <c r="D243" s="4">
        <v>61078</v>
      </c>
      <c r="E243" s="4">
        <v>400483</v>
      </c>
      <c r="F243" s="4">
        <v>2211</v>
      </c>
      <c r="G243" s="4">
        <v>90157</v>
      </c>
      <c r="H243" s="4">
        <v>8438</v>
      </c>
      <c r="I243" s="4">
        <v>2716</v>
      </c>
      <c r="J243" s="4">
        <v>103522</v>
      </c>
      <c r="K243" s="4">
        <v>11154</v>
      </c>
      <c r="L243" s="4">
        <v>100</v>
      </c>
      <c r="M243" s="4">
        <v>3545</v>
      </c>
      <c r="N243" s="4">
        <v>384</v>
      </c>
      <c r="O243" s="4">
        <v>4029</v>
      </c>
      <c r="P243" s="4">
        <v>16</v>
      </c>
      <c r="Q243" s="4">
        <v>1097</v>
      </c>
      <c r="R243" s="4">
        <v>-305</v>
      </c>
      <c r="S243" s="4">
        <v>36</v>
      </c>
      <c r="T243" s="4">
        <v>844</v>
      </c>
      <c r="U243" s="4">
        <v>-269</v>
      </c>
    </row>
    <row r="244" spans="1:27" ht="12.5" x14ac:dyDescent="0.25">
      <c r="A244" s="2">
        <v>44133</v>
      </c>
      <c r="B244" s="4">
        <v>13701</v>
      </c>
      <c r="C244" s="4">
        <v>329778</v>
      </c>
      <c r="D244" s="4">
        <v>60569</v>
      </c>
      <c r="E244" s="4">
        <v>404048</v>
      </c>
      <c r="F244" s="4">
        <v>2225</v>
      </c>
      <c r="G244" s="4">
        <v>91235</v>
      </c>
      <c r="H244" s="4">
        <v>7951</v>
      </c>
      <c r="I244" s="4">
        <v>2824</v>
      </c>
      <c r="J244" s="4">
        <v>104235</v>
      </c>
      <c r="K244" s="4">
        <v>10775</v>
      </c>
      <c r="L244" s="4">
        <v>89</v>
      </c>
      <c r="M244" s="4">
        <v>3985</v>
      </c>
      <c r="N244" s="4">
        <v>-509</v>
      </c>
      <c r="O244" s="4">
        <v>3565</v>
      </c>
      <c r="P244" s="4">
        <v>14</v>
      </c>
      <c r="Q244" s="4">
        <v>1078</v>
      </c>
      <c r="R244" s="4">
        <v>-487</v>
      </c>
      <c r="S244" s="4">
        <v>108</v>
      </c>
      <c r="T244" s="4">
        <v>713</v>
      </c>
      <c r="U244" s="4">
        <v>-379</v>
      </c>
    </row>
    <row r="245" spans="1:27" ht="14.5" x14ac:dyDescent="0.35">
      <c r="A245" s="2">
        <v>44134</v>
      </c>
      <c r="B245" s="6">
        <v>13782</v>
      </c>
      <c r="C245" s="6">
        <v>334295</v>
      </c>
      <c r="D245" s="6">
        <v>58868</v>
      </c>
      <c r="E245" s="6">
        <v>406945</v>
      </c>
      <c r="F245" s="6">
        <v>2239</v>
      </c>
      <c r="G245" s="6">
        <v>92312</v>
      </c>
      <c r="H245" s="6">
        <v>7457</v>
      </c>
      <c r="I245" s="6">
        <v>2839</v>
      </c>
      <c r="J245" s="6">
        <v>104847</v>
      </c>
      <c r="K245" s="6">
        <v>10296</v>
      </c>
      <c r="L245" s="6">
        <v>81</v>
      </c>
      <c r="M245" s="6">
        <v>4517</v>
      </c>
      <c r="N245" s="6">
        <v>-1701</v>
      </c>
      <c r="O245" s="6">
        <v>2897</v>
      </c>
      <c r="P245" s="6">
        <v>14</v>
      </c>
      <c r="Q245" s="6">
        <v>1077</v>
      </c>
      <c r="R245" s="6">
        <v>-494</v>
      </c>
      <c r="S245" s="6">
        <v>15</v>
      </c>
      <c r="T245" s="6">
        <v>612</v>
      </c>
      <c r="U245" s="25">
        <v>-479</v>
      </c>
      <c r="V245" s="12"/>
      <c r="W245" s="12"/>
      <c r="X245" s="12"/>
      <c r="Y245" s="12"/>
      <c r="Z245" s="12"/>
      <c r="AA245" s="12"/>
    </row>
    <row r="246" spans="1:27" ht="12.5" x14ac:dyDescent="0.25">
      <c r="A246" s="2">
        <v>44135</v>
      </c>
      <c r="B246" s="4">
        <v>13869</v>
      </c>
      <c r="C246" s="4">
        <v>337801</v>
      </c>
      <c r="D246" s="4">
        <v>58418</v>
      </c>
      <c r="E246" s="4">
        <v>410088</v>
      </c>
      <c r="F246" s="4">
        <v>2255</v>
      </c>
      <c r="G246" s="4">
        <v>94434</v>
      </c>
      <c r="H246" s="4">
        <v>6524</v>
      </c>
      <c r="I246" s="4">
        <v>2384</v>
      </c>
      <c r="J246" s="4">
        <v>105597</v>
      </c>
      <c r="K246" s="4">
        <v>8908</v>
      </c>
      <c r="L246" s="4">
        <v>87</v>
      </c>
      <c r="M246" s="4">
        <v>3506</v>
      </c>
      <c r="N246" s="4">
        <v>-450</v>
      </c>
      <c r="O246" s="4">
        <v>3143</v>
      </c>
      <c r="P246" s="4">
        <v>16</v>
      </c>
      <c r="Q246" s="4">
        <v>2122</v>
      </c>
      <c r="R246" s="4">
        <v>-933</v>
      </c>
      <c r="S246" s="4">
        <v>-455</v>
      </c>
      <c r="T246" s="4">
        <v>750</v>
      </c>
      <c r="U246" s="4">
        <v>-1388</v>
      </c>
    </row>
    <row r="247" spans="1:27" ht="14.5" x14ac:dyDescent="0.35">
      <c r="A247" s="29">
        <v>44136</v>
      </c>
      <c r="B247" s="6">
        <v>13943</v>
      </c>
      <c r="C247" s="6">
        <v>341942</v>
      </c>
      <c r="D247" s="6">
        <v>56899</v>
      </c>
      <c r="E247" s="6">
        <v>412784</v>
      </c>
      <c r="F247" s="6">
        <v>2273</v>
      </c>
      <c r="G247" s="6">
        <v>94819</v>
      </c>
      <c r="H247" s="6">
        <v>6935</v>
      </c>
      <c r="I247" s="6">
        <v>2178</v>
      </c>
      <c r="J247" s="6">
        <v>106205</v>
      </c>
      <c r="K247" s="6">
        <v>9113</v>
      </c>
      <c r="L247" s="6">
        <v>74</v>
      </c>
      <c r="M247" s="6">
        <v>4141</v>
      </c>
      <c r="N247" s="6">
        <v>-1519</v>
      </c>
      <c r="O247" s="6">
        <v>2696</v>
      </c>
      <c r="P247" s="6">
        <v>18</v>
      </c>
      <c r="Q247" s="6">
        <v>385</v>
      </c>
      <c r="R247" s="6">
        <v>411</v>
      </c>
      <c r="S247" s="6">
        <v>-206</v>
      </c>
      <c r="T247" s="6">
        <v>608</v>
      </c>
      <c r="U247" s="25">
        <v>205</v>
      </c>
      <c r="V247" s="12"/>
      <c r="W247" s="12"/>
      <c r="X247" s="12"/>
      <c r="Y247" s="12"/>
      <c r="Z247" s="12"/>
      <c r="AA247" s="12"/>
    </row>
    <row r="248" spans="1:27" ht="12.5" x14ac:dyDescent="0.25">
      <c r="A248" s="2">
        <v>44137</v>
      </c>
      <c r="B248" s="4">
        <v>14044</v>
      </c>
      <c r="C248" s="4">
        <v>345566</v>
      </c>
      <c r="D248" s="4">
        <v>55792</v>
      </c>
      <c r="E248" s="4">
        <v>415402</v>
      </c>
      <c r="F248" s="4">
        <v>2291</v>
      </c>
      <c r="G248" s="4">
        <v>95876</v>
      </c>
      <c r="H248" s="4">
        <v>7312</v>
      </c>
      <c r="I248" s="4">
        <v>1750</v>
      </c>
      <c r="J248" s="4">
        <v>107229</v>
      </c>
      <c r="K248" s="4">
        <v>9062</v>
      </c>
      <c r="L248" s="4">
        <v>101</v>
      </c>
      <c r="M248" s="4">
        <v>3624</v>
      </c>
      <c r="N248" s="4">
        <v>-1107</v>
      </c>
      <c r="O248" s="4">
        <v>2618</v>
      </c>
      <c r="P248" s="4">
        <v>18</v>
      </c>
      <c r="Q248" s="4">
        <v>1057</v>
      </c>
      <c r="R248" s="4">
        <v>377</v>
      </c>
      <c r="S248" s="4">
        <v>-428</v>
      </c>
      <c r="T248" s="4">
        <v>1024</v>
      </c>
      <c r="U248" s="4">
        <v>-51</v>
      </c>
    </row>
    <row r="249" spans="1:27" ht="12.5" x14ac:dyDescent="0.25">
      <c r="A249" s="2">
        <v>44138</v>
      </c>
      <c r="B249" s="4">
        <v>14146</v>
      </c>
      <c r="C249" s="4">
        <v>349497</v>
      </c>
      <c r="D249" s="4">
        <v>54732</v>
      </c>
      <c r="E249" s="4">
        <v>418375</v>
      </c>
      <c r="F249" s="4">
        <v>2300</v>
      </c>
      <c r="G249" s="4">
        <v>96902</v>
      </c>
      <c r="H249" s="4">
        <v>6844</v>
      </c>
      <c r="I249" s="4">
        <v>1800</v>
      </c>
      <c r="J249" s="4">
        <v>107846</v>
      </c>
      <c r="K249" s="4">
        <v>8644</v>
      </c>
      <c r="L249" s="4">
        <v>102</v>
      </c>
      <c r="M249" s="4">
        <v>3931</v>
      </c>
      <c r="N249" s="4">
        <v>-1060</v>
      </c>
      <c r="O249" s="4">
        <v>2973</v>
      </c>
      <c r="P249" s="4">
        <v>9</v>
      </c>
      <c r="Q249" s="4">
        <v>1026</v>
      </c>
      <c r="R249" s="4">
        <v>-468</v>
      </c>
      <c r="S249" s="4">
        <v>50</v>
      </c>
      <c r="T249" s="4">
        <v>617</v>
      </c>
      <c r="U249" s="4">
        <v>-418</v>
      </c>
    </row>
    <row r="250" spans="1:27" ht="12.5" x14ac:dyDescent="0.25">
      <c r="A250" s="2">
        <v>44139</v>
      </c>
      <c r="B250" s="4">
        <v>14259</v>
      </c>
      <c r="C250" s="4">
        <v>353282</v>
      </c>
      <c r="D250" s="4">
        <v>54190</v>
      </c>
      <c r="E250" s="4">
        <v>421731</v>
      </c>
      <c r="F250" s="4">
        <v>2315</v>
      </c>
      <c r="G250" s="4">
        <v>97833</v>
      </c>
      <c r="H250" s="4">
        <v>6665</v>
      </c>
      <c r="I250" s="4">
        <v>1807</v>
      </c>
      <c r="J250" s="4">
        <v>108620</v>
      </c>
      <c r="K250" s="4">
        <v>8472</v>
      </c>
      <c r="L250" s="4">
        <v>113</v>
      </c>
      <c r="M250" s="4">
        <v>3785</v>
      </c>
      <c r="N250" s="4">
        <v>-542</v>
      </c>
      <c r="O250" s="4">
        <v>3356</v>
      </c>
      <c r="P250" s="4">
        <v>15</v>
      </c>
      <c r="Q250" s="4">
        <v>931</v>
      </c>
      <c r="R250" s="4">
        <v>-179</v>
      </c>
      <c r="S250" s="4">
        <v>7</v>
      </c>
      <c r="T250" s="4">
        <v>774</v>
      </c>
      <c r="U250" s="4">
        <v>-172</v>
      </c>
    </row>
    <row r="251" spans="1:27" ht="12.5" x14ac:dyDescent="0.25">
      <c r="A251" s="2">
        <v>44140</v>
      </c>
      <c r="B251" s="4">
        <v>14348</v>
      </c>
      <c r="C251" s="4">
        <v>357142</v>
      </c>
      <c r="D251" s="4">
        <v>54306</v>
      </c>
      <c r="E251" s="4">
        <v>425796</v>
      </c>
      <c r="F251" s="4">
        <v>2331</v>
      </c>
      <c r="G251" s="4">
        <v>98806</v>
      </c>
      <c r="H251" s="4">
        <v>6260</v>
      </c>
      <c r="I251" s="4">
        <v>2014</v>
      </c>
      <c r="J251" s="4">
        <v>109411</v>
      </c>
      <c r="K251" s="4">
        <v>8274</v>
      </c>
      <c r="L251" s="4">
        <v>89</v>
      </c>
      <c r="M251" s="4">
        <v>3860</v>
      </c>
      <c r="N251" s="4">
        <v>116</v>
      </c>
      <c r="O251" s="4">
        <v>4065</v>
      </c>
      <c r="P251" s="4">
        <v>16</v>
      </c>
      <c r="Q251" s="4">
        <v>973</v>
      </c>
      <c r="R251" s="4">
        <v>-405</v>
      </c>
      <c r="S251" s="4">
        <v>207</v>
      </c>
      <c r="T251" s="4">
        <v>791</v>
      </c>
      <c r="U251" s="4">
        <v>-198</v>
      </c>
    </row>
    <row r="252" spans="1:27" ht="14.5" x14ac:dyDescent="0.35">
      <c r="A252" s="2">
        <v>44141</v>
      </c>
      <c r="B252" s="6">
        <v>14442</v>
      </c>
      <c r="C252" s="6">
        <v>360705</v>
      </c>
      <c r="D252" s="6">
        <v>54427</v>
      </c>
      <c r="E252" s="6">
        <v>429574</v>
      </c>
      <c r="F252" s="6">
        <v>2348</v>
      </c>
      <c r="G252" s="6">
        <v>99830</v>
      </c>
      <c r="H252" s="6">
        <v>6050</v>
      </c>
      <c r="I252" s="6">
        <v>1855</v>
      </c>
      <c r="J252" s="6">
        <v>110083</v>
      </c>
      <c r="K252" s="6">
        <v>7905</v>
      </c>
      <c r="L252" s="6">
        <v>94</v>
      </c>
      <c r="M252" s="6">
        <v>3563</v>
      </c>
      <c r="N252" s="6">
        <v>121</v>
      </c>
      <c r="O252" s="6">
        <v>3778</v>
      </c>
      <c r="P252" s="6">
        <v>17</v>
      </c>
      <c r="Q252" s="6">
        <v>1024</v>
      </c>
      <c r="R252" s="6">
        <v>-210</v>
      </c>
      <c r="S252" s="6">
        <v>-159</v>
      </c>
      <c r="T252" s="6">
        <v>672</v>
      </c>
      <c r="U252" s="25">
        <v>-369</v>
      </c>
      <c r="V252" s="12"/>
      <c r="W252" s="12"/>
      <c r="X252" s="12"/>
      <c r="Y252" s="12"/>
      <c r="Z252" s="12"/>
      <c r="AA252" s="12"/>
    </row>
    <row r="253" spans="1:27" ht="12.5" x14ac:dyDescent="0.25">
      <c r="A253" s="2">
        <v>44142</v>
      </c>
      <c r="B253" s="4">
        <v>14540</v>
      </c>
      <c r="C253" s="4">
        <v>364417</v>
      </c>
      <c r="D253" s="4">
        <v>54879</v>
      </c>
      <c r="E253" s="4">
        <v>433836</v>
      </c>
      <c r="F253" s="4">
        <v>2359</v>
      </c>
      <c r="G253" s="4">
        <v>100816</v>
      </c>
      <c r="H253" s="4">
        <v>6159</v>
      </c>
      <c r="I253" s="4">
        <v>1867</v>
      </c>
      <c r="J253" s="4">
        <v>111201</v>
      </c>
      <c r="K253" s="4">
        <v>8026</v>
      </c>
      <c r="L253" s="4">
        <v>98</v>
      </c>
      <c r="M253" s="4">
        <v>3712</v>
      </c>
      <c r="N253" s="4">
        <v>452</v>
      </c>
      <c r="O253" s="4">
        <v>4262</v>
      </c>
      <c r="P253" s="4">
        <v>11</v>
      </c>
      <c r="Q253" s="4">
        <v>986</v>
      </c>
      <c r="R253" s="4">
        <v>109</v>
      </c>
      <c r="S253" s="4">
        <v>12</v>
      </c>
      <c r="T253" s="4">
        <v>1118</v>
      </c>
      <c r="U253" s="4">
        <v>121</v>
      </c>
    </row>
    <row r="254" spans="1:27" ht="14.5" x14ac:dyDescent="0.35">
      <c r="A254" s="2">
        <v>44143</v>
      </c>
      <c r="B254" s="6">
        <v>14614</v>
      </c>
      <c r="C254" s="6">
        <v>368298</v>
      </c>
      <c r="D254" s="6">
        <v>54804</v>
      </c>
      <c r="E254" s="6">
        <v>437716</v>
      </c>
      <c r="F254" s="6">
        <v>2366</v>
      </c>
      <c r="G254" s="6">
        <v>101791</v>
      </c>
      <c r="H254" s="6">
        <v>6338</v>
      </c>
      <c r="I254" s="6">
        <v>1532</v>
      </c>
      <c r="J254" s="6">
        <v>112027</v>
      </c>
      <c r="K254" s="6">
        <v>7870</v>
      </c>
      <c r="L254" s="6">
        <v>74</v>
      </c>
      <c r="M254" s="6">
        <v>3881</v>
      </c>
      <c r="N254" s="6">
        <v>-75</v>
      </c>
      <c r="O254" s="6">
        <v>3880</v>
      </c>
      <c r="P254" s="6">
        <v>7</v>
      </c>
      <c r="Q254" s="6">
        <v>975</v>
      </c>
      <c r="R254" s="6">
        <v>179</v>
      </c>
      <c r="S254" s="6">
        <v>-335</v>
      </c>
      <c r="T254" s="6">
        <v>826</v>
      </c>
      <c r="U254" s="25">
        <v>-156</v>
      </c>
      <c r="V254" s="12"/>
      <c r="W254" s="12"/>
      <c r="X254" s="12"/>
      <c r="Y254" s="12"/>
      <c r="Z254" s="12"/>
      <c r="AA254" s="12"/>
    </row>
    <row r="255" spans="1:27" ht="12.5" x14ac:dyDescent="0.25">
      <c r="A255" s="2">
        <v>44144</v>
      </c>
      <c r="B255" s="4">
        <v>14689</v>
      </c>
      <c r="C255" s="4">
        <v>372266</v>
      </c>
      <c r="D255" s="4">
        <v>53614</v>
      </c>
      <c r="E255" s="4">
        <v>440569</v>
      </c>
      <c r="F255" s="4">
        <v>2377</v>
      </c>
      <c r="G255" s="4">
        <v>102844</v>
      </c>
      <c r="H255" s="4">
        <v>6050</v>
      </c>
      <c r="I255" s="4">
        <v>1472</v>
      </c>
      <c r="J255" s="4">
        <v>112743</v>
      </c>
      <c r="K255" s="4">
        <v>7522</v>
      </c>
      <c r="L255" s="4">
        <v>75</v>
      </c>
      <c r="M255" s="4">
        <v>3968</v>
      </c>
      <c r="N255" s="4">
        <v>-1190</v>
      </c>
      <c r="O255" s="4">
        <v>2853</v>
      </c>
      <c r="P255" s="4">
        <v>11</v>
      </c>
      <c r="Q255" s="4">
        <v>1053</v>
      </c>
      <c r="R255" s="4">
        <v>-288</v>
      </c>
      <c r="S255" s="4">
        <v>-60</v>
      </c>
      <c r="T255" s="4">
        <v>716</v>
      </c>
      <c r="U255" s="4">
        <v>-348</v>
      </c>
    </row>
    <row r="256" spans="1:27" ht="14.5" x14ac:dyDescent="0.35">
      <c r="A256" s="2">
        <v>44145</v>
      </c>
      <c r="B256" s="6">
        <v>14761</v>
      </c>
      <c r="C256" s="6">
        <v>375741</v>
      </c>
      <c r="D256" s="6">
        <v>53846</v>
      </c>
      <c r="E256" s="6">
        <v>444348</v>
      </c>
      <c r="F256" s="6">
        <v>2391</v>
      </c>
      <c r="G256" s="6">
        <v>104144</v>
      </c>
      <c r="H256" s="6">
        <v>5724</v>
      </c>
      <c r="I256" s="6">
        <v>1497</v>
      </c>
      <c r="J256" s="6">
        <v>113756</v>
      </c>
      <c r="K256" s="6">
        <v>7221</v>
      </c>
      <c r="L256" s="6">
        <v>72</v>
      </c>
      <c r="M256" s="6">
        <v>3475</v>
      </c>
      <c r="N256" s="6">
        <v>232</v>
      </c>
      <c r="O256" s="6">
        <v>3779</v>
      </c>
      <c r="P256" s="6">
        <v>14</v>
      </c>
      <c r="Q256" s="6">
        <v>1300</v>
      </c>
      <c r="R256" s="6">
        <v>-326</v>
      </c>
      <c r="S256" s="6">
        <v>25</v>
      </c>
      <c r="T256" s="6">
        <v>1013</v>
      </c>
      <c r="U256" s="25">
        <v>-301</v>
      </c>
      <c r="V256" s="12"/>
      <c r="W256" s="12"/>
      <c r="X256" s="12"/>
      <c r="Y256" s="12"/>
      <c r="Z256" s="12"/>
      <c r="AA256" s="12"/>
    </row>
    <row r="257" spans="1:27" ht="12.5" x14ac:dyDescent="0.25">
      <c r="A257" s="2">
        <v>44146</v>
      </c>
      <c r="B257" s="4">
        <v>14836</v>
      </c>
      <c r="C257" s="4">
        <v>378982</v>
      </c>
      <c r="D257" s="4">
        <v>54300</v>
      </c>
      <c r="E257" s="4">
        <v>448118</v>
      </c>
      <c r="F257" s="4">
        <v>2403</v>
      </c>
      <c r="G257" s="4">
        <v>105117</v>
      </c>
      <c r="H257" s="4">
        <v>5161</v>
      </c>
      <c r="I257" s="4">
        <v>1662</v>
      </c>
      <c r="J257" s="4">
        <v>114343</v>
      </c>
      <c r="K257" s="4">
        <v>6823</v>
      </c>
      <c r="L257" s="4">
        <v>75</v>
      </c>
      <c r="M257" s="4">
        <v>3241</v>
      </c>
      <c r="N257" s="4">
        <v>454</v>
      </c>
      <c r="O257" s="4">
        <v>3770</v>
      </c>
      <c r="P257" s="4">
        <v>12</v>
      </c>
      <c r="Q257" s="4">
        <v>973</v>
      </c>
      <c r="R257" s="4">
        <v>-563</v>
      </c>
      <c r="S257" s="4">
        <v>165</v>
      </c>
      <c r="T257" s="4">
        <v>587</v>
      </c>
      <c r="U257" s="4">
        <v>-398</v>
      </c>
    </row>
    <row r="258" spans="1:27" ht="14.5" x14ac:dyDescent="0.35">
      <c r="A258" s="2">
        <v>44147</v>
      </c>
      <c r="B258" s="6">
        <v>14933</v>
      </c>
      <c r="C258" s="6">
        <v>382084</v>
      </c>
      <c r="D258" s="6">
        <v>55274</v>
      </c>
      <c r="E258" s="6">
        <v>452291</v>
      </c>
      <c r="F258" s="6">
        <v>2414</v>
      </c>
      <c r="G258" s="6">
        <v>106189</v>
      </c>
      <c r="H258" s="6">
        <v>4878</v>
      </c>
      <c r="I258" s="6">
        <v>1693</v>
      </c>
      <c r="J258" s="6">
        <v>115174</v>
      </c>
      <c r="K258" s="6">
        <v>6571</v>
      </c>
      <c r="L258" s="6">
        <v>97</v>
      </c>
      <c r="M258" s="6">
        <v>3102</v>
      </c>
      <c r="N258" s="6">
        <v>974</v>
      </c>
      <c r="O258" s="6">
        <v>4173</v>
      </c>
      <c r="P258" s="6">
        <v>11</v>
      </c>
      <c r="Q258" s="6">
        <v>1072</v>
      </c>
      <c r="R258" s="6">
        <v>-283</v>
      </c>
      <c r="S258" s="6">
        <v>31</v>
      </c>
      <c r="T258" s="6">
        <v>831</v>
      </c>
      <c r="U258" s="25">
        <v>-252</v>
      </c>
      <c r="V258" s="12"/>
      <c r="W258" s="12"/>
      <c r="X258" s="12"/>
      <c r="Y258" s="12"/>
      <c r="Z258" s="12"/>
      <c r="AA258" s="12"/>
    </row>
    <row r="259" spans="1:27" ht="12.5" x14ac:dyDescent="0.25">
      <c r="A259" s="2">
        <v>44148</v>
      </c>
      <c r="B259" s="4">
        <v>15037</v>
      </c>
      <c r="C259" s="4">
        <v>385094</v>
      </c>
      <c r="D259" s="4">
        <v>57604</v>
      </c>
      <c r="E259" s="4">
        <v>457735</v>
      </c>
      <c r="F259" s="4">
        <v>2428</v>
      </c>
      <c r="G259" s="4">
        <v>107147</v>
      </c>
      <c r="H259" s="4">
        <v>5028</v>
      </c>
      <c r="I259" s="4">
        <v>1604</v>
      </c>
      <c r="J259" s="4">
        <v>116207</v>
      </c>
      <c r="K259" s="4">
        <v>6632</v>
      </c>
      <c r="L259" s="4">
        <v>104</v>
      </c>
      <c r="M259" s="4">
        <v>3010</v>
      </c>
      <c r="N259" s="4">
        <v>2330</v>
      </c>
      <c r="O259" s="4">
        <v>5444</v>
      </c>
      <c r="P259" s="4">
        <v>14</v>
      </c>
      <c r="Q259" s="4">
        <v>958</v>
      </c>
      <c r="R259" s="4">
        <v>150</v>
      </c>
      <c r="S259" s="4">
        <v>-89</v>
      </c>
      <c r="T259" s="4">
        <v>1033</v>
      </c>
      <c r="U259" s="4">
        <v>61</v>
      </c>
    </row>
    <row r="260" spans="1:27" ht="12.5" x14ac:dyDescent="0.25">
      <c r="A260" s="2">
        <v>44149</v>
      </c>
      <c r="B260" s="4">
        <v>15148</v>
      </c>
      <c r="C260" s="4">
        <v>388094</v>
      </c>
      <c r="D260" s="4">
        <v>59765</v>
      </c>
      <c r="E260" s="4">
        <v>463007</v>
      </c>
      <c r="F260" s="4">
        <v>2441</v>
      </c>
      <c r="G260" s="4">
        <v>108209</v>
      </c>
      <c r="H260" s="4">
        <v>4710</v>
      </c>
      <c r="I260" s="4">
        <v>2102</v>
      </c>
      <c r="J260" s="4">
        <v>117462</v>
      </c>
      <c r="K260" s="4">
        <v>6812</v>
      </c>
      <c r="L260" s="4">
        <v>111</v>
      </c>
      <c r="M260" s="4">
        <v>3000</v>
      </c>
      <c r="N260" s="4">
        <v>2161</v>
      </c>
      <c r="O260" s="4">
        <v>5272</v>
      </c>
      <c r="P260" s="4">
        <v>13</v>
      </c>
      <c r="Q260" s="4">
        <v>1062</v>
      </c>
      <c r="R260" s="4">
        <v>-318</v>
      </c>
      <c r="S260" s="4">
        <v>498</v>
      </c>
      <c r="T260" s="4">
        <v>1255</v>
      </c>
      <c r="U260" s="4">
        <v>180</v>
      </c>
    </row>
    <row r="261" spans="1:27" ht="14.5" x14ac:dyDescent="0.35">
      <c r="A261" s="2">
        <v>44150</v>
      </c>
      <c r="B261" s="6">
        <v>15211</v>
      </c>
      <c r="C261" s="6">
        <v>391991</v>
      </c>
      <c r="D261" s="6">
        <v>59911</v>
      </c>
      <c r="E261" s="6">
        <v>467113</v>
      </c>
      <c r="F261" s="6">
        <v>2448</v>
      </c>
      <c r="G261" s="6">
        <v>109181</v>
      </c>
      <c r="H261" s="6">
        <v>4952</v>
      </c>
      <c r="I261" s="6">
        <v>2046</v>
      </c>
      <c r="J261" s="6">
        <v>118627</v>
      </c>
      <c r="K261" s="6">
        <v>6998</v>
      </c>
      <c r="L261" s="6">
        <v>63</v>
      </c>
      <c r="M261" s="6">
        <v>3897</v>
      </c>
      <c r="N261" s="6">
        <v>146</v>
      </c>
      <c r="O261" s="6">
        <v>4106</v>
      </c>
      <c r="P261" s="6">
        <v>7</v>
      </c>
      <c r="Q261" s="6">
        <v>972</v>
      </c>
      <c r="R261" s="6">
        <v>242</v>
      </c>
      <c r="S261" s="6">
        <v>-56</v>
      </c>
      <c r="T261" s="6">
        <v>1165</v>
      </c>
      <c r="U261" s="25">
        <v>186</v>
      </c>
      <c r="V261" s="12"/>
      <c r="W261" s="12"/>
      <c r="X261" s="12"/>
      <c r="Y261" s="12"/>
      <c r="Z261" s="12"/>
      <c r="AA261" s="12"/>
    </row>
    <row r="262" spans="1:27" ht="12.5" x14ac:dyDescent="0.25">
      <c r="A262" s="2">
        <v>44151</v>
      </c>
      <c r="B262" s="4">
        <v>15296</v>
      </c>
      <c r="C262" s="4">
        <v>395443</v>
      </c>
      <c r="D262" s="4">
        <v>59909</v>
      </c>
      <c r="E262" s="4">
        <v>470648</v>
      </c>
      <c r="F262" s="4">
        <v>2455</v>
      </c>
      <c r="G262" s="4">
        <v>110221</v>
      </c>
      <c r="H262" s="4">
        <v>4420</v>
      </c>
      <c r="I262" s="4">
        <v>2537</v>
      </c>
      <c r="J262" s="4">
        <v>119633</v>
      </c>
      <c r="K262" s="4">
        <v>6957</v>
      </c>
      <c r="L262" s="4">
        <v>85</v>
      </c>
      <c r="M262" s="4">
        <v>3452</v>
      </c>
      <c r="N262" s="4">
        <v>-2</v>
      </c>
      <c r="O262" s="4">
        <v>3535</v>
      </c>
      <c r="P262" s="4">
        <v>7</v>
      </c>
      <c r="Q262" s="4">
        <v>1040</v>
      </c>
      <c r="R262" s="4">
        <v>-532</v>
      </c>
      <c r="S262" s="4">
        <v>491</v>
      </c>
      <c r="T262" s="4">
        <v>1006</v>
      </c>
      <c r="U262" s="4">
        <v>-41</v>
      </c>
    </row>
    <row r="263" spans="1:27" ht="12.5" x14ac:dyDescent="0.25">
      <c r="A263" s="2">
        <v>44152</v>
      </c>
      <c r="B263" s="4">
        <v>15393</v>
      </c>
      <c r="C263" s="4">
        <v>398636</v>
      </c>
      <c r="D263" s="4">
        <v>60426</v>
      </c>
      <c r="E263" s="4">
        <v>474455</v>
      </c>
      <c r="F263" s="4">
        <v>2459</v>
      </c>
      <c r="G263" s="4">
        <v>111096</v>
      </c>
      <c r="H263" s="4">
        <v>4355</v>
      </c>
      <c r="I263" s="4">
        <v>2761</v>
      </c>
      <c r="J263" s="4">
        <v>120671</v>
      </c>
      <c r="K263" s="4">
        <v>7116</v>
      </c>
      <c r="L263" s="4">
        <v>97</v>
      </c>
      <c r="M263" s="4">
        <v>3193</v>
      </c>
      <c r="N263" s="4">
        <v>517</v>
      </c>
      <c r="O263" s="4">
        <v>3807</v>
      </c>
      <c r="P263" s="4">
        <v>4</v>
      </c>
      <c r="Q263" s="4">
        <v>875</v>
      </c>
      <c r="R263" s="4">
        <v>-65</v>
      </c>
      <c r="S263" s="4">
        <v>224</v>
      </c>
      <c r="T263" s="4">
        <v>1038</v>
      </c>
      <c r="U263" s="4">
        <v>159</v>
      </c>
    </row>
    <row r="264" spans="1:27" ht="12.5" x14ac:dyDescent="0.25">
      <c r="A264" s="2">
        <v>44153</v>
      </c>
      <c r="B264" s="4">
        <v>15503</v>
      </c>
      <c r="C264" s="4">
        <v>402347</v>
      </c>
      <c r="D264" s="4">
        <v>60870</v>
      </c>
      <c r="E264" s="4">
        <v>478720</v>
      </c>
      <c r="F264" s="4">
        <v>2470</v>
      </c>
      <c r="G264" s="4">
        <v>111948</v>
      </c>
      <c r="H264" s="4">
        <v>4619</v>
      </c>
      <c r="I264" s="4">
        <v>2781</v>
      </c>
      <c r="J264" s="4">
        <v>121818</v>
      </c>
      <c r="K264" s="4">
        <v>7400</v>
      </c>
      <c r="L264" s="4">
        <v>110</v>
      </c>
      <c r="M264" s="4">
        <v>3711</v>
      </c>
      <c r="N264" s="4">
        <v>444</v>
      </c>
      <c r="O264" s="4">
        <v>4265</v>
      </c>
      <c r="P264" s="4">
        <v>11</v>
      </c>
      <c r="Q264" s="4">
        <v>852</v>
      </c>
      <c r="R264" s="4">
        <v>264</v>
      </c>
      <c r="S264" s="4">
        <v>20</v>
      </c>
      <c r="T264" s="4">
        <v>1147</v>
      </c>
      <c r="U264" s="4">
        <v>284</v>
      </c>
    </row>
    <row r="265" spans="1:27" ht="12.5" x14ac:dyDescent="0.25">
      <c r="A265" s="2">
        <v>44154</v>
      </c>
      <c r="B265" s="4">
        <v>15600</v>
      </c>
      <c r="C265" s="4">
        <v>406612</v>
      </c>
      <c r="D265" s="4">
        <v>61306</v>
      </c>
      <c r="E265" s="4">
        <v>483518</v>
      </c>
      <c r="F265" s="4">
        <v>2484</v>
      </c>
      <c r="G265" s="4">
        <v>112833</v>
      </c>
      <c r="H265" s="4">
        <v>4633</v>
      </c>
      <c r="I265" s="4">
        <v>3053</v>
      </c>
      <c r="J265" s="4">
        <v>123003</v>
      </c>
      <c r="K265" s="4">
        <v>7686</v>
      </c>
      <c r="L265" s="4">
        <v>97</v>
      </c>
      <c r="M265" s="4">
        <v>4265</v>
      </c>
      <c r="N265" s="4">
        <v>436</v>
      </c>
      <c r="O265" s="4">
        <v>4798</v>
      </c>
      <c r="P265" s="4">
        <v>14</v>
      </c>
      <c r="Q265" s="4">
        <v>885</v>
      </c>
      <c r="R265" s="4">
        <v>14</v>
      </c>
      <c r="S265" s="4">
        <v>272</v>
      </c>
      <c r="T265" s="4">
        <v>1185</v>
      </c>
      <c r="U265" s="4">
        <v>286</v>
      </c>
    </row>
    <row r="266" spans="1:27" ht="14.5" x14ac:dyDescent="0.35">
      <c r="A266" s="2">
        <v>44155</v>
      </c>
      <c r="B266" s="6">
        <v>15678</v>
      </c>
      <c r="C266" s="6">
        <v>410552</v>
      </c>
      <c r="D266" s="6">
        <v>62080</v>
      </c>
      <c r="E266" s="6">
        <v>488310</v>
      </c>
      <c r="F266" s="6">
        <v>2501</v>
      </c>
      <c r="G266" s="6">
        <v>113739</v>
      </c>
      <c r="H266" s="6">
        <v>4616</v>
      </c>
      <c r="I266" s="6">
        <v>3387</v>
      </c>
      <c r="J266" s="6">
        <v>124243</v>
      </c>
      <c r="K266" s="6">
        <v>8003</v>
      </c>
      <c r="L266" s="6">
        <v>78</v>
      </c>
      <c r="M266" s="6">
        <v>3940</v>
      </c>
      <c r="N266" s="6">
        <v>774</v>
      </c>
      <c r="O266" s="6">
        <v>4792</v>
      </c>
      <c r="P266" s="6">
        <v>17</v>
      </c>
      <c r="Q266" s="6">
        <v>906</v>
      </c>
      <c r="R266" s="6">
        <v>-17</v>
      </c>
      <c r="S266" s="6">
        <v>334</v>
      </c>
      <c r="T266" s="6">
        <v>1240</v>
      </c>
      <c r="U266" s="25">
        <v>317</v>
      </c>
      <c r="V266" s="12"/>
      <c r="W266" s="12"/>
      <c r="X266" s="12"/>
      <c r="Y266" s="12"/>
      <c r="Z266" s="12"/>
      <c r="AA266" s="12"/>
    </row>
    <row r="267" spans="1:27" ht="12.5" x14ac:dyDescent="0.25">
      <c r="A267" s="2">
        <v>44156</v>
      </c>
      <c r="B267" s="4">
        <v>15774</v>
      </c>
      <c r="C267" s="4">
        <v>413955</v>
      </c>
      <c r="D267" s="4">
        <v>63579</v>
      </c>
      <c r="E267" s="4">
        <v>493308</v>
      </c>
      <c r="F267" s="4">
        <v>2515</v>
      </c>
      <c r="G267" s="4">
        <v>114863</v>
      </c>
      <c r="H267" s="4">
        <v>5323</v>
      </c>
      <c r="I267" s="4">
        <v>3121</v>
      </c>
      <c r="J267" s="4">
        <v>125822</v>
      </c>
      <c r="K267" s="4">
        <v>8444</v>
      </c>
      <c r="L267" s="4">
        <v>96</v>
      </c>
      <c r="M267" s="4">
        <v>3403</v>
      </c>
      <c r="N267" s="4">
        <v>1499</v>
      </c>
      <c r="O267" s="4">
        <v>4998</v>
      </c>
      <c r="P267" s="4">
        <v>14</v>
      </c>
      <c r="Q267" s="4">
        <v>1124</v>
      </c>
      <c r="R267" s="4">
        <v>707</v>
      </c>
      <c r="S267" s="4">
        <v>-266</v>
      </c>
      <c r="T267" s="4">
        <v>1579</v>
      </c>
      <c r="U267" s="4">
        <v>441</v>
      </c>
    </row>
    <row r="268" spans="1:27" ht="14.5" x14ac:dyDescent="0.35">
      <c r="A268" s="2">
        <v>44157</v>
      </c>
      <c r="B268" s="6">
        <v>15884</v>
      </c>
      <c r="C268" s="6">
        <v>418188</v>
      </c>
      <c r="D268" s="6">
        <v>63596</v>
      </c>
      <c r="E268" s="6">
        <v>497668</v>
      </c>
      <c r="F268" s="6">
        <v>2531</v>
      </c>
      <c r="G268" s="6">
        <v>115939</v>
      </c>
      <c r="H268" s="6">
        <v>5529</v>
      </c>
      <c r="I268" s="6">
        <v>3165</v>
      </c>
      <c r="J268" s="6">
        <v>127164</v>
      </c>
      <c r="K268" s="6">
        <v>8694</v>
      </c>
      <c r="L268" s="6">
        <v>110</v>
      </c>
      <c r="M268" s="6">
        <v>4233</v>
      </c>
      <c r="N268" s="6">
        <v>17</v>
      </c>
      <c r="O268" s="6">
        <v>4360</v>
      </c>
      <c r="P268" s="6">
        <v>16</v>
      </c>
      <c r="Q268" s="6">
        <v>1076</v>
      </c>
      <c r="R268" s="6">
        <v>206</v>
      </c>
      <c r="S268" s="6">
        <v>44</v>
      </c>
      <c r="T268" s="6">
        <v>1342</v>
      </c>
      <c r="U268" s="25">
        <v>250</v>
      </c>
      <c r="V268" s="12"/>
      <c r="W268" s="12"/>
      <c r="X268" s="12"/>
      <c r="Y268" s="12"/>
      <c r="Z268" s="12"/>
      <c r="AA268" s="12"/>
    </row>
    <row r="269" spans="1:27" ht="12.5" x14ac:dyDescent="0.25">
      <c r="A269" s="2">
        <v>44158</v>
      </c>
      <c r="B269" s="4">
        <v>16002</v>
      </c>
      <c r="C269" s="4">
        <v>422386</v>
      </c>
      <c r="D269" s="4">
        <v>63722</v>
      </c>
      <c r="E269" s="4">
        <v>502110</v>
      </c>
      <c r="F269" s="4">
        <v>2548</v>
      </c>
      <c r="G269" s="4">
        <v>117003</v>
      </c>
      <c r="H269" s="4">
        <v>5592</v>
      </c>
      <c r="I269" s="4">
        <v>3030</v>
      </c>
      <c r="J269" s="4">
        <v>128173</v>
      </c>
      <c r="K269" s="4">
        <v>8622</v>
      </c>
      <c r="L269" s="4">
        <v>118</v>
      </c>
      <c r="M269" s="4">
        <v>4198</v>
      </c>
      <c r="N269" s="4">
        <v>126</v>
      </c>
      <c r="O269" s="4">
        <v>4442</v>
      </c>
      <c r="P269" s="4">
        <v>17</v>
      </c>
      <c r="Q269" s="4">
        <v>1064</v>
      </c>
      <c r="R269" s="4">
        <v>63</v>
      </c>
      <c r="S269" s="4">
        <v>-135</v>
      </c>
      <c r="T269" s="4">
        <v>1009</v>
      </c>
      <c r="U269" s="4">
        <v>-72</v>
      </c>
    </row>
    <row r="270" spans="1:27" ht="14.5" x14ac:dyDescent="0.35">
      <c r="A270" s="2">
        <v>44159</v>
      </c>
      <c r="B270" s="6">
        <v>16111</v>
      </c>
      <c r="C270" s="6">
        <v>425313</v>
      </c>
      <c r="D270" s="6">
        <v>64878</v>
      </c>
      <c r="E270" s="6">
        <v>506302</v>
      </c>
      <c r="F270" s="6">
        <v>2567</v>
      </c>
      <c r="G270" s="6">
        <v>118062</v>
      </c>
      <c r="H270" s="6">
        <v>5518</v>
      </c>
      <c r="I270" s="6">
        <v>3041</v>
      </c>
      <c r="J270" s="6">
        <v>129188</v>
      </c>
      <c r="K270" s="6">
        <v>8559</v>
      </c>
      <c r="L270" s="6">
        <v>109</v>
      </c>
      <c r="M270" s="6">
        <v>2927</v>
      </c>
      <c r="N270" s="6">
        <v>1156</v>
      </c>
      <c r="O270" s="6">
        <v>4192</v>
      </c>
      <c r="P270" s="6">
        <v>19</v>
      </c>
      <c r="Q270" s="6">
        <v>1059</v>
      </c>
      <c r="R270" s="6">
        <v>-74</v>
      </c>
      <c r="S270" s="6">
        <v>11</v>
      </c>
      <c r="T270" s="6">
        <v>1015</v>
      </c>
      <c r="U270" s="25">
        <v>-63</v>
      </c>
      <c r="V270" s="12"/>
      <c r="W270" s="12"/>
      <c r="X270" s="12"/>
      <c r="Y270" s="12"/>
      <c r="Z270" s="12"/>
      <c r="AA270" s="12"/>
    </row>
    <row r="271" spans="1:27" ht="12.5" x14ac:dyDescent="0.25">
      <c r="A271" s="2">
        <v>44160</v>
      </c>
      <c r="B271" s="4">
        <v>16225</v>
      </c>
      <c r="C271" s="4">
        <v>429807</v>
      </c>
      <c r="D271" s="4">
        <v>65804</v>
      </c>
      <c r="E271" s="4">
        <v>511836</v>
      </c>
      <c r="F271" s="4">
        <v>2584</v>
      </c>
      <c r="G271" s="4">
        <v>119099</v>
      </c>
      <c r="H271" s="4">
        <v>6000</v>
      </c>
      <c r="I271" s="4">
        <v>2778</v>
      </c>
      <c r="J271" s="4">
        <v>130461</v>
      </c>
      <c r="K271" s="4">
        <v>8778</v>
      </c>
      <c r="L271" s="4">
        <v>114</v>
      </c>
      <c r="M271" s="4">
        <v>4494</v>
      </c>
      <c r="N271" s="4">
        <v>926</v>
      </c>
      <c r="O271" s="4">
        <v>5534</v>
      </c>
      <c r="P271" s="4">
        <v>17</v>
      </c>
      <c r="Q271" s="4">
        <v>1037</v>
      </c>
      <c r="R271" s="4">
        <v>482</v>
      </c>
      <c r="S271" s="4">
        <v>-263</v>
      </c>
      <c r="T271" s="4">
        <v>1273</v>
      </c>
      <c r="U271" s="4">
        <v>219</v>
      </c>
    </row>
    <row r="272" spans="1:27" ht="12.5" x14ac:dyDescent="0.25">
      <c r="A272" s="2">
        <v>44161</v>
      </c>
      <c r="B272" s="4">
        <v>16352</v>
      </c>
      <c r="C272" s="4">
        <v>433649</v>
      </c>
      <c r="D272" s="4">
        <v>66752</v>
      </c>
      <c r="E272" s="4">
        <v>516753</v>
      </c>
      <c r="F272" s="4">
        <v>2597</v>
      </c>
      <c r="G272" s="4">
        <v>120287</v>
      </c>
      <c r="H272" s="4">
        <v>5876</v>
      </c>
      <c r="I272" s="4">
        <v>2765</v>
      </c>
      <c r="J272" s="4">
        <v>131525</v>
      </c>
      <c r="K272" s="4">
        <v>8641</v>
      </c>
      <c r="L272" s="4">
        <v>127</v>
      </c>
      <c r="M272" s="4">
        <v>3842</v>
      </c>
      <c r="N272" s="4">
        <v>948</v>
      </c>
      <c r="O272" s="4">
        <v>4917</v>
      </c>
      <c r="P272" s="4">
        <v>13</v>
      </c>
      <c r="Q272" s="4">
        <v>1188</v>
      </c>
      <c r="R272" s="4">
        <v>-124</v>
      </c>
      <c r="S272" s="4">
        <v>-13</v>
      </c>
      <c r="T272" s="4">
        <v>1064</v>
      </c>
      <c r="U272" s="4">
        <v>-137</v>
      </c>
    </row>
    <row r="273" spans="1:27" ht="14.5" x14ac:dyDescent="0.35">
      <c r="A273" s="30">
        <v>44162</v>
      </c>
      <c r="B273" s="6">
        <v>16521</v>
      </c>
      <c r="C273" s="6">
        <v>437456</v>
      </c>
      <c r="D273" s="6">
        <v>68604</v>
      </c>
      <c r="E273" s="6">
        <v>522581</v>
      </c>
      <c r="F273" s="6">
        <v>2614</v>
      </c>
      <c r="G273" s="6">
        <v>121082</v>
      </c>
      <c r="H273" s="6">
        <v>6653</v>
      </c>
      <c r="I273" s="6">
        <v>2612</v>
      </c>
      <c r="J273" s="6">
        <v>132961</v>
      </c>
      <c r="K273" s="6">
        <v>9265</v>
      </c>
      <c r="L273" s="6">
        <v>169</v>
      </c>
      <c r="M273" s="6">
        <v>3807</v>
      </c>
      <c r="N273" s="6">
        <v>1852</v>
      </c>
      <c r="O273" s="6">
        <v>5828</v>
      </c>
      <c r="P273" s="6">
        <v>17</v>
      </c>
      <c r="Q273" s="6">
        <v>795</v>
      </c>
      <c r="R273" s="6">
        <v>777</v>
      </c>
      <c r="S273" s="6">
        <v>-153</v>
      </c>
      <c r="T273" s="6">
        <v>1436</v>
      </c>
      <c r="U273" s="25">
        <v>624</v>
      </c>
      <c r="V273" s="12"/>
      <c r="W273" s="12"/>
      <c r="X273" s="12"/>
      <c r="Y273" s="12"/>
      <c r="Z273" s="12"/>
      <c r="AA273" s="12"/>
    </row>
    <row r="274" spans="1:27" ht="14.5" x14ac:dyDescent="0.35">
      <c r="A274" s="30">
        <v>44163</v>
      </c>
      <c r="B274" s="6">
        <v>16646</v>
      </c>
      <c r="C274" s="6">
        <v>441983</v>
      </c>
      <c r="D274" s="6">
        <v>69370</v>
      </c>
      <c r="E274" s="6">
        <v>527999</v>
      </c>
      <c r="F274" s="6">
        <v>2632</v>
      </c>
      <c r="G274" s="6">
        <v>122328</v>
      </c>
      <c r="H274" s="6">
        <v>6921</v>
      </c>
      <c r="I274" s="6">
        <v>2450</v>
      </c>
      <c r="J274" s="6">
        <v>134331</v>
      </c>
      <c r="K274" s="6">
        <v>9371</v>
      </c>
      <c r="L274" s="6">
        <v>125</v>
      </c>
      <c r="M274" s="6">
        <v>4527</v>
      </c>
      <c r="N274" s="6">
        <v>766</v>
      </c>
      <c r="O274" s="6">
        <v>5418</v>
      </c>
      <c r="P274" s="6">
        <v>18</v>
      </c>
      <c r="Q274" s="6">
        <v>1246</v>
      </c>
      <c r="R274" s="6">
        <v>268</v>
      </c>
      <c r="S274" s="6">
        <v>-162</v>
      </c>
      <c r="T274" s="6">
        <v>1370</v>
      </c>
      <c r="U274" s="25">
        <v>106</v>
      </c>
      <c r="V274" s="12"/>
      <c r="W274" s="12"/>
      <c r="X274" s="12"/>
      <c r="Y274" s="12"/>
      <c r="Z274" s="12"/>
      <c r="AA274" s="12"/>
    </row>
    <row r="275" spans="1:27" ht="12.5" x14ac:dyDescent="0.25">
      <c r="A275" s="2">
        <v>44164</v>
      </c>
      <c r="B275" s="4">
        <v>16815</v>
      </c>
      <c r="C275" s="4">
        <v>445793</v>
      </c>
      <c r="D275" s="4">
        <v>71658</v>
      </c>
      <c r="E275" s="4">
        <v>534266</v>
      </c>
      <c r="F275" s="4">
        <v>2652</v>
      </c>
      <c r="G275" s="4">
        <v>123163</v>
      </c>
      <c r="H275" s="4">
        <v>7608</v>
      </c>
      <c r="I275" s="4">
        <v>2339</v>
      </c>
      <c r="J275" s="4">
        <v>135762</v>
      </c>
      <c r="K275" s="4">
        <v>9947</v>
      </c>
      <c r="L275" s="4">
        <v>169</v>
      </c>
      <c r="M275" s="4">
        <v>3810</v>
      </c>
      <c r="N275" s="4">
        <v>2288</v>
      </c>
      <c r="O275" s="4">
        <v>6267</v>
      </c>
      <c r="P275" s="4">
        <v>20</v>
      </c>
      <c r="Q275" s="4">
        <v>835</v>
      </c>
      <c r="R275" s="4">
        <v>687</v>
      </c>
      <c r="S275" s="4">
        <v>-111</v>
      </c>
      <c r="T275" s="4">
        <v>1431</v>
      </c>
      <c r="U275" s="4">
        <v>576</v>
      </c>
    </row>
    <row r="276" spans="1:27" ht="14.5" x14ac:dyDescent="0.35">
      <c r="A276" s="30">
        <v>44165</v>
      </c>
      <c r="B276" s="4">
        <v>16945</v>
      </c>
      <c r="C276" s="4">
        <v>450518</v>
      </c>
      <c r="D276" s="4">
        <v>71420</v>
      </c>
      <c r="E276" s="4">
        <v>538883</v>
      </c>
      <c r="F276" s="4">
        <v>2671</v>
      </c>
      <c r="G276" s="4">
        <v>124078</v>
      </c>
      <c r="H276" s="4">
        <v>7823</v>
      </c>
      <c r="I276" s="4">
        <v>2289</v>
      </c>
      <c r="J276" s="4">
        <v>136861</v>
      </c>
      <c r="K276" s="4">
        <v>10112</v>
      </c>
      <c r="L276" s="4">
        <v>130</v>
      </c>
      <c r="M276" s="4">
        <v>4725</v>
      </c>
      <c r="N276" s="4">
        <v>-238</v>
      </c>
      <c r="O276" s="4">
        <v>4617</v>
      </c>
      <c r="P276" s="4">
        <v>19</v>
      </c>
      <c r="Q276" s="4">
        <v>915</v>
      </c>
      <c r="R276" s="4">
        <v>215</v>
      </c>
      <c r="S276" s="4">
        <v>-50</v>
      </c>
      <c r="T276" s="4">
        <v>1099</v>
      </c>
      <c r="U276" s="4">
        <v>165</v>
      </c>
    </row>
    <row r="277" spans="1:27" ht="12.5" x14ac:dyDescent="0.25">
      <c r="A277" s="2">
        <v>44166</v>
      </c>
      <c r="B277" s="4">
        <v>17081</v>
      </c>
      <c r="C277" s="4">
        <v>454879</v>
      </c>
      <c r="D277" s="4">
        <v>72015</v>
      </c>
      <c r="E277" s="4">
        <v>543975</v>
      </c>
      <c r="F277" s="4">
        <v>2689</v>
      </c>
      <c r="G277" s="4">
        <v>125102</v>
      </c>
      <c r="H277" s="4">
        <v>7937</v>
      </c>
      <c r="I277" s="4">
        <v>2191</v>
      </c>
      <c r="J277" s="4">
        <v>137919</v>
      </c>
      <c r="K277" s="4">
        <v>10128</v>
      </c>
      <c r="L277" s="4">
        <v>136</v>
      </c>
      <c r="M277" s="4">
        <v>4361</v>
      </c>
      <c r="N277" s="4">
        <v>595</v>
      </c>
      <c r="O277" s="4">
        <v>5092</v>
      </c>
      <c r="P277" s="4">
        <v>18</v>
      </c>
      <c r="Q277" s="4">
        <v>1024</v>
      </c>
      <c r="R277" s="4">
        <v>114</v>
      </c>
      <c r="S277" s="4">
        <v>-98</v>
      </c>
      <c r="T277" s="4">
        <v>1058</v>
      </c>
      <c r="U277" s="4">
        <v>16</v>
      </c>
    </row>
    <row r="278" spans="1:27" ht="12.5" x14ac:dyDescent="0.25">
      <c r="A278" s="2">
        <v>44167</v>
      </c>
      <c r="B278" s="4">
        <v>17199</v>
      </c>
      <c r="C278" s="4">
        <v>458880</v>
      </c>
      <c r="D278" s="4">
        <v>73429</v>
      </c>
      <c r="E278" s="4">
        <v>549508</v>
      </c>
      <c r="F278" s="4">
        <v>2710</v>
      </c>
      <c r="G278" s="4">
        <v>126163</v>
      </c>
      <c r="H278" s="4">
        <v>8202</v>
      </c>
      <c r="I278" s="4">
        <v>2010</v>
      </c>
      <c r="J278" s="4">
        <v>139085</v>
      </c>
      <c r="K278" s="4">
        <v>10212</v>
      </c>
      <c r="L278" s="4">
        <v>118</v>
      </c>
      <c r="M278" s="4">
        <v>4001</v>
      </c>
      <c r="N278" s="4">
        <v>1414</v>
      </c>
      <c r="O278" s="4">
        <v>5533</v>
      </c>
      <c r="P278" s="4">
        <v>21</v>
      </c>
      <c r="Q278" s="4">
        <v>1061</v>
      </c>
      <c r="R278" s="4">
        <v>265</v>
      </c>
      <c r="S278" s="4">
        <v>-181</v>
      </c>
      <c r="T278" s="4">
        <v>1166</v>
      </c>
      <c r="U278" s="4">
        <v>84</v>
      </c>
    </row>
    <row r="279" spans="1:27" ht="12.5" x14ac:dyDescent="0.25">
      <c r="A279" s="2">
        <v>44168</v>
      </c>
      <c r="B279" s="4">
        <v>17355</v>
      </c>
      <c r="C279" s="4">
        <v>462553</v>
      </c>
      <c r="D279" s="4">
        <v>77969</v>
      </c>
      <c r="E279" s="4">
        <v>557877</v>
      </c>
      <c r="F279" s="4">
        <v>2734</v>
      </c>
      <c r="G279" s="4">
        <v>127136</v>
      </c>
      <c r="H279" s="4">
        <v>8155</v>
      </c>
      <c r="I279" s="4">
        <v>2213</v>
      </c>
      <c r="J279" s="4">
        <v>140238</v>
      </c>
      <c r="K279" s="4">
        <v>10368</v>
      </c>
      <c r="L279" s="4">
        <v>156</v>
      </c>
      <c r="M279" s="4">
        <v>3673</v>
      </c>
      <c r="N279" s="4">
        <v>4540</v>
      </c>
      <c r="O279" s="4">
        <v>8369</v>
      </c>
      <c r="P279" s="4">
        <v>24</v>
      </c>
      <c r="Q279" s="4">
        <v>973</v>
      </c>
      <c r="R279" s="4">
        <v>-47</v>
      </c>
      <c r="S279" s="4">
        <v>203</v>
      </c>
      <c r="T279" s="4">
        <v>1153</v>
      </c>
      <c r="U279" s="4">
        <v>156</v>
      </c>
    </row>
    <row r="280" spans="1:27" ht="14.5" x14ac:dyDescent="0.35">
      <c r="A280" s="2">
        <v>44169</v>
      </c>
      <c r="B280" s="6">
        <v>17479</v>
      </c>
      <c r="C280" s="6">
        <v>466178</v>
      </c>
      <c r="D280" s="6">
        <v>80023</v>
      </c>
      <c r="E280" s="6">
        <v>563680</v>
      </c>
      <c r="F280" s="6">
        <v>2757</v>
      </c>
      <c r="G280" s="6">
        <v>128051</v>
      </c>
      <c r="H280" s="6">
        <v>8073</v>
      </c>
      <c r="I280" s="6">
        <v>2389</v>
      </c>
      <c r="J280" s="6">
        <v>141270</v>
      </c>
      <c r="K280" s="6">
        <v>10462</v>
      </c>
      <c r="L280" s="6">
        <v>124</v>
      </c>
      <c r="M280" s="6">
        <v>3625</v>
      </c>
      <c r="N280" s="6">
        <v>2054</v>
      </c>
      <c r="O280" s="6">
        <v>5803</v>
      </c>
      <c r="P280" s="6">
        <v>23</v>
      </c>
      <c r="Q280" s="6">
        <v>915</v>
      </c>
      <c r="R280" s="6">
        <v>-82</v>
      </c>
      <c r="S280" s="6">
        <v>176</v>
      </c>
      <c r="T280" s="6">
        <v>1032</v>
      </c>
      <c r="U280" s="25">
        <v>94</v>
      </c>
      <c r="V280" s="12"/>
      <c r="W280" s="12"/>
      <c r="X280" s="12"/>
      <c r="Y280" s="12"/>
      <c r="Z280" s="12"/>
      <c r="AA280" s="12"/>
    </row>
    <row r="281" spans="1:27" ht="14.5" x14ac:dyDescent="0.35">
      <c r="A281" s="2">
        <v>44170</v>
      </c>
      <c r="B281" s="28">
        <v>17589</v>
      </c>
      <c r="C281" s="6">
        <v>470449</v>
      </c>
      <c r="D281" s="6">
        <v>81669</v>
      </c>
      <c r="E281" s="6">
        <v>569707</v>
      </c>
      <c r="F281" s="6">
        <v>2779</v>
      </c>
      <c r="G281" s="6">
        <v>129067</v>
      </c>
      <c r="H281" s="6">
        <v>8623</v>
      </c>
      <c r="I281" s="6">
        <v>2161</v>
      </c>
      <c r="J281" s="6">
        <v>142630</v>
      </c>
      <c r="K281" s="6">
        <v>10784</v>
      </c>
      <c r="L281" s="6">
        <v>110</v>
      </c>
      <c r="M281" s="6">
        <v>4271</v>
      </c>
      <c r="N281" s="6">
        <v>1646</v>
      </c>
      <c r="O281" s="6">
        <v>6027</v>
      </c>
      <c r="P281" s="6">
        <v>22</v>
      </c>
      <c r="Q281" s="6">
        <v>1016</v>
      </c>
      <c r="R281" s="6">
        <v>550</v>
      </c>
      <c r="S281" s="6">
        <v>-228</v>
      </c>
      <c r="T281" s="6">
        <v>1360</v>
      </c>
      <c r="U281" s="25">
        <v>322</v>
      </c>
      <c r="V281" s="12"/>
      <c r="W281" s="12"/>
      <c r="X281" s="12"/>
      <c r="Y281" s="12"/>
      <c r="Z281" s="12"/>
      <c r="AA281" s="12"/>
    </row>
    <row r="282" spans="1:27" ht="12.5" x14ac:dyDescent="0.25">
      <c r="A282" s="2">
        <v>44171</v>
      </c>
      <c r="B282" s="4">
        <v>17740</v>
      </c>
      <c r="C282" s="4">
        <v>474771</v>
      </c>
      <c r="D282" s="4">
        <v>83285</v>
      </c>
      <c r="E282" s="4">
        <v>575796</v>
      </c>
      <c r="F282" s="4">
        <v>2799</v>
      </c>
      <c r="G282" s="4">
        <v>130136</v>
      </c>
      <c r="H282" s="4">
        <v>8819</v>
      </c>
      <c r="I282" s="4">
        <v>2207</v>
      </c>
      <c r="J282" s="4">
        <v>143961</v>
      </c>
      <c r="K282" s="4">
        <v>11026</v>
      </c>
      <c r="L282" s="4">
        <v>151</v>
      </c>
      <c r="M282" s="4">
        <v>4322</v>
      </c>
      <c r="N282" s="4">
        <v>1616</v>
      </c>
      <c r="O282" s="4">
        <v>6089</v>
      </c>
      <c r="P282" s="4">
        <v>20</v>
      </c>
      <c r="Q282" s="4">
        <v>1069</v>
      </c>
      <c r="R282" s="4">
        <v>196</v>
      </c>
      <c r="S282" s="4">
        <v>46</v>
      </c>
      <c r="T282" s="4">
        <v>1331</v>
      </c>
      <c r="U282" s="4">
        <v>242</v>
      </c>
    </row>
    <row r="283" spans="1:27" ht="12.5" x14ac:dyDescent="0.25">
      <c r="A283" s="2">
        <v>44172</v>
      </c>
      <c r="B283" s="4">
        <v>17867</v>
      </c>
      <c r="C283" s="4">
        <v>479202</v>
      </c>
      <c r="D283" s="4">
        <v>84481</v>
      </c>
      <c r="E283" s="4">
        <v>581550</v>
      </c>
      <c r="F283" s="4">
        <v>2823</v>
      </c>
      <c r="G283" s="4">
        <v>131071</v>
      </c>
      <c r="H283" s="4">
        <v>9473</v>
      </c>
      <c r="I283" s="4">
        <v>2060</v>
      </c>
      <c r="J283" s="4">
        <v>145427</v>
      </c>
      <c r="K283" s="4">
        <v>11533</v>
      </c>
      <c r="L283" s="4">
        <v>127</v>
      </c>
      <c r="M283" s="4">
        <v>4431</v>
      </c>
      <c r="N283" s="4">
        <v>1196</v>
      </c>
      <c r="O283" s="4">
        <v>5754</v>
      </c>
      <c r="P283" s="4">
        <v>24</v>
      </c>
      <c r="Q283" s="4">
        <v>935</v>
      </c>
      <c r="R283" s="4">
        <v>654</v>
      </c>
      <c r="S283" s="4">
        <v>-147</v>
      </c>
      <c r="T283" s="4">
        <v>1466</v>
      </c>
      <c r="U283" s="4">
        <v>507</v>
      </c>
    </row>
    <row r="284" spans="1:27" ht="12.5" x14ac:dyDescent="0.25">
      <c r="A284" s="2">
        <v>44173</v>
      </c>
      <c r="B284" s="4">
        <v>18000</v>
      </c>
      <c r="C284" s="4">
        <v>483497</v>
      </c>
      <c r="D284" s="4">
        <v>85345</v>
      </c>
      <c r="E284" s="4">
        <v>586842</v>
      </c>
      <c r="F284" s="4">
        <v>2842</v>
      </c>
      <c r="G284" s="4">
        <v>132248</v>
      </c>
      <c r="H284" s="4">
        <v>9650</v>
      </c>
      <c r="I284" s="4">
        <v>1861</v>
      </c>
      <c r="J284" s="4">
        <v>146601</v>
      </c>
      <c r="K284" s="4">
        <v>11511</v>
      </c>
      <c r="L284" s="4">
        <v>133</v>
      </c>
      <c r="M284" s="4">
        <v>4295</v>
      </c>
      <c r="N284" s="4">
        <v>864</v>
      </c>
      <c r="O284" s="4">
        <v>5292</v>
      </c>
      <c r="P284" s="4">
        <v>19</v>
      </c>
      <c r="Q284" s="4">
        <v>1177</v>
      </c>
      <c r="R284" s="4">
        <v>177</v>
      </c>
      <c r="S284" s="4">
        <v>-199</v>
      </c>
      <c r="T284" s="4">
        <v>1174</v>
      </c>
      <c r="U284" s="4">
        <v>-22</v>
      </c>
    </row>
    <row r="285" spans="1:27" ht="14.5" x14ac:dyDescent="0.35">
      <c r="A285" s="2">
        <v>44174</v>
      </c>
      <c r="B285" s="6">
        <v>18171</v>
      </c>
      <c r="C285" s="6">
        <v>487445</v>
      </c>
      <c r="D285" s="6">
        <v>87284</v>
      </c>
      <c r="E285" s="6">
        <v>592900</v>
      </c>
      <c r="F285" s="6">
        <v>2860</v>
      </c>
      <c r="G285" s="6">
        <v>133318</v>
      </c>
      <c r="H285" s="6">
        <v>9703</v>
      </c>
      <c r="I285" s="6">
        <v>1957</v>
      </c>
      <c r="J285" s="6">
        <v>147838</v>
      </c>
      <c r="K285" s="6">
        <v>11660</v>
      </c>
      <c r="L285" s="6">
        <v>171</v>
      </c>
      <c r="M285" s="6">
        <v>3948</v>
      </c>
      <c r="N285" s="6">
        <v>1939</v>
      </c>
      <c r="O285" s="6">
        <v>6058</v>
      </c>
      <c r="P285" s="6">
        <v>18</v>
      </c>
      <c r="Q285" s="6">
        <v>1070</v>
      </c>
      <c r="R285" s="6">
        <v>53</v>
      </c>
      <c r="S285" s="6">
        <v>96</v>
      </c>
      <c r="T285" s="6">
        <v>1237</v>
      </c>
      <c r="U285" s="25">
        <v>149</v>
      </c>
      <c r="V285" s="12"/>
      <c r="W285" s="12"/>
      <c r="X285" s="12"/>
      <c r="Y285" s="12"/>
      <c r="Z285" s="12"/>
      <c r="AA285" s="12"/>
    </row>
    <row r="286" spans="1:27" ht="12.5" x14ac:dyDescent="0.25">
      <c r="A286" s="2">
        <v>44175</v>
      </c>
      <c r="B286" s="4">
        <v>18336</v>
      </c>
      <c r="C286" s="4">
        <v>491975</v>
      </c>
      <c r="D286" s="4">
        <v>88622</v>
      </c>
      <c r="E286" s="4">
        <v>598933</v>
      </c>
      <c r="F286" s="4">
        <v>2880</v>
      </c>
      <c r="G286" s="4">
        <v>134366</v>
      </c>
      <c r="H286" s="4">
        <v>9391</v>
      </c>
      <c r="I286" s="4">
        <v>2381</v>
      </c>
      <c r="J286" s="4">
        <v>149018</v>
      </c>
      <c r="K286" s="4">
        <v>11772</v>
      </c>
      <c r="L286" s="4">
        <v>165</v>
      </c>
      <c r="M286" s="4">
        <v>4530</v>
      </c>
      <c r="N286" s="4">
        <v>1338</v>
      </c>
      <c r="O286" s="4">
        <v>6033</v>
      </c>
      <c r="P286" s="4">
        <v>20</v>
      </c>
      <c r="Q286" s="4">
        <v>1048</v>
      </c>
      <c r="R286" s="4">
        <v>-312</v>
      </c>
      <c r="S286" s="4">
        <v>424</v>
      </c>
      <c r="T286" s="4">
        <v>1180</v>
      </c>
      <c r="U286" s="4">
        <v>112</v>
      </c>
    </row>
    <row r="287" spans="1:27" ht="14.5" x14ac:dyDescent="0.35">
      <c r="A287" s="2">
        <v>44176</v>
      </c>
      <c r="B287" s="28">
        <v>18511</v>
      </c>
      <c r="C287" s="28">
        <v>496886</v>
      </c>
      <c r="D287" s="25">
        <v>89846</v>
      </c>
      <c r="E287" s="28">
        <v>605243</v>
      </c>
      <c r="F287" s="6">
        <v>2902</v>
      </c>
      <c r="G287" s="6">
        <v>135545</v>
      </c>
      <c r="H287" s="6">
        <v>9078</v>
      </c>
      <c r="I287" s="6">
        <v>2725</v>
      </c>
      <c r="J287" s="6">
        <v>150250</v>
      </c>
      <c r="K287" s="6">
        <v>11803</v>
      </c>
      <c r="L287" s="6">
        <v>175</v>
      </c>
      <c r="M287" s="6">
        <v>4911</v>
      </c>
      <c r="N287" s="6">
        <v>1224</v>
      </c>
      <c r="O287" s="6">
        <v>6310</v>
      </c>
      <c r="P287" s="6">
        <v>22</v>
      </c>
      <c r="Q287" s="6">
        <v>1179</v>
      </c>
      <c r="R287" s="6">
        <v>-313</v>
      </c>
      <c r="S287" s="6">
        <v>344</v>
      </c>
      <c r="T287" s="6">
        <v>1232</v>
      </c>
      <c r="U287" s="25">
        <v>31</v>
      </c>
      <c r="V287" s="12"/>
      <c r="W287" s="12"/>
      <c r="X287" s="12"/>
      <c r="Y287" s="12"/>
      <c r="Z287" s="12"/>
      <c r="AA287" s="12"/>
    </row>
    <row r="288" spans="1:27" ht="12.5" x14ac:dyDescent="0.25">
      <c r="A288" s="2">
        <v>44177</v>
      </c>
      <c r="B288" s="4">
        <v>18653</v>
      </c>
      <c r="C288" s="4">
        <v>501376</v>
      </c>
      <c r="D288" s="4">
        <v>91602</v>
      </c>
      <c r="E288" s="4">
        <v>611631</v>
      </c>
      <c r="F288" s="4">
        <v>2922</v>
      </c>
      <c r="G288" s="4">
        <v>136489</v>
      </c>
      <c r="H288" s="4">
        <v>8822</v>
      </c>
      <c r="I288" s="4">
        <v>2968</v>
      </c>
      <c r="J288" s="4">
        <v>151201</v>
      </c>
      <c r="K288" s="4">
        <v>11790</v>
      </c>
      <c r="L288" s="4">
        <v>142</v>
      </c>
      <c r="M288" s="4">
        <v>4490</v>
      </c>
      <c r="N288" s="4">
        <v>1756</v>
      </c>
      <c r="O288" s="4">
        <v>6388</v>
      </c>
      <c r="P288" s="4">
        <v>20</v>
      </c>
      <c r="Q288" s="4">
        <v>944</v>
      </c>
      <c r="R288" s="4">
        <v>-256</v>
      </c>
      <c r="S288" s="4">
        <v>243</v>
      </c>
      <c r="T288" s="4">
        <v>951</v>
      </c>
      <c r="U288" s="4">
        <v>-13</v>
      </c>
    </row>
    <row r="289" spans="1:27" ht="14.5" x14ac:dyDescent="0.35">
      <c r="A289" s="2">
        <v>44178</v>
      </c>
      <c r="B289" s="6">
        <v>18819</v>
      </c>
      <c r="C289" s="6">
        <v>505836</v>
      </c>
      <c r="D289" s="6">
        <v>93165</v>
      </c>
      <c r="E289" s="6">
        <v>617820</v>
      </c>
      <c r="F289" s="6">
        <v>2941</v>
      </c>
      <c r="G289" s="6">
        <v>137605</v>
      </c>
      <c r="H289" s="6">
        <v>8679</v>
      </c>
      <c r="I289" s="6">
        <v>3274</v>
      </c>
      <c r="J289" s="6">
        <v>152499</v>
      </c>
      <c r="K289" s="6">
        <v>11953</v>
      </c>
      <c r="L289" s="9">
        <v>166</v>
      </c>
      <c r="M289" s="9">
        <v>4460</v>
      </c>
      <c r="N289" s="9">
        <v>1563</v>
      </c>
      <c r="O289" s="9">
        <v>6189</v>
      </c>
      <c r="P289" s="9">
        <v>19</v>
      </c>
      <c r="Q289" s="9">
        <v>1116</v>
      </c>
      <c r="R289" s="9">
        <v>-143</v>
      </c>
      <c r="S289" s="9">
        <v>306</v>
      </c>
      <c r="T289" s="9">
        <v>1298</v>
      </c>
      <c r="U289" s="9">
        <v>163</v>
      </c>
      <c r="V289" s="12"/>
      <c r="W289" s="12"/>
      <c r="X289" s="12"/>
      <c r="Y289" s="12"/>
      <c r="Z289" s="12"/>
      <c r="AA289" s="12"/>
    </row>
    <row r="290" spans="1:27" ht="12.5" x14ac:dyDescent="0.25">
      <c r="A290" s="2">
        <v>44179</v>
      </c>
      <c r="B290" s="4">
        <v>18956</v>
      </c>
      <c r="C290" s="4">
        <v>510957</v>
      </c>
      <c r="D290" s="4">
        <v>93396</v>
      </c>
      <c r="E290" s="4">
        <v>623309</v>
      </c>
      <c r="F290" s="4">
        <v>2963</v>
      </c>
      <c r="G290" s="4">
        <v>138988</v>
      </c>
      <c r="H290" s="4">
        <v>8994</v>
      </c>
      <c r="I290" s="4">
        <v>3120</v>
      </c>
      <c r="J290" s="4">
        <v>154065</v>
      </c>
      <c r="K290" s="4">
        <v>12114</v>
      </c>
      <c r="L290" s="4">
        <v>137</v>
      </c>
      <c r="M290" s="4">
        <v>5121</v>
      </c>
      <c r="N290" s="4">
        <v>231</v>
      </c>
      <c r="O290" s="4">
        <v>5489</v>
      </c>
      <c r="P290" s="4">
        <v>22</v>
      </c>
      <c r="Q290" s="4">
        <v>1383</v>
      </c>
      <c r="R290" s="4">
        <v>315</v>
      </c>
      <c r="S290" s="4">
        <v>-154</v>
      </c>
      <c r="T290" s="4">
        <v>1566</v>
      </c>
      <c r="U290" s="4">
        <v>161</v>
      </c>
    </row>
    <row r="291" spans="1:27" ht="12.5" x14ac:dyDescent="0.25">
      <c r="A291" s="2">
        <v>44180</v>
      </c>
      <c r="B291" s="4">
        <v>19111</v>
      </c>
      <c r="C291" s="4">
        <v>516656</v>
      </c>
      <c r="D291" s="4">
        <v>93662</v>
      </c>
      <c r="E291" s="4">
        <v>629429</v>
      </c>
      <c r="F291" s="4">
        <v>2990</v>
      </c>
      <c r="G291" s="4">
        <v>140225</v>
      </c>
      <c r="H291" s="4">
        <v>8643</v>
      </c>
      <c r="I291" s="4">
        <v>3264</v>
      </c>
      <c r="J291" s="4">
        <v>155122</v>
      </c>
      <c r="K291" s="4">
        <v>11907</v>
      </c>
      <c r="L291" s="4">
        <v>155</v>
      </c>
      <c r="M291" s="4">
        <v>5699</v>
      </c>
      <c r="N291" s="4">
        <v>266</v>
      </c>
      <c r="O291" s="4">
        <v>6120</v>
      </c>
      <c r="P291" s="4">
        <v>27</v>
      </c>
      <c r="Q291" s="4">
        <v>1237</v>
      </c>
      <c r="R291" s="4">
        <v>-351</v>
      </c>
      <c r="S291" s="4">
        <v>144</v>
      </c>
      <c r="T291" s="4">
        <v>1057</v>
      </c>
      <c r="U291" s="4">
        <v>-207</v>
      </c>
    </row>
    <row r="292" spans="1:27" ht="12.5" x14ac:dyDescent="0.25">
      <c r="A292" s="2">
        <v>44181</v>
      </c>
      <c r="B292" s="4">
        <v>19248</v>
      </c>
      <c r="C292" s="4">
        <v>521984</v>
      </c>
      <c r="D292" s="4">
        <v>94922</v>
      </c>
      <c r="E292" s="4">
        <v>636154</v>
      </c>
      <c r="F292" s="4">
        <v>3010</v>
      </c>
      <c r="G292" s="4">
        <v>141365</v>
      </c>
      <c r="H292" s="4">
        <v>8263</v>
      </c>
      <c r="I292" s="4">
        <v>3705</v>
      </c>
      <c r="J292" s="4">
        <v>156343</v>
      </c>
      <c r="K292" s="4">
        <v>11968</v>
      </c>
      <c r="L292" s="4">
        <v>137</v>
      </c>
      <c r="M292" s="4">
        <v>5328</v>
      </c>
      <c r="N292" s="4">
        <v>1260</v>
      </c>
      <c r="O292" s="4">
        <v>6725</v>
      </c>
      <c r="P292" s="4">
        <v>20</v>
      </c>
      <c r="Q292" s="4">
        <v>1140</v>
      </c>
      <c r="R292" s="4">
        <v>-380</v>
      </c>
      <c r="S292" s="4">
        <v>441</v>
      </c>
      <c r="T292" s="4">
        <v>1221</v>
      </c>
      <c r="U292" s="4">
        <v>61</v>
      </c>
    </row>
    <row r="293" spans="1:27" ht="12.5" x14ac:dyDescent="0.25">
      <c r="A293" s="2">
        <v>44182</v>
      </c>
      <c r="B293" s="4">
        <v>19390</v>
      </c>
      <c r="C293" s="4">
        <v>526979</v>
      </c>
      <c r="D293" s="4">
        <v>97139</v>
      </c>
      <c r="E293" s="4">
        <v>643508</v>
      </c>
      <c r="F293" s="4">
        <v>3027</v>
      </c>
      <c r="G293" s="4">
        <v>142741</v>
      </c>
      <c r="H293" s="4">
        <v>7851</v>
      </c>
      <c r="I293" s="4">
        <v>4414</v>
      </c>
      <c r="J293" s="4">
        <v>158033</v>
      </c>
      <c r="K293" s="4">
        <v>12265</v>
      </c>
      <c r="L293" s="4">
        <v>142</v>
      </c>
      <c r="M293" s="4">
        <v>4995</v>
      </c>
      <c r="N293" s="4">
        <v>2217</v>
      </c>
      <c r="O293" s="4">
        <v>7354</v>
      </c>
      <c r="P293" s="4">
        <v>17</v>
      </c>
      <c r="Q293" s="4">
        <v>1376</v>
      </c>
      <c r="R293" s="4">
        <v>-412</v>
      </c>
      <c r="S293" s="4">
        <v>709</v>
      </c>
      <c r="T293" s="4">
        <v>1690</v>
      </c>
      <c r="U293" s="4">
        <v>297</v>
      </c>
    </row>
    <row r="294" spans="1:27" ht="14.5" x14ac:dyDescent="0.35">
      <c r="A294" s="2">
        <v>44183</v>
      </c>
      <c r="B294" s="6">
        <v>19514</v>
      </c>
      <c r="C294" s="6">
        <v>531995</v>
      </c>
      <c r="D294" s="6">
        <v>98688</v>
      </c>
      <c r="E294" s="6">
        <v>650197</v>
      </c>
      <c r="F294" s="6">
        <v>3048</v>
      </c>
      <c r="G294" s="6">
        <v>143959</v>
      </c>
      <c r="H294" s="6">
        <v>7673</v>
      </c>
      <c r="I294" s="6">
        <v>4940</v>
      </c>
      <c r="J294" s="6">
        <v>159620</v>
      </c>
      <c r="K294" s="6">
        <v>12613</v>
      </c>
      <c r="L294" s="6">
        <v>124</v>
      </c>
      <c r="M294" s="6">
        <v>5016</v>
      </c>
      <c r="N294" s="6">
        <v>1549</v>
      </c>
      <c r="O294" s="6">
        <v>6689</v>
      </c>
      <c r="P294" s="6">
        <v>21</v>
      </c>
      <c r="Q294" s="6">
        <v>1218</v>
      </c>
      <c r="R294" s="6">
        <v>-178</v>
      </c>
      <c r="S294" s="6">
        <v>526</v>
      </c>
      <c r="T294" s="6">
        <v>1587</v>
      </c>
      <c r="U294" s="25">
        <v>348</v>
      </c>
      <c r="V294" s="12"/>
      <c r="W294" s="12"/>
      <c r="X294" s="12"/>
      <c r="Y294" s="12"/>
      <c r="Z294" s="12"/>
      <c r="AA294" s="12"/>
    </row>
    <row r="295" spans="1:27" ht="14.5" x14ac:dyDescent="0.35">
      <c r="A295" s="2">
        <v>44184</v>
      </c>
      <c r="B295" s="6">
        <v>19659</v>
      </c>
      <c r="C295" s="6">
        <v>536260</v>
      </c>
      <c r="D295" s="6">
        <v>102029</v>
      </c>
      <c r="E295" s="6">
        <v>657948</v>
      </c>
      <c r="F295" s="6">
        <v>3068</v>
      </c>
      <c r="G295" s="6">
        <v>145066</v>
      </c>
      <c r="H295" s="15">
        <v>8112</v>
      </c>
      <c r="I295" s="6">
        <v>5273</v>
      </c>
      <c r="J295" s="6">
        <v>161519</v>
      </c>
      <c r="K295" s="6">
        <v>13385</v>
      </c>
      <c r="L295" s="6">
        <v>145</v>
      </c>
      <c r="M295" s="6">
        <v>4265</v>
      </c>
      <c r="N295" s="6">
        <v>3341</v>
      </c>
      <c r="O295" s="6">
        <v>7751</v>
      </c>
      <c r="P295" s="6">
        <v>20</v>
      </c>
      <c r="Q295" s="6">
        <v>1107</v>
      </c>
      <c r="R295" s="6">
        <v>439</v>
      </c>
      <c r="S295" s="6">
        <v>333</v>
      </c>
      <c r="T295" s="6">
        <v>1899</v>
      </c>
      <c r="U295" s="25">
        <v>772</v>
      </c>
      <c r="V295" s="12"/>
      <c r="W295" s="12"/>
      <c r="X295" s="12"/>
      <c r="Y295" s="12"/>
      <c r="Z295" s="12"/>
      <c r="AA295" s="12"/>
    </row>
    <row r="296" spans="1:27" ht="12.5" x14ac:dyDescent="0.25">
      <c r="A296" s="2">
        <v>44185</v>
      </c>
      <c r="B296" s="4">
        <v>19880</v>
      </c>
      <c r="C296" s="4">
        <v>541811</v>
      </c>
      <c r="D296" s="4">
        <v>103239</v>
      </c>
      <c r="E296" s="4">
        <v>664930</v>
      </c>
      <c r="F296" s="4">
        <v>3087</v>
      </c>
      <c r="G296" s="4">
        <v>146958</v>
      </c>
      <c r="H296" s="4">
        <v>8057</v>
      </c>
      <c r="I296" s="4">
        <v>5009</v>
      </c>
      <c r="J296" s="4">
        <v>163111</v>
      </c>
      <c r="K296" s="4">
        <v>13066</v>
      </c>
      <c r="L296" s="4">
        <v>221</v>
      </c>
      <c r="M296" s="4">
        <v>5551</v>
      </c>
      <c r="N296" s="4">
        <v>1210</v>
      </c>
      <c r="O296" s="4">
        <v>6982</v>
      </c>
      <c r="P296" s="4">
        <v>19</v>
      </c>
      <c r="Q296" s="4">
        <v>1892</v>
      </c>
      <c r="R296" s="4">
        <v>-55</v>
      </c>
      <c r="S296" s="4">
        <v>-264</v>
      </c>
      <c r="T296" s="4">
        <v>1592</v>
      </c>
      <c r="U296" s="4">
        <v>-319</v>
      </c>
    </row>
    <row r="297" spans="1:27" ht="12.5" x14ac:dyDescent="0.25">
      <c r="A297" s="2">
        <v>44186</v>
      </c>
      <c r="B297" s="4">
        <v>20085</v>
      </c>
      <c r="C297" s="4">
        <v>546884</v>
      </c>
      <c r="D297" s="4">
        <v>104809</v>
      </c>
      <c r="E297" s="4">
        <v>671778</v>
      </c>
      <c r="F297" s="4">
        <v>3097</v>
      </c>
      <c r="G297" s="4">
        <v>148308</v>
      </c>
      <c r="H297" s="4">
        <v>8366</v>
      </c>
      <c r="I297" s="4">
        <v>4806</v>
      </c>
      <c r="J297" s="4">
        <v>164577</v>
      </c>
      <c r="K297" s="4">
        <v>13172</v>
      </c>
      <c r="L297" s="4">
        <v>205</v>
      </c>
      <c r="M297" s="4">
        <v>5073</v>
      </c>
      <c r="N297" s="4">
        <v>1570</v>
      </c>
      <c r="O297" s="4">
        <v>6848</v>
      </c>
      <c r="P297" s="4">
        <v>10</v>
      </c>
      <c r="Q297" s="4">
        <v>1350</v>
      </c>
      <c r="R297" s="4">
        <v>309</v>
      </c>
      <c r="S297" s="4">
        <v>-203</v>
      </c>
      <c r="T297" s="4">
        <v>1466</v>
      </c>
      <c r="U297" s="4">
        <v>106</v>
      </c>
    </row>
    <row r="298" spans="1:27" ht="12.5" x14ac:dyDescent="0.25">
      <c r="A298" s="2">
        <v>44187</v>
      </c>
      <c r="B298" s="4">
        <v>20257</v>
      </c>
      <c r="C298" s="4">
        <v>552722</v>
      </c>
      <c r="D298" s="4">
        <v>105146</v>
      </c>
      <c r="E298" s="4">
        <v>678125</v>
      </c>
      <c r="F298" s="4">
        <v>3115</v>
      </c>
      <c r="G298" s="4">
        <v>149691</v>
      </c>
      <c r="H298" s="4">
        <v>8620</v>
      </c>
      <c r="I298" s="4">
        <v>4462</v>
      </c>
      <c r="J298" s="4">
        <v>165888</v>
      </c>
      <c r="K298" s="4">
        <v>13082</v>
      </c>
      <c r="L298" s="4">
        <v>172</v>
      </c>
      <c r="M298" s="4">
        <v>5838</v>
      </c>
      <c r="N298" s="4">
        <v>337</v>
      </c>
      <c r="O298" s="4">
        <v>6347</v>
      </c>
      <c r="P298" s="4">
        <v>18</v>
      </c>
      <c r="Q298" s="4">
        <v>1383</v>
      </c>
      <c r="R298" s="4">
        <v>254</v>
      </c>
      <c r="S298" s="4">
        <v>-344</v>
      </c>
      <c r="T298" s="4">
        <v>1311</v>
      </c>
      <c r="U298" s="4">
        <v>-90</v>
      </c>
    </row>
    <row r="299" spans="1:27" ht="14.5" x14ac:dyDescent="0.35">
      <c r="A299" s="2">
        <v>44188</v>
      </c>
      <c r="B299" s="6">
        <v>20408</v>
      </c>
      <c r="C299" s="6">
        <v>558703</v>
      </c>
      <c r="D299" s="6">
        <v>106528</v>
      </c>
      <c r="E299" s="6">
        <v>685639</v>
      </c>
      <c r="F299" s="6">
        <v>3130</v>
      </c>
      <c r="G299" s="6">
        <v>151122</v>
      </c>
      <c r="H299" s="6">
        <v>8643</v>
      </c>
      <c r="I299" s="6">
        <v>4947</v>
      </c>
      <c r="J299" s="6">
        <v>167842</v>
      </c>
      <c r="K299" s="6">
        <v>13590</v>
      </c>
      <c r="L299" s="6">
        <v>151</v>
      </c>
      <c r="M299" s="6">
        <v>5981</v>
      </c>
      <c r="N299" s="6">
        <v>1382</v>
      </c>
      <c r="O299" s="6">
        <v>7514</v>
      </c>
      <c r="P299" s="6">
        <v>15</v>
      </c>
      <c r="Q299" s="6">
        <v>1431</v>
      </c>
      <c r="R299" s="6">
        <v>23</v>
      </c>
      <c r="S299" s="6">
        <v>485</v>
      </c>
      <c r="T299" s="6">
        <v>1954</v>
      </c>
      <c r="U299" s="25">
        <v>508</v>
      </c>
      <c r="V299" s="12"/>
      <c r="W299" s="12"/>
      <c r="X299" s="12"/>
      <c r="Y299" s="12"/>
      <c r="Z299" s="12"/>
      <c r="AA299" s="12"/>
    </row>
    <row r="300" spans="1:27" ht="14.5" x14ac:dyDescent="0.35">
      <c r="A300" s="2">
        <v>44189</v>
      </c>
      <c r="B300" s="6">
        <v>20589</v>
      </c>
      <c r="C300" s="6">
        <v>563980</v>
      </c>
      <c r="D300" s="6">
        <v>108269</v>
      </c>
      <c r="E300" s="6">
        <v>692838</v>
      </c>
      <c r="F300" s="6">
        <v>3146</v>
      </c>
      <c r="G300" s="6">
        <v>152491</v>
      </c>
      <c r="H300" s="6">
        <v>8833</v>
      </c>
      <c r="I300" s="6">
        <v>5305</v>
      </c>
      <c r="J300" s="6">
        <v>169775</v>
      </c>
      <c r="K300" s="6">
        <v>14138</v>
      </c>
      <c r="L300" s="6">
        <v>181</v>
      </c>
      <c r="M300" s="6">
        <v>5277</v>
      </c>
      <c r="N300" s="6">
        <v>1741</v>
      </c>
      <c r="O300" s="6">
        <v>7199</v>
      </c>
      <c r="P300" s="6">
        <v>16</v>
      </c>
      <c r="Q300" s="6">
        <v>1369</v>
      </c>
      <c r="R300" s="6">
        <v>190</v>
      </c>
      <c r="S300" s="6">
        <v>358</v>
      </c>
      <c r="T300" s="6">
        <v>1933</v>
      </c>
      <c r="U300" s="25">
        <v>548</v>
      </c>
      <c r="V300" s="12"/>
      <c r="W300" s="12"/>
      <c r="X300" s="12"/>
      <c r="Y300" s="12"/>
      <c r="Z300" s="12"/>
      <c r="AA300" s="12"/>
    </row>
    <row r="301" spans="1:27" ht="12.5" x14ac:dyDescent="0.25">
      <c r="A301" s="2">
        <v>44190</v>
      </c>
      <c r="B301" s="4">
        <v>20847</v>
      </c>
      <c r="C301" s="4">
        <v>570304</v>
      </c>
      <c r="D301" s="4">
        <v>108946</v>
      </c>
      <c r="E301" s="4">
        <v>700097</v>
      </c>
      <c r="F301" s="4">
        <v>3167</v>
      </c>
      <c r="G301" s="4">
        <v>154242</v>
      </c>
      <c r="H301" s="4">
        <v>8720</v>
      </c>
      <c r="I301" s="4">
        <v>5742</v>
      </c>
      <c r="J301" s="4">
        <v>171871</v>
      </c>
      <c r="K301" s="4">
        <v>14462</v>
      </c>
      <c r="L301" s="4">
        <v>258</v>
      </c>
      <c r="M301" s="4">
        <v>6324</v>
      </c>
      <c r="N301" s="4">
        <v>677</v>
      </c>
      <c r="O301" s="4">
        <v>7259</v>
      </c>
      <c r="P301" s="4">
        <v>21</v>
      </c>
      <c r="Q301" s="4">
        <v>1751</v>
      </c>
      <c r="R301" s="4">
        <v>-113</v>
      </c>
      <c r="S301" s="4">
        <v>437</v>
      </c>
      <c r="T301" s="4">
        <v>2096</v>
      </c>
      <c r="U301" s="4">
        <v>324</v>
      </c>
    </row>
    <row r="302" spans="1:27" ht="12.5" x14ac:dyDescent="0.25">
      <c r="A302" s="2">
        <v>44191</v>
      </c>
      <c r="B302" s="4">
        <v>20994</v>
      </c>
      <c r="C302" s="4">
        <v>576693</v>
      </c>
      <c r="D302" s="4">
        <v>109150</v>
      </c>
      <c r="E302" s="4">
        <v>706837</v>
      </c>
      <c r="F302" s="4">
        <v>3182</v>
      </c>
      <c r="G302" s="4">
        <v>156798</v>
      </c>
      <c r="H302" s="4">
        <v>9439</v>
      </c>
      <c r="I302" s="4">
        <v>4510</v>
      </c>
      <c r="J302" s="4">
        <v>173929</v>
      </c>
      <c r="K302" s="4">
        <v>13949</v>
      </c>
      <c r="L302" s="4">
        <v>147</v>
      </c>
      <c r="M302" s="4">
        <v>6389</v>
      </c>
      <c r="N302" s="4">
        <v>204</v>
      </c>
      <c r="O302" s="4">
        <v>6740</v>
      </c>
      <c r="P302" s="4">
        <v>15</v>
      </c>
      <c r="Q302" s="4">
        <v>2556</v>
      </c>
      <c r="R302" s="4">
        <v>719</v>
      </c>
      <c r="S302" s="4">
        <v>-1232</v>
      </c>
      <c r="T302" s="4">
        <v>2058</v>
      </c>
      <c r="U302" s="4">
        <v>-513</v>
      </c>
    </row>
    <row r="303" spans="1:27" ht="14.5" x14ac:dyDescent="0.35">
      <c r="A303" s="2">
        <v>44192</v>
      </c>
      <c r="B303" s="6">
        <v>21237</v>
      </c>
      <c r="C303" s="6">
        <v>583676</v>
      </c>
      <c r="D303" s="6">
        <v>108452</v>
      </c>
      <c r="E303" s="6">
        <v>713365</v>
      </c>
      <c r="F303" s="6">
        <v>3204</v>
      </c>
      <c r="G303" s="6">
        <v>158615</v>
      </c>
      <c r="H303" s="6">
        <v>9655</v>
      </c>
      <c r="I303" s="6">
        <v>4452</v>
      </c>
      <c r="J303" s="6">
        <v>175926</v>
      </c>
      <c r="K303" s="6">
        <v>14107</v>
      </c>
      <c r="L303" s="6">
        <v>243</v>
      </c>
      <c r="M303" s="6">
        <v>6983</v>
      </c>
      <c r="N303" s="6">
        <v>-698</v>
      </c>
      <c r="O303" s="6">
        <v>6528</v>
      </c>
      <c r="P303" s="6">
        <v>22</v>
      </c>
      <c r="Q303" s="6">
        <v>1817</v>
      </c>
      <c r="R303" s="6">
        <v>216</v>
      </c>
      <c r="S303" s="6">
        <v>-58</v>
      </c>
      <c r="T303" s="6">
        <v>1997</v>
      </c>
      <c r="U303" s="25">
        <v>158</v>
      </c>
      <c r="V303" s="12"/>
      <c r="W303" s="12"/>
      <c r="X303" s="12"/>
      <c r="Y303" s="12"/>
      <c r="Z303" s="12"/>
      <c r="AA303" s="12"/>
    </row>
    <row r="304" spans="1:27" ht="12.5" x14ac:dyDescent="0.25">
      <c r="A304" s="2">
        <v>44193</v>
      </c>
      <c r="B304" s="4">
        <v>21452</v>
      </c>
      <c r="C304" s="4">
        <v>589978</v>
      </c>
      <c r="D304" s="4">
        <v>107789</v>
      </c>
      <c r="E304" s="4">
        <v>719219</v>
      </c>
      <c r="F304" s="4">
        <v>3226</v>
      </c>
      <c r="G304" s="4">
        <v>159878</v>
      </c>
      <c r="H304" s="4">
        <v>9919</v>
      </c>
      <c r="I304" s="4">
        <v>4581</v>
      </c>
      <c r="J304" s="4">
        <v>177604</v>
      </c>
      <c r="K304" s="4">
        <v>14500</v>
      </c>
      <c r="L304" s="4">
        <v>215</v>
      </c>
      <c r="M304" s="4">
        <v>6302</v>
      </c>
      <c r="N304" s="4">
        <v>-663</v>
      </c>
      <c r="O304" s="4">
        <v>5854</v>
      </c>
      <c r="P304" s="4">
        <v>22</v>
      </c>
      <c r="Q304" s="4">
        <v>1263</v>
      </c>
      <c r="R304" s="4">
        <v>264</v>
      </c>
      <c r="S304" s="4">
        <v>129</v>
      </c>
      <c r="T304" s="4">
        <v>1678</v>
      </c>
      <c r="U304" s="4">
        <v>393</v>
      </c>
    </row>
    <row r="305" spans="1:27" ht="12.5" x14ac:dyDescent="0.25">
      <c r="A305" s="2">
        <v>44194</v>
      </c>
      <c r="B305" s="4">
        <v>21703</v>
      </c>
      <c r="C305" s="4">
        <v>596783</v>
      </c>
      <c r="D305" s="4">
        <v>108636</v>
      </c>
      <c r="E305" s="4">
        <v>727122</v>
      </c>
      <c r="F305" s="4">
        <v>3246</v>
      </c>
      <c r="G305" s="4">
        <v>161337</v>
      </c>
      <c r="H305" s="4">
        <v>10018</v>
      </c>
      <c r="I305" s="4">
        <v>5059</v>
      </c>
      <c r="J305" s="4">
        <v>179660</v>
      </c>
      <c r="K305" s="4">
        <v>15077</v>
      </c>
      <c r="L305" s="4">
        <v>251</v>
      </c>
      <c r="M305" s="4">
        <v>6805</v>
      </c>
      <c r="N305" s="4">
        <v>847</v>
      </c>
      <c r="O305" s="4">
        <v>7903</v>
      </c>
      <c r="P305" s="4">
        <v>20</v>
      </c>
      <c r="Q305" s="4">
        <v>1459</v>
      </c>
      <c r="R305" s="4">
        <v>99</v>
      </c>
      <c r="S305" s="4">
        <v>478</v>
      </c>
      <c r="T305" s="4">
        <v>2056</v>
      </c>
      <c r="U305" s="4">
        <v>577</v>
      </c>
    </row>
    <row r="306" spans="1:27" ht="12.5" x14ac:dyDescent="0.25">
      <c r="A306" s="2">
        <v>44195</v>
      </c>
      <c r="B306" s="4">
        <v>21944</v>
      </c>
      <c r="C306" s="4">
        <v>603741</v>
      </c>
      <c r="D306" s="4">
        <v>109439</v>
      </c>
      <c r="E306" s="4">
        <v>735124</v>
      </c>
      <c r="F306" s="4">
        <v>3266</v>
      </c>
      <c r="G306" s="4">
        <v>162911</v>
      </c>
      <c r="H306" s="4">
        <v>9882</v>
      </c>
      <c r="I306" s="4">
        <v>5654</v>
      </c>
      <c r="J306" s="4">
        <v>181713</v>
      </c>
      <c r="K306" s="4">
        <v>15536</v>
      </c>
      <c r="L306" s="4">
        <v>241</v>
      </c>
      <c r="M306" s="4">
        <v>6958</v>
      </c>
      <c r="N306" s="4">
        <v>803</v>
      </c>
      <c r="O306" s="4">
        <v>8002</v>
      </c>
      <c r="P306" s="4">
        <v>20</v>
      </c>
      <c r="Q306" s="4">
        <v>1574</v>
      </c>
      <c r="R306" s="4">
        <v>-136</v>
      </c>
      <c r="S306" s="4">
        <v>595</v>
      </c>
      <c r="T306" s="4">
        <v>2053</v>
      </c>
      <c r="U306" s="4">
        <v>459</v>
      </c>
    </row>
    <row r="307" spans="1:27" ht="12.5" x14ac:dyDescent="0.25">
      <c r="A307" s="2">
        <v>44196</v>
      </c>
      <c r="B307" s="4">
        <v>22138</v>
      </c>
      <c r="C307" s="4">
        <v>611097</v>
      </c>
      <c r="D307" s="4">
        <v>109963</v>
      </c>
      <c r="E307" s="4">
        <v>743198</v>
      </c>
      <c r="F307" s="4">
        <v>3287</v>
      </c>
      <c r="G307" s="4">
        <v>164881</v>
      </c>
      <c r="H307" s="4">
        <v>9746</v>
      </c>
      <c r="I307" s="4">
        <v>5821</v>
      </c>
      <c r="J307" s="4">
        <v>183735</v>
      </c>
      <c r="K307" s="4">
        <v>15567</v>
      </c>
      <c r="L307" s="4">
        <v>194</v>
      </c>
      <c r="M307" s="4">
        <v>7356</v>
      </c>
      <c r="N307" s="4">
        <v>524</v>
      </c>
      <c r="O307" s="4">
        <v>8074</v>
      </c>
      <c r="P307" s="4">
        <v>21</v>
      </c>
      <c r="Q307" s="4">
        <v>1970</v>
      </c>
      <c r="R307" s="4">
        <v>-136</v>
      </c>
      <c r="S307" s="4">
        <v>167</v>
      </c>
      <c r="T307" s="4">
        <v>2022</v>
      </c>
      <c r="U307" s="4">
        <v>31</v>
      </c>
    </row>
    <row r="308" spans="1:27" ht="14.5" x14ac:dyDescent="0.35">
      <c r="A308" s="2">
        <v>44197</v>
      </c>
      <c r="B308" s="6">
        <v>22329</v>
      </c>
      <c r="C308" s="6">
        <v>617936</v>
      </c>
      <c r="D308" s="6">
        <v>111005</v>
      </c>
      <c r="E308" s="6">
        <v>751270</v>
      </c>
      <c r="F308" s="6">
        <v>3308</v>
      </c>
      <c r="G308" s="6">
        <v>166512</v>
      </c>
      <c r="H308" s="6">
        <v>10082</v>
      </c>
      <c r="I308" s="6">
        <v>5789</v>
      </c>
      <c r="J308" s="6">
        <v>185691</v>
      </c>
      <c r="K308" s="6">
        <v>15871</v>
      </c>
      <c r="L308" s="6">
        <v>191</v>
      </c>
      <c r="M308" s="6">
        <v>6839</v>
      </c>
      <c r="N308" s="6">
        <v>1042</v>
      </c>
      <c r="O308" s="6">
        <v>8072</v>
      </c>
      <c r="P308" s="6">
        <v>21</v>
      </c>
      <c r="Q308" s="6">
        <v>1631</v>
      </c>
      <c r="R308" s="6">
        <v>336</v>
      </c>
      <c r="S308" s="6">
        <v>-32</v>
      </c>
      <c r="T308" s="6">
        <v>1956</v>
      </c>
      <c r="U308" s="25">
        <v>304</v>
      </c>
      <c r="V308" s="12"/>
      <c r="W308" s="12"/>
      <c r="X308" s="12"/>
      <c r="Y308" s="12"/>
      <c r="Z308" s="12"/>
      <c r="AA308" s="12"/>
    </row>
    <row r="309" spans="1:27" ht="14.5" x14ac:dyDescent="0.35">
      <c r="A309" s="2">
        <v>44198</v>
      </c>
      <c r="B309" s="6">
        <v>22555</v>
      </c>
      <c r="C309" s="6">
        <v>625518</v>
      </c>
      <c r="D309" s="6">
        <v>110400</v>
      </c>
      <c r="E309" s="6">
        <v>758473</v>
      </c>
      <c r="F309" s="6">
        <v>3334</v>
      </c>
      <c r="G309" s="6">
        <v>168781</v>
      </c>
      <c r="H309" s="6">
        <v>10872</v>
      </c>
      <c r="I309" s="6">
        <v>4599</v>
      </c>
      <c r="J309" s="6">
        <v>187586</v>
      </c>
      <c r="K309" s="6">
        <v>15471</v>
      </c>
      <c r="L309" s="6">
        <v>226</v>
      </c>
      <c r="M309" s="6">
        <v>7582</v>
      </c>
      <c r="N309" s="6">
        <v>-605</v>
      </c>
      <c r="O309" s="6">
        <v>7203</v>
      </c>
      <c r="P309" s="6">
        <v>26</v>
      </c>
      <c r="Q309" s="6">
        <v>2269</v>
      </c>
      <c r="R309" s="6">
        <v>790</v>
      </c>
      <c r="S309" s="6">
        <v>-1190</v>
      </c>
      <c r="T309" s="6">
        <v>1895</v>
      </c>
      <c r="U309" s="25">
        <v>-400</v>
      </c>
      <c r="V309" s="12"/>
      <c r="W309" s="12"/>
      <c r="X309" s="12"/>
      <c r="Y309" s="12"/>
      <c r="Z309" s="12"/>
      <c r="AA309" s="12"/>
    </row>
    <row r="310" spans="1:27" ht="12.5" x14ac:dyDescent="0.25">
      <c r="A310" s="2">
        <v>44199</v>
      </c>
      <c r="B310" s="4">
        <v>22734</v>
      </c>
      <c r="C310" s="4">
        <v>631937</v>
      </c>
      <c r="D310" s="4">
        <v>110679</v>
      </c>
      <c r="E310" s="4">
        <v>765350</v>
      </c>
      <c r="F310" s="4">
        <v>3345</v>
      </c>
      <c r="G310" s="4">
        <v>170510</v>
      </c>
      <c r="H310" s="4">
        <v>10978</v>
      </c>
      <c r="I310" s="4">
        <v>4410</v>
      </c>
      <c r="J310" s="4">
        <v>189243</v>
      </c>
      <c r="K310" s="4">
        <v>15388</v>
      </c>
      <c r="L310" s="4">
        <v>179</v>
      </c>
      <c r="M310" s="4">
        <v>6419</v>
      </c>
      <c r="N310" s="4">
        <v>279</v>
      </c>
      <c r="O310" s="4">
        <v>6877</v>
      </c>
      <c r="P310" s="4">
        <v>11</v>
      </c>
      <c r="Q310" s="4">
        <v>1729</v>
      </c>
      <c r="R310" s="4">
        <v>106</v>
      </c>
      <c r="S310" s="4">
        <v>-189</v>
      </c>
      <c r="T310" s="4">
        <v>1657</v>
      </c>
      <c r="U310" s="4">
        <v>-83</v>
      </c>
    </row>
    <row r="311" spans="1:27" ht="12.5" x14ac:dyDescent="0.25">
      <c r="A311" s="2">
        <v>44200</v>
      </c>
      <c r="B311" s="4">
        <v>22911</v>
      </c>
      <c r="C311" s="4">
        <v>639103</v>
      </c>
      <c r="D311" s="4">
        <v>110089</v>
      </c>
      <c r="E311" s="4">
        <v>772103</v>
      </c>
      <c r="F311" s="4">
        <v>3369</v>
      </c>
      <c r="G311" s="4">
        <v>173036</v>
      </c>
      <c r="H311" s="4">
        <v>10371</v>
      </c>
      <c r="I311" s="4">
        <v>4299</v>
      </c>
      <c r="J311" s="4">
        <v>191075</v>
      </c>
      <c r="K311" s="4">
        <v>14670</v>
      </c>
      <c r="L311" s="4">
        <v>177</v>
      </c>
      <c r="M311" s="4">
        <v>7166</v>
      </c>
      <c r="N311" s="4">
        <v>-590</v>
      </c>
      <c r="O311" s="4">
        <v>6753</v>
      </c>
      <c r="P311" s="4">
        <v>24</v>
      </c>
      <c r="Q311" s="4">
        <v>2526</v>
      </c>
      <c r="R311" s="4">
        <v>-607</v>
      </c>
      <c r="S311" s="4">
        <v>-111</v>
      </c>
      <c r="T311" s="4">
        <v>1832</v>
      </c>
      <c r="U311" s="4">
        <v>-718</v>
      </c>
    </row>
    <row r="312" spans="1:27" ht="12.5" x14ac:dyDescent="0.25">
      <c r="A312" s="2">
        <v>44201</v>
      </c>
      <c r="B312" s="4">
        <v>23109</v>
      </c>
      <c r="C312" s="4">
        <v>645746</v>
      </c>
      <c r="D312" s="4">
        <v>110693</v>
      </c>
      <c r="E312" s="4">
        <v>779548</v>
      </c>
      <c r="F312" s="4">
        <v>3392</v>
      </c>
      <c r="G312" s="4">
        <v>174131</v>
      </c>
      <c r="H312" s="4">
        <v>10897</v>
      </c>
      <c r="I312" s="4">
        <v>4479</v>
      </c>
      <c r="J312" s="4">
        <v>192899</v>
      </c>
      <c r="K312" s="4">
        <v>15376</v>
      </c>
      <c r="L312" s="4">
        <v>198</v>
      </c>
      <c r="M312" s="4">
        <v>6643</v>
      </c>
      <c r="N312" s="4">
        <v>604</v>
      </c>
      <c r="O312" s="4">
        <v>7445</v>
      </c>
      <c r="P312" s="4">
        <v>23</v>
      </c>
      <c r="Q312" s="4">
        <v>1095</v>
      </c>
      <c r="R312" s="4">
        <v>526</v>
      </c>
      <c r="S312" s="4">
        <v>180</v>
      </c>
      <c r="T312" s="4">
        <v>1824</v>
      </c>
      <c r="U312" s="4">
        <v>706</v>
      </c>
    </row>
    <row r="313" spans="1:27" ht="14.5" x14ac:dyDescent="0.35">
      <c r="A313" s="2">
        <v>44202</v>
      </c>
      <c r="B313" s="6">
        <v>23296</v>
      </c>
      <c r="C313" s="6">
        <v>652513</v>
      </c>
      <c r="D313" s="6">
        <v>112593</v>
      </c>
      <c r="E313" s="6">
        <v>788402</v>
      </c>
      <c r="F313" s="6">
        <v>3410</v>
      </c>
      <c r="G313" s="6">
        <v>175441</v>
      </c>
      <c r="H313" s="6">
        <v>12196</v>
      </c>
      <c r="I313" s="6">
        <v>4254</v>
      </c>
      <c r="J313" s="6">
        <v>195301</v>
      </c>
      <c r="K313" s="6">
        <v>16450</v>
      </c>
      <c r="L313" s="6">
        <v>187</v>
      </c>
      <c r="M313" s="6">
        <v>6767</v>
      </c>
      <c r="N313" s="6">
        <v>1900</v>
      </c>
      <c r="O313" s="6">
        <v>8854</v>
      </c>
      <c r="P313" s="6">
        <v>18</v>
      </c>
      <c r="Q313" s="6">
        <v>1310</v>
      </c>
      <c r="R313" s="6">
        <v>1299</v>
      </c>
      <c r="S313" s="6">
        <v>-225</v>
      </c>
      <c r="T313" s="6">
        <v>2402</v>
      </c>
      <c r="U313" s="25">
        <v>1074</v>
      </c>
      <c r="V313" s="12"/>
      <c r="W313" s="12"/>
      <c r="X313" s="12"/>
      <c r="Y313" s="12"/>
      <c r="Z313" s="12"/>
      <c r="AA313" s="12"/>
    </row>
    <row r="314" spans="1:27" ht="14.5" x14ac:dyDescent="0.35">
      <c r="A314" s="2">
        <v>44203</v>
      </c>
      <c r="B314" s="6">
        <v>23520</v>
      </c>
      <c r="C314" s="6">
        <v>659437</v>
      </c>
      <c r="D314" s="6">
        <v>114766</v>
      </c>
      <c r="E314" s="6">
        <v>797723</v>
      </c>
      <c r="F314" s="6">
        <v>3435</v>
      </c>
      <c r="G314" s="6">
        <v>176882</v>
      </c>
      <c r="H314" s="6">
        <v>12781</v>
      </c>
      <c r="I314" s="6">
        <v>4601</v>
      </c>
      <c r="J314" s="6">
        <v>197699</v>
      </c>
      <c r="K314" s="6">
        <v>17382</v>
      </c>
      <c r="L314" s="6">
        <v>224</v>
      </c>
      <c r="M314" s="6">
        <v>6924</v>
      </c>
      <c r="N314" s="6">
        <v>2173</v>
      </c>
      <c r="O314" s="6">
        <v>9321</v>
      </c>
      <c r="P314" s="6">
        <v>25</v>
      </c>
      <c r="Q314" s="6">
        <v>1441</v>
      </c>
      <c r="R314" s="6">
        <v>585</v>
      </c>
      <c r="S314" s="6">
        <v>347</v>
      </c>
      <c r="T314" s="6">
        <v>2398</v>
      </c>
      <c r="U314" s="25">
        <v>932</v>
      </c>
      <c r="V314" s="12"/>
      <c r="W314" s="12"/>
      <c r="X314" s="12"/>
      <c r="Y314" s="12"/>
      <c r="Z314" s="12"/>
      <c r="AA314" s="12"/>
    </row>
    <row r="315" spans="1:27" ht="12.5" x14ac:dyDescent="0.25">
      <c r="A315" s="2">
        <v>44204</v>
      </c>
      <c r="B315" s="4">
        <v>23753</v>
      </c>
      <c r="C315" s="4">
        <v>666883</v>
      </c>
      <c r="D315" s="4">
        <v>117704</v>
      </c>
      <c r="E315" s="4">
        <v>808340</v>
      </c>
      <c r="F315" s="4">
        <v>3463</v>
      </c>
      <c r="G315" s="4">
        <v>179562</v>
      </c>
      <c r="H315" s="4">
        <v>13397</v>
      </c>
      <c r="I315" s="4">
        <v>4236</v>
      </c>
      <c r="J315" s="4">
        <v>200658</v>
      </c>
      <c r="K315" s="4">
        <v>17633</v>
      </c>
      <c r="L315" s="4">
        <v>233</v>
      </c>
      <c r="M315" s="4">
        <v>7446</v>
      </c>
      <c r="N315" s="4">
        <v>2938</v>
      </c>
      <c r="O315" s="4">
        <v>10617</v>
      </c>
      <c r="P315" s="4">
        <v>28</v>
      </c>
      <c r="Q315" s="4">
        <v>2680</v>
      </c>
      <c r="R315" s="4">
        <v>616</v>
      </c>
      <c r="S315" s="4">
        <v>-365</v>
      </c>
      <c r="T315" s="4">
        <v>2959</v>
      </c>
      <c r="U315" s="4">
        <v>251</v>
      </c>
    </row>
    <row r="316" spans="1:27" ht="14.5" x14ac:dyDescent="0.35">
      <c r="A316" s="2">
        <v>44205</v>
      </c>
      <c r="B316" s="28">
        <v>23947</v>
      </c>
      <c r="C316" s="28">
        <v>673511</v>
      </c>
      <c r="D316" s="6">
        <v>120928</v>
      </c>
      <c r="E316" s="25">
        <v>818386</v>
      </c>
      <c r="F316" s="6">
        <v>3485</v>
      </c>
      <c r="G316" s="6">
        <v>181613</v>
      </c>
      <c r="H316" s="6">
        <v>13076</v>
      </c>
      <c r="I316" s="6">
        <v>5237</v>
      </c>
      <c r="J316" s="6">
        <v>203411</v>
      </c>
      <c r="K316" s="6">
        <v>18313</v>
      </c>
      <c r="L316" s="6">
        <v>194</v>
      </c>
      <c r="M316" s="6">
        <v>6628</v>
      </c>
      <c r="N316" s="6">
        <v>3224</v>
      </c>
      <c r="O316" s="6">
        <v>10046</v>
      </c>
      <c r="P316" s="6">
        <v>22</v>
      </c>
      <c r="Q316" s="6">
        <v>2051</v>
      </c>
      <c r="R316" s="6">
        <v>-321</v>
      </c>
      <c r="S316" s="6">
        <v>1001</v>
      </c>
      <c r="T316" s="6">
        <v>2753</v>
      </c>
      <c r="U316" s="25">
        <v>680</v>
      </c>
      <c r="V316" s="12"/>
      <c r="W316" s="12"/>
      <c r="X316" s="12"/>
      <c r="Y316" s="12"/>
      <c r="Z316" s="12"/>
      <c r="AA316" s="12"/>
    </row>
    <row r="317" spans="1:27" ht="12.5" x14ac:dyDescent="0.25">
      <c r="A317" s="2">
        <v>44206</v>
      </c>
      <c r="B317" s="4">
        <v>24129</v>
      </c>
      <c r="C317" s="4">
        <v>681024</v>
      </c>
      <c r="D317" s="4">
        <v>122873</v>
      </c>
      <c r="E317" s="4">
        <v>828026</v>
      </c>
      <c r="F317" s="4">
        <v>3517</v>
      </c>
      <c r="G317" s="4">
        <v>184576</v>
      </c>
      <c r="H317" s="4">
        <v>13166</v>
      </c>
      <c r="I317" s="4">
        <v>4863</v>
      </c>
      <c r="J317" s="4">
        <v>206122</v>
      </c>
      <c r="K317" s="4">
        <v>18029</v>
      </c>
      <c r="L317" s="4">
        <v>182</v>
      </c>
      <c r="M317" s="4">
        <v>7513</v>
      </c>
      <c r="N317" s="4">
        <v>1945</v>
      </c>
      <c r="O317" s="4">
        <v>9640</v>
      </c>
      <c r="P317" s="4">
        <v>32</v>
      </c>
      <c r="Q317" s="4">
        <v>2963</v>
      </c>
      <c r="R317" s="4">
        <v>90</v>
      </c>
      <c r="S317" s="4">
        <v>-374</v>
      </c>
      <c r="T317" s="4">
        <v>2711</v>
      </c>
      <c r="U317" s="4">
        <v>-284</v>
      </c>
    </row>
    <row r="318" spans="1:27" ht="12.5" x14ac:dyDescent="0.25">
      <c r="A318" s="2">
        <v>44207</v>
      </c>
      <c r="B318" s="4">
        <v>24343</v>
      </c>
      <c r="C318" s="4">
        <v>688739</v>
      </c>
      <c r="D318" s="4">
        <v>123636</v>
      </c>
      <c r="E318" s="4">
        <v>836718</v>
      </c>
      <c r="F318" s="4">
        <v>3551</v>
      </c>
      <c r="G318" s="4">
        <v>187086</v>
      </c>
      <c r="H318" s="4">
        <v>13541</v>
      </c>
      <c r="I318" s="4">
        <v>4405</v>
      </c>
      <c r="J318" s="4">
        <v>208583</v>
      </c>
      <c r="K318" s="4">
        <v>17946</v>
      </c>
      <c r="L318" s="4">
        <v>214</v>
      </c>
      <c r="M318" s="4">
        <v>7715</v>
      </c>
      <c r="N318" s="4">
        <v>763</v>
      </c>
      <c r="O318" s="4">
        <v>8692</v>
      </c>
      <c r="P318" s="4">
        <v>34</v>
      </c>
      <c r="Q318" s="4">
        <v>2510</v>
      </c>
      <c r="R318" s="4">
        <v>375</v>
      </c>
      <c r="S318" s="4">
        <v>-458</v>
      </c>
      <c r="T318" s="4">
        <v>2461</v>
      </c>
      <c r="U318" s="4">
        <v>-83</v>
      </c>
    </row>
    <row r="319" spans="1:27" ht="12.5" x14ac:dyDescent="0.25">
      <c r="A319" s="2">
        <v>44208</v>
      </c>
      <c r="B319" s="4">
        <v>24645</v>
      </c>
      <c r="C319" s="4">
        <v>695807</v>
      </c>
      <c r="D319" s="4">
        <v>126313</v>
      </c>
      <c r="E319" s="4">
        <v>846765</v>
      </c>
      <c r="F319" s="4">
        <v>3589</v>
      </c>
      <c r="G319" s="4">
        <v>188675</v>
      </c>
      <c r="H319" s="4">
        <v>14591</v>
      </c>
      <c r="I319" s="4">
        <v>4397</v>
      </c>
      <c r="J319" s="4">
        <v>211252</v>
      </c>
      <c r="K319" s="4">
        <v>18988</v>
      </c>
      <c r="L319" s="4">
        <v>302</v>
      </c>
      <c r="M319" s="4">
        <v>7068</v>
      </c>
      <c r="N319" s="4">
        <v>2677</v>
      </c>
      <c r="O319" s="4">
        <v>10047</v>
      </c>
      <c r="P319" s="4">
        <v>38</v>
      </c>
      <c r="Q319" s="4">
        <v>1589</v>
      </c>
      <c r="R319" s="4">
        <v>1050</v>
      </c>
      <c r="S319" s="4">
        <v>-8</v>
      </c>
      <c r="T319" s="4">
        <v>2669</v>
      </c>
      <c r="U319" s="4">
        <v>1042</v>
      </c>
    </row>
    <row r="320" spans="1:27" ht="12.5" x14ac:dyDescent="0.25">
      <c r="A320" s="2">
        <v>44209</v>
      </c>
      <c r="B320" s="4">
        <v>24951</v>
      </c>
      <c r="C320" s="4">
        <v>703464</v>
      </c>
      <c r="D320" s="4">
        <v>129628</v>
      </c>
      <c r="E320" s="4">
        <v>858043</v>
      </c>
      <c r="F320" s="4">
        <v>3634</v>
      </c>
      <c r="G320" s="4">
        <v>191635</v>
      </c>
      <c r="H320" s="4">
        <v>15009</v>
      </c>
      <c r="I320" s="4">
        <v>4450</v>
      </c>
      <c r="J320" s="4">
        <v>214728</v>
      </c>
      <c r="K320" s="4">
        <v>19459</v>
      </c>
      <c r="L320" s="4">
        <v>306</v>
      </c>
      <c r="M320" s="4">
        <v>7657</v>
      </c>
      <c r="N320" s="4">
        <v>3315</v>
      </c>
      <c r="O320" s="4">
        <v>11278</v>
      </c>
      <c r="P320" s="4">
        <v>45</v>
      </c>
      <c r="Q320" s="4">
        <v>2960</v>
      </c>
      <c r="R320" s="4">
        <v>418</v>
      </c>
      <c r="S320" s="4">
        <v>53</v>
      </c>
      <c r="T320" s="4">
        <v>3476</v>
      </c>
      <c r="U320" s="4">
        <v>471</v>
      </c>
    </row>
    <row r="321" spans="1:27" ht="12.5" x14ac:dyDescent="0.25">
      <c r="A321" s="2">
        <v>44210</v>
      </c>
      <c r="B321" s="4">
        <v>25246</v>
      </c>
      <c r="C321" s="4">
        <v>711205</v>
      </c>
      <c r="D321" s="4">
        <v>133149</v>
      </c>
      <c r="E321" s="4">
        <v>869600</v>
      </c>
      <c r="F321" s="4">
        <v>3675</v>
      </c>
      <c r="G321" s="4">
        <v>193719</v>
      </c>
      <c r="H321" s="4">
        <v>15852</v>
      </c>
      <c r="I321" s="4">
        <v>4647</v>
      </c>
      <c r="J321" s="4">
        <v>217893</v>
      </c>
      <c r="K321" s="4">
        <v>20499</v>
      </c>
      <c r="L321" s="4">
        <v>295</v>
      </c>
      <c r="M321" s="4">
        <v>7741</v>
      </c>
      <c r="N321" s="4">
        <v>3521</v>
      </c>
      <c r="O321" s="4">
        <v>11557</v>
      </c>
      <c r="P321" s="4">
        <v>41</v>
      </c>
      <c r="Q321" s="4">
        <v>2084</v>
      </c>
      <c r="R321" s="4">
        <v>843</v>
      </c>
      <c r="S321" s="4">
        <v>197</v>
      </c>
      <c r="T321" s="4">
        <v>3165</v>
      </c>
      <c r="U321" s="4">
        <v>1040</v>
      </c>
    </row>
    <row r="322" spans="1:27" ht="14.5" x14ac:dyDescent="0.35">
      <c r="A322" s="2">
        <v>44211</v>
      </c>
      <c r="B322" s="6">
        <v>25484</v>
      </c>
      <c r="C322" s="6">
        <v>718696</v>
      </c>
      <c r="D322" s="6">
        <v>138238</v>
      </c>
      <c r="E322" s="6">
        <v>882418</v>
      </c>
      <c r="F322" s="6">
        <v>3710</v>
      </c>
      <c r="G322" s="6">
        <v>195924</v>
      </c>
      <c r="H322" s="6">
        <v>15553</v>
      </c>
      <c r="I322" s="6">
        <v>5247</v>
      </c>
      <c r="J322" s="6">
        <v>220434</v>
      </c>
      <c r="K322" s="6">
        <v>20800</v>
      </c>
      <c r="L322" s="6">
        <v>238</v>
      </c>
      <c r="M322" s="6">
        <v>7491</v>
      </c>
      <c r="N322" s="6">
        <v>5089</v>
      </c>
      <c r="O322" s="6">
        <v>12818</v>
      </c>
      <c r="P322" s="6">
        <v>35</v>
      </c>
      <c r="Q322" s="6">
        <v>2205</v>
      </c>
      <c r="R322" s="6">
        <v>-299</v>
      </c>
      <c r="S322" s="6">
        <v>600</v>
      </c>
      <c r="T322" s="6">
        <v>2541</v>
      </c>
      <c r="U322" s="25">
        <v>301</v>
      </c>
      <c r="V322" s="12"/>
      <c r="W322" s="12"/>
      <c r="X322" s="12"/>
      <c r="Y322" s="12"/>
      <c r="Z322" s="12"/>
      <c r="AA322" s="12"/>
    </row>
    <row r="323" spans="1:27" ht="12.5" x14ac:dyDescent="0.25">
      <c r="A323" s="2">
        <v>44212</v>
      </c>
      <c r="B323" s="4">
        <v>25767</v>
      </c>
      <c r="C323" s="4">
        <v>727358</v>
      </c>
      <c r="D323" s="4">
        <v>143517</v>
      </c>
      <c r="E323" s="4">
        <v>896642</v>
      </c>
      <c r="F323" s="4">
        <v>3745</v>
      </c>
      <c r="G323" s="4">
        <v>198136</v>
      </c>
      <c r="H323" s="4">
        <v>17524</v>
      </c>
      <c r="I323" s="4">
        <v>4565</v>
      </c>
      <c r="J323" s="4">
        <v>223970</v>
      </c>
      <c r="K323" s="4">
        <v>22089</v>
      </c>
      <c r="L323" s="4">
        <v>283</v>
      </c>
      <c r="M323" s="4">
        <v>8662</v>
      </c>
      <c r="N323" s="4">
        <v>5279</v>
      </c>
      <c r="O323" s="4">
        <v>14224</v>
      </c>
      <c r="P323" s="4">
        <v>35</v>
      </c>
      <c r="Q323" s="4">
        <v>2212</v>
      </c>
      <c r="R323" s="4">
        <v>1971</v>
      </c>
      <c r="S323" s="4">
        <v>-682</v>
      </c>
      <c r="T323" s="4">
        <v>3536</v>
      </c>
      <c r="U323" s="4">
        <v>1289</v>
      </c>
    </row>
    <row r="324" spans="1:27" ht="14.5" x14ac:dyDescent="0.35">
      <c r="A324" s="2">
        <v>44213</v>
      </c>
      <c r="B324" s="6">
        <v>25987</v>
      </c>
      <c r="C324" s="6">
        <v>736460</v>
      </c>
      <c r="D324" s="6">
        <v>145482</v>
      </c>
      <c r="E324" s="6">
        <v>907929</v>
      </c>
      <c r="F324" s="6">
        <v>3779</v>
      </c>
      <c r="G324" s="6">
        <v>201907</v>
      </c>
      <c r="H324" s="6">
        <v>16741</v>
      </c>
      <c r="I324" s="6">
        <v>4938</v>
      </c>
      <c r="J324" s="6">
        <v>227365</v>
      </c>
      <c r="K324" s="6">
        <v>21679</v>
      </c>
      <c r="L324" s="6">
        <v>220</v>
      </c>
      <c r="M324" s="6">
        <v>9102</v>
      </c>
      <c r="N324" s="6">
        <v>1965</v>
      </c>
      <c r="O324" s="6">
        <v>11287</v>
      </c>
      <c r="P324" s="6">
        <v>34</v>
      </c>
      <c r="Q324" s="6">
        <v>3771</v>
      </c>
      <c r="R324" s="6">
        <v>-783</v>
      </c>
      <c r="S324" s="6">
        <v>373</v>
      </c>
      <c r="T324" s="6">
        <v>3395</v>
      </c>
      <c r="U324" s="25">
        <v>-410</v>
      </c>
      <c r="V324" s="12"/>
      <c r="W324" s="12"/>
      <c r="X324" s="12"/>
      <c r="Y324" s="12"/>
      <c r="Z324" s="12"/>
      <c r="AA324" s="12"/>
    </row>
    <row r="325" spans="1:27" ht="12.5" x14ac:dyDescent="0.25">
      <c r="A325" s="2">
        <v>44214</v>
      </c>
      <c r="B325" s="4">
        <v>26282</v>
      </c>
      <c r="C325" s="4">
        <v>745935</v>
      </c>
      <c r="D325" s="4">
        <v>144798</v>
      </c>
      <c r="E325" s="4">
        <v>917015</v>
      </c>
      <c r="F325" s="4">
        <v>3815</v>
      </c>
      <c r="G325" s="4">
        <v>204711</v>
      </c>
      <c r="H325" s="4">
        <v>16419</v>
      </c>
      <c r="I325" s="4">
        <v>4781</v>
      </c>
      <c r="J325" s="4">
        <v>229726</v>
      </c>
      <c r="K325" s="4">
        <v>21200</v>
      </c>
      <c r="L325" s="4">
        <v>295</v>
      </c>
      <c r="M325" s="4">
        <v>9475</v>
      </c>
      <c r="N325" s="4">
        <v>-684</v>
      </c>
      <c r="O325" s="4">
        <v>9086</v>
      </c>
      <c r="P325" s="4">
        <v>36</v>
      </c>
      <c r="Q325" s="4">
        <v>2804</v>
      </c>
      <c r="R325" s="4">
        <v>-322</v>
      </c>
      <c r="S325" s="4">
        <v>-157</v>
      </c>
      <c r="T325" s="4">
        <v>2361</v>
      </c>
      <c r="U325" s="4">
        <v>-479</v>
      </c>
    </row>
    <row r="326" spans="1:27" ht="12.5" x14ac:dyDescent="0.25">
      <c r="A326" s="2">
        <v>44215</v>
      </c>
      <c r="B326" s="4">
        <v>26590</v>
      </c>
      <c r="C326" s="4">
        <v>753948</v>
      </c>
      <c r="D326" s="4">
        <v>146842</v>
      </c>
      <c r="E326" s="4">
        <v>927380</v>
      </c>
      <c r="F326" s="4">
        <v>3836</v>
      </c>
      <c r="G326" s="4">
        <v>209238</v>
      </c>
      <c r="H326" s="4">
        <v>14604</v>
      </c>
      <c r="I326" s="4">
        <v>4611</v>
      </c>
      <c r="J326" s="4">
        <v>232289</v>
      </c>
      <c r="K326" s="4">
        <v>19215</v>
      </c>
      <c r="L326" s="4">
        <v>308</v>
      </c>
      <c r="M326" s="4">
        <v>8013</v>
      </c>
      <c r="N326" s="4">
        <v>2044</v>
      </c>
      <c r="O326" s="4">
        <v>10365</v>
      </c>
      <c r="P326" s="4">
        <v>21</v>
      </c>
      <c r="Q326" s="4">
        <v>4527</v>
      </c>
      <c r="R326" s="4">
        <v>-1815</v>
      </c>
      <c r="S326" s="4">
        <v>-170</v>
      </c>
      <c r="T326" s="4">
        <v>2563</v>
      </c>
      <c r="U326" s="4">
        <v>-1985</v>
      </c>
    </row>
    <row r="327" spans="1:27" ht="14.5" x14ac:dyDescent="0.35">
      <c r="A327" s="2">
        <v>44216</v>
      </c>
      <c r="B327" s="6">
        <v>26857</v>
      </c>
      <c r="C327" s="6">
        <v>763703</v>
      </c>
      <c r="D327" s="6">
        <v>149388</v>
      </c>
      <c r="E327" s="6">
        <v>939948</v>
      </c>
      <c r="F327" s="6">
        <v>3868</v>
      </c>
      <c r="G327" s="6">
        <v>210983</v>
      </c>
      <c r="H327" s="6">
        <v>16389</v>
      </c>
      <c r="I327" s="6">
        <v>4835</v>
      </c>
      <c r="J327" s="6">
        <v>236075</v>
      </c>
      <c r="K327" s="6">
        <v>21224</v>
      </c>
      <c r="L327" s="6">
        <v>267</v>
      </c>
      <c r="M327" s="6">
        <v>9755</v>
      </c>
      <c r="N327" s="6">
        <v>2546</v>
      </c>
      <c r="O327" s="6">
        <v>12568</v>
      </c>
      <c r="P327" s="6">
        <v>32</v>
      </c>
      <c r="Q327" s="6">
        <v>1745</v>
      </c>
      <c r="R327" s="6">
        <v>1785</v>
      </c>
      <c r="S327" s="6">
        <v>224</v>
      </c>
      <c r="T327" s="6">
        <v>3786</v>
      </c>
      <c r="U327" s="25">
        <v>2009</v>
      </c>
      <c r="V327" s="12"/>
      <c r="W327" s="12"/>
      <c r="X327" s="12"/>
      <c r="Y327" s="12"/>
      <c r="Z327" s="12"/>
      <c r="AA327" s="12"/>
    </row>
    <row r="328" spans="1:27" ht="12.5" x14ac:dyDescent="0.25">
      <c r="A328" s="2">
        <v>44217</v>
      </c>
      <c r="B328" s="4">
        <v>27203</v>
      </c>
      <c r="C328" s="4">
        <v>772790</v>
      </c>
      <c r="D328" s="4">
        <v>151658</v>
      </c>
      <c r="E328" s="4">
        <v>951651</v>
      </c>
      <c r="F328" s="4">
        <v>3900</v>
      </c>
      <c r="G328" s="4">
        <v>213570</v>
      </c>
      <c r="H328" s="4">
        <v>16966</v>
      </c>
      <c r="I328" s="4">
        <v>4790</v>
      </c>
      <c r="J328" s="4">
        <v>239226</v>
      </c>
      <c r="K328" s="4">
        <v>21756</v>
      </c>
      <c r="L328" s="4">
        <v>346</v>
      </c>
      <c r="M328" s="4">
        <v>9087</v>
      </c>
      <c r="N328" s="4">
        <v>2270</v>
      </c>
      <c r="O328" s="4">
        <v>11703</v>
      </c>
      <c r="P328" s="4">
        <v>32</v>
      </c>
      <c r="Q328" s="4">
        <v>2587</v>
      </c>
      <c r="R328" s="4">
        <v>577</v>
      </c>
      <c r="S328" s="4">
        <v>-45</v>
      </c>
      <c r="T328" s="4">
        <v>3151</v>
      </c>
      <c r="U328" s="4">
        <v>532</v>
      </c>
    </row>
    <row r="329" spans="1:27" ht="12.5" x14ac:dyDescent="0.25">
      <c r="A329" s="2">
        <v>44218</v>
      </c>
      <c r="B329" s="4">
        <v>27453</v>
      </c>
      <c r="C329" s="4">
        <v>781147</v>
      </c>
      <c r="D329" s="4">
        <v>156683</v>
      </c>
      <c r="E329" s="4">
        <v>965283</v>
      </c>
      <c r="F329" s="4">
        <v>3940</v>
      </c>
      <c r="G329" s="4">
        <v>215719</v>
      </c>
      <c r="H329" s="4">
        <v>17752</v>
      </c>
      <c r="I329" s="4">
        <v>5607</v>
      </c>
      <c r="J329" s="4">
        <v>243018</v>
      </c>
      <c r="K329" s="4">
        <v>23359</v>
      </c>
      <c r="L329" s="4">
        <v>250</v>
      </c>
      <c r="M329" s="4">
        <v>8357</v>
      </c>
      <c r="N329" s="4">
        <v>5025</v>
      </c>
      <c r="O329" s="4">
        <v>13632</v>
      </c>
      <c r="P329" s="4">
        <v>40</v>
      </c>
      <c r="Q329" s="4">
        <v>2149</v>
      </c>
      <c r="R329" s="4">
        <v>786</v>
      </c>
      <c r="S329" s="4">
        <v>817</v>
      </c>
      <c r="T329" s="4">
        <v>3792</v>
      </c>
      <c r="U329" s="4">
        <v>1603</v>
      </c>
    </row>
    <row r="330" spans="1:27" ht="12.5" x14ac:dyDescent="0.25">
      <c r="A330" s="2">
        <v>44219</v>
      </c>
      <c r="B330" s="4">
        <v>27664</v>
      </c>
      <c r="C330" s="4">
        <v>791059</v>
      </c>
      <c r="D330" s="4">
        <v>158751</v>
      </c>
      <c r="E330" s="4">
        <v>977474</v>
      </c>
      <c r="F330" s="4">
        <v>3980</v>
      </c>
      <c r="G330" s="4">
        <v>219287</v>
      </c>
      <c r="H330" s="4">
        <v>18657</v>
      </c>
      <c r="I330" s="4">
        <v>4379</v>
      </c>
      <c r="J330" s="4">
        <v>246303</v>
      </c>
      <c r="K330" s="4">
        <v>23036</v>
      </c>
      <c r="L330" s="4">
        <v>211</v>
      </c>
      <c r="M330" s="4">
        <v>9912</v>
      </c>
      <c r="N330" s="4">
        <v>2068</v>
      </c>
      <c r="O330" s="4">
        <v>12191</v>
      </c>
      <c r="P330" s="4">
        <v>40</v>
      </c>
      <c r="Q330" s="4">
        <v>3568</v>
      </c>
      <c r="R330" s="4">
        <v>905</v>
      </c>
      <c r="S330" s="4">
        <v>-1228</v>
      </c>
      <c r="T330" s="4">
        <v>3285</v>
      </c>
      <c r="U330" s="4">
        <v>-323</v>
      </c>
    </row>
    <row r="331" spans="1:27" ht="14.5" x14ac:dyDescent="0.35">
      <c r="A331" s="2">
        <v>44220</v>
      </c>
      <c r="B331" s="6">
        <v>27835</v>
      </c>
      <c r="C331" s="6">
        <v>798810</v>
      </c>
      <c r="D331" s="6">
        <v>162617</v>
      </c>
      <c r="E331" s="6">
        <v>989262</v>
      </c>
      <c r="F331" s="6">
        <v>4024</v>
      </c>
      <c r="G331" s="6">
        <v>221567</v>
      </c>
      <c r="H331" s="6">
        <v>19554</v>
      </c>
      <c r="I331" s="6">
        <v>4670</v>
      </c>
      <c r="J331" s="6">
        <v>249815</v>
      </c>
      <c r="K331" s="6">
        <v>24224</v>
      </c>
      <c r="L331" s="6">
        <v>171</v>
      </c>
      <c r="M331" s="6">
        <v>7751</v>
      </c>
      <c r="N331" s="6">
        <v>3866</v>
      </c>
      <c r="O331" s="6">
        <v>11788</v>
      </c>
      <c r="P331" s="6">
        <v>44</v>
      </c>
      <c r="Q331" s="6">
        <v>2280</v>
      </c>
      <c r="R331" s="6">
        <v>897</v>
      </c>
      <c r="S331" s="6">
        <v>291</v>
      </c>
      <c r="T331" s="6">
        <v>3512</v>
      </c>
      <c r="U331" s="25">
        <v>1188</v>
      </c>
      <c r="V331" s="12"/>
      <c r="W331" s="12"/>
      <c r="X331" s="12"/>
      <c r="Y331" s="12"/>
      <c r="Z331" s="12"/>
      <c r="AA331" s="12"/>
    </row>
    <row r="332" spans="1:27" ht="12.5" x14ac:dyDescent="0.25">
      <c r="A332" s="2">
        <v>44221</v>
      </c>
      <c r="B332" s="4">
        <v>28132</v>
      </c>
      <c r="C332" s="4">
        <v>809488</v>
      </c>
      <c r="D332" s="4">
        <v>161636</v>
      </c>
      <c r="E332" s="4">
        <v>999256</v>
      </c>
      <c r="F332" s="4">
        <v>4063</v>
      </c>
      <c r="G332" s="4">
        <v>224071</v>
      </c>
      <c r="H332" s="4">
        <v>19869</v>
      </c>
      <c r="I332" s="4">
        <v>4263</v>
      </c>
      <c r="J332" s="4">
        <v>252266</v>
      </c>
      <c r="K332" s="4">
        <v>24132</v>
      </c>
      <c r="L332" s="4">
        <v>297</v>
      </c>
      <c r="M332" s="4">
        <v>10678</v>
      </c>
      <c r="N332" s="4">
        <v>-981</v>
      </c>
      <c r="O332" s="4">
        <v>9994</v>
      </c>
      <c r="P332" s="4">
        <v>39</v>
      </c>
      <c r="Q332" s="4">
        <v>2504</v>
      </c>
      <c r="R332" s="4">
        <v>315</v>
      </c>
      <c r="S332" s="4">
        <v>-407</v>
      </c>
      <c r="T332" s="4">
        <v>2451</v>
      </c>
      <c r="U332" s="4">
        <v>-92</v>
      </c>
    </row>
    <row r="333" spans="1:27" ht="12.5" x14ac:dyDescent="0.25">
      <c r="A333" s="2">
        <v>44222</v>
      </c>
      <c r="B333" s="4">
        <v>28468</v>
      </c>
      <c r="C333" s="4">
        <v>820356</v>
      </c>
      <c r="D333" s="4">
        <v>163526</v>
      </c>
      <c r="E333" s="4">
        <v>1012350</v>
      </c>
      <c r="F333" s="4">
        <v>4108</v>
      </c>
      <c r="G333" s="4">
        <v>227010</v>
      </c>
      <c r="H333" s="4">
        <v>19432</v>
      </c>
      <c r="I333" s="4">
        <v>4030</v>
      </c>
      <c r="J333" s="4">
        <v>254580</v>
      </c>
      <c r="K333" s="4">
        <v>23462</v>
      </c>
      <c r="L333" s="4">
        <v>336</v>
      </c>
      <c r="M333" s="4">
        <v>10868</v>
      </c>
      <c r="N333" s="4">
        <v>1890</v>
      </c>
      <c r="O333" s="4">
        <v>13094</v>
      </c>
      <c r="P333" s="4">
        <v>45</v>
      </c>
      <c r="Q333" s="4">
        <v>2939</v>
      </c>
      <c r="R333" s="4">
        <v>-437</v>
      </c>
      <c r="S333" s="4">
        <v>-233</v>
      </c>
      <c r="T333" s="4">
        <v>2314</v>
      </c>
      <c r="U333" s="4">
        <v>-670</v>
      </c>
    </row>
    <row r="334" spans="1:27" ht="12.5" x14ac:dyDescent="0.25">
      <c r="A334" s="2">
        <v>44223</v>
      </c>
      <c r="B334" s="4">
        <v>28855</v>
      </c>
      <c r="C334" s="4">
        <v>831330</v>
      </c>
      <c r="D334" s="4">
        <v>164113</v>
      </c>
      <c r="E334" s="4">
        <v>1024298</v>
      </c>
      <c r="F334" s="4">
        <v>4134</v>
      </c>
      <c r="G334" s="4">
        <v>229981</v>
      </c>
      <c r="H334" s="4">
        <v>18528</v>
      </c>
      <c r="I334" s="4">
        <v>3773</v>
      </c>
      <c r="J334" s="4">
        <v>256416</v>
      </c>
      <c r="K334" s="4">
        <v>22301</v>
      </c>
      <c r="L334" s="4">
        <v>387</v>
      </c>
      <c r="M334" s="4">
        <v>10974</v>
      </c>
      <c r="N334" s="4">
        <v>587</v>
      </c>
      <c r="O334" s="4">
        <v>11948</v>
      </c>
      <c r="P334" s="4">
        <v>26</v>
      </c>
      <c r="Q334" s="4">
        <v>2971</v>
      </c>
      <c r="R334" s="4">
        <v>-904</v>
      </c>
      <c r="S334" s="4">
        <v>-257</v>
      </c>
      <c r="T334" s="4">
        <v>1836</v>
      </c>
      <c r="U334" s="4">
        <v>-1161</v>
      </c>
    </row>
    <row r="335" spans="1:27" ht="14.5" x14ac:dyDescent="0.35">
      <c r="A335" s="2">
        <v>44224</v>
      </c>
      <c r="B335" s="6">
        <v>29331</v>
      </c>
      <c r="C335" s="6">
        <v>842122</v>
      </c>
      <c r="D335" s="6">
        <v>166540</v>
      </c>
      <c r="E335" s="6">
        <v>1037993</v>
      </c>
      <c r="F335" s="6">
        <v>4185</v>
      </c>
      <c r="G335" s="6">
        <v>232701</v>
      </c>
      <c r="H335" s="6">
        <v>18473</v>
      </c>
      <c r="I335" s="6">
        <v>3946</v>
      </c>
      <c r="J335" s="6">
        <v>259305</v>
      </c>
      <c r="K335" s="6">
        <v>22419</v>
      </c>
      <c r="L335" s="6">
        <v>476</v>
      </c>
      <c r="M335" s="6">
        <v>10792</v>
      </c>
      <c r="N335" s="6">
        <v>2427</v>
      </c>
      <c r="O335" s="6">
        <v>13695</v>
      </c>
      <c r="P335" s="6">
        <v>51</v>
      </c>
      <c r="Q335" s="6">
        <v>2720</v>
      </c>
      <c r="R335" s="6">
        <v>-55</v>
      </c>
      <c r="S335" s="6">
        <v>173</v>
      </c>
      <c r="T335" s="6">
        <v>2889</v>
      </c>
      <c r="U335" s="25">
        <v>118</v>
      </c>
      <c r="V335" s="12"/>
      <c r="W335" s="12"/>
      <c r="X335" s="12"/>
      <c r="Y335" s="12"/>
      <c r="Z335" s="12"/>
      <c r="AA335" s="12"/>
    </row>
    <row r="336" spans="1:27" ht="12.5" x14ac:dyDescent="0.25">
      <c r="A336" s="2">
        <v>44225</v>
      </c>
      <c r="B336" s="4">
        <v>29518</v>
      </c>
      <c r="C336" s="4">
        <v>852260</v>
      </c>
      <c r="D336" s="4">
        <v>170017</v>
      </c>
      <c r="E336" s="4">
        <v>1051795</v>
      </c>
      <c r="F336" s="4">
        <v>4224</v>
      </c>
      <c r="G336" s="4">
        <v>235140</v>
      </c>
      <c r="H336" s="4">
        <v>19381</v>
      </c>
      <c r="I336" s="4">
        <v>4008</v>
      </c>
      <c r="J336" s="4">
        <v>262753</v>
      </c>
      <c r="K336" s="4">
        <v>23389</v>
      </c>
      <c r="L336" s="4">
        <v>187</v>
      </c>
      <c r="M336" s="4">
        <v>10138</v>
      </c>
      <c r="N336" s="4">
        <v>3477</v>
      </c>
      <c r="O336" s="4">
        <v>13802</v>
      </c>
      <c r="P336" s="4">
        <v>39</v>
      </c>
      <c r="Q336" s="4">
        <v>2439</v>
      </c>
      <c r="R336" s="4">
        <v>908</v>
      </c>
      <c r="S336" s="4">
        <v>62</v>
      </c>
      <c r="T336" s="4">
        <v>3448</v>
      </c>
      <c r="U336" s="4">
        <v>970</v>
      </c>
    </row>
    <row r="337" spans="1:27" ht="14.5" x14ac:dyDescent="0.35">
      <c r="A337" s="2">
        <v>44226</v>
      </c>
      <c r="B337" s="6">
        <v>29728</v>
      </c>
      <c r="C337" s="6">
        <v>862502</v>
      </c>
      <c r="D337" s="6">
        <v>174083</v>
      </c>
      <c r="E337" s="6">
        <v>1066313</v>
      </c>
      <c r="F337" s="6">
        <v>4254</v>
      </c>
      <c r="G337" s="6">
        <v>238395</v>
      </c>
      <c r="H337" s="6">
        <v>20539</v>
      </c>
      <c r="I337" s="6">
        <v>3056</v>
      </c>
      <c r="J337" s="6">
        <v>266244</v>
      </c>
      <c r="K337" s="6">
        <v>23595</v>
      </c>
      <c r="L337" s="6">
        <v>210</v>
      </c>
      <c r="M337" s="6">
        <v>10242</v>
      </c>
      <c r="N337" s="6">
        <v>4066</v>
      </c>
      <c r="O337" s="6">
        <v>14518</v>
      </c>
      <c r="P337" s="9">
        <v>39</v>
      </c>
      <c r="Q337" s="6">
        <v>3255</v>
      </c>
      <c r="R337" s="6">
        <v>1158</v>
      </c>
      <c r="S337" s="6">
        <v>-952</v>
      </c>
      <c r="T337" s="6">
        <v>3491</v>
      </c>
      <c r="U337" s="25">
        <v>206</v>
      </c>
      <c r="V337" s="12"/>
      <c r="W337" s="12"/>
      <c r="X337" s="12"/>
      <c r="Y337" s="12"/>
      <c r="Z337" s="12"/>
      <c r="AA337" s="12"/>
    </row>
    <row r="338" spans="1:27" ht="12.5" x14ac:dyDescent="0.25">
      <c r="A338" s="2">
        <v>44227</v>
      </c>
      <c r="B338" s="4">
        <v>29998</v>
      </c>
      <c r="C338" s="4">
        <v>873221</v>
      </c>
      <c r="D338" s="4">
        <v>175095</v>
      </c>
      <c r="E338" s="4">
        <v>1078314</v>
      </c>
      <c r="F338" s="4">
        <v>4267</v>
      </c>
      <c r="G338" s="4">
        <v>242069</v>
      </c>
      <c r="H338" s="4">
        <v>19272</v>
      </c>
      <c r="I338" s="4">
        <v>4110</v>
      </c>
      <c r="J338" s="4">
        <v>269718</v>
      </c>
      <c r="K338" s="4">
        <v>23382</v>
      </c>
      <c r="L338" s="4">
        <v>270</v>
      </c>
      <c r="M338" s="4">
        <v>10719</v>
      </c>
      <c r="N338" s="4">
        <v>1012</v>
      </c>
      <c r="O338" s="4">
        <v>12001</v>
      </c>
      <c r="P338" s="4">
        <v>13</v>
      </c>
      <c r="Q338" s="4">
        <v>3674</v>
      </c>
      <c r="R338" s="4">
        <v>-1267</v>
      </c>
      <c r="S338" s="4">
        <v>1054</v>
      </c>
      <c r="T338" s="4">
        <v>3474</v>
      </c>
      <c r="U338" s="4">
        <v>-213</v>
      </c>
    </row>
    <row r="339" spans="1:27" ht="12.5" x14ac:dyDescent="0.25">
      <c r="A339" s="2">
        <v>44228</v>
      </c>
      <c r="B339" s="4">
        <v>30277</v>
      </c>
      <c r="C339" s="4">
        <v>883682</v>
      </c>
      <c r="D339" s="4">
        <v>175349</v>
      </c>
      <c r="E339" s="4">
        <v>1089308</v>
      </c>
      <c r="F339" s="4">
        <v>4337</v>
      </c>
      <c r="G339" s="4">
        <v>244202</v>
      </c>
      <c r="H339" s="4">
        <v>19824</v>
      </c>
      <c r="I339" s="4">
        <v>4969</v>
      </c>
      <c r="J339" s="4">
        <v>273332</v>
      </c>
      <c r="K339" s="4">
        <v>24793</v>
      </c>
      <c r="L339" s="4">
        <v>279</v>
      </c>
      <c r="M339" s="4">
        <v>10461</v>
      </c>
      <c r="N339" s="4">
        <v>254</v>
      </c>
      <c r="O339" s="4">
        <v>10994</v>
      </c>
      <c r="P339" s="4">
        <v>70</v>
      </c>
      <c r="Q339" s="4">
        <v>2133</v>
      </c>
      <c r="R339" s="4">
        <v>552</v>
      </c>
      <c r="S339" s="4">
        <v>859</v>
      </c>
      <c r="T339" s="4">
        <v>3614</v>
      </c>
      <c r="U339" s="4">
        <v>1411</v>
      </c>
    </row>
    <row r="340" spans="1:27" ht="12.5" x14ac:dyDescent="0.25">
      <c r="A340" s="2">
        <v>44229</v>
      </c>
      <c r="B340" s="4">
        <v>30581</v>
      </c>
      <c r="C340" s="4">
        <v>896530</v>
      </c>
      <c r="D340" s="4">
        <v>172576</v>
      </c>
      <c r="E340" s="4">
        <v>1099687</v>
      </c>
      <c r="F340" s="4">
        <v>4379</v>
      </c>
      <c r="G340" s="4">
        <v>248515</v>
      </c>
      <c r="H340" s="4">
        <v>18925</v>
      </c>
      <c r="I340" s="4">
        <v>4875</v>
      </c>
      <c r="J340" s="4">
        <v>276694</v>
      </c>
      <c r="K340" s="4">
        <v>23800</v>
      </c>
      <c r="L340" s="4">
        <v>304</v>
      </c>
      <c r="M340" s="4">
        <v>12848</v>
      </c>
      <c r="N340" s="4">
        <v>-2773</v>
      </c>
      <c r="O340" s="4">
        <v>10379</v>
      </c>
      <c r="P340" s="4">
        <v>42</v>
      </c>
      <c r="Q340" s="4">
        <v>4313</v>
      </c>
      <c r="R340" s="4">
        <v>-899</v>
      </c>
      <c r="S340" s="4">
        <v>-94</v>
      </c>
      <c r="T340" s="4">
        <v>3362</v>
      </c>
      <c r="U340" s="4">
        <v>-993</v>
      </c>
    </row>
    <row r="341" spans="1:27" ht="14.5" x14ac:dyDescent="0.35">
      <c r="A341" s="2">
        <v>44230</v>
      </c>
      <c r="B341" s="6">
        <v>30770</v>
      </c>
      <c r="C341" s="6">
        <v>905665</v>
      </c>
      <c r="D341" s="6">
        <v>175236</v>
      </c>
      <c r="E341" s="6">
        <v>1111671</v>
      </c>
      <c r="F341" s="6">
        <v>4420</v>
      </c>
      <c r="G341" s="6">
        <v>249810</v>
      </c>
      <c r="H341" s="6">
        <v>21863</v>
      </c>
      <c r="I341" s="6">
        <v>4168</v>
      </c>
      <c r="J341" s="6">
        <v>280261</v>
      </c>
      <c r="K341" s="6">
        <v>26031</v>
      </c>
      <c r="L341" s="6">
        <v>189</v>
      </c>
      <c r="M341" s="6">
        <v>9135</v>
      </c>
      <c r="N341" s="6">
        <v>2660</v>
      </c>
      <c r="O341" s="6">
        <v>11984</v>
      </c>
      <c r="P341" s="6">
        <v>41</v>
      </c>
      <c r="Q341" s="6">
        <v>1295</v>
      </c>
      <c r="R341" s="6">
        <v>2938</v>
      </c>
      <c r="S341" s="6">
        <v>-707</v>
      </c>
      <c r="T341" s="6">
        <v>3567</v>
      </c>
      <c r="U341" s="25">
        <v>2231</v>
      </c>
      <c r="V341" s="12"/>
      <c r="W341" s="12"/>
      <c r="X341" s="12"/>
      <c r="Y341" s="12"/>
      <c r="Z341" s="12"/>
      <c r="AA341" s="12"/>
    </row>
    <row r="342" spans="1:27" ht="14.5" x14ac:dyDescent="0.35">
      <c r="A342" s="2">
        <v>44231</v>
      </c>
      <c r="B342" s="6">
        <v>31001</v>
      </c>
      <c r="C342" s="6">
        <v>917036</v>
      </c>
      <c r="D342" s="6">
        <v>175068</v>
      </c>
      <c r="E342" s="6">
        <v>1123105</v>
      </c>
      <c r="F342" s="6">
        <v>4461</v>
      </c>
      <c r="G342" s="6">
        <v>254155</v>
      </c>
      <c r="H342" s="6">
        <v>20419</v>
      </c>
      <c r="I342" s="6">
        <v>4858</v>
      </c>
      <c r="J342" s="6">
        <v>283893</v>
      </c>
      <c r="K342" s="6">
        <v>25277</v>
      </c>
      <c r="L342" s="6">
        <v>231</v>
      </c>
      <c r="M342" s="6">
        <v>11371</v>
      </c>
      <c r="N342" s="6">
        <v>-168</v>
      </c>
      <c r="O342" s="6">
        <v>11434</v>
      </c>
      <c r="P342" s="6">
        <v>41</v>
      </c>
      <c r="Q342" s="6">
        <v>4345</v>
      </c>
      <c r="R342" s="6">
        <v>-1444</v>
      </c>
      <c r="S342" s="6">
        <v>690</v>
      </c>
      <c r="T342" s="6">
        <v>3632</v>
      </c>
      <c r="U342" s="25">
        <v>-754</v>
      </c>
      <c r="V342" s="12"/>
      <c r="W342" s="12"/>
      <c r="X342" s="12"/>
      <c r="Y342" s="12"/>
      <c r="Z342" s="12"/>
      <c r="AA342" s="12"/>
    </row>
    <row r="343" spans="1:27" ht="12.5" x14ac:dyDescent="0.25">
      <c r="A343" s="2">
        <v>44232</v>
      </c>
      <c r="B343" s="4">
        <v>31202</v>
      </c>
      <c r="C343" s="4">
        <v>926980</v>
      </c>
      <c r="D343" s="4">
        <v>176672</v>
      </c>
      <c r="E343" s="4">
        <v>1134854</v>
      </c>
      <c r="F343" s="4">
        <v>4502</v>
      </c>
      <c r="G343" s="4">
        <v>256702</v>
      </c>
      <c r="H343" s="4">
        <v>21191</v>
      </c>
      <c r="I343" s="4">
        <v>4838</v>
      </c>
      <c r="J343" s="4">
        <v>287233</v>
      </c>
      <c r="K343" s="4">
        <v>26029</v>
      </c>
      <c r="L343" s="4">
        <v>201</v>
      </c>
      <c r="M343" s="4">
        <v>9944</v>
      </c>
      <c r="N343" s="4">
        <v>1604</v>
      </c>
      <c r="O343" s="4">
        <v>11749</v>
      </c>
      <c r="P343" s="4">
        <v>41</v>
      </c>
      <c r="Q343" s="4">
        <v>2547</v>
      </c>
      <c r="R343" s="4">
        <v>772</v>
      </c>
      <c r="S343" s="4">
        <v>-20</v>
      </c>
      <c r="T343" s="4">
        <v>3340</v>
      </c>
      <c r="U343" s="4">
        <v>752</v>
      </c>
    </row>
    <row r="344" spans="1:27" ht="14.5" x14ac:dyDescent="0.35">
      <c r="A344" s="2">
        <v>44233</v>
      </c>
      <c r="B344" s="6">
        <v>31393</v>
      </c>
      <c r="C344" s="6">
        <v>939184</v>
      </c>
      <c r="D344" s="6">
        <v>176433</v>
      </c>
      <c r="E344" s="6">
        <v>1147010</v>
      </c>
      <c r="F344" s="6">
        <v>4541</v>
      </c>
      <c r="G344" s="6">
        <v>261027</v>
      </c>
      <c r="H344" s="6">
        <v>19325</v>
      </c>
      <c r="I344" s="6">
        <v>4719</v>
      </c>
      <c r="J344" s="6">
        <v>289612</v>
      </c>
      <c r="K344" s="6">
        <v>24044</v>
      </c>
      <c r="L344" s="6">
        <v>191</v>
      </c>
      <c r="M344" s="6">
        <v>12204</v>
      </c>
      <c r="N344" s="6">
        <v>-239</v>
      </c>
      <c r="O344" s="6">
        <v>12156</v>
      </c>
      <c r="P344" s="6">
        <v>39</v>
      </c>
      <c r="Q344" s="6">
        <v>4325</v>
      </c>
      <c r="R344" s="6">
        <v>-1866</v>
      </c>
      <c r="S344" s="6">
        <v>-119</v>
      </c>
      <c r="T344" s="6">
        <v>2379</v>
      </c>
      <c r="U344" s="25">
        <v>-1985</v>
      </c>
      <c r="V344" s="12"/>
      <c r="W344" s="12"/>
      <c r="X344" s="12"/>
      <c r="Y344" s="12"/>
      <c r="Z344" s="12"/>
      <c r="AA344" s="12"/>
    </row>
    <row r="345" spans="1:27" ht="12.5" x14ac:dyDescent="0.25">
      <c r="A345" s="2">
        <v>44234</v>
      </c>
      <c r="B345" s="4">
        <v>31556</v>
      </c>
      <c r="C345" s="4">
        <v>949990</v>
      </c>
      <c r="D345" s="4">
        <v>176291</v>
      </c>
      <c r="E345" s="4">
        <v>1157837</v>
      </c>
      <c r="F345" s="4">
        <v>4587</v>
      </c>
      <c r="G345" s="4">
        <v>265369</v>
      </c>
      <c r="H345" s="4">
        <v>17958</v>
      </c>
      <c r="I345" s="4">
        <v>5911</v>
      </c>
      <c r="J345" s="4">
        <v>293825</v>
      </c>
      <c r="K345" s="4">
        <v>23869</v>
      </c>
      <c r="L345" s="4">
        <v>163</v>
      </c>
      <c r="M345" s="4">
        <v>10806</v>
      </c>
      <c r="N345" s="4">
        <v>-142</v>
      </c>
      <c r="O345" s="4">
        <v>10827</v>
      </c>
      <c r="P345" s="4">
        <v>46</v>
      </c>
      <c r="Q345" s="4">
        <v>4342</v>
      </c>
      <c r="R345" s="4">
        <v>-1367</v>
      </c>
      <c r="S345" s="4">
        <v>1192</v>
      </c>
      <c r="T345" s="4">
        <v>4213</v>
      </c>
      <c r="U345" s="4">
        <v>-175</v>
      </c>
    </row>
    <row r="346" spans="1:27" ht="12.5" x14ac:dyDescent="0.25">
      <c r="A346" s="2">
        <v>44235</v>
      </c>
      <c r="B346" s="4">
        <v>31763</v>
      </c>
      <c r="C346" s="4">
        <v>963028</v>
      </c>
      <c r="D346" s="4">
        <v>171288</v>
      </c>
      <c r="E346" s="4">
        <v>1166079</v>
      </c>
      <c r="F346" s="4">
        <v>4631</v>
      </c>
      <c r="G346" s="4">
        <v>268785</v>
      </c>
      <c r="H346" s="4">
        <v>17766</v>
      </c>
      <c r="I346" s="4">
        <v>5787</v>
      </c>
      <c r="J346" s="4">
        <v>296969</v>
      </c>
      <c r="K346" s="4">
        <v>23553</v>
      </c>
      <c r="L346" s="4">
        <v>207</v>
      </c>
      <c r="M346" s="4">
        <v>13038</v>
      </c>
      <c r="N346" s="4">
        <v>-5003</v>
      </c>
      <c r="O346" s="4">
        <v>8242</v>
      </c>
      <c r="P346" s="4">
        <v>44</v>
      </c>
      <c r="Q346" s="4">
        <v>3416</v>
      </c>
      <c r="R346" s="4">
        <v>-192</v>
      </c>
      <c r="S346" s="4">
        <v>-124</v>
      </c>
      <c r="T346" s="4">
        <v>3144</v>
      </c>
      <c r="U346" s="4">
        <v>-316</v>
      </c>
    </row>
    <row r="347" spans="1:27" ht="12.5" x14ac:dyDescent="0.25">
      <c r="A347" s="2">
        <v>44236</v>
      </c>
      <c r="B347" s="4">
        <v>31976</v>
      </c>
      <c r="C347" s="4">
        <v>973452</v>
      </c>
      <c r="D347" s="4">
        <v>169351</v>
      </c>
      <c r="E347" s="4">
        <v>1174779</v>
      </c>
      <c r="F347" s="4">
        <v>4681</v>
      </c>
      <c r="G347" s="4">
        <v>271573</v>
      </c>
      <c r="H347" s="4">
        <v>18174</v>
      </c>
      <c r="I347" s="4">
        <v>5978</v>
      </c>
      <c r="J347" s="4">
        <v>300406</v>
      </c>
      <c r="K347" s="4">
        <v>24152</v>
      </c>
      <c r="L347" s="4">
        <v>213</v>
      </c>
      <c r="M347" s="4">
        <v>10424</v>
      </c>
      <c r="N347" s="4">
        <v>-1937</v>
      </c>
      <c r="O347" s="4">
        <v>8700</v>
      </c>
      <c r="P347" s="4">
        <v>50</v>
      </c>
      <c r="Q347" s="4">
        <v>2788</v>
      </c>
      <c r="R347" s="4">
        <v>408</v>
      </c>
      <c r="S347" s="4">
        <v>191</v>
      </c>
      <c r="T347" s="4">
        <v>3437</v>
      </c>
      <c r="U347" s="4">
        <v>599</v>
      </c>
    </row>
    <row r="348" spans="1:27" ht="12.5" x14ac:dyDescent="0.25">
      <c r="A348" s="2">
        <v>44237</v>
      </c>
      <c r="B348" s="4">
        <v>32167</v>
      </c>
      <c r="C348" s="4">
        <v>982972</v>
      </c>
      <c r="D348" s="4">
        <v>168416</v>
      </c>
      <c r="E348" s="4">
        <v>1183555</v>
      </c>
      <c r="F348" s="4">
        <v>4725</v>
      </c>
      <c r="G348" s="4">
        <v>274817</v>
      </c>
      <c r="H348" s="4">
        <v>16676</v>
      </c>
      <c r="I348" s="4">
        <v>7497</v>
      </c>
      <c r="J348" s="4">
        <v>303715</v>
      </c>
      <c r="K348" s="4">
        <v>24173</v>
      </c>
      <c r="L348" s="4">
        <v>191</v>
      </c>
      <c r="M348" s="4">
        <v>9520</v>
      </c>
      <c r="N348" s="4">
        <v>-935</v>
      </c>
      <c r="O348" s="4">
        <v>8776</v>
      </c>
      <c r="P348" s="4">
        <v>44</v>
      </c>
      <c r="Q348" s="4">
        <v>3244</v>
      </c>
      <c r="R348" s="4">
        <v>-1498</v>
      </c>
      <c r="S348" s="4">
        <v>1519</v>
      </c>
      <c r="T348" s="4">
        <v>3309</v>
      </c>
      <c r="U348" s="4">
        <v>21</v>
      </c>
    </row>
    <row r="349" spans="1:27" ht="12.5" x14ac:dyDescent="0.25">
      <c r="A349" s="2">
        <v>44238</v>
      </c>
      <c r="B349" s="4">
        <v>32381</v>
      </c>
      <c r="C349" s="4">
        <v>993117</v>
      </c>
      <c r="D349" s="4">
        <v>166492</v>
      </c>
      <c r="E349" s="4">
        <v>1191990</v>
      </c>
      <c r="F349" s="4">
        <v>4748</v>
      </c>
      <c r="G349" s="4">
        <v>278822</v>
      </c>
      <c r="H349" s="4">
        <v>14119</v>
      </c>
      <c r="I349" s="4">
        <v>8540</v>
      </c>
      <c r="J349" s="4">
        <v>306229</v>
      </c>
      <c r="K349" s="4">
        <v>22659</v>
      </c>
      <c r="L349" s="4">
        <v>214</v>
      </c>
      <c r="M349" s="4">
        <v>10145</v>
      </c>
      <c r="N349" s="4">
        <v>-1924</v>
      </c>
      <c r="O349" s="4">
        <v>8435</v>
      </c>
      <c r="P349" s="4">
        <v>23</v>
      </c>
      <c r="Q349" s="4">
        <v>4005</v>
      </c>
      <c r="R349" s="4">
        <v>-2557</v>
      </c>
      <c r="S349" s="4">
        <v>1043</v>
      </c>
      <c r="T349" s="4">
        <v>2514</v>
      </c>
      <c r="U349" s="4">
        <v>-1514</v>
      </c>
    </row>
    <row r="350" spans="1:27" ht="14.5" x14ac:dyDescent="0.35">
      <c r="A350" s="2">
        <v>44239</v>
      </c>
      <c r="B350" s="6">
        <v>32656</v>
      </c>
      <c r="C350" s="6">
        <v>1004117</v>
      </c>
      <c r="D350" s="6">
        <v>165086</v>
      </c>
      <c r="E350" s="6">
        <v>1201859</v>
      </c>
      <c r="F350" s="6">
        <v>4798</v>
      </c>
      <c r="G350" s="6">
        <v>284579</v>
      </c>
      <c r="H350" s="6">
        <v>10774</v>
      </c>
      <c r="I350" s="6">
        <v>9888</v>
      </c>
      <c r="J350" s="6">
        <v>310039</v>
      </c>
      <c r="K350" s="6">
        <v>20662</v>
      </c>
      <c r="L350" s="6">
        <v>275</v>
      </c>
      <c r="M350" s="6">
        <v>11000</v>
      </c>
      <c r="N350" s="6">
        <v>-1406</v>
      </c>
      <c r="O350" s="6">
        <v>9869</v>
      </c>
      <c r="P350" s="6">
        <v>50</v>
      </c>
      <c r="Q350" s="6">
        <v>5757</v>
      </c>
      <c r="R350" s="6">
        <v>-3345</v>
      </c>
      <c r="S350" s="6">
        <v>1348</v>
      </c>
      <c r="T350" s="6">
        <v>3810</v>
      </c>
      <c r="U350" s="25">
        <v>-1997</v>
      </c>
      <c r="V350" s="12"/>
      <c r="W350" s="12"/>
      <c r="X350" s="12"/>
      <c r="Y350" s="12"/>
      <c r="Z350" s="12"/>
      <c r="AA350" s="12"/>
    </row>
    <row r="351" spans="1:27" ht="12.5" x14ac:dyDescent="0.25">
      <c r="A351" s="2">
        <v>44240</v>
      </c>
      <c r="B351" s="4">
        <v>32936</v>
      </c>
      <c r="C351" s="4">
        <v>1016036</v>
      </c>
      <c r="D351" s="4">
        <v>161731</v>
      </c>
      <c r="E351" s="4">
        <v>1210703</v>
      </c>
      <c r="F351" s="4">
        <v>4850</v>
      </c>
      <c r="G351" s="4">
        <v>289189</v>
      </c>
      <c r="H351" s="4">
        <v>9644</v>
      </c>
      <c r="I351" s="4">
        <v>9374</v>
      </c>
      <c r="J351" s="4">
        <v>313057</v>
      </c>
      <c r="K351" s="4">
        <v>19018</v>
      </c>
      <c r="L351" s="4">
        <v>280</v>
      </c>
      <c r="M351" s="4">
        <v>11919</v>
      </c>
      <c r="N351" s="4">
        <v>-3355</v>
      </c>
      <c r="O351" s="4">
        <v>8844</v>
      </c>
      <c r="P351" s="4">
        <v>52</v>
      </c>
      <c r="Q351" s="4">
        <v>4610</v>
      </c>
      <c r="R351" s="4">
        <v>-1130</v>
      </c>
      <c r="S351" s="4">
        <v>-514</v>
      </c>
      <c r="T351" s="4">
        <v>3018</v>
      </c>
      <c r="U351" s="4">
        <v>-1644</v>
      </c>
    </row>
    <row r="352" spans="1:27" ht="14.5" x14ac:dyDescent="0.35">
      <c r="A352" s="2">
        <v>44241</v>
      </c>
      <c r="B352" s="6">
        <v>33183</v>
      </c>
      <c r="C352" s="6">
        <v>1025273</v>
      </c>
      <c r="D352" s="6">
        <v>159012</v>
      </c>
      <c r="E352" s="6">
        <v>1217468</v>
      </c>
      <c r="F352" s="6">
        <v>4895</v>
      </c>
      <c r="G352" s="6">
        <v>293538</v>
      </c>
      <c r="H352" s="6">
        <v>9017</v>
      </c>
      <c r="I352" s="6">
        <v>8103</v>
      </c>
      <c r="J352" s="6">
        <v>315553</v>
      </c>
      <c r="K352" s="6">
        <v>17120</v>
      </c>
      <c r="L352" s="6">
        <v>247</v>
      </c>
      <c r="M352" s="6">
        <v>9237</v>
      </c>
      <c r="N352" s="6">
        <v>-2719</v>
      </c>
      <c r="O352" s="6">
        <v>6765</v>
      </c>
      <c r="P352" s="6">
        <v>45</v>
      </c>
      <c r="Q352" s="6">
        <v>4349</v>
      </c>
      <c r="R352" s="6">
        <v>-627</v>
      </c>
      <c r="S352" s="6">
        <v>-1271</v>
      </c>
      <c r="T352" s="6">
        <v>2496</v>
      </c>
      <c r="U352" s="25">
        <v>-1898</v>
      </c>
      <c r="V352" s="12"/>
      <c r="W352" s="12"/>
      <c r="X352" s="12"/>
      <c r="Y352" s="12"/>
      <c r="Z352" s="12"/>
      <c r="AA352" s="12"/>
    </row>
    <row r="353" spans="1:27" ht="12.5" x14ac:dyDescent="0.25">
      <c r="A353" s="2">
        <v>44242</v>
      </c>
      <c r="B353" s="4">
        <v>33367</v>
      </c>
      <c r="C353" s="4">
        <v>1032065</v>
      </c>
      <c r="D353" s="4">
        <v>158498</v>
      </c>
      <c r="E353" s="4">
        <v>1223930</v>
      </c>
      <c r="F353" s="4">
        <v>4940</v>
      </c>
      <c r="G353" s="4">
        <v>295623</v>
      </c>
      <c r="H353" s="4">
        <v>8881</v>
      </c>
      <c r="I353" s="4">
        <v>7988</v>
      </c>
      <c r="J353" s="4">
        <v>317432</v>
      </c>
      <c r="K353" s="4">
        <v>16869</v>
      </c>
      <c r="L353" s="4">
        <v>184</v>
      </c>
      <c r="M353" s="4">
        <v>6792</v>
      </c>
      <c r="N353" s="4">
        <v>-514</v>
      </c>
      <c r="O353" s="4">
        <v>6462</v>
      </c>
      <c r="P353" s="4">
        <v>45</v>
      </c>
      <c r="Q353" s="4">
        <v>2085</v>
      </c>
      <c r="R353" s="4">
        <v>-136</v>
      </c>
      <c r="S353" s="4">
        <v>-115</v>
      </c>
      <c r="T353" s="4">
        <v>1879</v>
      </c>
      <c r="U353" s="4">
        <v>-251</v>
      </c>
    </row>
    <row r="354" spans="1:27" ht="12.5" x14ac:dyDescent="0.25">
      <c r="A354" s="2">
        <v>44243</v>
      </c>
      <c r="B354" s="4">
        <v>33596</v>
      </c>
      <c r="C354" s="4">
        <v>1039674</v>
      </c>
      <c r="D354" s="4">
        <v>160689</v>
      </c>
      <c r="E354" s="4">
        <v>1233959</v>
      </c>
      <c r="F354" s="4">
        <v>4987</v>
      </c>
      <c r="G354" s="4">
        <v>297695</v>
      </c>
      <c r="H354" s="4">
        <v>9042</v>
      </c>
      <c r="I354" s="4">
        <v>7569</v>
      </c>
      <c r="J354" s="4">
        <v>319293</v>
      </c>
      <c r="K354" s="4">
        <v>16611</v>
      </c>
      <c r="L354" s="4">
        <v>229</v>
      </c>
      <c r="M354" s="4">
        <v>7609</v>
      </c>
      <c r="N354" s="4">
        <v>2191</v>
      </c>
      <c r="O354" s="4">
        <v>10029</v>
      </c>
      <c r="P354" s="4">
        <v>47</v>
      </c>
      <c r="Q354" s="4">
        <v>2072</v>
      </c>
      <c r="R354" s="4">
        <v>161</v>
      </c>
      <c r="S354" s="4">
        <v>-419</v>
      </c>
      <c r="T354" s="4">
        <v>1861</v>
      </c>
      <c r="U354" s="4">
        <v>-258</v>
      </c>
    </row>
    <row r="355" spans="1:27" ht="14.5" x14ac:dyDescent="0.35">
      <c r="A355" s="2">
        <v>44244</v>
      </c>
      <c r="B355" s="6">
        <v>33788</v>
      </c>
      <c r="C355" s="6">
        <v>1047676</v>
      </c>
      <c r="D355" s="6">
        <v>162182</v>
      </c>
      <c r="E355" s="6">
        <v>1243646</v>
      </c>
      <c r="F355" s="6">
        <v>5026</v>
      </c>
      <c r="G355" s="6">
        <v>299795</v>
      </c>
      <c r="H355" s="6">
        <v>8467</v>
      </c>
      <c r="I355" s="6">
        <v>7450</v>
      </c>
      <c r="J355" s="6">
        <v>320738</v>
      </c>
      <c r="K355" s="6">
        <v>15917</v>
      </c>
      <c r="L355" s="6">
        <v>192</v>
      </c>
      <c r="M355" s="6">
        <v>8002</v>
      </c>
      <c r="N355" s="6">
        <v>1493</v>
      </c>
      <c r="O355" s="6">
        <v>9687</v>
      </c>
      <c r="P355" s="6">
        <v>39</v>
      </c>
      <c r="Q355" s="6">
        <v>2100</v>
      </c>
      <c r="R355" s="6">
        <v>-575</v>
      </c>
      <c r="S355" s="6">
        <v>-119</v>
      </c>
      <c r="T355" s="6">
        <v>1445</v>
      </c>
      <c r="U355" s="25">
        <v>-694</v>
      </c>
      <c r="V355" s="12"/>
      <c r="W355" s="12"/>
      <c r="X355" s="12"/>
      <c r="Y355" s="12"/>
      <c r="Z355" s="12"/>
      <c r="AA355" s="12"/>
    </row>
    <row r="356" spans="1:27" ht="12.5" x14ac:dyDescent="0.25">
      <c r="A356" s="2">
        <v>44245</v>
      </c>
      <c r="B356" s="4">
        <v>33969</v>
      </c>
      <c r="C356" s="4">
        <v>1058222</v>
      </c>
      <c r="D356" s="4">
        <v>160494</v>
      </c>
      <c r="E356" s="4">
        <v>1252685</v>
      </c>
      <c r="F356" s="4">
        <v>5044</v>
      </c>
      <c r="G356" s="4">
        <v>302451</v>
      </c>
      <c r="H356" s="4">
        <v>7067</v>
      </c>
      <c r="I356" s="4">
        <v>6549</v>
      </c>
      <c r="J356" s="4">
        <v>321111</v>
      </c>
      <c r="K356" s="4">
        <v>13616</v>
      </c>
      <c r="L356" s="4">
        <v>181</v>
      </c>
      <c r="M356" s="4">
        <v>10546</v>
      </c>
      <c r="N356" s="4">
        <v>-1688</v>
      </c>
      <c r="O356" s="4">
        <v>9039</v>
      </c>
      <c r="P356" s="4">
        <v>18</v>
      </c>
      <c r="Q356" s="4">
        <v>2656</v>
      </c>
      <c r="R356" s="4">
        <v>-1400</v>
      </c>
      <c r="S356" s="4">
        <v>-901</v>
      </c>
      <c r="T356" s="4">
        <v>373</v>
      </c>
      <c r="U356" s="4">
        <v>-2301</v>
      </c>
    </row>
    <row r="357" spans="1:27" ht="14.5" x14ac:dyDescent="0.35">
      <c r="A357" s="2">
        <v>44246</v>
      </c>
      <c r="B357" s="6">
        <v>34152</v>
      </c>
      <c r="C357" s="6">
        <v>1069005</v>
      </c>
      <c r="D357" s="6">
        <v>160142</v>
      </c>
      <c r="E357" s="6">
        <v>1263299</v>
      </c>
      <c r="F357" s="6">
        <v>5081</v>
      </c>
      <c r="G357" s="6">
        <v>304995</v>
      </c>
      <c r="H357" s="6">
        <v>7323</v>
      </c>
      <c r="I357" s="6">
        <v>5632</v>
      </c>
      <c r="J357" s="6">
        <v>323031</v>
      </c>
      <c r="K357" s="6">
        <v>12955</v>
      </c>
      <c r="L357" s="6">
        <v>183</v>
      </c>
      <c r="M357" s="6">
        <v>10783</v>
      </c>
      <c r="N357" s="6">
        <v>-352</v>
      </c>
      <c r="O357" s="6">
        <v>10614</v>
      </c>
      <c r="P357" s="6">
        <v>37</v>
      </c>
      <c r="Q357" s="6">
        <v>2544</v>
      </c>
      <c r="R357" s="6">
        <v>256</v>
      </c>
      <c r="S357" s="6">
        <v>-917</v>
      </c>
      <c r="T357" s="6">
        <v>1920</v>
      </c>
      <c r="U357" s="25">
        <v>-661</v>
      </c>
      <c r="V357" s="12"/>
      <c r="W357" s="12"/>
      <c r="X357" s="12"/>
      <c r="Y357" s="12"/>
      <c r="Z357" s="12"/>
      <c r="AA357" s="12"/>
    </row>
    <row r="358" spans="1:27" ht="14.5" x14ac:dyDescent="0.35">
      <c r="A358" s="2">
        <v>44247</v>
      </c>
      <c r="B358" s="6">
        <v>34316</v>
      </c>
      <c r="C358" s="6">
        <v>1078840</v>
      </c>
      <c r="D358" s="6">
        <v>158197</v>
      </c>
      <c r="E358" s="6">
        <v>1271353</v>
      </c>
      <c r="F358" s="6">
        <v>5121</v>
      </c>
      <c r="G358" s="6">
        <v>307759</v>
      </c>
      <c r="H358" s="6">
        <v>7165</v>
      </c>
      <c r="I358" s="6">
        <v>5858</v>
      </c>
      <c r="J358" s="6">
        <v>325903</v>
      </c>
      <c r="K358" s="6">
        <v>13023</v>
      </c>
      <c r="L358" s="6">
        <v>164</v>
      </c>
      <c r="M358" s="6">
        <v>9835</v>
      </c>
      <c r="N358" s="6">
        <v>-1945</v>
      </c>
      <c r="O358" s="6">
        <v>8054</v>
      </c>
      <c r="P358" s="6">
        <v>40</v>
      </c>
      <c r="Q358" s="6">
        <v>2764</v>
      </c>
      <c r="R358" s="6">
        <v>-158</v>
      </c>
      <c r="S358" s="6">
        <v>226</v>
      </c>
      <c r="T358" s="6">
        <v>2872</v>
      </c>
      <c r="U358" s="25">
        <v>68</v>
      </c>
      <c r="V358" s="12"/>
      <c r="W358" s="12"/>
      <c r="X358" s="12"/>
      <c r="Y358" s="12"/>
      <c r="Z358" s="12"/>
      <c r="AA358" s="12"/>
    </row>
    <row r="359" spans="1:27" ht="12.5" x14ac:dyDescent="0.25">
      <c r="A359" s="2">
        <v>44248</v>
      </c>
      <c r="B359" s="4">
        <v>34489</v>
      </c>
      <c r="C359" s="4">
        <v>1087076</v>
      </c>
      <c r="D359" s="4">
        <v>157088</v>
      </c>
      <c r="E359" s="4">
        <v>1278653</v>
      </c>
      <c r="F359" s="4">
        <v>5172</v>
      </c>
      <c r="G359" s="4">
        <v>310412</v>
      </c>
      <c r="H359" s="4">
        <v>7137</v>
      </c>
      <c r="I359" s="4">
        <v>5902</v>
      </c>
      <c r="J359" s="4">
        <v>328623</v>
      </c>
      <c r="K359" s="4">
        <v>13039</v>
      </c>
      <c r="L359" s="4">
        <v>173</v>
      </c>
      <c r="M359" s="4">
        <v>8236</v>
      </c>
      <c r="N359" s="4">
        <v>-1109</v>
      </c>
      <c r="O359" s="4">
        <v>7300</v>
      </c>
      <c r="P359" s="4">
        <v>51</v>
      </c>
      <c r="Q359" s="4">
        <v>2653</v>
      </c>
      <c r="R359" s="4">
        <v>-28</v>
      </c>
      <c r="S359" s="4">
        <v>44</v>
      </c>
      <c r="T359" s="4">
        <v>2720</v>
      </c>
      <c r="U359" s="4">
        <v>16</v>
      </c>
    </row>
    <row r="360" spans="1:27" ht="12.5" x14ac:dyDescent="0.25">
      <c r="A360" s="2">
        <v>44249</v>
      </c>
      <c r="B360" s="4">
        <v>34691</v>
      </c>
      <c r="C360" s="4">
        <v>1096994</v>
      </c>
      <c r="D360" s="4">
        <v>157148</v>
      </c>
      <c r="E360" s="4">
        <v>1288833</v>
      </c>
      <c r="F360" s="4">
        <v>5206</v>
      </c>
      <c r="G360" s="4">
        <v>312748</v>
      </c>
      <c r="H360" s="4">
        <v>7528</v>
      </c>
      <c r="I360" s="4">
        <v>5612</v>
      </c>
      <c r="J360" s="4">
        <v>331094</v>
      </c>
      <c r="K360" s="4">
        <v>13140</v>
      </c>
      <c r="L360" s="4">
        <v>202</v>
      </c>
      <c r="M360" s="4">
        <v>9918</v>
      </c>
      <c r="N360" s="4">
        <v>60</v>
      </c>
      <c r="O360" s="4">
        <v>10180</v>
      </c>
      <c r="P360" s="4">
        <v>34</v>
      </c>
      <c r="Q360" s="4">
        <v>2336</v>
      </c>
      <c r="R360" s="4">
        <v>391</v>
      </c>
      <c r="S360" s="4">
        <v>-290</v>
      </c>
      <c r="T360" s="4">
        <v>2471</v>
      </c>
      <c r="U360" s="4">
        <v>101</v>
      </c>
    </row>
    <row r="361" spans="1:27" ht="12.5" x14ac:dyDescent="0.25">
      <c r="A361" s="2">
        <v>44250</v>
      </c>
      <c r="B361" s="4">
        <v>35014</v>
      </c>
      <c r="C361" s="4">
        <v>1104990</v>
      </c>
      <c r="D361" s="4">
        <v>158604</v>
      </c>
      <c r="E361" s="4">
        <v>1298608</v>
      </c>
      <c r="F361" s="4">
        <v>5248</v>
      </c>
      <c r="G361" s="4">
        <v>314563</v>
      </c>
      <c r="H361" s="4">
        <v>7126</v>
      </c>
      <c r="I361" s="4">
        <v>4939</v>
      </c>
      <c r="J361" s="4">
        <v>331876</v>
      </c>
      <c r="K361" s="4">
        <v>12065</v>
      </c>
      <c r="L361" s="4">
        <v>323</v>
      </c>
      <c r="M361" s="4">
        <v>7996</v>
      </c>
      <c r="N361" s="4">
        <v>1456</v>
      </c>
      <c r="O361" s="4">
        <v>9775</v>
      </c>
      <c r="P361" s="4">
        <v>42</v>
      </c>
      <c r="Q361" s="4">
        <v>1815</v>
      </c>
      <c r="R361" s="4">
        <v>-402</v>
      </c>
      <c r="S361" s="4">
        <v>-673</v>
      </c>
      <c r="T361" s="4">
        <v>782</v>
      </c>
      <c r="U361" s="4">
        <v>-1075</v>
      </c>
    </row>
    <row r="362" spans="1:27" ht="12.5" x14ac:dyDescent="0.25">
      <c r="A362" s="2">
        <v>44251</v>
      </c>
      <c r="B362" s="4">
        <v>35254</v>
      </c>
      <c r="C362" s="4">
        <v>1112725</v>
      </c>
      <c r="D362" s="4">
        <v>158162</v>
      </c>
      <c r="E362" s="4">
        <v>1306141</v>
      </c>
      <c r="F362" s="4">
        <v>5301</v>
      </c>
      <c r="G362" s="4">
        <v>317003</v>
      </c>
      <c r="H362" s="4">
        <v>6008</v>
      </c>
      <c r="I362" s="4">
        <v>4346</v>
      </c>
      <c r="J362" s="4">
        <v>332658</v>
      </c>
      <c r="K362" s="4">
        <v>10354</v>
      </c>
      <c r="L362" s="4">
        <v>240</v>
      </c>
      <c r="M362" s="4">
        <v>7735</v>
      </c>
      <c r="N362" s="4">
        <v>-442</v>
      </c>
      <c r="O362" s="4">
        <v>7533</v>
      </c>
      <c r="P362" s="4">
        <v>53</v>
      </c>
      <c r="Q362" s="4">
        <v>2440</v>
      </c>
      <c r="R362" s="4">
        <v>-1118</v>
      </c>
      <c r="S362" s="4">
        <v>-593</v>
      </c>
      <c r="T362" s="4">
        <v>782</v>
      </c>
      <c r="U362" s="4">
        <v>-1711</v>
      </c>
    </row>
    <row r="363" spans="1:27" ht="14.5" x14ac:dyDescent="0.35">
      <c r="A363" s="2">
        <v>44252</v>
      </c>
      <c r="B363" s="6">
        <v>35518</v>
      </c>
      <c r="C363" s="6">
        <v>1121411</v>
      </c>
      <c r="D363" s="6">
        <v>157705</v>
      </c>
      <c r="E363" s="6">
        <v>1314634</v>
      </c>
      <c r="F363" s="6">
        <v>5346</v>
      </c>
      <c r="G363" s="6">
        <v>319326</v>
      </c>
      <c r="H363" s="6">
        <v>5499</v>
      </c>
      <c r="I363" s="6">
        <v>4068</v>
      </c>
      <c r="J363" s="6">
        <v>334239</v>
      </c>
      <c r="K363" s="6">
        <v>9567</v>
      </c>
      <c r="L363" s="6">
        <v>264</v>
      </c>
      <c r="M363" s="6">
        <v>8686</v>
      </c>
      <c r="N363" s="6">
        <v>-457</v>
      </c>
      <c r="O363" s="6">
        <v>8493</v>
      </c>
      <c r="P363" s="6">
        <v>45</v>
      </c>
      <c r="Q363" s="6">
        <v>2323</v>
      </c>
      <c r="R363" s="6">
        <v>-509</v>
      </c>
      <c r="S363" s="6">
        <v>-278</v>
      </c>
      <c r="T363" s="6">
        <v>1581</v>
      </c>
      <c r="U363" s="25">
        <v>-787</v>
      </c>
      <c r="V363" s="12"/>
      <c r="W363" s="12"/>
      <c r="X363" s="12"/>
      <c r="Y363" s="12"/>
      <c r="Z363" s="12"/>
      <c r="AA363" s="12"/>
    </row>
    <row r="364" spans="1:27" ht="12.5" x14ac:dyDescent="0.25">
      <c r="A364" s="2">
        <v>44253</v>
      </c>
      <c r="B364" s="10">
        <v>35786</v>
      </c>
      <c r="C364" s="10">
        <v>1128672</v>
      </c>
      <c r="D364" s="4">
        <v>158408</v>
      </c>
      <c r="E364" s="4">
        <v>1322866</v>
      </c>
      <c r="F364" s="4">
        <v>5385</v>
      </c>
      <c r="G364" s="4">
        <v>321038</v>
      </c>
      <c r="H364" s="4">
        <v>5560</v>
      </c>
      <c r="I364" s="4">
        <v>3917</v>
      </c>
      <c r="J364" s="4">
        <v>335900</v>
      </c>
      <c r="K364" s="4">
        <v>9477</v>
      </c>
      <c r="L364" s="10">
        <v>268</v>
      </c>
      <c r="M364" s="10">
        <v>7261</v>
      </c>
      <c r="N364" s="10">
        <v>703</v>
      </c>
      <c r="O364" s="10">
        <v>8232</v>
      </c>
      <c r="P364" s="10">
        <v>39</v>
      </c>
      <c r="Q364" s="10">
        <v>1712</v>
      </c>
      <c r="R364" s="10">
        <v>61</v>
      </c>
      <c r="S364" s="10">
        <v>-151</v>
      </c>
      <c r="T364" s="10">
        <v>1661</v>
      </c>
      <c r="U364" s="10">
        <v>-90</v>
      </c>
    </row>
    <row r="365" spans="1:27" ht="14.5" x14ac:dyDescent="0.35">
      <c r="A365" s="2">
        <v>44254</v>
      </c>
      <c r="B365" s="6">
        <v>35981</v>
      </c>
      <c r="C365" s="6">
        <v>1136054</v>
      </c>
      <c r="D365" s="6">
        <v>157039</v>
      </c>
      <c r="E365" s="6">
        <v>1329074</v>
      </c>
      <c r="F365" s="6">
        <v>5439</v>
      </c>
      <c r="G365" s="6">
        <v>322285</v>
      </c>
      <c r="H365" s="6">
        <v>5885</v>
      </c>
      <c r="I365" s="6">
        <v>4028</v>
      </c>
      <c r="J365" s="6">
        <v>337637</v>
      </c>
      <c r="K365" s="6">
        <v>9913</v>
      </c>
      <c r="L365" s="6">
        <v>195</v>
      </c>
      <c r="M365" s="6">
        <v>7382</v>
      </c>
      <c r="N365" s="6">
        <v>-1369</v>
      </c>
      <c r="O365" s="6">
        <v>6208</v>
      </c>
      <c r="P365" s="6">
        <v>54</v>
      </c>
      <c r="Q365" s="6">
        <v>1247</v>
      </c>
      <c r="R365" s="6">
        <v>325</v>
      </c>
      <c r="S365" s="6">
        <v>111</v>
      </c>
      <c r="T365" s="6">
        <v>1737</v>
      </c>
      <c r="U365" s="25">
        <v>436</v>
      </c>
      <c r="V365" s="12"/>
      <c r="W365" s="12"/>
      <c r="X365" s="12"/>
      <c r="Y365" s="12"/>
      <c r="Z365" s="12"/>
      <c r="AA365" s="12"/>
    </row>
    <row r="366" spans="1:27" ht="12.5" x14ac:dyDescent="0.25">
      <c r="A366" s="2">
        <v>44255</v>
      </c>
      <c r="B366" s="4">
        <v>36166</v>
      </c>
      <c r="C366" s="4">
        <v>1142703</v>
      </c>
      <c r="D366" s="4">
        <v>155765</v>
      </c>
      <c r="E366" s="4">
        <v>1334634</v>
      </c>
      <c r="F366" s="4">
        <v>5478</v>
      </c>
      <c r="G366" s="4">
        <v>323892</v>
      </c>
      <c r="H366" s="4">
        <v>5940</v>
      </c>
      <c r="I366" s="4">
        <v>4425</v>
      </c>
      <c r="J366" s="4">
        <v>339735</v>
      </c>
      <c r="K366" s="4">
        <v>10365</v>
      </c>
      <c r="L366" s="4">
        <v>185</v>
      </c>
      <c r="M366" s="4">
        <v>6649</v>
      </c>
      <c r="N366" s="4">
        <v>-1274</v>
      </c>
      <c r="O366" s="4">
        <v>5560</v>
      </c>
      <c r="P366" s="4">
        <v>39</v>
      </c>
      <c r="Q366" s="4">
        <v>1607</v>
      </c>
      <c r="R366" s="4">
        <v>55</v>
      </c>
      <c r="S366" s="4">
        <v>397</v>
      </c>
      <c r="T366" s="4">
        <v>2098</v>
      </c>
      <c r="U366" s="4">
        <v>452</v>
      </c>
    </row>
    <row r="367" spans="1:27" ht="14.5" x14ac:dyDescent="0.35">
      <c r="A367" s="2">
        <v>44256</v>
      </c>
      <c r="B367" s="4">
        <v>36325</v>
      </c>
      <c r="C367" s="4">
        <v>1151915</v>
      </c>
      <c r="D367" s="4">
        <v>153074</v>
      </c>
      <c r="E367" s="4">
        <v>1341314</v>
      </c>
      <c r="F367" s="4">
        <v>5528</v>
      </c>
      <c r="G367" s="11">
        <v>326509</v>
      </c>
      <c r="H367" s="11">
        <v>5891</v>
      </c>
      <c r="I367" s="4">
        <v>3865</v>
      </c>
      <c r="J367" s="11">
        <v>341793</v>
      </c>
      <c r="K367" s="4">
        <v>9756</v>
      </c>
      <c r="L367" s="10">
        <v>159</v>
      </c>
      <c r="M367" s="10">
        <v>9212</v>
      </c>
      <c r="N367" s="10">
        <v>-2691</v>
      </c>
      <c r="O367" s="10">
        <v>6680</v>
      </c>
      <c r="P367" s="25">
        <v>50</v>
      </c>
      <c r="Q367" s="25">
        <v>2617</v>
      </c>
      <c r="R367" s="25">
        <v>-49</v>
      </c>
      <c r="S367" s="25">
        <v>-560</v>
      </c>
      <c r="T367" s="25">
        <v>2058</v>
      </c>
      <c r="U367" s="25">
        <v>-609</v>
      </c>
    </row>
    <row r="368" spans="1:27" ht="14.5" x14ac:dyDescent="0.35">
      <c r="A368" s="2">
        <v>44257</v>
      </c>
      <c r="B368" s="31">
        <v>36518</v>
      </c>
      <c r="C368" s="31">
        <v>1160863</v>
      </c>
      <c r="D368" s="31">
        <v>149645</v>
      </c>
      <c r="E368" s="31">
        <v>1347026</v>
      </c>
      <c r="F368" s="6">
        <v>5568</v>
      </c>
      <c r="G368" s="6">
        <v>328526</v>
      </c>
      <c r="H368" s="6">
        <v>5072</v>
      </c>
      <c r="I368" s="6">
        <v>3205</v>
      </c>
      <c r="J368" s="6">
        <v>342371</v>
      </c>
      <c r="K368" s="6">
        <v>8277</v>
      </c>
      <c r="L368" s="25">
        <v>193</v>
      </c>
      <c r="M368" s="25">
        <v>8948</v>
      </c>
      <c r="N368" s="25">
        <v>-3429</v>
      </c>
      <c r="O368" s="25">
        <v>5712</v>
      </c>
      <c r="P368" s="25">
        <v>40</v>
      </c>
      <c r="Q368" s="25">
        <v>2017</v>
      </c>
      <c r="R368" s="25">
        <v>-819</v>
      </c>
      <c r="S368" s="25">
        <v>-660</v>
      </c>
      <c r="T368" s="25">
        <v>578</v>
      </c>
      <c r="U368" s="25">
        <v>-1479</v>
      </c>
    </row>
    <row r="369" spans="1:27" ht="14.5" x14ac:dyDescent="0.35">
      <c r="A369" s="2">
        <v>44258</v>
      </c>
      <c r="B369" s="4">
        <v>36721</v>
      </c>
      <c r="C369" s="4">
        <v>1169916</v>
      </c>
      <c r="D369" s="4">
        <v>147197</v>
      </c>
      <c r="E369" s="4">
        <v>1353834</v>
      </c>
      <c r="F369" s="25">
        <v>5613</v>
      </c>
      <c r="G369" s="25">
        <v>331016</v>
      </c>
      <c r="H369" s="25">
        <v>3742</v>
      </c>
      <c r="I369" s="25">
        <v>3437</v>
      </c>
      <c r="J369" s="32">
        <v>343808</v>
      </c>
      <c r="K369" s="25">
        <v>7179</v>
      </c>
      <c r="L369" s="4">
        <v>203</v>
      </c>
      <c r="M369" s="4">
        <v>9053</v>
      </c>
      <c r="N369" s="4">
        <v>-2448</v>
      </c>
      <c r="O369" s="4">
        <v>6808</v>
      </c>
      <c r="P369" s="4">
        <v>45</v>
      </c>
      <c r="Q369" s="4">
        <v>2490</v>
      </c>
      <c r="R369" s="4">
        <v>-1330</v>
      </c>
      <c r="S369" s="4">
        <v>232</v>
      </c>
      <c r="T369" s="4">
        <v>1437</v>
      </c>
      <c r="U369" s="4">
        <v>-1098</v>
      </c>
    </row>
    <row r="370" spans="1:27" ht="14.5" x14ac:dyDescent="0.35">
      <c r="A370" s="2">
        <v>44259</v>
      </c>
      <c r="B370" s="4">
        <v>36897</v>
      </c>
      <c r="C370" s="4">
        <v>1176356</v>
      </c>
      <c r="D370" s="4">
        <v>147845</v>
      </c>
      <c r="E370" s="4">
        <v>1361098</v>
      </c>
      <c r="F370" s="6">
        <v>5657</v>
      </c>
      <c r="G370" s="6">
        <v>332758</v>
      </c>
      <c r="H370" s="6">
        <v>3940</v>
      </c>
      <c r="I370" s="6">
        <v>3461</v>
      </c>
      <c r="J370" s="6">
        <v>345816</v>
      </c>
      <c r="K370" s="6">
        <v>7401</v>
      </c>
      <c r="L370" s="4">
        <v>176</v>
      </c>
      <c r="M370" s="4">
        <v>6440</v>
      </c>
      <c r="N370" s="4">
        <v>648</v>
      </c>
      <c r="O370" s="4">
        <v>7264</v>
      </c>
      <c r="P370" s="25">
        <v>44</v>
      </c>
      <c r="Q370" s="25">
        <v>1742</v>
      </c>
      <c r="R370" s="25">
        <v>198</v>
      </c>
      <c r="S370" s="25">
        <v>24</v>
      </c>
      <c r="T370" s="25">
        <v>2008</v>
      </c>
      <c r="U370" s="25">
        <v>222</v>
      </c>
    </row>
    <row r="371" spans="1:27" ht="12.5" x14ac:dyDescent="0.25">
      <c r="A371" s="2">
        <v>44260</v>
      </c>
      <c r="B371" s="4">
        <v>37026</v>
      </c>
      <c r="C371" s="4">
        <v>1182687</v>
      </c>
      <c r="D371" s="5">
        <v>148380</v>
      </c>
      <c r="E371" s="5">
        <v>1368093</v>
      </c>
      <c r="F371" s="4">
        <v>5702</v>
      </c>
      <c r="G371" s="4">
        <v>334100</v>
      </c>
      <c r="H371" s="4">
        <v>4026</v>
      </c>
      <c r="I371" s="4">
        <v>3147</v>
      </c>
      <c r="J371" s="4">
        <v>346975</v>
      </c>
      <c r="K371" s="4">
        <v>7173</v>
      </c>
      <c r="L371" s="4">
        <v>129</v>
      </c>
      <c r="M371" s="4">
        <v>6331</v>
      </c>
      <c r="N371" s="4">
        <v>535</v>
      </c>
      <c r="O371" s="4">
        <v>6995</v>
      </c>
      <c r="P371" s="4">
        <v>45</v>
      </c>
      <c r="Q371" s="4">
        <v>1342</v>
      </c>
      <c r="R371" s="4">
        <v>86</v>
      </c>
      <c r="S371" s="4">
        <v>-314</v>
      </c>
      <c r="T371" s="4">
        <v>1159</v>
      </c>
      <c r="U371" s="4">
        <v>-228</v>
      </c>
    </row>
    <row r="372" spans="1:27" ht="14.5" x14ac:dyDescent="0.35">
      <c r="A372" s="2">
        <v>44261</v>
      </c>
      <c r="B372" s="6">
        <v>37154</v>
      </c>
      <c r="C372" s="6">
        <v>1189510</v>
      </c>
      <c r="D372" s="6">
        <v>147172</v>
      </c>
      <c r="E372" s="6">
        <v>1373836</v>
      </c>
      <c r="F372" s="6">
        <v>5748</v>
      </c>
      <c r="G372" s="6">
        <v>335617</v>
      </c>
      <c r="H372" s="6">
        <v>4228</v>
      </c>
      <c r="I372" s="6">
        <v>2998</v>
      </c>
      <c r="J372" s="6">
        <v>348591</v>
      </c>
      <c r="K372" s="6">
        <v>7226</v>
      </c>
      <c r="L372" s="6">
        <v>128</v>
      </c>
      <c r="M372" s="6">
        <v>6823</v>
      </c>
      <c r="N372" s="6">
        <v>-1208</v>
      </c>
      <c r="O372" s="6">
        <v>5743</v>
      </c>
      <c r="P372" s="6">
        <v>46</v>
      </c>
      <c r="Q372" s="6">
        <v>1517</v>
      </c>
      <c r="R372" s="6">
        <v>202</v>
      </c>
      <c r="S372" s="6">
        <v>-149</v>
      </c>
      <c r="T372" s="6">
        <v>1616</v>
      </c>
      <c r="U372" s="25">
        <v>53</v>
      </c>
      <c r="V372" s="12"/>
      <c r="W372" s="12"/>
      <c r="X372" s="12"/>
      <c r="Y372" s="12"/>
      <c r="Z372" s="12"/>
      <c r="AA372" s="12"/>
    </row>
    <row r="373" spans="1:27" ht="12.5" x14ac:dyDescent="0.25">
      <c r="A373" s="2">
        <v>44262</v>
      </c>
      <c r="B373" s="4">
        <v>37266</v>
      </c>
      <c r="C373" s="4">
        <v>1194656</v>
      </c>
      <c r="D373" s="4">
        <v>147740</v>
      </c>
      <c r="E373" s="4">
        <v>1379662</v>
      </c>
      <c r="F373" s="4">
        <v>5790</v>
      </c>
      <c r="G373" s="4">
        <v>337426</v>
      </c>
      <c r="H373" s="4">
        <v>4194</v>
      </c>
      <c r="I373" s="4">
        <v>3015</v>
      </c>
      <c r="J373" s="4">
        <v>350425</v>
      </c>
      <c r="K373" s="4">
        <v>7209</v>
      </c>
      <c r="L373" s="4">
        <v>112</v>
      </c>
      <c r="M373" s="4">
        <v>5146</v>
      </c>
      <c r="N373" s="4">
        <v>568</v>
      </c>
      <c r="O373" s="4">
        <v>5826</v>
      </c>
      <c r="P373" s="4">
        <v>42</v>
      </c>
      <c r="Q373" s="4">
        <v>1809</v>
      </c>
      <c r="R373" s="4">
        <v>-34</v>
      </c>
      <c r="S373" s="4">
        <v>17</v>
      </c>
      <c r="T373" s="4">
        <v>1834</v>
      </c>
      <c r="U373" s="4">
        <v>-17</v>
      </c>
    </row>
    <row r="374" spans="1:27" ht="12.5" x14ac:dyDescent="0.25">
      <c r="A374" s="2">
        <v>44263</v>
      </c>
      <c r="B374" s="4">
        <v>37547</v>
      </c>
      <c r="C374" s="4">
        <v>1203381</v>
      </c>
      <c r="D374" s="4">
        <v>145628</v>
      </c>
      <c r="E374" s="4">
        <v>1386556</v>
      </c>
      <c r="F374" s="4">
        <v>5838</v>
      </c>
      <c r="G374" s="4">
        <v>338931</v>
      </c>
      <c r="H374" s="4">
        <v>4494</v>
      </c>
      <c r="I374" s="4">
        <v>2945</v>
      </c>
      <c r="J374" s="4">
        <v>352208</v>
      </c>
      <c r="K374" s="4">
        <v>7439</v>
      </c>
      <c r="L374" s="4">
        <v>281</v>
      </c>
      <c r="M374" s="4">
        <v>8725</v>
      </c>
      <c r="N374" s="4">
        <v>-2112</v>
      </c>
      <c r="O374" s="4">
        <v>6894</v>
      </c>
      <c r="P374" s="4">
        <v>48</v>
      </c>
      <c r="Q374" s="4">
        <v>1505</v>
      </c>
      <c r="R374" s="4">
        <v>300</v>
      </c>
      <c r="S374" s="4">
        <v>-70</v>
      </c>
      <c r="T374" s="4">
        <v>1783</v>
      </c>
      <c r="U374" s="4">
        <v>230</v>
      </c>
    </row>
    <row r="375" spans="1:27" ht="12.5" x14ac:dyDescent="0.25">
      <c r="A375" s="2">
        <v>44264</v>
      </c>
      <c r="B375" s="4">
        <v>37757</v>
      </c>
      <c r="C375" s="4">
        <v>1210877</v>
      </c>
      <c r="D375" s="4">
        <v>144311</v>
      </c>
      <c r="E375" s="4">
        <v>1392945</v>
      </c>
      <c r="F375" s="4">
        <v>5883</v>
      </c>
      <c r="G375" s="4">
        <v>340587</v>
      </c>
      <c r="H375" s="4">
        <v>3856</v>
      </c>
      <c r="I375" s="4">
        <v>2749</v>
      </c>
      <c r="J375" s="4">
        <v>353075</v>
      </c>
      <c r="K375" s="4">
        <v>6605</v>
      </c>
      <c r="L375" s="4">
        <v>210</v>
      </c>
      <c r="M375" s="4">
        <v>7496</v>
      </c>
      <c r="N375" s="4">
        <v>-1317</v>
      </c>
      <c r="O375" s="4">
        <v>6389</v>
      </c>
      <c r="P375" s="4">
        <v>45</v>
      </c>
      <c r="Q375" s="4">
        <v>1656</v>
      </c>
      <c r="R375" s="4">
        <v>-638</v>
      </c>
      <c r="S375" s="4">
        <v>-196</v>
      </c>
      <c r="T375" s="4">
        <v>867</v>
      </c>
      <c r="U375" s="4">
        <v>-834</v>
      </c>
    </row>
    <row r="376" spans="1:27" ht="14.5" x14ac:dyDescent="0.35">
      <c r="A376" s="2">
        <v>44265</v>
      </c>
      <c r="B376" s="4">
        <v>37932</v>
      </c>
      <c r="C376" s="4">
        <v>1216433</v>
      </c>
      <c r="D376" s="4">
        <v>144213</v>
      </c>
      <c r="E376" s="4">
        <v>1398578</v>
      </c>
      <c r="F376" s="4">
        <v>5923</v>
      </c>
      <c r="G376" s="11">
        <v>341398</v>
      </c>
      <c r="H376" s="11">
        <v>3691</v>
      </c>
      <c r="I376" s="11">
        <v>3103</v>
      </c>
      <c r="J376" s="11">
        <v>354115</v>
      </c>
      <c r="K376" s="6">
        <v>6794</v>
      </c>
      <c r="L376" s="10">
        <v>175</v>
      </c>
      <c r="M376" s="10">
        <v>5556</v>
      </c>
      <c r="N376" s="10">
        <v>-98</v>
      </c>
      <c r="O376" s="10">
        <v>5633</v>
      </c>
      <c r="P376" s="10">
        <v>40</v>
      </c>
      <c r="Q376" s="10">
        <v>811</v>
      </c>
      <c r="R376" s="10">
        <v>-165</v>
      </c>
      <c r="S376" s="10">
        <v>354</v>
      </c>
      <c r="T376" s="10">
        <v>1040</v>
      </c>
      <c r="U376" s="10">
        <v>189</v>
      </c>
    </row>
    <row r="377" spans="1:27" ht="14.5" x14ac:dyDescent="0.35">
      <c r="A377" s="2">
        <v>44266</v>
      </c>
      <c r="B377" s="6">
        <v>38049</v>
      </c>
      <c r="C377" s="6">
        <v>1224603</v>
      </c>
      <c r="D377" s="6">
        <v>141070</v>
      </c>
      <c r="E377" s="6">
        <v>1403722</v>
      </c>
      <c r="F377" s="6">
        <v>5943</v>
      </c>
      <c r="G377" s="6">
        <v>342306</v>
      </c>
      <c r="H377" s="6">
        <v>4253</v>
      </c>
      <c r="I377" s="6">
        <v>3367</v>
      </c>
      <c r="J377" s="6">
        <v>355869</v>
      </c>
      <c r="K377" s="6">
        <v>7620</v>
      </c>
      <c r="L377" s="6">
        <v>117</v>
      </c>
      <c r="M377" s="6">
        <v>8170</v>
      </c>
      <c r="N377" s="6">
        <v>-3143</v>
      </c>
      <c r="O377" s="6">
        <v>5144</v>
      </c>
      <c r="P377" s="6">
        <v>20</v>
      </c>
      <c r="Q377" s="6">
        <v>908</v>
      </c>
      <c r="R377" s="6">
        <v>562</v>
      </c>
      <c r="S377" s="6">
        <v>264</v>
      </c>
      <c r="T377" s="6">
        <v>1754</v>
      </c>
      <c r="U377" s="25">
        <v>826</v>
      </c>
      <c r="V377" s="12"/>
      <c r="W377" s="12"/>
      <c r="X377" s="12"/>
      <c r="Y377" s="12"/>
      <c r="Z377" s="12"/>
      <c r="AA377" s="12"/>
    </row>
    <row r="378" spans="1:27" ht="12.5" x14ac:dyDescent="0.25">
      <c r="A378" s="2">
        <v>44267</v>
      </c>
      <c r="B378" s="4">
        <v>38229</v>
      </c>
      <c r="C378" s="4">
        <v>1231454</v>
      </c>
      <c r="D378" s="4">
        <v>140451</v>
      </c>
      <c r="E378" s="4">
        <v>1410134</v>
      </c>
      <c r="F378" s="4">
        <v>5969</v>
      </c>
      <c r="G378" s="4">
        <v>343351</v>
      </c>
      <c r="H378" s="4">
        <v>4670</v>
      </c>
      <c r="I378" s="4">
        <v>3752</v>
      </c>
      <c r="J378" s="4">
        <v>357742</v>
      </c>
      <c r="K378" s="4">
        <v>8422</v>
      </c>
      <c r="L378" s="4">
        <v>180</v>
      </c>
      <c r="M378" s="4">
        <v>6851</v>
      </c>
      <c r="N378" s="4">
        <v>-619</v>
      </c>
      <c r="O378" s="4">
        <v>6412</v>
      </c>
      <c r="P378" s="4">
        <v>26</v>
      </c>
      <c r="Q378" s="4">
        <v>1045</v>
      </c>
      <c r="R378" s="4">
        <v>417</v>
      </c>
      <c r="S378" s="4">
        <v>385</v>
      </c>
      <c r="T378" s="4">
        <v>1873</v>
      </c>
      <c r="U378" s="4">
        <v>802</v>
      </c>
    </row>
    <row r="379" spans="1:27" ht="14.5" x14ac:dyDescent="0.35">
      <c r="A379" s="2">
        <v>44268</v>
      </c>
      <c r="B379" s="6">
        <v>38329</v>
      </c>
      <c r="C379" s="6">
        <v>1237470</v>
      </c>
      <c r="D379" s="6">
        <v>138942</v>
      </c>
      <c r="E379" s="6">
        <v>1414741</v>
      </c>
      <c r="F379" s="6">
        <v>5991</v>
      </c>
      <c r="G379" s="6">
        <v>345202</v>
      </c>
      <c r="H379" s="6">
        <v>4226</v>
      </c>
      <c r="I379" s="6">
        <v>3357</v>
      </c>
      <c r="J379" s="6">
        <v>358776</v>
      </c>
      <c r="K379" s="6">
        <v>7583</v>
      </c>
      <c r="L379" s="6">
        <v>100</v>
      </c>
      <c r="M379" s="6">
        <v>6016</v>
      </c>
      <c r="N379" s="6">
        <v>-1509</v>
      </c>
      <c r="O379" s="6">
        <v>4607</v>
      </c>
      <c r="P379" s="6">
        <v>22</v>
      </c>
      <c r="Q379" s="6">
        <v>1851</v>
      </c>
      <c r="R379" s="6">
        <v>-444</v>
      </c>
      <c r="S379" s="6">
        <v>-395</v>
      </c>
      <c r="T379" s="6">
        <v>1034</v>
      </c>
      <c r="U379" s="25">
        <v>-839</v>
      </c>
      <c r="V379" s="12"/>
      <c r="W379" s="12"/>
      <c r="X379" s="12"/>
      <c r="Y379" s="12"/>
      <c r="Z379" s="12"/>
      <c r="AA379" s="12"/>
    </row>
    <row r="380" spans="1:27" ht="12.5" x14ac:dyDescent="0.25">
      <c r="A380" s="2">
        <v>44269</v>
      </c>
      <c r="B380" s="10">
        <v>38426</v>
      </c>
      <c r="C380" s="10">
        <v>1243117</v>
      </c>
      <c r="D380" s="10">
        <v>137912</v>
      </c>
      <c r="E380" s="10">
        <v>1419455</v>
      </c>
      <c r="F380" s="10">
        <v>6026</v>
      </c>
      <c r="G380" s="10">
        <v>347210</v>
      </c>
      <c r="H380" s="10">
        <v>3443</v>
      </c>
      <c r="I380" s="10">
        <v>3301</v>
      </c>
      <c r="J380" s="10">
        <v>359980</v>
      </c>
      <c r="K380" s="10">
        <v>6744</v>
      </c>
      <c r="L380" s="10">
        <v>97</v>
      </c>
      <c r="M380" s="10">
        <v>5647</v>
      </c>
      <c r="N380" s="10">
        <v>-1030</v>
      </c>
      <c r="O380" s="10">
        <v>4714</v>
      </c>
      <c r="P380" s="10">
        <v>35</v>
      </c>
      <c r="Q380" s="10">
        <v>2008</v>
      </c>
      <c r="R380" s="10">
        <v>-783</v>
      </c>
      <c r="S380" s="10">
        <v>-56</v>
      </c>
      <c r="T380" s="10">
        <v>1204</v>
      </c>
      <c r="U380" s="10">
        <v>-839</v>
      </c>
    </row>
    <row r="381" spans="1:27" ht="12.5" x14ac:dyDescent="0.25">
      <c r="A381" s="2">
        <v>44270</v>
      </c>
      <c r="B381" s="4">
        <v>38573</v>
      </c>
      <c r="C381" s="4">
        <v>1249947</v>
      </c>
      <c r="D381" s="4">
        <v>136524</v>
      </c>
      <c r="E381" s="4">
        <v>1425044</v>
      </c>
      <c r="F381" s="4">
        <v>6038</v>
      </c>
      <c r="G381" s="4">
        <v>349002</v>
      </c>
      <c r="H381" s="4">
        <v>3485</v>
      </c>
      <c r="I381" s="4">
        <v>3010</v>
      </c>
      <c r="J381" s="4">
        <v>361535</v>
      </c>
      <c r="K381" s="4">
        <v>6495</v>
      </c>
      <c r="L381" s="4">
        <v>147</v>
      </c>
      <c r="M381" s="4">
        <v>6830</v>
      </c>
      <c r="N381" s="4">
        <v>-1388</v>
      </c>
      <c r="O381" s="4">
        <v>5589</v>
      </c>
      <c r="P381" s="4">
        <v>12</v>
      </c>
      <c r="Q381" s="4">
        <v>1792</v>
      </c>
      <c r="R381" s="4">
        <v>42</v>
      </c>
      <c r="S381" s="4">
        <v>-291</v>
      </c>
      <c r="T381" s="4">
        <v>1555</v>
      </c>
      <c r="U381" s="4">
        <v>-249</v>
      </c>
    </row>
    <row r="382" spans="1:27" ht="12.5" x14ac:dyDescent="0.25">
      <c r="A382" s="2">
        <v>44271</v>
      </c>
      <c r="B382" s="4">
        <v>38753</v>
      </c>
      <c r="C382" s="4">
        <v>1257663</v>
      </c>
      <c r="D382" s="4">
        <v>134042</v>
      </c>
      <c r="E382" s="4">
        <v>1430458</v>
      </c>
      <c r="F382" s="4">
        <v>6062</v>
      </c>
      <c r="G382" s="4">
        <v>350561</v>
      </c>
      <c r="H382" s="4">
        <v>2996</v>
      </c>
      <c r="I382" s="4">
        <v>2751</v>
      </c>
      <c r="J382" s="4">
        <v>362370</v>
      </c>
      <c r="K382" s="4">
        <v>5747</v>
      </c>
      <c r="L382" s="4">
        <v>180</v>
      </c>
      <c r="M382" s="4">
        <v>7716</v>
      </c>
      <c r="N382" s="4">
        <v>-2482</v>
      </c>
      <c r="O382" s="4">
        <v>5414</v>
      </c>
      <c r="P382" s="4">
        <v>24</v>
      </c>
      <c r="Q382" s="4">
        <v>1559</v>
      </c>
      <c r="R382" s="4">
        <v>-489</v>
      </c>
      <c r="S382" s="4">
        <v>-259</v>
      </c>
      <c r="T382" s="4">
        <v>835</v>
      </c>
      <c r="U382" s="4">
        <v>-748</v>
      </c>
    </row>
    <row r="383" spans="1:27" ht="12.5" x14ac:dyDescent="0.25">
      <c r="A383" s="2">
        <v>44272</v>
      </c>
      <c r="B383" s="10">
        <v>38915</v>
      </c>
      <c r="C383" s="10">
        <v>1266673</v>
      </c>
      <c r="D383" s="10">
        <v>131695</v>
      </c>
      <c r="E383" s="10">
        <v>1437283</v>
      </c>
      <c r="F383" s="10">
        <v>6077</v>
      </c>
      <c r="G383" s="10">
        <v>351680</v>
      </c>
      <c r="H383" s="10">
        <v>2907</v>
      </c>
      <c r="I383" s="10">
        <v>3036</v>
      </c>
      <c r="J383" s="10">
        <v>363700</v>
      </c>
      <c r="K383" s="10">
        <v>5943</v>
      </c>
      <c r="L383" s="10">
        <v>162</v>
      </c>
      <c r="M383" s="10">
        <v>9010</v>
      </c>
      <c r="N383" s="10">
        <v>-2347</v>
      </c>
      <c r="O383" s="10">
        <v>6825</v>
      </c>
      <c r="P383" s="10">
        <v>15</v>
      </c>
      <c r="Q383" s="10">
        <v>1119</v>
      </c>
      <c r="R383" s="10">
        <v>-89</v>
      </c>
      <c r="S383" s="10">
        <v>285</v>
      </c>
      <c r="T383" s="10">
        <v>1330</v>
      </c>
      <c r="U383" s="10">
        <v>196</v>
      </c>
    </row>
    <row r="384" spans="1:27" ht="12.5" x14ac:dyDescent="0.25">
      <c r="A384" s="2">
        <v>44273</v>
      </c>
      <c r="B384" s="10">
        <v>39142</v>
      </c>
      <c r="C384" s="10">
        <v>1272958</v>
      </c>
      <c r="D384" s="10">
        <v>131753</v>
      </c>
      <c r="E384" s="10">
        <v>1443853</v>
      </c>
      <c r="F384" s="10">
        <v>6100</v>
      </c>
      <c r="G384" s="10">
        <v>352827</v>
      </c>
      <c r="H384" s="10">
        <v>3273</v>
      </c>
      <c r="I384" s="10">
        <v>3219</v>
      </c>
      <c r="J384" s="10">
        <v>365419</v>
      </c>
      <c r="K384" s="10">
        <v>6492</v>
      </c>
      <c r="L384" s="10">
        <v>227</v>
      </c>
      <c r="M384" s="10">
        <v>6285</v>
      </c>
      <c r="N384" s="10">
        <v>58</v>
      </c>
      <c r="O384" s="10">
        <v>6570</v>
      </c>
      <c r="P384" s="10">
        <v>23</v>
      </c>
      <c r="Q384" s="10">
        <v>1147</v>
      </c>
      <c r="R384" s="10">
        <v>366</v>
      </c>
      <c r="S384" s="10">
        <v>183</v>
      </c>
      <c r="T384" s="10">
        <v>1719</v>
      </c>
      <c r="U384" s="10">
        <v>549</v>
      </c>
    </row>
    <row r="385" spans="1:27" ht="12.5" x14ac:dyDescent="0.25">
      <c r="A385" s="2">
        <v>44274</v>
      </c>
      <c r="B385" s="4">
        <v>39339</v>
      </c>
      <c r="C385" s="4">
        <v>1278965</v>
      </c>
      <c r="D385" s="4">
        <v>131828</v>
      </c>
      <c r="E385" s="4">
        <v>1450132</v>
      </c>
      <c r="F385" s="4">
        <v>6120</v>
      </c>
      <c r="G385" s="4">
        <v>354036</v>
      </c>
      <c r="H385" s="4">
        <v>3483</v>
      </c>
      <c r="I385" s="4">
        <v>3368</v>
      </c>
      <c r="J385" s="4">
        <v>367007</v>
      </c>
      <c r="K385" s="4">
        <v>6851</v>
      </c>
      <c r="L385" s="4">
        <v>197</v>
      </c>
      <c r="M385" s="4">
        <v>6007</v>
      </c>
      <c r="N385" s="4">
        <v>75</v>
      </c>
      <c r="O385" s="4">
        <v>6279</v>
      </c>
      <c r="P385" s="4">
        <v>20</v>
      </c>
      <c r="Q385" s="4">
        <v>1209</v>
      </c>
      <c r="R385" s="4">
        <v>210</v>
      </c>
      <c r="S385" s="4">
        <v>149</v>
      </c>
      <c r="T385" s="4">
        <v>1588</v>
      </c>
      <c r="U385" s="4">
        <v>359</v>
      </c>
    </row>
    <row r="386" spans="1:27" ht="14.5" x14ac:dyDescent="0.35">
      <c r="A386" s="2">
        <v>44275</v>
      </c>
      <c r="B386" s="25">
        <v>39447</v>
      </c>
      <c r="C386" s="25">
        <v>1284725</v>
      </c>
      <c r="D386" s="25">
        <v>131616</v>
      </c>
      <c r="E386" s="25">
        <v>1455788</v>
      </c>
      <c r="F386" s="6">
        <v>6143</v>
      </c>
      <c r="G386" s="6">
        <v>355221</v>
      </c>
      <c r="H386" s="6">
        <v>3894</v>
      </c>
      <c r="I386" s="6">
        <v>3686</v>
      </c>
      <c r="J386" s="25">
        <v>368944</v>
      </c>
      <c r="K386" s="25">
        <v>7580</v>
      </c>
      <c r="L386" s="25">
        <v>108</v>
      </c>
      <c r="M386" s="25">
        <v>5760</v>
      </c>
      <c r="N386" s="25">
        <v>-212</v>
      </c>
      <c r="O386" s="25">
        <v>5656</v>
      </c>
      <c r="P386" s="25">
        <v>23</v>
      </c>
      <c r="Q386" s="25">
        <v>1185</v>
      </c>
      <c r="R386" s="25">
        <v>411</v>
      </c>
      <c r="S386" s="25">
        <v>318</v>
      </c>
      <c r="T386" s="25">
        <v>1937</v>
      </c>
      <c r="U386" s="33">
        <v>729</v>
      </c>
    </row>
    <row r="387" spans="1:27" ht="12.5" x14ac:dyDescent="0.25">
      <c r="A387" s="2">
        <v>44276</v>
      </c>
      <c r="B387" s="4">
        <v>39550</v>
      </c>
      <c r="C387" s="4">
        <v>1290790</v>
      </c>
      <c r="D387" s="4">
        <v>129844</v>
      </c>
      <c r="E387" s="4">
        <v>1460184</v>
      </c>
      <c r="F387" s="4">
        <v>6160</v>
      </c>
      <c r="G387" s="4">
        <v>357100</v>
      </c>
      <c r="H387" s="4">
        <v>3859</v>
      </c>
      <c r="I387" s="4">
        <v>3463</v>
      </c>
      <c r="J387" s="4">
        <v>370582</v>
      </c>
      <c r="K387" s="4">
        <v>7322</v>
      </c>
      <c r="L387" s="4">
        <v>103</v>
      </c>
      <c r="M387" s="4">
        <v>6065</v>
      </c>
      <c r="N387" s="4">
        <v>-1772</v>
      </c>
      <c r="O387" s="4">
        <v>4396</v>
      </c>
      <c r="P387" s="4">
        <v>17</v>
      </c>
      <c r="Q387" s="4">
        <v>1879</v>
      </c>
      <c r="R387" s="4">
        <v>-35</v>
      </c>
      <c r="S387" s="4">
        <v>-223</v>
      </c>
      <c r="T387" s="4">
        <v>1638</v>
      </c>
      <c r="U387" s="4">
        <v>-258</v>
      </c>
    </row>
    <row r="388" spans="1:27" ht="14.5" x14ac:dyDescent="0.35">
      <c r="A388" s="2">
        <v>44277</v>
      </c>
      <c r="B388" s="6">
        <v>39711</v>
      </c>
      <c r="C388" s="6">
        <v>1297967</v>
      </c>
      <c r="D388" s="6">
        <v>128250</v>
      </c>
      <c r="E388" s="6">
        <v>1465928</v>
      </c>
      <c r="F388" s="6">
        <v>6179</v>
      </c>
      <c r="G388" s="6">
        <v>358826</v>
      </c>
      <c r="H388" s="6">
        <v>3775</v>
      </c>
      <c r="I388" s="6">
        <v>3276</v>
      </c>
      <c r="J388" s="6">
        <v>372056</v>
      </c>
      <c r="K388" s="6">
        <v>7051</v>
      </c>
      <c r="L388" s="6">
        <v>161</v>
      </c>
      <c r="M388" s="6">
        <v>7177</v>
      </c>
      <c r="N388" s="6">
        <v>-1594</v>
      </c>
      <c r="O388" s="6">
        <v>5744</v>
      </c>
      <c r="P388" s="6">
        <v>19</v>
      </c>
      <c r="Q388" s="6">
        <v>1726</v>
      </c>
      <c r="R388" s="6">
        <v>-84</v>
      </c>
      <c r="S388" s="6">
        <v>-187</v>
      </c>
      <c r="T388" s="6">
        <v>1474</v>
      </c>
      <c r="U388" s="25">
        <v>-271</v>
      </c>
      <c r="V388" s="12"/>
      <c r="W388" s="12"/>
      <c r="X388" s="12"/>
      <c r="Y388" s="12"/>
      <c r="Z388" s="12"/>
      <c r="AA388" s="12"/>
    </row>
    <row r="389" spans="1:27" ht="12.5" x14ac:dyDescent="0.25">
      <c r="A389" s="2">
        <v>44278</v>
      </c>
      <c r="B389" s="4">
        <v>39865</v>
      </c>
      <c r="C389" s="4">
        <v>1304921</v>
      </c>
      <c r="D389" s="4">
        <v>126439</v>
      </c>
      <c r="E389" s="4">
        <v>1471225</v>
      </c>
      <c r="F389" s="4">
        <v>6206</v>
      </c>
      <c r="G389" s="4">
        <v>360479</v>
      </c>
      <c r="H389" s="4">
        <v>3107</v>
      </c>
      <c r="I389" s="4">
        <v>3079</v>
      </c>
      <c r="J389" s="4">
        <v>372871</v>
      </c>
      <c r="K389" s="4">
        <v>6186</v>
      </c>
      <c r="L389" s="4">
        <v>154</v>
      </c>
      <c r="M389" s="4">
        <v>6954</v>
      </c>
      <c r="N389" s="4">
        <v>-1811</v>
      </c>
      <c r="O389" s="4">
        <v>5297</v>
      </c>
      <c r="P389" s="4">
        <v>27</v>
      </c>
      <c r="Q389" s="4">
        <v>1653</v>
      </c>
      <c r="R389" s="4">
        <v>-668</v>
      </c>
      <c r="S389" s="4">
        <v>-197</v>
      </c>
      <c r="T389" s="4">
        <v>815</v>
      </c>
      <c r="U389" s="4">
        <v>-865</v>
      </c>
    </row>
    <row r="390" spans="1:27" ht="12.5" x14ac:dyDescent="0.25">
      <c r="A390" s="2">
        <v>44279</v>
      </c>
      <c r="B390" s="4">
        <v>39983</v>
      </c>
      <c r="C390" s="4">
        <v>1312543</v>
      </c>
      <c r="D390" s="4">
        <v>123926</v>
      </c>
      <c r="E390" s="4">
        <v>1476452</v>
      </c>
      <c r="F390" s="4">
        <v>6224</v>
      </c>
      <c r="G390" s="4">
        <v>362248</v>
      </c>
      <c r="H390" s="4">
        <v>2650</v>
      </c>
      <c r="I390" s="4">
        <v>2639</v>
      </c>
      <c r="J390" s="4">
        <v>373761</v>
      </c>
      <c r="K390" s="4">
        <v>5289</v>
      </c>
      <c r="L390" s="4">
        <v>118</v>
      </c>
      <c r="M390" s="4">
        <v>7622</v>
      </c>
      <c r="N390" s="4">
        <v>-2513</v>
      </c>
      <c r="O390" s="4">
        <v>5227</v>
      </c>
      <c r="P390" s="4">
        <v>18</v>
      </c>
      <c r="Q390" s="4">
        <v>1769</v>
      </c>
      <c r="R390" s="4">
        <v>-457</v>
      </c>
      <c r="S390" s="4">
        <v>-440</v>
      </c>
      <c r="T390" s="4">
        <v>890</v>
      </c>
      <c r="U390" s="4">
        <v>-897</v>
      </c>
    </row>
    <row r="391" spans="1:27" ht="12.5" x14ac:dyDescent="0.25">
      <c r="A391" s="2">
        <v>44280</v>
      </c>
      <c r="B391" s="4">
        <v>40081</v>
      </c>
      <c r="C391" s="4">
        <v>1317199</v>
      </c>
      <c r="D391" s="4">
        <v>125279</v>
      </c>
      <c r="E391" s="4">
        <v>1482559</v>
      </c>
      <c r="F391" s="4">
        <v>6241</v>
      </c>
      <c r="G391" s="4">
        <v>362975</v>
      </c>
      <c r="H391" s="4">
        <v>3222</v>
      </c>
      <c r="I391" s="4">
        <v>3049</v>
      </c>
      <c r="J391" s="4">
        <v>375487</v>
      </c>
      <c r="K391" s="4">
        <v>6271</v>
      </c>
      <c r="L391" s="4">
        <v>98</v>
      </c>
      <c r="M391" s="4">
        <v>4656</v>
      </c>
      <c r="N391" s="4">
        <v>1353</v>
      </c>
      <c r="O391" s="4">
        <v>6107</v>
      </c>
      <c r="P391" s="4">
        <v>17</v>
      </c>
      <c r="Q391" s="4">
        <v>727</v>
      </c>
      <c r="R391" s="4">
        <v>572</v>
      </c>
      <c r="S391" s="4">
        <v>410</v>
      </c>
      <c r="T391" s="4">
        <v>1726</v>
      </c>
      <c r="U391" s="4">
        <v>982</v>
      </c>
    </row>
    <row r="392" spans="1:27" ht="12.5" x14ac:dyDescent="0.25">
      <c r="A392" s="2">
        <v>44281</v>
      </c>
      <c r="B392" s="4">
        <v>40166</v>
      </c>
      <c r="C392" s="4">
        <v>1322878</v>
      </c>
      <c r="D392" s="4">
        <v>124497</v>
      </c>
      <c r="E392" s="4">
        <v>1487541</v>
      </c>
      <c r="F392" s="4">
        <v>6260</v>
      </c>
      <c r="G392" s="4">
        <v>363599</v>
      </c>
      <c r="H392" s="4">
        <v>3629</v>
      </c>
      <c r="I392" s="4">
        <v>3380</v>
      </c>
      <c r="J392" s="4">
        <v>376868</v>
      </c>
      <c r="K392" s="4">
        <v>7009</v>
      </c>
      <c r="L392" s="4">
        <v>85</v>
      </c>
      <c r="M392" s="4">
        <v>5679</v>
      </c>
      <c r="N392" s="4">
        <v>-782</v>
      </c>
      <c r="O392" s="4">
        <v>4982</v>
      </c>
      <c r="P392" s="4">
        <v>19</v>
      </c>
      <c r="Q392" s="4">
        <v>624</v>
      </c>
      <c r="R392" s="4">
        <v>407</v>
      </c>
      <c r="S392" s="4">
        <v>331</v>
      </c>
      <c r="T392" s="4">
        <v>1381</v>
      </c>
      <c r="U392" s="4">
        <v>738</v>
      </c>
    </row>
    <row r="393" spans="1:27" ht="12.5" x14ac:dyDescent="0.25">
      <c r="A393" s="2">
        <v>44282</v>
      </c>
      <c r="B393" s="4">
        <v>40364</v>
      </c>
      <c r="C393" s="4">
        <v>1327121</v>
      </c>
      <c r="D393" s="4">
        <v>124517</v>
      </c>
      <c r="E393" s="4">
        <v>1492002</v>
      </c>
      <c r="F393" s="4">
        <v>6281</v>
      </c>
      <c r="G393" s="4">
        <v>364251</v>
      </c>
      <c r="H393" s="4">
        <v>3932</v>
      </c>
      <c r="I393" s="4">
        <v>3758</v>
      </c>
      <c r="J393" s="4">
        <v>378222</v>
      </c>
      <c r="K393" s="4">
        <v>7690</v>
      </c>
      <c r="L393" s="4">
        <v>198</v>
      </c>
      <c r="M393" s="4">
        <v>4243</v>
      </c>
      <c r="N393" s="4">
        <v>20</v>
      </c>
      <c r="O393" s="4">
        <v>4461</v>
      </c>
      <c r="P393" s="4">
        <v>21</v>
      </c>
      <c r="Q393" s="4">
        <v>652</v>
      </c>
      <c r="R393" s="4">
        <v>303</v>
      </c>
      <c r="S393" s="4">
        <v>378</v>
      </c>
      <c r="T393" s="4">
        <v>1354</v>
      </c>
      <c r="U393" s="4">
        <v>681</v>
      </c>
    </row>
    <row r="394" spans="1:27" ht="14.5" x14ac:dyDescent="0.35">
      <c r="A394" s="2">
        <v>44283</v>
      </c>
      <c r="B394" s="6">
        <v>40449</v>
      </c>
      <c r="C394" s="6">
        <v>1331400</v>
      </c>
      <c r="D394" s="6">
        <v>124236</v>
      </c>
      <c r="E394" s="6">
        <v>1496085</v>
      </c>
      <c r="F394" s="6">
        <v>6304</v>
      </c>
      <c r="G394" s="6">
        <v>365592</v>
      </c>
      <c r="H394" s="6">
        <v>3966</v>
      </c>
      <c r="I394" s="6">
        <v>3830</v>
      </c>
      <c r="J394" s="6">
        <v>379692</v>
      </c>
      <c r="K394" s="6">
        <v>7796</v>
      </c>
      <c r="L394" s="6">
        <v>85</v>
      </c>
      <c r="M394" s="6">
        <v>4279</v>
      </c>
      <c r="N394" s="6">
        <v>-281</v>
      </c>
      <c r="O394" s="6">
        <v>4083</v>
      </c>
      <c r="P394" s="6">
        <v>23</v>
      </c>
      <c r="Q394" s="6">
        <v>1341</v>
      </c>
      <c r="R394" s="6">
        <v>34</v>
      </c>
      <c r="S394" s="6">
        <v>72</v>
      </c>
      <c r="T394" s="6">
        <v>1470</v>
      </c>
      <c r="U394" s="25">
        <v>106</v>
      </c>
      <c r="V394" s="12"/>
      <c r="W394" s="12"/>
      <c r="X394" s="12"/>
      <c r="Y394" s="12"/>
      <c r="Z394" s="12"/>
      <c r="AA394" s="12"/>
    </row>
    <row r="395" spans="1:27" ht="12.5" x14ac:dyDescent="0.25">
      <c r="A395" s="2">
        <v>44284</v>
      </c>
      <c r="B395" s="4">
        <v>40581</v>
      </c>
      <c r="C395" s="4">
        <v>1336818</v>
      </c>
      <c r="D395" s="4">
        <v>123694</v>
      </c>
      <c r="E395" s="4">
        <v>1501093</v>
      </c>
      <c r="F395" s="4">
        <v>6324</v>
      </c>
      <c r="G395" s="4">
        <v>366615</v>
      </c>
      <c r="H395" s="4">
        <v>4034</v>
      </c>
      <c r="I395" s="4">
        <v>3733</v>
      </c>
      <c r="J395" s="4">
        <v>380706</v>
      </c>
      <c r="K395" s="4">
        <v>7767</v>
      </c>
      <c r="L395" s="4">
        <v>132</v>
      </c>
      <c r="M395" s="4">
        <v>5418</v>
      </c>
      <c r="N395" s="4">
        <v>-542</v>
      </c>
      <c r="O395" s="4">
        <v>5008</v>
      </c>
      <c r="P395" s="4">
        <v>20</v>
      </c>
      <c r="Q395" s="4">
        <v>1023</v>
      </c>
      <c r="R395" s="4">
        <v>68</v>
      </c>
      <c r="S395" s="4">
        <v>-97</v>
      </c>
      <c r="T395" s="4">
        <v>1014</v>
      </c>
      <c r="U395" s="4">
        <v>-29</v>
      </c>
    </row>
    <row r="396" spans="1:27" ht="12.5" x14ac:dyDescent="0.25">
      <c r="A396" s="2">
        <v>44285</v>
      </c>
      <c r="B396" s="4">
        <v>40754</v>
      </c>
      <c r="C396" s="4">
        <v>1342695</v>
      </c>
      <c r="D396" s="4">
        <v>122326</v>
      </c>
      <c r="E396" s="4">
        <v>1505775</v>
      </c>
      <c r="F396" s="4">
        <v>6327</v>
      </c>
      <c r="G396" s="4">
        <v>367819</v>
      </c>
      <c r="H396" s="4">
        <v>3419</v>
      </c>
      <c r="I396" s="4">
        <v>3525</v>
      </c>
      <c r="J396" s="4">
        <v>381090</v>
      </c>
      <c r="K396" s="4">
        <v>6944</v>
      </c>
      <c r="L396" s="4">
        <v>173</v>
      </c>
      <c r="M396" s="4">
        <v>5877</v>
      </c>
      <c r="N396" s="4">
        <v>-1368</v>
      </c>
      <c r="O396" s="4">
        <v>4682</v>
      </c>
      <c r="P396" s="4">
        <v>3</v>
      </c>
      <c r="Q396" s="4">
        <v>1204</v>
      </c>
      <c r="R396" s="4">
        <v>-615</v>
      </c>
      <c r="S396" s="4">
        <v>-208</v>
      </c>
      <c r="T396" s="4">
        <v>384</v>
      </c>
      <c r="U396" s="4">
        <v>-823</v>
      </c>
    </row>
    <row r="397" spans="1:27" ht="12.5" x14ac:dyDescent="0.25">
      <c r="A397" s="2">
        <v>44286</v>
      </c>
      <c r="B397" s="4">
        <v>40858</v>
      </c>
      <c r="C397" s="4">
        <v>1348330</v>
      </c>
      <c r="D397" s="4">
        <v>122524</v>
      </c>
      <c r="E397" s="4">
        <v>1511712</v>
      </c>
      <c r="F397" s="4">
        <v>6341</v>
      </c>
      <c r="G397" s="4">
        <v>369007</v>
      </c>
      <c r="H397" s="4">
        <v>3028</v>
      </c>
      <c r="I397" s="4">
        <v>3679</v>
      </c>
      <c r="J397" s="4">
        <v>382055</v>
      </c>
      <c r="K397" s="4">
        <v>6707</v>
      </c>
      <c r="L397" s="4">
        <v>104</v>
      </c>
      <c r="M397" s="4">
        <v>5635</v>
      </c>
      <c r="N397" s="4">
        <v>198</v>
      </c>
      <c r="O397" s="4">
        <v>5937</v>
      </c>
      <c r="P397" s="4">
        <v>14</v>
      </c>
      <c r="Q397" s="4">
        <v>1188</v>
      </c>
      <c r="R397" s="4">
        <v>-391</v>
      </c>
      <c r="S397" s="4">
        <v>154</v>
      </c>
      <c r="T397" s="4">
        <v>965</v>
      </c>
      <c r="U397" s="4">
        <v>-237</v>
      </c>
    </row>
    <row r="398" spans="1:27" ht="14.5" x14ac:dyDescent="0.35">
      <c r="A398" s="2">
        <v>44287</v>
      </c>
      <c r="B398" s="25">
        <v>41054</v>
      </c>
      <c r="C398" s="25">
        <v>1355578</v>
      </c>
      <c r="D398" s="25">
        <v>121222</v>
      </c>
      <c r="E398" s="25">
        <v>1517854</v>
      </c>
      <c r="F398" s="6">
        <v>6344</v>
      </c>
      <c r="G398" s="6">
        <v>369929</v>
      </c>
      <c r="H398" s="6">
        <v>3447</v>
      </c>
      <c r="I398" s="6">
        <v>3672</v>
      </c>
      <c r="J398" s="6">
        <v>383392</v>
      </c>
      <c r="K398" s="25">
        <v>7119</v>
      </c>
      <c r="L398" s="25">
        <v>196</v>
      </c>
      <c r="M398" s="25">
        <v>7248</v>
      </c>
      <c r="N398" s="25">
        <v>-1302</v>
      </c>
      <c r="O398" s="25">
        <v>6142</v>
      </c>
      <c r="P398" s="25">
        <v>3</v>
      </c>
      <c r="Q398" s="25">
        <v>922</v>
      </c>
      <c r="R398" s="25">
        <v>419</v>
      </c>
      <c r="S398" s="25">
        <v>-7</v>
      </c>
      <c r="T398" s="25">
        <v>1337</v>
      </c>
      <c r="U398" s="33">
        <v>412</v>
      </c>
    </row>
    <row r="399" spans="1:27" ht="14.5" x14ac:dyDescent="0.35">
      <c r="A399" s="2">
        <v>44288</v>
      </c>
      <c r="B399" s="4">
        <v>41151</v>
      </c>
      <c r="C399" s="4">
        <v>1361017</v>
      </c>
      <c r="D399" s="4">
        <v>121011</v>
      </c>
      <c r="E399" s="4">
        <v>1523179</v>
      </c>
      <c r="F399" s="6">
        <v>6351</v>
      </c>
      <c r="G399" s="6">
        <v>371254</v>
      </c>
      <c r="H399" s="6">
        <v>3433</v>
      </c>
      <c r="I399" s="6">
        <v>3594</v>
      </c>
      <c r="J399" s="6">
        <v>384632</v>
      </c>
      <c r="K399" s="10">
        <v>7027</v>
      </c>
      <c r="L399" s="10">
        <v>97</v>
      </c>
      <c r="M399" s="10">
        <v>5439</v>
      </c>
      <c r="N399" s="10">
        <v>-211</v>
      </c>
      <c r="O399" s="10">
        <v>5325</v>
      </c>
      <c r="P399" s="10">
        <v>7</v>
      </c>
      <c r="Q399" s="10">
        <v>1325</v>
      </c>
      <c r="R399" s="10">
        <v>-14</v>
      </c>
      <c r="S399" s="10">
        <v>-78</v>
      </c>
      <c r="T399" s="10">
        <v>1240</v>
      </c>
      <c r="U399" s="10">
        <v>-92</v>
      </c>
    </row>
    <row r="400" spans="1:27" ht="12.5" x14ac:dyDescent="0.25">
      <c r="A400" s="2">
        <v>44289</v>
      </c>
      <c r="B400" s="4">
        <v>41242</v>
      </c>
      <c r="C400" s="4">
        <v>1366214</v>
      </c>
      <c r="D400" s="4">
        <v>120068</v>
      </c>
      <c r="E400" s="4">
        <v>1527524</v>
      </c>
      <c r="F400" s="4">
        <v>6356</v>
      </c>
      <c r="G400" s="4">
        <v>372494</v>
      </c>
      <c r="H400" s="4">
        <v>3317</v>
      </c>
      <c r="I400" s="4">
        <v>3563</v>
      </c>
      <c r="J400" s="4">
        <v>385730</v>
      </c>
      <c r="K400" s="4">
        <v>6880</v>
      </c>
      <c r="L400" s="4">
        <v>91</v>
      </c>
      <c r="M400" s="4">
        <v>5197</v>
      </c>
      <c r="N400" s="4">
        <v>-943</v>
      </c>
      <c r="O400" s="4">
        <v>4345</v>
      </c>
      <c r="P400" s="4">
        <v>5</v>
      </c>
      <c r="Q400" s="4">
        <v>1240</v>
      </c>
      <c r="R400" s="4">
        <v>-116</v>
      </c>
      <c r="S400" s="4">
        <v>-31</v>
      </c>
      <c r="T400" s="4">
        <v>1098</v>
      </c>
      <c r="U400" s="4">
        <v>-147</v>
      </c>
    </row>
    <row r="401" spans="1:27" ht="14.5" x14ac:dyDescent="0.35">
      <c r="A401" s="2">
        <v>44290</v>
      </c>
      <c r="B401" s="11">
        <v>41669</v>
      </c>
      <c r="C401" s="11">
        <v>1375877</v>
      </c>
      <c r="D401" s="6">
        <v>116709</v>
      </c>
      <c r="E401" s="6">
        <v>1534255</v>
      </c>
      <c r="F401" s="6">
        <v>6360</v>
      </c>
      <c r="G401" s="6">
        <v>373565</v>
      </c>
      <c r="H401" s="6">
        <v>3149</v>
      </c>
      <c r="I401" s="6">
        <v>3392</v>
      </c>
      <c r="J401" s="6">
        <v>386466</v>
      </c>
      <c r="K401" s="6">
        <v>6541</v>
      </c>
      <c r="L401" s="6">
        <v>427</v>
      </c>
      <c r="M401" s="6">
        <v>9663</v>
      </c>
      <c r="N401" s="6">
        <v>-3359</v>
      </c>
      <c r="O401" s="6">
        <v>6731</v>
      </c>
      <c r="P401" s="6">
        <v>4</v>
      </c>
      <c r="Q401" s="6">
        <v>1071</v>
      </c>
      <c r="R401" s="6">
        <v>-168</v>
      </c>
      <c r="S401" s="6">
        <v>-171</v>
      </c>
      <c r="T401" s="6">
        <v>736</v>
      </c>
      <c r="U401" s="25">
        <v>-339</v>
      </c>
      <c r="V401" s="12"/>
      <c r="W401" s="12"/>
      <c r="X401" s="12"/>
      <c r="Y401" s="12"/>
      <c r="Z401" s="12"/>
      <c r="AA401" s="12"/>
    </row>
    <row r="402" spans="1:27" ht="12.5" x14ac:dyDescent="0.25">
      <c r="A402" s="2">
        <v>44291</v>
      </c>
      <c r="B402" s="4">
        <v>41815</v>
      </c>
      <c r="C402" s="4">
        <v>1381677</v>
      </c>
      <c r="D402" s="4">
        <v>114475</v>
      </c>
      <c r="E402" s="4">
        <v>1537967</v>
      </c>
      <c r="F402" s="4">
        <v>6372</v>
      </c>
      <c r="G402" s="4">
        <v>374542</v>
      </c>
      <c r="H402" s="4">
        <v>2771</v>
      </c>
      <c r="I402" s="4">
        <v>3304</v>
      </c>
      <c r="J402" s="4">
        <v>386989</v>
      </c>
      <c r="K402" s="4">
        <v>6075</v>
      </c>
      <c r="L402" s="4">
        <v>146</v>
      </c>
      <c r="M402" s="4">
        <v>5800</v>
      </c>
      <c r="N402" s="4">
        <v>-2234</v>
      </c>
      <c r="O402" s="4">
        <v>3712</v>
      </c>
      <c r="P402" s="4">
        <v>12</v>
      </c>
      <c r="Q402" s="4">
        <v>977</v>
      </c>
      <c r="R402" s="4">
        <v>-378</v>
      </c>
      <c r="S402" s="4">
        <v>-88</v>
      </c>
      <c r="T402" s="4">
        <v>523</v>
      </c>
      <c r="U402" s="4">
        <v>-466</v>
      </c>
    </row>
    <row r="403" spans="1:27" ht="12.5" x14ac:dyDescent="0.25">
      <c r="A403" s="2">
        <v>44292</v>
      </c>
      <c r="B403" s="4">
        <v>41977</v>
      </c>
      <c r="C403" s="4">
        <v>1385973</v>
      </c>
      <c r="D403" s="4">
        <v>114566</v>
      </c>
      <c r="E403" s="4">
        <v>1542516</v>
      </c>
      <c r="F403" s="4">
        <v>6379</v>
      </c>
      <c r="G403" s="4">
        <v>375080</v>
      </c>
      <c r="H403" s="4">
        <v>2705</v>
      </c>
      <c r="I403" s="4">
        <v>3312</v>
      </c>
      <c r="J403" s="4">
        <v>387476</v>
      </c>
      <c r="K403" s="4">
        <v>6017</v>
      </c>
      <c r="L403" s="4">
        <v>162</v>
      </c>
      <c r="M403" s="4">
        <v>4296</v>
      </c>
      <c r="N403" s="4">
        <v>91</v>
      </c>
      <c r="O403" s="4">
        <v>4549</v>
      </c>
      <c r="P403" s="4">
        <v>7</v>
      </c>
      <c r="Q403" s="4">
        <v>538</v>
      </c>
      <c r="R403" s="4">
        <v>-66</v>
      </c>
      <c r="S403" s="4">
        <v>8</v>
      </c>
      <c r="T403" s="4">
        <v>487</v>
      </c>
      <c r="U403" s="4">
        <v>-58</v>
      </c>
    </row>
    <row r="404" spans="1:27" ht="12.5" x14ac:dyDescent="0.25">
      <c r="A404" s="2">
        <v>44293</v>
      </c>
      <c r="B404" s="10">
        <v>42064</v>
      </c>
      <c r="C404" s="10">
        <v>1391742</v>
      </c>
      <c r="D404" s="10">
        <v>113570</v>
      </c>
      <c r="E404" s="10">
        <v>1547376</v>
      </c>
      <c r="F404" s="10">
        <v>6391</v>
      </c>
      <c r="G404" s="10">
        <v>375651</v>
      </c>
      <c r="H404" s="10">
        <v>2814</v>
      </c>
      <c r="I404" s="10">
        <v>3482</v>
      </c>
      <c r="J404" s="10">
        <v>388338</v>
      </c>
      <c r="K404" s="10">
        <v>6296</v>
      </c>
      <c r="L404" s="10">
        <v>87</v>
      </c>
      <c r="M404" s="10">
        <v>5769</v>
      </c>
      <c r="N404" s="10">
        <v>-996</v>
      </c>
      <c r="O404" s="10">
        <v>4860</v>
      </c>
      <c r="P404" s="10">
        <v>12</v>
      </c>
      <c r="Q404" s="10">
        <v>571</v>
      </c>
      <c r="R404" s="10">
        <v>109</v>
      </c>
      <c r="S404" s="10">
        <v>170</v>
      </c>
      <c r="T404" s="10">
        <v>862</v>
      </c>
      <c r="U404" s="10">
        <v>279</v>
      </c>
    </row>
    <row r="405" spans="1:27" ht="12.5" x14ac:dyDescent="0.25">
      <c r="A405" s="2">
        <v>44294</v>
      </c>
      <c r="B405" s="10">
        <v>42227</v>
      </c>
      <c r="C405" s="10">
        <v>1399382</v>
      </c>
      <c r="D405" s="10">
        <v>111271</v>
      </c>
      <c r="E405" s="10">
        <v>1552880</v>
      </c>
      <c r="F405" s="10">
        <v>6410</v>
      </c>
      <c r="G405" s="10">
        <v>376270</v>
      </c>
      <c r="H405" s="10">
        <v>3244</v>
      </c>
      <c r="I405" s="10">
        <v>3653</v>
      </c>
      <c r="J405" s="10">
        <v>389577</v>
      </c>
      <c r="K405" s="10">
        <v>6897</v>
      </c>
      <c r="L405" s="10">
        <v>163</v>
      </c>
      <c r="M405" s="10">
        <v>7640</v>
      </c>
      <c r="N405" s="10">
        <v>-2299</v>
      </c>
      <c r="O405" s="10">
        <v>5504</v>
      </c>
      <c r="P405" s="10">
        <v>19</v>
      </c>
      <c r="Q405" s="10">
        <v>619</v>
      </c>
      <c r="R405" s="10">
        <v>430</v>
      </c>
      <c r="S405" s="10">
        <v>171</v>
      </c>
      <c r="T405" s="10">
        <v>1239</v>
      </c>
      <c r="U405" s="10">
        <v>601</v>
      </c>
    </row>
    <row r="406" spans="1:27" ht="12.5" x14ac:dyDescent="0.25">
      <c r="A406" s="2">
        <v>44295</v>
      </c>
      <c r="B406" s="4">
        <v>42348</v>
      </c>
      <c r="C406" s="4">
        <v>1405679</v>
      </c>
      <c r="D406" s="4">
        <v>110118</v>
      </c>
      <c r="E406" s="4">
        <v>1558145</v>
      </c>
      <c r="F406" s="4">
        <v>6424</v>
      </c>
      <c r="G406" s="4">
        <v>376959</v>
      </c>
      <c r="H406" s="4">
        <v>3506</v>
      </c>
      <c r="I406" s="4">
        <v>3701</v>
      </c>
      <c r="J406" s="4">
        <v>390590</v>
      </c>
      <c r="K406" s="4">
        <v>7207</v>
      </c>
      <c r="L406" s="4">
        <v>121</v>
      </c>
      <c r="M406" s="4">
        <v>6297</v>
      </c>
      <c r="N406" s="4">
        <v>-1153</v>
      </c>
      <c r="O406" s="4">
        <v>5265</v>
      </c>
      <c r="P406" s="4">
        <v>14</v>
      </c>
      <c r="Q406" s="4">
        <v>689</v>
      </c>
      <c r="R406" s="4">
        <v>262</v>
      </c>
      <c r="S406" s="4">
        <v>48</v>
      </c>
      <c r="T406" s="4">
        <v>1013</v>
      </c>
      <c r="U406" s="4">
        <v>310</v>
      </c>
    </row>
    <row r="407" spans="1:27" ht="12.5" x14ac:dyDescent="0.25">
      <c r="A407" s="2">
        <v>44296</v>
      </c>
      <c r="B407" s="4">
        <v>42443</v>
      </c>
      <c r="C407" s="4">
        <v>1409288</v>
      </c>
      <c r="D407" s="4">
        <v>111137</v>
      </c>
      <c r="E407" s="4">
        <v>1562868</v>
      </c>
      <c r="F407" s="4">
        <v>6435</v>
      </c>
      <c r="G407" s="4">
        <v>377797</v>
      </c>
      <c r="H407" s="4">
        <v>3716</v>
      </c>
      <c r="I407" s="4">
        <v>3619</v>
      </c>
      <c r="J407" s="4">
        <v>391567</v>
      </c>
      <c r="K407" s="4">
        <v>7335</v>
      </c>
      <c r="L407" s="4">
        <v>95</v>
      </c>
      <c r="M407" s="4">
        <v>3609</v>
      </c>
      <c r="N407" s="4">
        <v>1019</v>
      </c>
      <c r="O407" s="4">
        <v>4723</v>
      </c>
      <c r="P407" s="4">
        <v>11</v>
      </c>
      <c r="Q407" s="4">
        <v>838</v>
      </c>
      <c r="R407" s="4">
        <v>210</v>
      </c>
      <c r="S407" s="4">
        <v>-82</v>
      </c>
      <c r="T407" s="4">
        <v>977</v>
      </c>
      <c r="U407" s="4">
        <v>128</v>
      </c>
    </row>
    <row r="408" spans="1:27" ht="14.5" x14ac:dyDescent="0.35">
      <c r="A408" s="2">
        <v>44297</v>
      </c>
      <c r="B408" s="6">
        <v>42530</v>
      </c>
      <c r="C408" s="6">
        <v>1414507</v>
      </c>
      <c r="D408" s="6">
        <v>109958</v>
      </c>
      <c r="E408" s="6">
        <v>1566995</v>
      </c>
      <c r="F408" s="6">
        <v>6450</v>
      </c>
      <c r="G408" s="6">
        <v>379210</v>
      </c>
      <c r="H408" s="6">
        <v>3617</v>
      </c>
      <c r="I408" s="6">
        <v>3321</v>
      </c>
      <c r="J408" s="6">
        <v>392598</v>
      </c>
      <c r="K408" s="6">
        <v>6938</v>
      </c>
      <c r="L408" s="6">
        <v>87</v>
      </c>
      <c r="M408" s="6">
        <v>5219</v>
      </c>
      <c r="N408" s="6">
        <v>-1179</v>
      </c>
      <c r="O408" s="6">
        <v>4127</v>
      </c>
      <c r="P408" s="6">
        <v>15</v>
      </c>
      <c r="Q408" s="6">
        <v>1413</v>
      </c>
      <c r="R408" s="6">
        <v>-99</v>
      </c>
      <c r="S408" s="6">
        <v>-298</v>
      </c>
      <c r="T408" s="6">
        <v>1031</v>
      </c>
      <c r="U408" s="25">
        <v>-397</v>
      </c>
      <c r="V408" s="12"/>
      <c r="W408" s="12"/>
      <c r="X408" s="12"/>
      <c r="Y408" s="12"/>
      <c r="Z408" s="12"/>
      <c r="AA408" s="12"/>
    </row>
    <row r="409" spans="1:27" ht="12.5" x14ac:dyDescent="0.25">
      <c r="A409" s="2">
        <v>44298</v>
      </c>
      <c r="B409" s="4">
        <v>42656</v>
      </c>
      <c r="C409" s="4">
        <v>1419796</v>
      </c>
      <c r="D409" s="4">
        <v>109372</v>
      </c>
      <c r="E409" s="4">
        <v>1571824</v>
      </c>
      <c r="F409" s="4">
        <v>6459</v>
      </c>
      <c r="G409" s="4">
        <v>380560</v>
      </c>
      <c r="H409" s="4">
        <v>3324</v>
      </c>
      <c r="I409" s="4">
        <v>2947</v>
      </c>
      <c r="J409" s="4">
        <v>393290</v>
      </c>
      <c r="K409" s="4">
        <v>6271</v>
      </c>
      <c r="L409" s="4">
        <v>126</v>
      </c>
      <c r="M409" s="4">
        <v>5289</v>
      </c>
      <c r="N409" s="4">
        <v>-586</v>
      </c>
      <c r="O409" s="4">
        <v>4829</v>
      </c>
      <c r="P409" s="4">
        <v>9</v>
      </c>
      <c r="Q409" s="4">
        <v>1350</v>
      </c>
      <c r="R409" s="4">
        <v>-293</v>
      </c>
      <c r="S409" s="4">
        <v>-374</v>
      </c>
      <c r="T409" s="4">
        <v>692</v>
      </c>
      <c r="U409" s="4">
        <v>-667</v>
      </c>
    </row>
    <row r="410" spans="1:27" ht="12.5" x14ac:dyDescent="0.25">
      <c r="A410" s="2">
        <v>44299</v>
      </c>
      <c r="B410" s="10">
        <v>42782</v>
      </c>
      <c r="C410" s="10">
        <v>1426145</v>
      </c>
      <c r="D410" s="10">
        <v>108599</v>
      </c>
      <c r="E410" s="10">
        <v>1577526</v>
      </c>
      <c r="F410" s="10">
        <v>6482</v>
      </c>
      <c r="G410" s="10">
        <v>381449</v>
      </c>
      <c r="H410" s="10">
        <v>3326</v>
      </c>
      <c r="I410" s="10">
        <v>2861</v>
      </c>
      <c r="J410" s="10">
        <v>394118</v>
      </c>
      <c r="K410" s="10">
        <v>6187</v>
      </c>
      <c r="L410" s="10">
        <v>126</v>
      </c>
      <c r="M410" s="10">
        <v>6349</v>
      </c>
      <c r="N410" s="10">
        <v>-773</v>
      </c>
      <c r="O410" s="10">
        <v>5702</v>
      </c>
      <c r="P410" s="10">
        <v>23</v>
      </c>
      <c r="Q410" s="10">
        <v>889</v>
      </c>
      <c r="R410" s="10">
        <v>2</v>
      </c>
      <c r="S410" s="10">
        <v>-86</v>
      </c>
      <c r="T410" s="10">
        <v>828</v>
      </c>
      <c r="U410" s="10">
        <v>-84</v>
      </c>
    </row>
    <row r="411" spans="1:27" ht="12.5" x14ac:dyDescent="0.25">
      <c r="A411" s="2">
        <v>44300</v>
      </c>
      <c r="B411" s="4">
        <v>42906</v>
      </c>
      <c r="C411" s="4">
        <v>1431892</v>
      </c>
      <c r="D411" s="4">
        <v>108384</v>
      </c>
      <c r="E411" s="4">
        <v>1583182</v>
      </c>
      <c r="F411" s="4">
        <v>6489</v>
      </c>
      <c r="G411" s="4">
        <v>382091</v>
      </c>
      <c r="H411" s="4">
        <v>3338</v>
      </c>
      <c r="I411" s="4">
        <v>2861</v>
      </c>
      <c r="J411" s="4">
        <v>394779</v>
      </c>
      <c r="K411" s="4">
        <v>6199</v>
      </c>
      <c r="L411" s="4">
        <v>124</v>
      </c>
      <c r="M411" s="4">
        <v>5747</v>
      </c>
      <c r="N411" s="4">
        <v>-215</v>
      </c>
      <c r="O411" s="4">
        <v>5656</v>
      </c>
      <c r="P411" s="4">
        <v>7</v>
      </c>
      <c r="Q411" s="4">
        <v>642</v>
      </c>
      <c r="R411" s="4">
        <v>12</v>
      </c>
      <c r="S411" s="4">
        <v>0</v>
      </c>
      <c r="T411" s="4">
        <v>661</v>
      </c>
      <c r="U411" s="4">
        <v>12</v>
      </c>
    </row>
    <row r="412" spans="1:27" ht="12.5" x14ac:dyDescent="0.25">
      <c r="A412" s="2">
        <v>44301</v>
      </c>
      <c r="B412" s="4">
        <v>43073</v>
      </c>
      <c r="C412" s="4">
        <v>1438254</v>
      </c>
      <c r="D412" s="4">
        <v>108032</v>
      </c>
      <c r="E412" s="4">
        <v>1589359</v>
      </c>
      <c r="F412" s="4">
        <v>6504</v>
      </c>
      <c r="G412" s="4">
        <v>382617</v>
      </c>
      <c r="H412" s="4">
        <v>3921</v>
      </c>
      <c r="I412" s="4">
        <v>3067</v>
      </c>
      <c r="J412" s="4">
        <v>396109</v>
      </c>
      <c r="K412" s="4">
        <v>6988</v>
      </c>
      <c r="L412" s="4">
        <v>167</v>
      </c>
      <c r="M412" s="4">
        <v>6362</v>
      </c>
      <c r="N412" s="4">
        <v>-352</v>
      </c>
      <c r="O412" s="4">
        <v>6177</v>
      </c>
      <c r="P412" s="4">
        <v>15</v>
      </c>
      <c r="Q412" s="4">
        <v>526</v>
      </c>
      <c r="R412" s="4">
        <v>583</v>
      </c>
      <c r="S412" s="4">
        <v>206</v>
      </c>
      <c r="T412" s="4">
        <v>1330</v>
      </c>
      <c r="U412" s="4">
        <v>789</v>
      </c>
    </row>
    <row r="413" spans="1:27" ht="12.5" x14ac:dyDescent="0.25">
      <c r="A413" s="2">
        <v>44302</v>
      </c>
      <c r="B413" s="10">
        <v>43196</v>
      </c>
      <c r="C413" s="10">
        <v>1444229</v>
      </c>
      <c r="D413" s="10">
        <v>107297</v>
      </c>
      <c r="E413" s="10">
        <v>1594722</v>
      </c>
      <c r="F413" s="10">
        <v>6513</v>
      </c>
      <c r="G413" s="10">
        <v>383655</v>
      </c>
      <c r="H413" s="10">
        <v>3607</v>
      </c>
      <c r="I413" s="10">
        <v>3313</v>
      </c>
      <c r="J413" s="10">
        <v>397088</v>
      </c>
      <c r="K413" s="10">
        <v>6920</v>
      </c>
      <c r="L413" s="10">
        <v>123</v>
      </c>
      <c r="M413" s="10">
        <v>5975</v>
      </c>
      <c r="N413" s="10">
        <v>-735</v>
      </c>
      <c r="O413" s="10">
        <v>5363</v>
      </c>
      <c r="P413" s="10">
        <v>9</v>
      </c>
      <c r="Q413" s="10">
        <v>1038</v>
      </c>
      <c r="R413" s="10">
        <v>-314</v>
      </c>
      <c r="S413" s="10">
        <v>246</v>
      </c>
      <c r="T413" s="10">
        <v>979</v>
      </c>
      <c r="U413" s="10">
        <v>-68</v>
      </c>
    </row>
    <row r="414" spans="1:27" ht="12.5" x14ac:dyDescent="0.25">
      <c r="A414" s="2">
        <v>44303</v>
      </c>
      <c r="B414" s="4">
        <v>43328</v>
      </c>
      <c r="C414" s="4">
        <v>1450192</v>
      </c>
      <c r="D414" s="4">
        <v>106243</v>
      </c>
      <c r="E414" s="4">
        <v>1599763</v>
      </c>
      <c r="F414" s="4">
        <v>6520</v>
      </c>
      <c r="G414" s="4">
        <v>384652</v>
      </c>
      <c r="H414" s="4">
        <v>3512</v>
      </c>
      <c r="I414" s="4">
        <v>3441</v>
      </c>
      <c r="J414" s="4">
        <v>398125</v>
      </c>
      <c r="K414" s="4">
        <v>6953</v>
      </c>
      <c r="L414" s="4">
        <v>132</v>
      </c>
      <c r="M414" s="4">
        <v>5963</v>
      </c>
      <c r="N414" s="4">
        <v>-1054</v>
      </c>
      <c r="O414" s="4">
        <v>5041</v>
      </c>
      <c r="P414" s="4">
        <v>7</v>
      </c>
      <c r="Q414" s="4">
        <v>997</v>
      </c>
      <c r="R414" s="4">
        <v>-95</v>
      </c>
      <c r="S414" s="4">
        <v>128</v>
      </c>
      <c r="T414" s="4">
        <v>1037</v>
      </c>
      <c r="U414" s="4">
        <v>33</v>
      </c>
    </row>
    <row r="415" spans="1:27" ht="14.5" x14ac:dyDescent="0.35">
      <c r="A415" s="2">
        <v>44304</v>
      </c>
      <c r="B415" s="6">
        <v>43424</v>
      </c>
      <c r="C415" s="6">
        <v>1455065</v>
      </c>
      <c r="D415" s="6">
        <v>105859</v>
      </c>
      <c r="E415" s="6">
        <v>1604348</v>
      </c>
      <c r="F415" s="6">
        <v>6536</v>
      </c>
      <c r="G415" s="6">
        <v>385615</v>
      </c>
      <c r="H415" s="6">
        <v>3313</v>
      </c>
      <c r="I415" s="6">
        <v>3611</v>
      </c>
      <c r="J415" s="6">
        <v>399075</v>
      </c>
      <c r="K415" s="6">
        <v>6924</v>
      </c>
      <c r="L415" s="6">
        <v>96</v>
      </c>
      <c r="M415" s="6">
        <v>4873</v>
      </c>
      <c r="N415" s="6">
        <v>-384</v>
      </c>
      <c r="O415" s="6">
        <v>4585</v>
      </c>
      <c r="P415" s="6">
        <v>16</v>
      </c>
      <c r="Q415" s="6">
        <v>963</v>
      </c>
      <c r="R415" s="6">
        <v>-199</v>
      </c>
      <c r="S415" s="6">
        <v>170</v>
      </c>
      <c r="T415" s="6">
        <v>950</v>
      </c>
      <c r="U415" s="25">
        <v>-29</v>
      </c>
      <c r="V415" s="12"/>
      <c r="W415" s="12"/>
      <c r="X415" s="12"/>
      <c r="Y415" s="12"/>
      <c r="Z415" s="12"/>
      <c r="AA415" s="12"/>
    </row>
    <row r="416" spans="1:27" ht="12.5" x14ac:dyDescent="0.25">
      <c r="A416" s="2">
        <v>44305</v>
      </c>
      <c r="B416" s="4">
        <v>43567</v>
      </c>
      <c r="C416" s="4">
        <v>1461414</v>
      </c>
      <c r="D416" s="4">
        <v>104319</v>
      </c>
      <c r="E416" s="4">
        <v>1609300</v>
      </c>
      <c r="F416" s="4">
        <v>6558</v>
      </c>
      <c r="G416" s="4">
        <v>386606</v>
      </c>
      <c r="H416" s="4">
        <v>3218</v>
      </c>
      <c r="I416" s="4">
        <v>3666</v>
      </c>
      <c r="J416" s="4">
        <v>400048</v>
      </c>
      <c r="K416" s="4">
        <v>6884</v>
      </c>
      <c r="L416" s="4">
        <v>143</v>
      </c>
      <c r="M416" s="4">
        <v>6349</v>
      </c>
      <c r="N416" s="4">
        <v>-1540</v>
      </c>
      <c r="O416" s="4">
        <v>4952</v>
      </c>
      <c r="P416" s="4">
        <v>22</v>
      </c>
      <c r="Q416" s="4">
        <v>991</v>
      </c>
      <c r="R416" s="4">
        <v>-95</v>
      </c>
      <c r="S416" s="4">
        <v>55</v>
      </c>
      <c r="T416" s="4">
        <v>973</v>
      </c>
      <c r="U416" s="4">
        <v>-40</v>
      </c>
    </row>
    <row r="417" spans="1:27" ht="12.5" x14ac:dyDescent="0.25">
      <c r="A417" s="2">
        <v>44306</v>
      </c>
      <c r="B417" s="4">
        <v>43777</v>
      </c>
      <c r="C417" s="4">
        <v>1468142</v>
      </c>
      <c r="D417" s="4">
        <v>102930</v>
      </c>
      <c r="E417" s="4">
        <v>1614849</v>
      </c>
      <c r="F417" s="4">
        <v>6569</v>
      </c>
      <c r="G417" s="4">
        <v>387507</v>
      </c>
      <c r="H417" s="4">
        <v>2945</v>
      </c>
      <c r="I417" s="4">
        <v>3487</v>
      </c>
      <c r="J417" s="4">
        <v>400508</v>
      </c>
      <c r="K417" s="4">
        <v>6432</v>
      </c>
      <c r="L417" s="4">
        <v>210</v>
      </c>
      <c r="M417" s="4">
        <v>6728</v>
      </c>
      <c r="N417" s="4">
        <v>-1389</v>
      </c>
      <c r="O417" s="4">
        <v>5549</v>
      </c>
      <c r="P417" s="4">
        <v>11</v>
      </c>
      <c r="Q417" s="4">
        <v>901</v>
      </c>
      <c r="R417" s="4">
        <v>-273</v>
      </c>
      <c r="S417" s="4">
        <v>-179</v>
      </c>
      <c r="T417" s="4">
        <v>460</v>
      </c>
      <c r="U417" s="4">
        <v>-452</v>
      </c>
    </row>
    <row r="418" spans="1:27" ht="12.5" x14ac:dyDescent="0.25">
      <c r="A418" s="2">
        <v>44307</v>
      </c>
      <c r="B418" s="4">
        <v>44007</v>
      </c>
      <c r="C418" s="4">
        <v>1475456</v>
      </c>
      <c r="D418" s="4">
        <v>101106</v>
      </c>
      <c r="E418" s="4">
        <v>1620569</v>
      </c>
      <c r="F418" s="4">
        <v>6587</v>
      </c>
      <c r="G418" s="4">
        <v>388083</v>
      </c>
      <c r="H418" s="4">
        <v>2954</v>
      </c>
      <c r="I418" s="4">
        <v>3486</v>
      </c>
      <c r="J418" s="4">
        <v>401110</v>
      </c>
      <c r="K418" s="4">
        <v>6440</v>
      </c>
      <c r="L418" s="4">
        <v>230</v>
      </c>
      <c r="M418" s="4">
        <v>7314</v>
      </c>
      <c r="N418" s="4">
        <v>-1824</v>
      </c>
      <c r="O418" s="4">
        <v>5720</v>
      </c>
      <c r="P418" s="4">
        <v>18</v>
      </c>
      <c r="Q418" s="4">
        <v>576</v>
      </c>
      <c r="R418" s="4">
        <v>9</v>
      </c>
      <c r="S418" s="4">
        <v>-1</v>
      </c>
      <c r="T418" s="4">
        <v>602</v>
      </c>
      <c r="U418" s="4">
        <v>8</v>
      </c>
    </row>
    <row r="419" spans="1:27" ht="12.5" x14ac:dyDescent="0.25">
      <c r="A419" s="2">
        <v>44308</v>
      </c>
      <c r="B419" s="4">
        <v>44172</v>
      </c>
      <c r="C419" s="4">
        <v>1481449</v>
      </c>
      <c r="D419" s="4">
        <v>101191</v>
      </c>
      <c r="E419" s="4">
        <v>1626812</v>
      </c>
      <c r="F419" s="4">
        <v>6596</v>
      </c>
      <c r="G419" s="4">
        <v>388735</v>
      </c>
      <c r="H419" s="4">
        <v>3497</v>
      </c>
      <c r="I419" s="4">
        <v>3548</v>
      </c>
      <c r="J419" s="4">
        <v>402376</v>
      </c>
      <c r="K419" s="4">
        <v>7045</v>
      </c>
      <c r="L419" s="4">
        <v>165</v>
      </c>
      <c r="M419" s="4">
        <v>5993</v>
      </c>
      <c r="N419" s="4">
        <v>85</v>
      </c>
      <c r="O419" s="4">
        <v>6243</v>
      </c>
      <c r="P419" s="4">
        <v>9</v>
      </c>
      <c r="Q419" s="4">
        <v>652</v>
      </c>
      <c r="R419" s="4">
        <v>543</v>
      </c>
      <c r="S419" s="4">
        <v>62</v>
      </c>
      <c r="T419" s="4">
        <v>1266</v>
      </c>
      <c r="U419" s="4">
        <v>605</v>
      </c>
    </row>
    <row r="420" spans="1:27" ht="12.5" x14ac:dyDescent="0.25">
      <c r="A420" s="2">
        <v>44309</v>
      </c>
      <c r="B420" s="10">
        <v>44346</v>
      </c>
      <c r="C420" s="10">
        <v>1487369</v>
      </c>
      <c r="D420" s="10">
        <v>100533</v>
      </c>
      <c r="E420" s="10">
        <v>1632248</v>
      </c>
      <c r="F420" s="10">
        <v>6612</v>
      </c>
      <c r="G420" s="10">
        <v>389445</v>
      </c>
      <c r="H420" s="10">
        <v>3584</v>
      </c>
      <c r="I420" s="10">
        <v>3619</v>
      </c>
      <c r="J420" s="10">
        <v>403260</v>
      </c>
      <c r="K420" s="10">
        <v>7203</v>
      </c>
      <c r="L420" s="10">
        <v>174</v>
      </c>
      <c r="M420" s="10">
        <v>5920</v>
      </c>
      <c r="N420" s="10">
        <v>-658</v>
      </c>
      <c r="O420" s="10">
        <v>5436</v>
      </c>
      <c r="P420" s="10">
        <v>16</v>
      </c>
      <c r="Q420" s="10">
        <v>710</v>
      </c>
      <c r="R420" s="10">
        <v>87</v>
      </c>
      <c r="S420" s="10">
        <v>71</v>
      </c>
      <c r="T420" s="10">
        <v>884</v>
      </c>
      <c r="U420" s="10">
        <v>158</v>
      </c>
    </row>
    <row r="421" spans="1:27" ht="12.5" x14ac:dyDescent="0.25">
      <c r="A421" s="2">
        <v>44310</v>
      </c>
      <c r="B421" s="10">
        <v>44500</v>
      </c>
      <c r="C421" s="10">
        <v>1492322</v>
      </c>
      <c r="D421" s="10">
        <v>99970</v>
      </c>
      <c r="E421" s="10">
        <v>1636792</v>
      </c>
      <c r="F421" s="4">
        <v>6623</v>
      </c>
      <c r="G421" s="4">
        <v>390334</v>
      </c>
      <c r="H421" s="4">
        <v>3563</v>
      </c>
      <c r="I421" s="4">
        <v>3647</v>
      </c>
      <c r="J421" s="4">
        <v>404167</v>
      </c>
      <c r="K421" s="10">
        <v>7210</v>
      </c>
      <c r="L421" s="10">
        <v>154</v>
      </c>
      <c r="M421" s="10">
        <v>4953</v>
      </c>
      <c r="N421" s="10">
        <v>-563</v>
      </c>
      <c r="O421" s="10">
        <v>4544</v>
      </c>
      <c r="P421" s="10">
        <v>11</v>
      </c>
      <c r="Q421" s="10">
        <v>889</v>
      </c>
      <c r="R421" s="10">
        <v>-21</v>
      </c>
      <c r="S421" s="10">
        <v>28</v>
      </c>
      <c r="T421" s="10">
        <v>907</v>
      </c>
      <c r="U421" s="10">
        <v>7</v>
      </c>
    </row>
    <row r="422" spans="1:27" ht="14.5" x14ac:dyDescent="0.35">
      <c r="A422" s="2">
        <v>44311</v>
      </c>
      <c r="B422" s="6">
        <v>44594</v>
      </c>
      <c r="C422" s="6">
        <v>1496126</v>
      </c>
      <c r="D422" s="6">
        <v>100474</v>
      </c>
      <c r="E422" s="6">
        <v>1641194</v>
      </c>
      <c r="F422" s="6">
        <v>6645</v>
      </c>
      <c r="G422" s="6">
        <v>391301</v>
      </c>
      <c r="H422" s="6">
        <v>3399</v>
      </c>
      <c r="I422" s="6">
        <v>3718</v>
      </c>
      <c r="J422" s="6">
        <v>405063</v>
      </c>
      <c r="K422" s="6">
        <v>7117</v>
      </c>
      <c r="L422" s="6">
        <v>94</v>
      </c>
      <c r="M422" s="6">
        <v>3804</v>
      </c>
      <c r="N422" s="6">
        <v>504</v>
      </c>
      <c r="O422" s="6">
        <v>4402</v>
      </c>
      <c r="P422" s="6">
        <v>22</v>
      </c>
      <c r="Q422" s="6">
        <v>967</v>
      </c>
      <c r="R422" s="6">
        <v>-164</v>
      </c>
      <c r="S422" s="6">
        <v>71</v>
      </c>
      <c r="T422" s="6">
        <v>896</v>
      </c>
      <c r="U422" s="25">
        <v>-93</v>
      </c>
      <c r="V422" s="12"/>
      <c r="W422" s="12"/>
      <c r="X422" s="12"/>
      <c r="Y422" s="12"/>
      <c r="Z422" s="12"/>
      <c r="AA422" s="12"/>
    </row>
    <row r="423" spans="1:27" ht="12.5" x14ac:dyDescent="0.25">
      <c r="A423" s="2">
        <v>44312</v>
      </c>
      <c r="B423" s="4">
        <v>44770</v>
      </c>
      <c r="C423" s="4">
        <v>1501715</v>
      </c>
      <c r="D423" s="4">
        <v>100652</v>
      </c>
      <c r="E423" s="4">
        <v>1647138</v>
      </c>
      <c r="F423" s="4">
        <v>6660</v>
      </c>
      <c r="G423" s="4">
        <v>392595</v>
      </c>
      <c r="H423" s="4">
        <v>3152</v>
      </c>
      <c r="I423" s="4">
        <v>3405</v>
      </c>
      <c r="J423" s="4">
        <v>405812</v>
      </c>
      <c r="K423" s="4">
        <v>6557</v>
      </c>
      <c r="L423" s="4">
        <v>176</v>
      </c>
      <c r="M423" s="4">
        <v>5589</v>
      </c>
      <c r="N423" s="4">
        <v>178</v>
      </c>
      <c r="O423" s="4">
        <v>5944</v>
      </c>
      <c r="P423" s="4">
        <v>15</v>
      </c>
      <c r="Q423" s="4">
        <v>1294</v>
      </c>
      <c r="R423" s="4">
        <v>-247</v>
      </c>
      <c r="S423" s="4">
        <v>-313</v>
      </c>
      <c r="T423" s="4">
        <v>749</v>
      </c>
      <c r="U423" s="4">
        <v>-560</v>
      </c>
    </row>
    <row r="424" spans="1:27" ht="12.5" x14ac:dyDescent="0.25">
      <c r="A424" s="2">
        <v>44313</v>
      </c>
      <c r="B424" s="4">
        <v>44939</v>
      </c>
      <c r="C424" s="4">
        <v>1506599</v>
      </c>
      <c r="D424" s="4">
        <v>100256</v>
      </c>
      <c r="E424" s="4">
        <v>1651794</v>
      </c>
      <c r="F424" s="4">
        <v>6679</v>
      </c>
      <c r="G424" s="4">
        <v>393205</v>
      </c>
      <c r="H424" s="4">
        <v>2999</v>
      </c>
      <c r="I424" s="4">
        <v>3322</v>
      </c>
      <c r="J424" s="4">
        <v>406205</v>
      </c>
      <c r="K424" s="4">
        <v>6321</v>
      </c>
      <c r="L424" s="4">
        <v>169</v>
      </c>
      <c r="M424" s="4">
        <v>4884</v>
      </c>
      <c r="N424" s="4">
        <v>-396</v>
      </c>
      <c r="O424" s="4">
        <v>4656</v>
      </c>
      <c r="P424" s="4">
        <v>19</v>
      </c>
      <c r="Q424" s="4">
        <v>610</v>
      </c>
      <c r="R424" s="4">
        <v>-153</v>
      </c>
      <c r="S424" s="4">
        <v>-83</v>
      </c>
      <c r="T424" s="4">
        <v>393</v>
      </c>
      <c r="U424" s="4">
        <v>-236</v>
      </c>
    </row>
    <row r="425" spans="1:27" ht="12.5" x14ac:dyDescent="0.25">
      <c r="A425" s="2">
        <v>44314</v>
      </c>
      <c r="B425" s="10">
        <v>45116</v>
      </c>
      <c r="C425" s="10">
        <v>1511417</v>
      </c>
      <c r="D425" s="10">
        <v>100502</v>
      </c>
      <c r="E425" s="10">
        <v>1657035</v>
      </c>
      <c r="F425" s="10">
        <v>6690</v>
      </c>
      <c r="G425" s="10">
        <v>393814</v>
      </c>
      <c r="H425" s="10">
        <v>2950</v>
      </c>
      <c r="I425" s="10">
        <v>3390</v>
      </c>
      <c r="J425" s="10">
        <v>406844</v>
      </c>
      <c r="K425" s="10">
        <v>6340</v>
      </c>
      <c r="L425" s="10">
        <v>177</v>
      </c>
      <c r="M425" s="10">
        <v>4818</v>
      </c>
      <c r="N425" s="10">
        <v>246</v>
      </c>
      <c r="O425" s="10">
        <v>5241</v>
      </c>
      <c r="P425" s="10">
        <v>11</v>
      </c>
      <c r="Q425" s="10">
        <v>609</v>
      </c>
      <c r="R425" s="10">
        <v>-49</v>
      </c>
      <c r="S425" s="10">
        <v>68</v>
      </c>
      <c r="T425" s="10">
        <v>639</v>
      </c>
      <c r="U425" s="10">
        <v>19</v>
      </c>
    </row>
    <row r="426" spans="1:27" ht="12.5" x14ac:dyDescent="0.25">
      <c r="A426" s="2">
        <v>44315</v>
      </c>
      <c r="B426" s="4">
        <v>45334</v>
      </c>
      <c r="C426" s="4">
        <v>1517432</v>
      </c>
      <c r="D426" s="4">
        <v>100102</v>
      </c>
      <c r="E426" s="4">
        <v>1662868</v>
      </c>
      <c r="F426" s="4">
        <v>6710</v>
      </c>
      <c r="G426" s="4">
        <v>394403</v>
      </c>
      <c r="H426" s="4">
        <v>3308</v>
      </c>
      <c r="I426" s="4">
        <v>3410</v>
      </c>
      <c r="J426" s="4">
        <v>407831</v>
      </c>
      <c r="K426" s="4">
        <v>6718</v>
      </c>
      <c r="L426" s="4">
        <v>218</v>
      </c>
      <c r="M426" s="4">
        <v>6015</v>
      </c>
      <c r="N426" s="4">
        <v>-400</v>
      </c>
      <c r="O426" s="4">
        <v>5833</v>
      </c>
      <c r="P426" s="4">
        <v>20</v>
      </c>
      <c r="Q426" s="4">
        <v>589</v>
      </c>
      <c r="R426" s="4">
        <v>358</v>
      </c>
      <c r="S426" s="4">
        <v>20</v>
      </c>
      <c r="T426" s="4">
        <v>987</v>
      </c>
      <c r="U426" s="4">
        <v>378</v>
      </c>
    </row>
    <row r="427" spans="1:27" ht="12.5" x14ac:dyDescent="0.25">
      <c r="A427" s="2">
        <v>44316</v>
      </c>
      <c r="B427" s="4">
        <v>45521</v>
      </c>
      <c r="C427" s="4">
        <v>1522634</v>
      </c>
      <c r="D427" s="4">
        <v>100213</v>
      </c>
      <c r="E427" s="4">
        <v>1668368</v>
      </c>
      <c r="F427" s="4">
        <v>6733</v>
      </c>
      <c r="G427" s="4">
        <v>394939</v>
      </c>
      <c r="H427" s="4">
        <v>3421</v>
      </c>
      <c r="I427" s="4">
        <v>3527</v>
      </c>
      <c r="J427" s="4">
        <v>408620</v>
      </c>
      <c r="K427" s="4">
        <v>6948</v>
      </c>
      <c r="L427" s="4">
        <v>187</v>
      </c>
      <c r="M427" s="4">
        <v>5202</v>
      </c>
      <c r="N427" s="4">
        <v>111</v>
      </c>
      <c r="O427" s="4">
        <v>5500</v>
      </c>
      <c r="P427" s="4">
        <v>23</v>
      </c>
      <c r="Q427" s="4">
        <v>536</v>
      </c>
      <c r="R427" s="4">
        <v>113</v>
      </c>
      <c r="S427" s="4">
        <v>117</v>
      </c>
      <c r="T427" s="4">
        <v>789</v>
      </c>
      <c r="U427" s="4">
        <v>230</v>
      </c>
    </row>
    <row r="428" spans="1:27" ht="12.5" x14ac:dyDescent="0.25">
      <c r="A428" s="2">
        <v>44317</v>
      </c>
      <c r="B428" s="4">
        <v>45652</v>
      </c>
      <c r="C428" s="4">
        <v>1526978</v>
      </c>
      <c r="D428" s="4">
        <v>100250</v>
      </c>
      <c r="E428" s="4">
        <v>1672880</v>
      </c>
      <c r="F428" s="4">
        <v>6747</v>
      </c>
      <c r="G428" s="4">
        <v>395644</v>
      </c>
      <c r="H428" s="4">
        <v>3533</v>
      </c>
      <c r="I428" s="4">
        <v>3622</v>
      </c>
      <c r="J428" s="4">
        <v>409546</v>
      </c>
      <c r="K428" s="4">
        <v>7155</v>
      </c>
      <c r="L428" s="4">
        <v>131</v>
      </c>
      <c r="M428" s="4">
        <v>4344</v>
      </c>
      <c r="N428" s="4">
        <v>37</v>
      </c>
      <c r="O428" s="4">
        <v>4512</v>
      </c>
      <c r="P428" s="4">
        <v>14</v>
      </c>
      <c r="Q428" s="4">
        <v>705</v>
      </c>
      <c r="R428" s="4">
        <v>112</v>
      </c>
      <c r="S428" s="4">
        <v>95</v>
      </c>
      <c r="T428" s="4">
        <v>926</v>
      </c>
      <c r="U428" s="4">
        <v>207</v>
      </c>
    </row>
    <row r="429" spans="1:27" ht="14.5" x14ac:dyDescent="0.35">
      <c r="A429" s="2">
        <v>44318</v>
      </c>
      <c r="B429" s="6">
        <v>45796</v>
      </c>
      <c r="C429" s="6">
        <v>1530718</v>
      </c>
      <c r="D429" s="6">
        <v>100760</v>
      </c>
      <c r="E429" s="6">
        <v>1677274</v>
      </c>
      <c r="F429" s="6">
        <v>6767</v>
      </c>
      <c r="G429" s="6">
        <v>396594</v>
      </c>
      <c r="H429" s="6">
        <v>3450</v>
      </c>
      <c r="I429" s="6">
        <v>3589</v>
      </c>
      <c r="J429" s="6">
        <v>410400</v>
      </c>
      <c r="K429" s="6">
        <v>7039</v>
      </c>
      <c r="L429" s="6">
        <v>144</v>
      </c>
      <c r="M429" s="6">
        <v>3740</v>
      </c>
      <c r="N429" s="6">
        <v>510</v>
      </c>
      <c r="O429" s="6">
        <v>4394</v>
      </c>
      <c r="P429" s="6">
        <v>20</v>
      </c>
      <c r="Q429" s="6">
        <v>950</v>
      </c>
      <c r="R429" s="6">
        <v>-83</v>
      </c>
      <c r="S429" s="6">
        <v>-33</v>
      </c>
      <c r="T429" s="6">
        <v>854</v>
      </c>
      <c r="U429" s="25">
        <v>-116</v>
      </c>
      <c r="V429" s="12"/>
      <c r="W429" s="12"/>
      <c r="X429" s="12"/>
      <c r="Y429" s="12"/>
      <c r="Z429" s="12"/>
      <c r="AA429" s="12"/>
    </row>
    <row r="430" spans="1:27" ht="12.5" x14ac:dyDescent="0.25">
      <c r="A430" s="2">
        <v>44319</v>
      </c>
      <c r="B430" s="10">
        <v>45949</v>
      </c>
      <c r="C430" s="10">
        <v>1535491</v>
      </c>
      <c r="D430" s="10">
        <v>100564</v>
      </c>
      <c r="E430" s="10">
        <v>1682004</v>
      </c>
      <c r="F430" s="10">
        <v>6788</v>
      </c>
      <c r="G430" s="10">
        <v>397349</v>
      </c>
      <c r="H430" s="10">
        <v>3483</v>
      </c>
      <c r="I430" s="10">
        <v>3537</v>
      </c>
      <c r="J430" s="10">
        <v>411157</v>
      </c>
      <c r="K430" s="10">
        <v>7020</v>
      </c>
      <c r="L430" s="10">
        <v>153</v>
      </c>
      <c r="M430" s="10">
        <v>4773</v>
      </c>
      <c r="N430" s="10">
        <v>-196</v>
      </c>
      <c r="O430" s="10">
        <v>4730</v>
      </c>
      <c r="P430" s="10">
        <v>21</v>
      </c>
      <c r="Q430" s="10">
        <v>755</v>
      </c>
      <c r="R430" s="10">
        <v>33</v>
      </c>
      <c r="S430" s="10">
        <v>-52</v>
      </c>
      <c r="T430" s="10">
        <v>757</v>
      </c>
      <c r="U430" s="10">
        <v>-19</v>
      </c>
    </row>
    <row r="431" spans="1:27" ht="12.5" x14ac:dyDescent="0.25">
      <c r="A431" s="2">
        <v>44320</v>
      </c>
      <c r="B431" s="10">
        <v>46137</v>
      </c>
      <c r="C431" s="10">
        <v>1541149</v>
      </c>
      <c r="D431" s="10">
        <v>99087</v>
      </c>
      <c r="E431" s="10">
        <v>1686373</v>
      </c>
      <c r="F431" s="10">
        <v>6807</v>
      </c>
      <c r="G431" s="10">
        <v>397955</v>
      </c>
      <c r="H431" s="10">
        <v>3247</v>
      </c>
      <c r="I431" s="10">
        <v>3564</v>
      </c>
      <c r="J431" s="10">
        <v>411573</v>
      </c>
      <c r="K431" s="10">
        <v>6811</v>
      </c>
      <c r="L431" s="10">
        <v>188</v>
      </c>
      <c r="M431" s="10">
        <v>5658</v>
      </c>
      <c r="N431" s="10">
        <v>-1477</v>
      </c>
      <c r="O431" s="10">
        <v>4369</v>
      </c>
      <c r="P431" s="10">
        <v>19</v>
      </c>
      <c r="Q431" s="10">
        <v>606</v>
      </c>
      <c r="R431" s="10">
        <v>-236</v>
      </c>
      <c r="S431" s="10">
        <v>27</v>
      </c>
      <c r="T431" s="10">
        <v>416</v>
      </c>
      <c r="U431" s="10">
        <v>-209</v>
      </c>
    </row>
    <row r="432" spans="1:27" ht="12.5" x14ac:dyDescent="0.25">
      <c r="A432" s="2">
        <v>44321</v>
      </c>
      <c r="B432" s="4">
        <v>46349</v>
      </c>
      <c r="C432" s="4">
        <v>1547092</v>
      </c>
      <c r="D432" s="4">
        <v>98217</v>
      </c>
      <c r="E432" s="4">
        <v>1691658</v>
      </c>
      <c r="F432" s="4">
        <v>6830</v>
      </c>
      <c r="G432" s="4">
        <v>398610</v>
      </c>
      <c r="H432" s="4">
        <v>3240</v>
      </c>
      <c r="I432" s="4">
        <v>3738</v>
      </c>
      <c r="J432" s="4">
        <v>412418</v>
      </c>
      <c r="K432" s="4">
        <v>6978</v>
      </c>
      <c r="L432" s="4">
        <v>212</v>
      </c>
      <c r="M432" s="4">
        <v>5943</v>
      </c>
      <c r="N432" s="4">
        <v>-870</v>
      </c>
      <c r="O432" s="4">
        <v>5285</v>
      </c>
      <c r="P432" s="4">
        <v>23</v>
      </c>
      <c r="Q432" s="4">
        <v>655</v>
      </c>
      <c r="R432" s="4">
        <v>-7</v>
      </c>
      <c r="S432" s="4">
        <v>174</v>
      </c>
      <c r="T432" s="4">
        <v>845</v>
      </c>
      <c r="U432" s="4">
        <v>167</v>
      </c>
    </row>
    <row r="433" spans="1:27" ht="12.5" x14ac:dyDescent="0.25">
      <c r="A433" s="2">
        <v>44322</v>
      </c>
      <c r="B433" s="4">
        <v>46496</v>
      </c>
      <c r="C433" s="4">
        <v>1552532</v>
      </c>
      <c r="D433" s="4">
        <v>98277</v>
      </c>
      <c r="E433" s="4">
        <v>1697305</v>
      </c>
      <c r="F433" s="4">
        <v>6850</v>
      </c>
      <c r="G433" s="4">
        <v>399224</v>
      </c>
      <c r="H433" s="4">
        <v>3406</v>
      </c>
      <c r="I433" s="4">
        <v>3843</v>
      </c>
      <c r="J433" s="4">
        <v>413323</v>
      </c>
      <c r="K433" s="4">
        <v>7249</v>
      </c>
      <c r="L433" s="4">
        <v>147</v>
      </c>
      <c r="M433" s="4">
        <v>5440</v>
      </c>
      <c r="N433" s="4">
        <v>60</v>
      </c>
      <c r="O433" s="4">
        <v>5647</v>
      </c>
      <c r="P433" s="4">
        <v>20</v>
      </c>
      <c r="Q433" s="4">
        <v>614</v>
      </c>
      <c r="R433" s="4">
        <v>166</v>
      </c>
      <c r="S433" s="4">
        <v>105</v>
      </c>
      <c r="T433" s="4">
        <v>905</v>
      </c>
      <c r="U433" s="4">
        <v>271</v>
      </c>
    </row>
    <row r="434" spans="1:27" ht="12.5" x14ac:dyDescent="0.25">
      <c r="A434" s="2">
        <v>44323</v>
      </c>
      <c r="B434" s="4">
        <v>46663</v>
      </c>
      <c r="C434" s="4">
        <v>1558423</v>
      </c>
      <c r="D434" s="4">
        <v>98546</v>
      </c>
      <c r="E434" s="4">
        <v>1703632</v>
      </c>
      <c r="F434" s="4">
        <v>6872</v>
      </c>
      <c r="G434" s="4">
        <v>399821</v>
      </c>
      <c r="H434" s="4">
        <v>3485</v>
      </c>
      <c r="I434" s="4">
        <v>3928</v>
      </c>
      <c r="J434" s="4">
        <v>414106</v>
      </c>
      <c r="K434" s="4">
        <v>7413</v>
      </c>
      <c r="L434" s="4">
        <v>167</v>
      </c>
      <c r="M434" s="4">
        <v>5891</v>
      </c>
      <c r="N434" s="4">
        <v>269</v>
      </c>
      <c r="O434" s="4">
        <v>6327</v>
      </c>
      <c r="P434" s="4">
        <v>22</v>
      </c>
      <c r="Q434" s="4">
        <v>597</v>
      </c>
      <c r="R434" s="4">
        <v>79</v>
      </c>
      <c r="S434" s="4">
        <v>85</v>
      </c>
      <c r="T434" s="4">
        <v>783</v>
      </c>
      <c r="U434" s="4">
        <v>164</v>
      </c>
    </row>
    <row r="435" spans="1:27" ht="12.5" x14ac:dyDescent="0.25">
      <c r="A435" s="2">
        <v>44324</v>
      </c>
      <c r="B435" s="4">
        <v>46842</v>
      </c>
      <c r="C435" s="4">
        <v>1563917</v>
      </c>
      <c r="D435" s="4">
        <v>99003</v>
      </c>
      <c r="E435" s="4">
        <v>1709762</v>
      </c>
      <c r="F435" s="4">
        <v>6896</v>
      </c>
      <c r="G435" s="4">
        <v>400403</v>
      </c>
      <c r="H435" s="4">
        <v>3569</v>
      </c>
      <c r="I435" s="4">
        <v>3970</v>
      </c>
      <c r="J435" s="4">
        <v>414838</v>
      </c>
      <c r="K435" s="4">
        <v>7539</v>
      </c>
      <c r="L435" s="4">
        <v>179</v>
      </c>
      <c r="M435" s="4">
        <v>5494</v>
      </c>
      <c r="N435" s="4">
        <v>457</v>
      </c>
      <c r="O435" s="4">
        <v>6130</v>
      </c>
      <c r="P435" s="4">
        <v>24</v>
      </c>
      <c r="Q435" s="4">
        <v>582</v>
      </c>
      <c r="R435" s="4">
        <v>84</v>
      </c>
      <c r="S435" s="4">
        <v>42</v>
      </c>
      <c r="T435" s="4">
        <v>732</v>
      </c>
      <c r="U435" s="4">
        <v>126</v>
      </c>
    </row>
    <row r="436" spans="1:27" ht="14.5" x14ac:dyDescent="0.35">
      <c r="A436" s="2">
        <v>44325</v>
      </c>
      <c r="B436" s="6">
        <v>47012</v>
      </c>
      <c r="C436" s="6">
        <v>1568277</v>
      </c>
      <c r="D436" s="6">
        <v>98395</v>
      </c>
      <c r="E436" s="6">
        <v>1713684</v>
      </c>
      <c r="F436" s="6">
        <v>6911</v>
      </c>
      <c r="G436" s="6">
        <v>401114</v>
      </c>
      <c r="H436" s="6">
        <v>3648</v>
      </c>
      <c r="I436" s="6">
        <v>3974</v>
      </c>
      <c r="J436" s="6">
        <v>415647</v>
      </c>
      <c r="K436" s="6">
        <v>7622</v>
      </c>
      <c r="L436" s="6">
        <v>170</v>
      </c>
      <c r="M436" s="6">
        <v>4360</v>
      </c>
      <c r="N436" s="6">
        <v>-608</v>
      </c>
      <c r="O436" s="6">
        <v>3922</v>
      </c>
      <c r="P436" s="6">
        <v>15</v>
      </c>
      <c r="Q436" s="6">
        <v>711</v>
      </c>
      <c r="R436" s="6">
        <v>79</v>
      </c>
      <c r="S436" s="6">
        <v>4</v>
      </c>
      <c r="T436" s="6">
        <v>809</v>
      </c>
      <c r="U436" s="25">
        <v>83</v>
      </c>
      <c r="V436" s="12"/>
      <c r="W436" s="12"/>
      <c r="X436" s="12"/>
      <c r="Y436" s="12"/>
      <c r="Z436" s="12"/>
      <c r="AA436" s="12"/>
    </row>
    <row r="437" spans="1:27" ht="12.5" x14ac:dyDescent="0.25">
      <c r="A437" s="2">
        <v>44326</v>
      </c>
      <c r="B437" s="4">
        <v>47218</v>
      </c>
      <c r="C437" s="4">
        <v>1574615</v>
      </c>
      <c r="D437" s="4">
        <v>96742</v>
      </c>
      <c r="E437" s="4">
        <v>1718575</v>
      </c>
      <c r="F437" s="4">
        <v>6933</v>
      </c>
      <c r="G437" s="4">
        <v>401744</v>
      </c>
      <c r="H437" s="4">
        <v>3723</v>
      </c>
      <c r="I437" s="4">
        <v>3941</v>
      </c>
      <c r="J437" s="4">
        <v>416341</v>
      </c>
      <c r="K437" s="4">
        <v>7664</v>
      </c>
      <c r="L437" s="4">
        <v>206</v>
      </c>
      <c r="M437" s="4">
        <v>6338</v>
      </c>
      <c r="N437" s="4">
        <v>-1653</v>
      </c>
      <c r="O437" s="4">
        <v>4891</v>
      </c>
      <c r="P437" s="4">
        <v>22</v>
      </c>
      <c r="Q437" s="4">
        <v>630</v>
      </c>
      <c r="R437" s="4">
        <v>75</v>
      </c>
      <c r="S437" s="4">
        <v>-33</v>
      </c>
      <c r="T437" s="4">
        <v>694</v>
      </c>
      <c r="U437" s="4">
        <v>42</v>
      </c>
    </row>
    <row r="438" spans="1:27" ht="12.5" x14ac:dyDescent="0.25">
      <c r="A438" s="2">
        <v>44327</v>
      </c>
      <c r="B438" s="4">
        <v>47465</v>
      </c>
      <c r="C438" s="4">
        <v>1580207</v>
      </c>
      <c r="D438" s="4">
        <v>95924</v>
      </c>
      <c r="E438" s="4">
        <v>1723596</v>
      </c>
      <c r="F438" s="4">
        <v>6952</v>
      </c>
      <c r="G438" s="4">
        <v>402374</v>
      </c>
      <c r="H438" s="4">
        <v>3490</v>
      </c>
      <c r="I438" s="4">
        <v>3931</v>
      </c>
      <c r="J438" s="4">
        <v>416747</v>
      </c>
      <c r="K438" s="4">
        <v>7421</v>
      </c>
      <c r="L438" s="4">
        <v>247</v>
      </c>
      <c r="M438" s="4">
        <v>5592</v>
      </c>
      <c r="N438" s="4">
        <v>-818</v>
      </c>
      <c r="O438" s="4">
        <v>5021</v>
      </c>
      <c r="P438" s="4">
        <v>19</v>
      </c>
      <c r="Q438" s="4">
        <v>630</v>
      </c>
      <c r="R438" s="4">
        <v>-233</v>
      </c>
      <c r="S438" s="4">
        <v>-10</v>
      </c>
      <c r="T438" s="4">
        <v>406</v>
      </c>
      <c r="U438" s="4">
        <v>-243</v>
      </c>
    </row>
    <row r="439" spans="1:27" ht="12.5" x14ac:dyDescent="0.25">
      <c r="A439" s="2">
        <v>44328</v>
      </c>
      <c r="B439" s="4">
        <v>47617</v>
      </c>
      <c r="C439" s="4">
        <v>1584878</v>
      </c>
      <c r="D439" s="4">
        <v>95709</v>
      </c>
      <c r="E439" s="4">
        <v>1728204</v>
      </c>
      <c r="F439" s="4">
        <v>6973</v>
      </c>
      <c r="G439" s="4">
        <v>403039</v>
      </c>
      <c r="H439" s="4">
        <v>3402</v>
      </c>
      <c r="I439" s="4">
        <v>3989</v>
      </c>
      <c r="J439" s="4">
        <v>417403</v>
      </c>
      <c r="K439" s="4">
        <v>7391</v>
      </c>
      <c r="L439" s="4">
        <v>152</v>
      </c>
      <c r="M439" s="4">
        <v>4671</v>
      </c>
      <c r="N439" s="4">
        <v>-215</v>
      </c>
      <c r="O439" s="4">
        <v>4608</v>
      </c>
      <c r="P439" s="4">
        <v>21</v>
      </c>
      <c r="Q439" s="4">
        <v>665</v>
      </c>
      <c r="R439" s="4">
        <v>-88</v>
      </c>
      <c r="S439" s="4">
        <v>58</v>
      </c>
      <c r="T439" s="4">
        <v>656</v>
      </c>
      <c r="U439" s="4">
        <v>-30</v>
      </c>
    </row>
    <row r="440" spans="1:27" ht="14.5" x14ac:dyDescent="0.35">
      <c r="A440" s="2">
        <v>44329</v>
      </c>
      <c r="B440" s="6">
        <v>47716</v>
      </c>
      <c r="C440" s="6">
        <v>1589079</v>
      </c>
      <c r="D440" s="6">
        <v>94857</v>
      </c>
      <c r="E440" s="6">
        <v>1731652</v>
      </c>
      <c r="F440" s="6">
        <v>6973</v>
      </c>
      <c r="G440" s="6">
        <v>403630</v>
      </c>
      <c r="H440" s="6">
        <v>3630</v>
      </c>
      <c r="I440" s="6">
        <v>3955</v>
      </c>
      <c r="J440" s="6">
        <v>418188</v>
      </c>
      <c r="K440" s="6">
        <v>7585</v>
      </c>
      <c r="L440" s="6">
        <v>99</v>
      </c>
      <c r="M440" s="6">
        <v>4201</v>
      </c>
      <c r="N440" s="6">
        <v>-852</v>
      </c>
      <c r="O440" s="6">
        <v>3448</v>
      </c>
      <c r="P440" s="6">
        <v>0</v>
      </c>
      <c r="Q440" s="6">
        <v>591</v>
      </c>
      <c r="R440" s="6">
        <v>228</v>
      </c>
      <c r="S440" s="6">
        <v>-34</v>
      </c>
      <c r="T440" s="6">
        <v>785</v>
      </c>
      <c r="U440" s="25">
        <v>194</v>
      </c>
      <c r="V440" s="12"/>
      <c r="W440" s="12"/>
      <c r="X440" s="12"/>
      <c r="Y440" s="12"/>
      <c r="Z440" s="12"/>
      <c r="AA440" s="12"/>
    </row>
    <row r="441" spans="1:27" ht="14.5" x14ac:dyDescent="0.35">
      <c r="A441" s="2">
        <v>44330</v>
      </c>
      <c r="B441" s="6">
        <v>47823</v>
      </c>
      <c r="C441" s="6">
        <v>1592886</v>
      </c>
      <c r="D441" s="6">
        <v>93576</v>
      </c>
      <c r="E441" s="6">
        <v>1734285</v>
      </c>
      <c r="F441" s="6">
        <v>7003</v>
      </c>
      <c r="G441" s="6">
        <v>404187</v>
      </c>
      <c r="H441" s="6">
        <v>3502</v>
      </c>
      <c r="I441" s="6">
        <v>4128</v>
      </c>
      <c r="J441" s="6">
        <v>418820</v>
      </c>
      <c r="K441" s="6">
        <v>7630</v>
      </c>
      <c r="L441" s="6">
        <v>107</v>
      </c>
      <c r="M441" s="6">
        <v>3807</v>
      </c>
      <c r="N441" s="6">
        <v>-1281</v>
      </c>
      <c r="O441" s="6">
        <v>2633</v>
      </c>
      <c r="P441" s="6">
        <v>30</v>
      </c>
      <c r="Q441" s="6">
        <v>557</v>
      </c>
      <c r="R441" s="6">
        <v>-128</v>
      </c>
      <c r="S441" s="6">
        <v>173</v>
      </c>
      <c r="T441" s="6">
        <v>632</v>
      </c>
      <c r="U441" s="25">
        <v>45</v>
      </c>
      <c r="V441" s="12"/>
      <c r="W441" s="12"/>
      <c r="X441" s="12"/>
      <c r="Y441" s="12"/>
      <c r="Z441" s="12"/>
      <c r="AA441" s="12"/>
    </row>
    <row r="442" spans="1:27" ht="12.5" x14ac:dyDescent="0.25">
      <c r="A442" s="2">
        <v>44331</v>
      </c>
      <c r="B442" s="4">
        <v>47967</v>
      </c>
      <c r="C442" s="4">
        <v>1597067</v>
      </c>
      <c r="D442" s="4">
        <v>91636</v>
      </c>
      <c r="E442" s="4">
        <v>1736670</v>
      </c>
      <c r="F442" s="4">
        <v>7066</v>
      </c>
      <c r="G442" s="4">
        <v>404715</v>
      </c>
      <c r="H442" s="4">
        <v>3288</v>
      </c>
      <c r="I442" s="4">
        <v>3978</v>
      </c>
      <c r="J442" s="4">
        <v>419047</v>
      </c>
      <c r="K442" s="4">
        <v>7266</v>
      </c>
      <c r="L442" s="4">
        <v>144</v>
      </c>
      <c r="M442" s="4">
        <v>4181</v>
      </c>
      <c r="N442" s="4">
        <v>-1940</v>
      </c>
      <c r="O442" s="4">
        <v>2385</v>
      </c>
      <c r="P442" s="4">
        <v>63</v>
      </c>
      <c r="Q442" s="4">
        <v>528</v>
      </c>
      <c r="R442" s="4">
        <v>-214</v>
      </c>
      <c r="S442" s="4">
        <v>-150</v>
      </c>
      <c r="T442" s="4">
        <v>227</v>
      </c>
      <c r="U442" s="4">
        <v>-364</v>
      </c>
    </row>
    <row r="443" spans="1:27" ht="12.5" x14ac:dyDescent="0.25">
      <c r="A443" s="2">
        <v>44332</v>
      </c>
      <c r="B443" s="4">
        <v>48093</v>
      </c>
      <c r="C443" s="4">
        <v>1600857</v>
      </c>
      <c r="D443" s="4">
        <v>90800</v>
      </c>
      <c r="E443" s="4">
        <v>1739750</v>
      </c>
      <c r="F443" s="4">
        <v>7082</v>
      </c>
      <c r="G443" s="4">
        <v>404980</v>
      </c>
      <c r="H443" s="4">
        <v>3189</v>
      </c>
      <c r="I443" s="4">
        <v>3957</v>
      </c>
      <c r="J443" s="4">
        <v>419208</v>
      </c>
      <c r="K443" s="4">
        <v>7146</v>
      </c>
      <c r="L443" s="4">
        <v>126</v>
      </c>
      <c r="M443" s="4">
        <v>3790</v>
      </c>
      <c r="N443" s="4">
        <v>-836</v>
      </c>
      <c r="O443" s="4">
        <v>3080</v>
      </c>
      <c r="P443" s="4">
        <v>16</v>
      </c>
      <c r="Q443" s="4">
        <v>265</v>
      </c>
      <c r="R443" s="4">
        <v>-99</v>
      </c>
      <c r="S443" s="4">
        <v>-21</v>
      </c>
      <c r="T443" s="4">
        <v>161</v>
      </c>
      <c r="U443" s="4">
        <v>-120</v>
      </c>
    </row>
    <row r="444" spans="1:27" ht="12.5" x14ac:dyDescent="0.25">
      <c r="A444" s="2">
        <v>44333</v>
      </c>
      <c r="B444" s="4">
        <v>48305</v>
      </c>
      <c r="C444" s="4">
        <v>1606611</v>
      </c>
      <c r="D444" s="4">
        <v>89129</v>
      </c>
      <c r="E444" s="4">
        <v>1744045</v>
      </c>
      <c r="F444" s="4">
        <v>7107</v>
      </c>
      <c r="G444" s="4">
        <v>405229</v>
      </c>
      <c r="H444" s="4">
        <v>3158</v>
      </c>
      <c r="I444" s="4">
        <v>4135</v>
      </c>
      <c r="J444" s="4">
        <v>419629</v>
      </c>
      <c r="K444" s="4">
        <v>7293</v>
      </c>
      <c r="L444" s="4">
        <v>212</v>
      </c>
      <c r="M444" s="4">
        <v>5754</v>
      </c>
      <c r="N444" s="4">
        <v>-1671</v>
      </c>
      <c r="O444" s="4">
        <v>4295</v>
      </c>
      <c r="P444" s="4">
        <v>25</v>
      </c>
      <c r="Q444" s="4">
        <v>249</v>
      </c>
      <c r="R444" s="4">
        <v>-31</v>
      </c>
      <c r="S444" s="4">
        <v>178</v>
      </c>
      <c r="T444" s="4">
        <v>421</v>
      </c>
      <c r="U444" s="4">
        <v>147</v>
      </c>
    </row>
    <row r="445" spans="1:27" ht="12.5" x14ac:dyDescent="0.25">
      <c r="A445" s="2">
        <v>44334</v>
      </c>
      <c r="B445" s="4">
        <v>48477</v>
      </c>
      <c r="C445" s="4">
        <v>1612239</v>
      </c>
      <c r="D445" s="4">
        <v>87514</v>
      </c>
      <c r="E445" s="4">
        <v>1748230</v>
      </c>
      <c r="F445" s="4">
        <v>7130</v>
      </c>
      <c r="G445" s="4">
        <v>405357</v>
      </c>
      <c r="H445" s="4">
        <v>3248</v>
      </c>
      <c r="I445" s="4">
        <v>4185</v>
      </c>
      <c r="J445" s="4">
        <v>419920</v>
      </c>
      <c r="K445" s="4">
        <v>7433</v>
      </c>
      <c r="L445" s="4">
        <v>172</v>
      </c>
      <c r="M445" s="4">
        <v>5628</v>
      </c>
      <c r="N445" s="4">
        <v>-1615</v>
      </c>
      <c r="O445" s="4">
        <v>4185</v>
      </c>
      <c r="P445" s="4">
        <v>23</v>
      </c>
      <c r="Q445" s="4">
        <v>128</v>
      </c>
      <c r="R445" s="4">
        <v>90</v>
      </c>
      <c r="S445" s="4">
        <v>50</v>
      </c>
      <c r="T445" s="4">
        <v>291</v>
      </c>
      <c r="U445" s="4">
        <v>140</v>
      </c>
    </row>
    <row r="446" spans="1:27" ht="12.5" x14ac:dyDescent="0.25">
      <c r="A446" s="2">
        <v>44335</v>
      </c>
      <c r="B446" s="10">
        <v>48669</v>
      </c>
      <c r="C446" s="10">
        <v>1616603</v>
      </c>
      <c r="D446" s="10">
        <v>87829</v>
      </c>
      <c r="E446" s="10">
        <v>1753101</v>
      </c>
      <c r="F446" s="10">
        <v>7149</v>
      </c>
      <c r="G446" s="10">
        <v>405535</v>
      </c>
      <c r="H446" s="10">
        <v>3366</v>
      </c>
      <c r="I446" s="10">
        <v>4409</v>
      </c>
      <c r="J446" s="10">
        <v>420459</v>
      </c>
      <c r="K446" s="10">
        <v>7775</v>
      </c>
      <c r="L446" s="10">
        <v>192</v>
      </c>
      <c r="M446" s="10">
        <v>4364</v>
      </c>
      <c r="N446" s="10">
        <v>315</v>
      </c>
      <c r="O446" s="10">
        <v>4871</v>
      </c>
      <c r="P446" s="10">
        <v>19</v>
      </c>
      <c r="Q446" s="10">
        <v>178</v>
      </c>
      <c r="R446" s="10">
        <v>118</v>
      </c>
      <c r="S446" s="10">
        <v>224</v>
      </c>
      <c r="T446" s="10">
        <v>539</v>
      </c>
      <c r="U446" s="10">
        <v>342</v>
      </c>
    </row>
    <row r="447" spans="1:27" ht="12.5" x14ac:dyDescent="0.25">
      <c r="A447" s="2">
        <v>44336</v>
      </c>
      <c r="B447" s="4">
        <v>48887</v>
      </c>
      <c r="C447" s="4">
        <v>1621572</v>
      </c>
      <c r="D447" s="4">
        <v>88439</v>
      </c>
      <c r="E447" s="4">
        <v>1758898</v>
      </c>
      <c r="F447" s="4">
        <v>7169</v>
      </c>
      <c r="G447" s="4">
        <v>405714</v>
      </c>
      <c r="H447" s="4">
        <v>3797</v>
      </c>
      <c r="I447" s="4">
        <v>4674</v>
      </c>
      <c r="J447" s="4">
        <v>421354</v>
      </c>
      <c r="K447" s="4">
        <v>8471</v>
      </c>
      <c r="L447" s="4">
        <v>218</v>
      </c>
      <c r="M447" s="4">
        <v>4969</v>
      </c>
      <c r="N447" s="4">
        <v>610</v>
      </c>
      <c r="O447" s="4">
        <v>5797</v>
      </c>
      <c r="P447" s="4">
        <v>20</v>
      </c>
      <c r="Q447" s="4">
        <v>179</v>
      </c>
      <c r="R447" s="4">
        <v>431</v>
      </c>
      <c r="S447" s="4">
        <v>265</v>
      </c>
      <c r="T447" s="4">
        <v>895</v>
      </c>
      <c r="U447" s="4">
        <v>696</v>
      </c>
    </row>
    <row r="448" spans="1:27" ht="12.5" x14ac:dyDescent="0.25">
      <c r="A448" s="2">
        <v>44337</v>
      </c>
      <c r="B448" s="10">
        <v>49073</v>
      </c>
      <c r="C448" s="10">
        <v>1626142</v>
      </c>
      <c r="D448" s="10">
        <v>89429</v>
      </c>
      <c r="E448" s="10">
        <v>1764644</v>
      </c>
      <c r="F448" s="10">
        <v>7184</v>
      </c>
      <c r="G448" s="10">
        <v>405918</v>
      </c>
      <c r="H448" s="10">
        <v>4142</v>
      </c>
      <c r="I448" s="10">
        <v>4966</v>
      </c>
      <c r="J448" s="10">
        <v>422210</v>
      </c>
      <c r="K448" s="10">
        <v>9108</v>
      </c>
      <c r="L448" s="10">
        <v>186</v>
      </c>
      <c r="M448" s="10">
        <v>4570</v>
      </c>
      <c r="N448" s="10">
        <v>990</v>
      </c>
      <c r="O448" s="10">
        <v>5746</v>
      </c>
      <c r="P448" s="10">
        <v>15</v>
      </c>
      <c r="Q448" s="10">
        <v>204</v>
      </c>
      <c r="R448" s="10">
        <v>345</v>
      </c>
      <c r="S448" s="10">
        <v>292</v>
      </c>
      <c r="T448" s="10">
        <v>856</v>
      </c>
      <c r="U448" s="10">
        <v>637</v>
      </c>
    </row>
    <row r="449" spans="1:27" ht="14.5" x14ac:dyDescent="0.35">
      <c r="A449" s="2">
        <v>44338</v>
      </c>
      <c r="B449" s="6">
        <v>49205</v>
      </c>
      <c r="C449" s="6">
        <v>1629495</v>
      </c>
      <c r="D449" s="6">
        <v>91240</v>
      </c>
      <c r="E449" s="6">
        <v>1769940</v>
      </c>
      <c r="F449" s="6">
        <v>7196</v>
      </c>
      <c r="G449" s="6">
        <v>406300</v>
      </c>
      <c r="H449" s="6">
        <v>4386</v>
      </c>
      <c r="I449" s="6">
        <v>5260</v>
      </c>
      <c r="J449" s="6">
        <v>423142</v>
      </c>
      <c r="K449" s="6">
        <v>9646</v>
      </c>
      <c r="L449" s="6">
        <v>132</v>
      </c>
      <c r="M449" s="6">
        <v>3353</v>
      </c>
      <c r="N449" s="6">
        <v>1811</v>
      </c>
      <c r="O449" s="6">
        <v>5296</v>
      </c>
      <c r="P449" s="6">
        <v>12</v>
      </c>
      <c r="Q449" s="6">
        <v>382</v>
      </c>
      <c r="R449" s="6">
        <v>244</v>
      </c>
      <c r="S449" s="6">
        <v>294</v>
      </c>
      <c r="T449" s="6">
        <v>932</v>
      </c>
      <c r="U449" s="25">
        <v>538</v>
      </c>
      <c r="V449" s="12"/>
      <c r="W449" s="12"/>
      <c r="X449" s="12"/>
      <c r="Y449" s="12"/>
      <c r="Z449" s="12"/>
      <c r="AA449" s="12"/>
    </row>
    <row r="450" spans="1:27" ht="14.5" x14ac:dyDescent="0.35">
      <c r="A450" s="13">
        <v>44339</v>
      </c>
      <c r="B450" s="6">
        <v>49328</v>
      </c>
      <c r="C450" s="6">
        <v>1633045</v>
      </c>
      <c r="D450" s="6">
        <v>92847</v>
      </c>
      <c r="E450" s="6">
        <v>1775220</v>
      </c>
      <c r="F450" s="6">
        <v>7207</v>
      </c>
      <c r="G450" s="6">
        <v>406669</v>
      </c>
      <c r="H450" s="6">
        <v>4744</v>
      </c>
      <c r="I450" s="6">
        <v>5389</v>
      </c>
      <c r="J450" s="6">
        <v>424009</v>
      </c>
      <c r="K450" s="6">
        <v>10133</v>
      </c>
      <c r="L450" s="25">
        <v>123</v>
      </c>
      <c r="M450" s="25">
        <v>3550</v>
      </c>
      <c r="N450" s="25">
        <v>1607</v>
      </c>
      <c r="O450" s="25">
        <v>5280</v>
      </c>
      <c r="P450" s="25">
        <v>11</v>
      </c>
      <c r="Q450" s="25">
        <v>369</v>
      </c>
      <c r="R450" s="25">
        <v>358</v>
      </c>
      <c r="S450" s="25">
        <v>129</v>
      </c>
      <c r="T450" s="25">
        <v>867</v>
      </c>
      <c r="U450" s="25">
        <v>487</v>
      </c>
    </row>
    <row r="451" spans="1:27" ht="14.5" x14ac:dyDescent="0.35">
      <c r="A451" s="13">
        <v>44340</v>
      </c>
      <c r="B451" s="10">
        <v>49455</v>
      </c>
      <c r="C451" s="10">
        <v>1638279</v>
      </c>
      <c r="D451" s="10">
        <v>93393</v>
      </c>
      <c r="E451" s="10">
        <v>1781127</v>
      </c>
      <c r="F451" s="10">
        <v>7225</v>
      </c>
      <c r="G451" s="10">
        <v>406987</v>
      </c>
      <c r="H451" s="10">
        <v>5079</v>
      </c>
      <c r="I451" s="10">
        <v>5537</v>
      </c>
      <c r="J451" s="10">
        <v>424828</v>
      </c>
      <c r="K451" s="10">
        <v>10616</v>
      </c>
      <c r="L451" s="10">
        <v>127</v>
      </c>
      <c r="M451" s="10">
        <v>5234</v>
      </c>
      <c r="N451" s="10">
        <v>546</v>
      </c>
      <c r="O451" s="10">
        <v>5907</v>
      </c>
      <c r="P451" s="10">
        <v>18</v>
      </c>
      <c r="Q451" s="10">
        <v>318</v>
      </c>
      <c r="R451" s="10">
        <v>335</v>
      </c>
      <c r="S451" s="10">
        <v>148</v>
      </c>
      <c r="T451" s="10">
        <v>819</v>
      </c>
      <c r="U451" s="10">
        <v>483</v>
      </c>
    </row>
    <row r="452" spans="1:27" ht="14.5" x14ac:dyDescent="0.35">
      <c r="A452" s="13">
        <v>44341</v>
      </c>
      <c r="B452" s="4">
        <v>49627</v>
      </c>
      <c r="C452" s="4">
        <v>1642074</v>
      </c>
      <c r="D452" s="4">
        <v>94486</v>
      </c>
      <c r="E452" s="4">
        <v>1786187</v>
      </c>
      <c r="F452" s="4">
        <v>7239</v>
      </c>
      <c r="G452" s="4">
        <v>407493</v>
      </c>
      <c r="H452" s="4">
        <v>5017</v>
      </c>
      <c r="I452" s="4">
        <v>5463</v>
      </c>
      <c r="J452" s="4">
        <v>425212</v>
      </c>
      <c r="K452" s="4">
        <v>10480</v>
      </c>
      <c r="L452" s="4">
        <v>172</v>
      </c>
      <c r="M452" s="4">
        <v>3795</v>
      </c>
      <c r="N452" s="4">
        <v>1093</v>
      </c>
      <c r="O452" s="4">
        <v>5060</v>
      </c>
      <c r="P452" s="4">
        <v>14</v>
      </c>
      <c r="Q452" s="4">
        <v>506</v>
      </c>
      <c r="R452" s="4">
        <v>-62</v>
      </c>
      <c r="S452" s="4">
        <v>-74</v>
      </c>
      <c r="T452" s="4">
        <v>384</v>
      </c>
      <c r="U452" s="4">
        <v>-136</v>
      </c>
    </row>
    <row r="453" spans="1:27" ht="12.5" x14ac:dyDescent="0.25">
      <c r="A453" s="2">
        <v>44342</v>
      </c>
      <c r="B453" s="4">
        <v>49771</v>
      </c>
      <c r="C453" s="4">
        <v>1645263</v>
      </c>
      <c r="D453" s="4">
        <v>96187</v>
      </c>
      <c r="E453" s="4">
        <v>1791221</v>
      </c>
      <c r="F453" s="4">
        <v>7250</v>
      </c>
      <c r="G453" s="4">
        <v>408019</v>
      </c>
      <c r="H453" s="4">
        <v>4993</v>
      </c>
      <c r="I453" s="4">
        <v>5567</v>
      </c>
      <c r="J453" s="4">
        <v>425829</v>
      </c>
      <c r="K453" s="4">
        <v>10560</v>
      </c>
      <c r="L453" s="4">
        <v>144</v>
      </c>
      <c r="M453" s="4">
        <v>3189</v>
      </c>
      <c r="N453" s="4">
        <v>1701</v>
      </c>
      <c r="O453" s="4">
        <v>5034</v>
      </c>
      <c r="P453" s="4">
        <v>11</v>
      </c>
      <c r="Q453" s="4">
        <v>526</v>
      </c>
      <c r="R453" s="4">
        <v>-24</v>
      </c>
      <c r="S453" s="4">
        <v>104</v>
      </c>
      <c r="T453" s="4">
        <v>617</v>
      </c>
      <c r="U453" s="4">
        <v>80</v>
      </c>
    </row>
    <row r="454" spans="1:27" ht="12.5" x14ac:dyDescent="0.25">
      <c r="A454" s="2">
        <v>44343</v>
      </c>
      <c r="B454" s="4">
        <v>49907</v>
      </c>
      <c r="C454" s="4">
        <v>1649187</v>
      </c>
      <c r="D454" s="4">
        <v>98405</v>
      </c>
      <c r="E454" s="4">
        <v>1797499</v>
      </c>
      <c r="F454" s="4">
        <v>7271</v>
      </c>
      <c r="G454" s="4">
        <v>408585</v>
      </c>
      <c r="H454" s="4">
        <v>5280</v>
      </c>
      <c r="I454" s="4">
        <v>5633</v>
      </c>
      <c r="J454" s="4">
        <v>426769</v>
      </c>
      <c r="K454" s="4">
        <v>10913</v>
      </c>
      <c r="L454" s="4">
        <v>136</v>
      </c>
      <c r="M454" s="4">
        <v>3924</v>
      </c>
      <c r="N454" s="4">
        <v>2218</v>
      </c>
      <c r="O454" s="4">
        <v>6278</v>
      </c>
      <c r="P454" s="4">
        <v>21</v>
      </c>
      <c r="Q454" s="4">
        <v>566</v>
      </c>
      <c r="R454" s="4">
        <v>287</v>
      </c>
      <c r="S454" s="4">
        <v>66</v>
      </c>
      <c r="T454" s="4">
        <v>940</v>
      </c>
      <c r="U454" s="4">
        <v>353</v>
      </c>
    </row>
    <row r="455" spans="1:27" ht="12.5" x14ac:dyDescent="0.25">
      <c r="A455" s="2">
        <v>44344</v>
      </c>
      <c r="B455" s="4">
        <v>50100</v>
      </c>
      <c r="C455" s="4">
        <v>1654557</v>
      </c>
      <c r="D455" s="4">
        <v>98704</v>
      </c>
      <c r="E455" s="4">
        <v>1803361</v>
      </c>
      <c r="F455" s="4">
        <v>7288</v>
      </c>
      <c r="G455" s="4">
        <v>409497</v>
      </c>
      <c r="H455" s="4">
        <v>5161</v>
      </c>
      <c r="I455" s="4">
        <v>5516</v>
      </c>
      <c r="J455" s="4">
        <v>427462</v>
      </c>
      <c r="K455" s="4">
        <v>10677</v>
      </c>
      <c r="L455" s="4">
        <v>193</v>
      </c>
      <c r="M455" s="4">
        <v>5370</v>
      </c>
      <c r="N455" s="4">
        <v>299</v>
      </c>
      <c r="O455" s="4">
        <v>5862</v>
      </c>
      <c r="P455" s="4">
        <v>17</v>
      </c>
      <c r="Q455" s="4">
        <v>912</v>
      </c>
      <c r="R455" s="4">
        <v>-119</v>
      </c>
      <c r="S455" s="4">
        <v>-117</v>
      </c>
      <c r="T455" s="4">
        <v>693</v>
      </c>
      <c r="U455" s="4">
        <v>-236</v>
      </c>
    </row>
    <row r="456" spans="1:27" ht="12.5" x14ac:dyDescent="0.25">
      <c r="A456" s="20">
        <v>44345</v>
      </c>
      <c r="B456" s="4">
        <v>50262</v>
      </c>
      <c r="C456" s="4">
        <v>1659974</v>
      </c>
      <c r="D456" s="4">
        <v>99690</v>
      </c>
      <c r="E456" s="4">
        <v>1809926</v>
      </c>
      <c r="F456" s="4">
        <v>7296</v>
      </c>
      <c r="G456" s="4">
        <v>410508</v>
      </c>
      <c r="H456" s="4">
        <v>5004</v>
      </c>
      <c r="I456" s="4">
        <v>5461</v>
      </c>
      <c r="J456" s="4">
        <v>428269</v>
      </c>
      <c r="K456" s="4">
        <v>10465</v>
      </c>
      <c r="L456" s="4">
        <v>162</v>
      </c>
      <c r="M456" s="4">
        <v>5417</v>
      </c>
      <c r="N456" s="4">
        <v>986</v>
      </c>
      <c r="O456" s="4">
        <v>6565</v>
      </c>
      <c r="P456" s="4">
        <v>8</v>
      </c>
      <c r="Q456" s="4">
        <v>1011</v>
      </c>
      <c r="R456" s="4">
        <v>-157</v>
      </c>
      <c r="S456" s="4">
        <v>-55</v>
      </c>
      <c r="T456" s="4">
        <v>807</v>
      </c>
      <c r="U456" s="4">
        <v>-212</v>
      </c>
    </row>
    <row r="457" spans="1:27" ht="14.5" x14ac:dyDescent="0.35">
      <c r="A457" s="34">
        <v>44346</v>
      </c>
      <c r="B457" s="6">
        <v>50404</v>
      </c>
      <c r="C457" s="6">
        <v>1663998</v>
      </c>
      <c r="D457" s="6">
        <v>101639</v>
      </c>
      <c r="E457" s="6">
        <v>1816041</v>
      </c>
      <c r="F457" s="6">
        <v>7309</v>
      </c>
      <c r="G457" s="6">
        <v>411495</v>
      </c>
      <c r="H457" s="6">
        <v>5100</v>
      </c>
      <c r="I457" s="6">
        <v>5429</v>
      </c>
      <c r="J457" s="6">
        <v>429333</v>
      </c>
      <c r="K457" s="6">
        <v>10529</v>
      </c>
      <c r="L457" s="6">
        <v>142</v>
      </c>
      <c r="M457" s="6">
        <v>4024</v>
      </c>
      <c r="N457" s="6">
        <v>1949</v>
      </c>
      <c r="O457" s="6">
        <v>6115</v>
      </c>
      <c r="P457" s="6">
        <v>13</v>
      </c>
      <c r="Q457" s="6">
        <v>987</v>
      </c>
      <c r="R457" s="6">
        <v>96</v>
      </c>
      <c r="S457" s="6">
        <v>-32</v>
      </c>
      <c r="T457" s="6">
        <v>1064</v>
      </c>
      <c r="U457" s="25">
        <v>64</v>
      </c>
      <c r="V457" s="12"/>
      <c r="W457" s="12"/>
      <c r="X457" s="12"/>
      <c r="Y457" s="12"/>
      <c r="Z457" s="12"/>
      <c r="AA457" s="12"/>
    </row>
    <row r="458" spans="1:27" ht="12.5" x14ac:dyDescent="0.25">
      <c r="A458" s="34">
        <v>44347</v>
      </c>
      <c r="B458" s="10">
        <v>50578</v>
      </c>
      <c r="C458" s="10">
        <v>1669119</v>
      </c>
      <c r="D458" s="10">
        <v>102006</v>
      </c>
      <c r="E458" s="10">
        <v>1821703</v>
      </c>
      <c r="F458" s="10">
        <v>7327</v>
      </c>
      <c r="G458" s="10">
        <v>412074</v>
      </c>
      <c r="H458" s="10">
        <v>5241</v>
      </c>
      <c r="I458" s="10">
        <v>5417</v>
      </c>
      <c r="J458" s="10">
        <v>430059</v>
      </c>
      <c r="K458" s="10">
        <v>10658</v>
      </c>
      <c r="L458" s="10">
        <v>174</v>
      </c>
      <c r="M458" s="10">
        <v>5121</v>
      </c>
      <c r="N458" s="10">
        <v>367</v>
      </c>
      <c r="O458" s="10">
        <v>5662</v>
      </c>
      <c r="P458" s="10">
        <v>18</v>
      </c>
      <c r="Q458" s="10">
        <v>579</v>
      </c>
      <c r="R458" s="10">
        <v>141</v>
      </c>
      <c r="S458" s="10">
        <v>-12</v>
      </c>
      <c r="T458" s="10">
        <v>726</v>
      </c>
      <c r="U458" s="10">
        <v>129</v>
      </c>
    </row>
    <row r="459" spans="1:27" ht="12.5" x14ac:dyDescent="0.25">
      <c r="A459" s="34">
        <v>44348</v>
      </c>
      <c r="B459" s="4">
        <v>50723</v>
      </c>
      <c r="C459" s="4">
        <v>1674479</v>
      </c>
      <c r="D459" s="4">
        <v>101325</v>
      </c>
      <c r="E459" s="4">
        <v>1826527</v>
      </c>
      <c r="F459" s="4">
        <v>7349</v>
      </c>
      <c r="G459" s="4">
        <v>412593</v>
      </c>
      <c r="H459" s="4">
        <v>5214</v>
      </c>
      <c r="I459" s="4">
        <v>5422</v>
      </c>
      <c r="J459" s="4">
        <v>430578</v>
      </c>
      <c r="K459" s="4">
        <v>10636</v>
      </c>
      <c r="L459" s="4">
        <v>145</v>
      </c>
      <c r="M459" s="4">
        <v>5360</v>
      </c>
      <c r="N459" s="4">
        <v>-681</v>
      </c>
      <c r="O459" s="4">
        <v>4824</v>
      </c>
      <c r="P459" s="4">
        <v>22</v>
      </c>
      <c r="Q459" s="4">
        <v>519</v>
      </c>
      <c r="R459" s="4">
        <v>-27</v>
      </c>
      <c r="S459" s="4">
        <v>5</v>
      </c>
      <c r="T459" s="4">
        <v>519</v>
      </c>
      <c r="U459" s="4">
        <v>-22</v>
      </c>
    </row>
    <row r="460" spans="1:27" ht="14.5" x14ac:dyDescent="0.35">
      <c r="A460" s="34">
        <v>44349</v>
      </c>
      <c r="B460" s="25">
        <v>50908</v>
      </c>
      <c r="C460" s="25">
        <v>1680501</v>
      </c>
      <c r="D460" s="25">
        <v>100364</v>
      </c>
      <c r="E460" s="25">
        <v>1831773</v>
      </c>
      <c r="F460" s="25">
        <v>7361</v>
      </c>
      <c r="G460" s="25">
        <v>413179</v>
      </c>
      <c r="H460" s="25">
        <v>5178</v>
      </c>
      <c r="I460" s="25">
        <v>5461</v>
      </c>
      <c r="J460" s="25">
        <v>431179</v>
      </c>
      <c r="K460" s="25">
        <v>10639</v>
      </c>
      <c r="L460" s="35">
        <v>185</v>
      </c>
      <c r="M460" s="35">
        <v>6022</v>
      </c>
      <c r="N460" s="35">
        <v>-961</v>
      </c>
      <c r="O460" s="35">
        <v>5246</v>
      </c>
      <c r="P460" s="35">
        <v>12</v>
      </c>
      <c r="Q460" s="36">
        <v>586</v>
      </c>
      <c r="R460" s="35">
        <v>-36</v>
      </c>
      <c r="S460" s="35">
        <v>39</v>
      </c>
      <c r="T460" s="35">
        <v>601</v>
      </c>
      <c r="U460" s="36">
        <v>3</v>
      </c>
    </row>
    <row r="461" spans="1:27" ht="12.5" x14ac:dyDescent="0.25">
      <c r="A461" s="20">
        <v>44350</v>
      </c>
      <c r="B461" s="4">
        <v>51095</v>
      </c>
      <c r="C461" s="4">
        <v>1691593</v>
      </c>
      <c r="D461" s="4">
        <v>94438</v>
      </c>
      <c r="E461" s="4">
        <v>1837126</v>
      </c>
      <c r="F461" s="4">
        <v>7381</v>
      </c>
      <c r="G461" s="4">
        <v>413680</v>
      </c>
      <c r="H461" s="4">
        <v>5402</v>
      </c>
      <c r="I461" s="4">
        <v>5430</v>
      </c>
      <c r="J461" s="4">
        <v>431893</v>
      </c>
      <c r="K461" s="4">
        <v>10832</v>
      </c>
      <c r="L461" s="4">
        <v>187</v>
      </c>
      <c r="M461" s="4">
        <v>11092</v>
      </c>
      <c r="N461" s="4">
        <v>-5926</v>
      </c>
      <c r="O461" s="4">
        <v>5353</v>
      </c>
      <c r="P461" s="4">
        <v>20</v>
      </c>
      <c r="Q461" s="4">
        <v>501</v>
      </c>
      <c r="R461" s="4">
        <v>224</v>
      </c>
      <c r="S461" s="4">
        <v>-31</v>
      </c>
      <c r="T461" s="4">
        <v>714</v>
      </c>
      <c r="U461" s="4">
        <v>193</v>
      </c>
    </row>
    <row r="462" spans="1:27" ht="12.5" x14ac:dyDescent="0.25">
      <c r="A462" s="20">
        <v>44351</v>
      </c>
      <c r="B462" s="4">
        <v>51296</v>
      </c>
      <c r="C462" s="4">
        <v>1697543</v>
      </c>
      <c r="D462" s="4">
        <v>94773</v>
      </c>
      <c r="E462" s="4">
        <v>1843612</v>
      </c>
      <c r="F462" s="4">
        <v>7402</v>
      </c>
      <c r="G462" s="4">
        <v>414496</v>
      </c>
      <c r="H462" s="4">
        <v>5414</v>
      </c>
      <c r="I462" s="4">
        <v>5487</v>
      </c>
      <c r="J462" s="4">
        <v>432799</v>
      </c>
      <c r="K462" s="4">
        <v>10901</v>
      </c>
      <c r="L462" s="4">
        <v>201</v>
      </c>
      <c r="M462" s="4">
        <v>5950</v>
      </c>
      <c r="N462" s="4">
        <v>335</v>
      </c>
      <c r="O462" s="4">
        <v>6486</v>
      </c>
      <c r="P462" s="4">
        <v>21</v>
      </c>
      <c r="Q462" s="4">
        <v>816</v>
      </c>
      <c r="R462" s="4">
        <v>12</v>
      </c>
      <c r="S462" s="4">
        <v>57</v>
      </c>
      <c r="T462" s="4">
        <v>906</v>
      </c>
      <c r="U462" s="4">
        <v>69</v>
      </c>
    </row>
    <row r="463" spans="1:27" ht="12.5" x14ac:dyDescent="0.25">
      <c r="A463" s="20">
        <v>44352</v>
      </c>
      <c r="B463" s="4">
        <v>51449</v>
      </c>
      <c r="C463" s="4">
        <v>1701784</v>
      </c>
      <c r="D463" s="4">
        <v>96973</v>
      </c>
      <c r="E463" s="4">
        <v>1850206</v>
      </c>
      <c r="F463" s="4">
        <v>7423</v>
      </c>
      <c r="G463" s="4">
        <v>415317</v>
      </c>
      <c r="H463" s="4">
        <v>5756</v>
      </c>
      <c r="I463" s="4">
        <v>5620</v>
      </c>
      <c r="J463" s="4">
        <v>434116</v>
      </c>
      <c r="K463" s="4">
        <v>11376</v>
      </c>
      <c r="L463" s="4">
        <v>153</v>
      </c>
      <c r="M463" s="4">
        <v>4241</v>
      </c>
      <c r="N463" s="4">
        <v>2200</v>
      </c>
      <c r="O463" s="4">
        <v>6594</v>
      </c>
      <c r="P463" s="4">
        <v>21</v>
      </c>
      <c r="Q463" s="4">
        <v>821</v>
      </c>
      <c r="R463" s="4">
        <v>342</v>
      </c>
      <c r="S463" s="4">
        <v>133</v>
      </c>
      <c r="T463" s="4">
        <v>1317</v>
      </c>
      <c r="U463" s="4">
        <v>475</v>
      </c>
    </row>
    <row r="464" spans="1:27" ht="14.5" x14ac:dyDescent="0.35">
      <c r="A464" s="20">
        <v>44353</v>
      </c>
      <c r="B464" s="6">
        <v>51612</v>
      </c>
      <c r="C464" s="6">
        <v>1705971</v>
      </c>
      <c r="D464" s="6">
        <v>98455</v>
      </c>
      <c r="E464" s="6">
        <v>1856038</v>
      </c>
      <c r="F464" s="6">
        <v>7438</v>
      </c>
      <c r="G464" s="6">
        <v>416181</v>
      </c>
      <c r="H464" s="6">
        <v>5966</v>
      </c>
      <c r="I464" s="6">
        <v>5550</v>
      </c>
      <c r="J464" s="6">
        <v>435135</v>
      </c>
      <c r="K464" s="6">
        <v>11516</v>
      </c>
      <c r="L464" s="6">
        <v>163</v>
      </c>
      <c r="M464" s="6">
        <v>4187</v>
      </c>
      <c r="N464" s="6">
        <v>1482</v>
      </c>
      <c r="O464" s="6">
        <v>5832</v>
      </c>
      <c r="P464" s="6">
        <v>15</v>
      </c>
      <c r="Q464" s="6">
        <v>864</v>
      </c>
      <c r="R464" s="6">
        <v>210</v>
      </c>
      <c r="S464" s="6">
        <v>-70</v>
      </c>
      <c r="T464" s="6">
        <v>1019</v>
      </c>
      <c r="U464" s="25">
        <v>140</v>
      </c>
      <c r="V464" s="12"/>
      <c r="W464" s="12"/>
      <c r="X464" s="12"/>
      <c r="Y464" s="12"/>
      <c r="Z464" s="12"/>
      <c r="AA464" s="12"/>
    </row>
    <row r="465" spans="1:27" ht="12.5" x14ac:dyDescent="0.25">
      <c r="A465" s="20">
        <v>44354</v>
      </c>
      <c r="B465" s="10">
        <v>51803</v>
      </c>
      <c r="C465" s="10">
        <v>1711565</v>
      </c>
      <c r="D465" s="10">
        <v>99663</v>
      </c>
      <c r="E465" s="10">
        <v>1863031</v>
      </c>
      <c r="F465" s="10">
        <v>7457</v>
      </c>
      <c r="G465" s="10">
        <v>416994</v>
      </c>
      <c r="H465" s="10">
        <v>6261</v>
      </c>
      <c r="I465" s="10">
        <v>5620</v>
      </c>
      <c r="J465" s="10">
        <v>436332</v>
      </c>
      <c r="K465" s="10">
        <v>11881</v>
      </c>
      <c r="L465" s="10">
        <v>191</v>
      </c>
      <c r="M465" s="10">
        <v>5594</v>
      </c>
      <c r="N465" s="10">
        <v>1208</v>
      </c>
      <c r="O465" s="10">
        <v>6993</v>
      </c>
      <c r="P465" s="10">
        <v>19</v>
      </c>
      <c r="Q465" s="10">
        <v>813</v>
      </c>
      <c r="R465" s="10">
        <v>295</v>
      </c>
      <c r="S465" s="10">
        <v>70</v>
      </c>
      <c r="T465" s="10">
        <v>1197</v>
      </c>
      <c r="U465" s="10">
        <v>365</v>
      </c>
    </row>
    <row r="466" spans="1:27" ht="12.5" x14ac:dyDescent="0.25">
      <c r="A466" s="20">
        <v>44355</v>
      </c>
      <c r="B466" s="4">
        <v>51992</v>
      </c>
      <c r="C466" s="4">
        <v>1717370</v>
      </c>
      <c r="D466" s="4">
        <v>99963</v>
      </c>
      <c r="E466" s="4">
        <v>1869325</v>
      </c>
      <c r="F466" s="4">
        <v>7478</v>
      </c>
      <c r="G466" s="4">
        <v>417997</v>
      </c>
      <c r="H466" s="4">
        <v>6057</v>
      </c>
      <c r="I466" s="4">
        <v>5555</v>
      </c>
      <c r="J466" s="4">
        <v>437087</v>
      </c>
      <c r="K466" s="4">
        <v>11612</v>
      </c>
      <c r="L466" s="4">
        <v>189</v>
      </c>
      <c r="M466" s="4">
        <v>5805</v>
      </c>
      <c r="N466" s="4">
        <v>300</v>
      </c>
      <c r="O466" s="4">
        <v>6294</v>
      </c>
      <c r="P466" s="4">
        <v>21</v>
      </c>
      <c r="Q466" s="4">
        <v>1003</v>
      </c>
      <c r="R466" s="4">
        <v>-204</v>
      </c>
      <c r="S466" s="4">
        <v>-65</v>
      </c>
      <c r="T466" s="4">
        <v>755</v>
      </c>
      <c r="U466" s="4">
        <v>-269</v>
      </c>
    </row>
    <row r="467" spans="1:27" ht="12.5" x14ac:dyDescent="0.25">
      <c r="A467" s="20">
        <v>44356</v>
      </c>
      <c r="B467" s="4">
        <v>52162</v>
      </c>
      <c r="C467" s="4">
        <v>1723253</v>
      </c>
      <c r="D467" s="4">
        <v>101635</v>
      </c>
      <c r="E467" s="4">
        <v>1877050</v>
      </c>
      <c r="F467" s="4">
        <v>7499</v>
      </c>
      <c r="G467" s="4">
        <v>419109</v>
      </c>
      <c r="H467" s="4">
        <v>6120</v>
      </c>
      <c r="I467" s="4">
        <v>5730</v>
      </c>
      <c r="J467" s="4">
        <v>438458</v>
      </c>
      <c r="K467" s="4">
        <v>11850</v>
      </c>
      <c r="L467" s="4">
        <v>170</v>
      </c>
      <c r="M467" s="4">
        <v>5883</v>
      </c>
      <c r="N467" s="4">
        <v>1672</v>
      </c>
      <c r="O467" s="4">
        <v>7725</v>
      </c>
      <c r="P467" s="4">
        <v>21</v>
      </c>
      <c r="Q467" s="4">
        <v>1112</v>
      </c>
      <c r="R467" s="4">
        <v>63</v>
      </c>
      <c r="S467" s="4">
        <v>175</v>
      </c>
      <c r="T467" s="4">
        <v>1371</v>
      </c>
      <c r="U467" s="4">
        <v>238</v>
      </c>
    </row>
    <row r="468" spans="1:27" ht="12.5" x14ac:dyDescent="0.25">
      <c r="A468" s="20">
        <v>44357</v>
      </c>
      <c r="B468" s="4">
        <v>52373</v>
      </c>
      <c r="C468" s="4">
        <v>1728914</v>
      </c>
      <c r="D468" s="4">
        <v>104614</v>
      </c>
      <c r="E468" s="4">
        <v>1885901</v>
      </c>
      <c r="F468" s="4">
        <v>7523</v>
      </c>
      <c r="G468" s="4">
        <v>420211</v>
      </c>
      <c r="H468" s="4">
        <v>6991</v>
      </c>
      <c r="I468" s="4">
        <v>5829</v>
      </c>
      <c r="J468" s="4">
        <v>440554</v>
      </c>
      <c r="K468" s="4">
        <v>12820</v>
      </c>
      <c r="L468" s="4">
        <v>211</v>
      </c>
      <c r="M468" s="4">
        <v>5661</v>
      </c>
      <c r="N468" s="4">
        <v>2979</v>
      </c>
      <c r="O468" s="4">
        <v>8851</v>
      </c>
      <c r="P468" s="4">
        <v>24</v>
      </c>
      <c r="Q468" s="4">
        <v>1102</v>
      </c>
      <c r="R468" s="4">
        <v>871</v>
      </c>
      <c r="S468" s="4">
        <v>99</v>
      </c>
      <c r="T468" s="4">
        <v>2096</v>
      </c>
      <c r="U468" s="4">
        <v>970</v>
      </c>
    </row>
    <row r="469" spans="1:27" ht="14.5" x14ac:dyDescent="0.35">
      <c r="A469" s="20">
        <v>44358</v>
      </c>
      <c r="B469" s="6">
        <v>52566</v>
      </c>
      <c r="C469" s="6">
        <v>1735144</v>
      </c>
      <c r="D469" s="6">
        <v>106315</v>
      </c>
      <c r="E469" s="6">
        <v>1894025</v>
      </c>
      <c r="F469" s="6">
        <v>7543</v>
      </c>
      <c r="G469" s="6">
        <v>421396</v>
      </c>
      <c r="H469" s="6">
        <v>7750</v>
      </c>
      <c r="I469" s="6">
        <v>6158</v>
      </c>
      <c r="J469" s="6">
        <v>442847</v>
      </c>
      <c r="K469" s="6">
        <v>13908</v>
      </c>
      <c r="L469" s="35">
        <v>193</v>
      </c>
      <c r="M469" s="35">
        <v>6230</v>
      </c>
      <c r="N469" s="35">
        <v>1701</v>
      </c>
      <c r="O469" s="35">
        <v>8124</v>
      </c>
      <c r="P469" s="35">
        <v>20</v>
      </c>
      <c r="Q469" s="37">
        <v>1185</v>
      </c>
      <c r="R469" s="35">
        <v>759</v>
      </c>
      <c r="S469" s="35">
        <v>329</v>
      </c>
      <c r="T469" s="35">
        <v>2293</v>
      </c>
      <c r="U469" s="37">
        <v>1088</v>
      </c>
      <c r="V469" s="38"/>
      <c r="W469" s="8"/>
      <c r="X469" s="8"/>
      <c r="Y469" s="8"/>
    </row>
    <row r="470" spans="1:27" ht="14.5" x14ac:dyDescent="0.35">
      <c r="A470" s="20">
        <v>44359</v>
      </c>
      <c r="B470" s="6">
        <v>52730</v>
      </c>
      <c r="C470" s="6">
        <v>1740436</v>
      </c>
      <c r="D470" s="6">
        <v>108324</v>
      </c>
      <c r="E470" s="6">
        <v>1901490</v>
      </c>
      <c r="F470" s="6">
        <v>7557</v>
      </c>
      <c r="G470" s="6">
        <v>422121</v>
      </c>
      <c r="H470" s="6">
        <v>8855</v>
      </c>
      <c r="I470" s="6">
        <v>6769</v>
      </c>
      <c r="J470" s="6">
        <v>445302</v>
      </c>
      <c r="K470" s="6">
        <v>15624</v>
      </c>
      <c r="L470" s="35">
        <v>164</v>
      </c>
      <c r="M470" s="35">
        <v>5292</v>
      </c>
      <c r="N470" s="35">
        <v>2009</v>
      </c>
      <c r="O470" s="35">
        <v>7465</v>
      </c>
      <c r="P470" s="35">
        <v>14</v>
      </c>
      <c r="Q470" s="37">
        <v>725</v>
      </c>
      <c r="R470" s="35">
        <v>1105</v>
      </c>
      <c r="S470" s="35">
        <v>611</v>
      </c>
      <c r="T470" s="35">
        <v>2455</v>
      </c>
      <c r="U470" s="37">
        <v>1716</v>
      </c>
      <c r="V470" s="12"/>
      <c r="W470" s="12"/>
      <c r="X470" s="12"/>
      <c r="Y470" s="12"/>
    </row>
    <row r="471" spans="1:27" ht="14.5" x14ac:dyDescent="0.35">
      <c r="A471" s="20">
        <v>44360</v>
      </c>
      <c r="B471" s="6">
        <v>52879</v>
      </c>
      <c r="C471" s="6">
        <v>1745091</v>
      </c>
      <c r="D471" s="6">
        <v>113388</v>
      </c>
      <c r="E471" s="6">
        <v>1911358</v>
      </c>
      <c r="F471" s="6">
        <v>7571</v>
      </c>
      <c r="G471" s="6">
        <v>423056</v>
      </c>
      <c r="H471" s="6">
        <v>10034</v>
      </c>
      <c r="I471" s="6">
        <v>7410</v>
      </c>
      <c r="J471" s="6">
        <v>448071</v>
      </c>
      <c r="K471" s="6">
        <v>17444</v>
      </c>
      <c r="L471" s="6">
        <v>149</v>
      </c>
      <c r="M471" s="6">
        <v>4655</v>
      </c>
      <c r="N471" s="6">
        <v>5064</v>
      </c>
      <c r="O471" s="6">
        <v>9868</v>
      </c>
      <c r="P471" s="6">
        <v>14</v>
      </c>
      <c r="Q471" s="6">
        <v>935</v>
      </c>
      <c r="R471" s="6">
        <v>1179</v>
      </c>
      <c r="S471" s="6">
        <v>641</v>
      </c>
      <c r="T471" s="6">
        <v>2769</v>
      </c>
      <c r="U471" s="25">
        <v>1820</v>
      </c>
      <c r="V471" s="12"/>
      <c r="W471" s="12"/>
      <c r="X471" s="12"/>
      <c r="Y471" s="12"/>
      <c r="Z471" s="12"/>
      <c r="AA471" s="12"/>
    </row>
    <row r="472" spans="1:27" ht="14.5" x14ac:dyDescent="0.35">
      <c r="A472" s="20">
        <v>44361</v>
      </c>
      <c r="B472" s="6">
        <v>53116</v>
      </c>
      <c r="C472" s="6">
        <v>1751234</v>
      </c>
      <c r="D472" s="6">
        <v>115197</v>
      </c>
      <c r="E472" s="6">
        <v>1919547</v>
      </c>
      <c r="F472" s="6">
        <v>7609</v>
      </c>
      <c r="G472" s="6">
        <v>424088</v>
      </c>
      <c r="H472" s="6">
        <v>11240</v>
      </c>
      <c r="I472" s="6">
        <v>7856</v>
      </c>
      <c r="J472" s="6">
        <v>450793</v>
      </c>
      <c r="K472" s="6">
        <v>19096</v>
      </c>
      <c r="L472" s="35">
        <v>237</v>
      </c>
      <c r="M472" s="35">
        <v>6143</v>
      </c>
      <c r="N472" s="35">
        <v>1809</v>
      </c>
      <c r="O472" s="35">
        <v>8189</v>
      </c>
      <c r="P472" s="35">
        <v>38</v>
      </c>
      <c r="Q472" s="37">
        <v>1032</v>
      </c>
      <c r="R472" s="35">
        <v>1206</v>
      </c>
      <c r="S472" s="35">
        <v>446</v>
      </c>
      <c r="T472" s="35">
        <v>2722</v>
      </c>
      <c r="U472" s="37">
        <v>1652</v>
      </c>
    </row>
    <row r="473" spans="1:27" ht="14.5" x14ac:dyDescent="0.35">
      <c r="A473" s="20">
        <v>44362</v>
      </c>
      <c r="B473" s="6">
        <v>53280</v>
      </c>
      <c r="C473" s="6">
        <v>1757641</v>
      </c>
      <c r="D473" s="6">
        <v>116787</v>
      </c>
      <c r="E473" s="6">
        <v>1927708</v>
      </c>
      <c r="F473" s="6">
        <v>7634</v>
      </c>
      <c r="G473" s="6">
        <v>425417</v>
      </c>
      <c r="H473" s="6">
        <v>11102</v>
      </c>
      <c r="I473" s="6">
        <v>8142</v>
      </c>
      <c r="J473" s="6">
        <v>452295</v>
      </c>
      <c r="K473" s="6">
        <v>19244</v>
      </c>
      <c r="L473" s="35">
        <v>164</v>
      </c>
      <c r="M473" s="35">
        <v>6407</v>
      </c>
      <c r="N473" s="35">
        <v>1590</v>
      </c>
      <c r="O473" s="35">
        <v>8161</v>
      </c>
      <c r="P473" s="35">
        <v>25</v>
      </c>
      <c r="Q473" s="37">
        <v>1329</v>
      </c>
      <c r="R473" s="35">
        <v>-138</v>
      </c>
      <c r="S473" s="35">
        <v>286</v>
      </c>
      <c r="T473" s="35">
        <v>1502</v>
      </c>
      <c r="U473" s="37">
        <v>148</v>
      </c>
    </row>
    <row r="474" spans="1:27" ht="12.5" x14ac:dyDescent="0.25">
      <c r="A474" s="20">
        <v>44363</v>
      </c>
      <c r="B474" s="4">
        <v>53476</v>
      </c>
      <c r="C474" s="4">
        <v>1763870</v>
      </c>
      <c r="D474" s="4">
        <v>120306</v>
      </c>
      <c r="E474" s="4">
        <v>1937652</v>
      </c>
      <c r="F474" s="4">
        <v>7665</v>
      </c>
      <c r="G474" s="4">
        <v>426695</v>
      </c>
      <c r="H474" s="4">
        <v>11555</v>
      </c>
      <c r="I474" s="4">
        <v>8756</v>
      </c>
      <c r="J474" s="4">
        <v>454671</v>
      </c>
      <c r="K474" s="4">
        <v>20311</v>
      </c>
      <c r="L474" s="4">
        <v>196</v>
      </c>
      <c r="M474" s="4">
        <v>6229</v>
      </c>
      <c r="N474" s="4">
        <v>3519</v>
      </c>
      <c r="O474" s="4">
        <v>9944</v>
      </c>
      <c r="P474" s="4">
        <v>31</v>
      </c>
      <c r="Q474" s="4">
        <v>1278</v>
      </c>
      <c r="R474" s="4">
        <v>453</v>
      </c>
      <c r="S474" s="4">
        <v>614</v>
      </c>
      <c r="T474" s="4">
        <v>2376</v>
      </c>
      <c r="U474" s="4">
        <v>1067</v>
      </c>
    </row>
    <row r="475" spans="1:27" ht="12.5" x14ac:dyDescent="0.25">
      <c r="A475" s="20">
        <v>44364</v>
      </c>
      <c r="B475" s="4">
        <v>53753</v>
      </c>
      <c r="C475" s="4">
        <v>1771220</v>
      </c>
      <c r="D475" s="4">
        <v>125303</v>
      </c>
      <c r="E475" s="4">
        <v>1950276</v>
      </c>
      <c r="F475" s="4">
        <v>7713</v>
      </c>
      <c r="G475" s="4">
        <v>428764</v>
      </c>
      <c r="H475" s="4">
        <v>13054</v>
      </c>
      <c r="I475" s="4">
        <v>9284</v>
      </c>
      <c r="J475" s="4">
        <v>458815</v>
      </c>
      <c r="K475" s="4">
        <v>22338</v>
      </c>
      <c r="L475" s="4">
        <v>277</v>
      </c>
      <c r="M475" s="4">
        <v>7350</v>
      </c>
      <c r="N475" s="4">
        <v>4997</v>
      </c>
      <c r="O475" s="4">
        <v>12624</v>
      </c>
      <c r="P475" s="4">
        <v>48</v>
      </c>
      <c r="Q475" s="4">
        <v>2069</v>
      </c>
      <c r="R475" s="4">
        <v>1499</v>
      </c>
      <c r="S475" s="4">
        <v>528</v>
      </c>
      <c r="T475" s="4">
        <v>4144</v>
      </c>
      <c r="U475" s="4">
        <v>2027</v>
      </c>
    </row>
    <row r="476" spans="1:27" ht="12.5" x14ac:dyDescent="0.25">
      <c r="A476" s="20">
        <v>44365</v>
      </c>
      <c r="B476" s="4">
        <v>54043</v>
      </c>
      <c r="C476" s="4">
        <v>1779127</v>
      </c>
      <c r="D476" s="4">
        <v>130096</v>
      </c>
      <c r="E476" s="4">
        <v>1963266</v>
      </c>
      <c r="F476" s="4">
        <v>7777</v>
      </c>
      <c r="G476" s="4">
        <v>431264</v>
      </c>
      <c r="H476" s="4">
        <v>14951</v>
      </c>
      <c r="I476" s="4">
        <v>9560</v>
      </c>
      <c r="J476" s="4">
        <v>463552</v>
      </c>
      <c r="K476" s="4">
        <v>24511</v>
      </c>
      <c r="L476" s="4">
        <v>290</v>
      </c>
      <c r="M476" s="4">
        <v>7907</v>
      </c>
      <c r="N476" s="4">
        <v>4793</v>
      </c>
      <c r="O476" s="4">
        <v>12990</v>
      </c>
      <c r="P476" s="4">
        <v>64</v>
      </c>
      <c r="Q476" s="4">
        <v>2500</v>
      </c>
      <c r="R476" s="4">
        <v>1897</v>
      </c>
      <c r="S476" s="4">
        <v>276</v>
      </c>
      <c r="T476" s="4">
        <v>4737</v>
      </c>
      <c r="U476" s="4">
        <v>2173</v>
      </c>
    </row>
    <row r="477" spans="1:27" ht="12.5" x14ac:dyDescent="0.25">
      <c r="A477" s="20">
        <v>44366</v>
      </c>
      <c r="B477" s="4">
        <v>54291</v>
      </c>
      <c r="C477" s="4">
        <v>1786143</v>
      </c>
      <c r="D477" s="4">
        <v>135738</v>
      </c>
      <c r="E477" s="4">
        <v>1976172</v>
      </c>
      <c r="F477" s="4">
        <v>7836</v>
      </c>
      <c r="G477" s="4">
        <v>433499</v>
      </c>
      <c r="H477" s="4">
        <v>16787</v>
      </c>
      <c r="I477" s="4">
        <v>10325</v>
      </c>
      <c r="J477" s="4">
        <v>468447</v>
      </c>
      <c r="K477" s="4">
        <v>27112</v>
      </c>
      <c r="L477" s="4">
        <v>248</v>
      </c>
      <c r="M477" s="4">
        <v>7016</v>
      </c>
      <c r="N477" s="4">
        <v>5642</v>
      </c>
      <c r="O477" s="4">
        <v>12906</v>
      </c>
      <c r="P477" s="4">
        <v>59</v>
      </c>
      <c r="Q477" s="4">
        <v>2235</v>
      </c>
      <c r="R477" s="4">
        <v>1836</v>
      </c>
      <c r="S477" s="4">
        <v>765</v>
      </c>
      <c r="T477" s="4">
        <v>4895</v>
      </c>
      <c r="U477" s="4">
        <v>2601</v>
      </c>
    </row>
    <row r="478" spans="1:27" ht="14.5" x14ac:dyDescent="0.35">
      <c r="A478" s="39">
        <v>44367</v>
      </c>
      <c r="B478" s="6">
        <v>54662</v>
      </c>
      <c r="C478" s="6">
        <v>1792528</v>
      </c>
      <c r="D478" s="6">
        <v>142719</v>
      </c>
      <c r="E478" s="6">
        <v>1989909</v>
      </c>
      <c r="F478" s="6">
        <v>7905</v>
      </c>
      <c r="G478" s="6">
        <v>435982</v>
      </c>
      <c r="H478" s="6">
        <v>19105</v>
      </c>
      <c r="I478" s="6">
        <v>11037</v>
      </c>
      <c r="J478" s="6">
        <v>474029</v>
      </c>
      <c r="K478" s="6">
        <v>30142</v>
      </c>
      <c r="L478" s="6">
        <v>371</v>
      </c>
      <c r="M478" s="6">
        <v>6385</v>
      </c>
      <c r="N478" s="6">
        <v>6981</v>
      </c>
      <c r="O478" s="6">
        <v>13737</v>
      </c>
      <c r="P478" s="6">
        <v>69</v>
      </c>
      <c r="Q478" s="6">
        <v>2483</v>
      </c>
      <c r="R478" s="6">
        <v>2318</v>
      </c>
      <c r="S478" s="6">
        <v>712</v>
      </c>
      <c r="T478" s="6">
        <v>5582</v>
      </c>
      <c r="U478" s="25">
        <v>3030</v>
      </c>
      <c r="V478" s="12"/>
      <c r="W478" s="12"/>
      <c r="X478" s="12"/>
      <c r="Y478" s="12"/>
      <c r="Z478" s="12"/>
      <c r="AA478" s="12"/>
    </row>
    <row r="479" spans="1:27" ht="14.5" x14ac:dyDescent="0.35">
      <c r="A479" s="20">
        <v>44368</v>
      </c>
      <c r="B479" s="6">
        <v>54956</v>
      </c>
      <c r="C479" s="6">
        <v>1801761</v>
      </c>
      <c r="D479" s="6">
        <v>147728</v>
      </c>
      <c r="E479" s="6">
        <v>2004445</v>
      </c>
      <c r="F479" s="6">
        <v>7976</v>
      </c>
      <c r="G479" s="6">
        <v>439007</v>
      </c>
      <c r="H479" s="6">
        <v>20717</v>
      </c>
      <c r="I479" s="6">
        <v>11343</v>
      </c>
      <c r="J479" s="6">
        <v>479043</v>
      </c>
      <c r="K479" s="6">
        <v>32060</v>
      </c>
      <c r="L479" s="35">
        <v>294</v>
      </c>
      <c r="M479" s="35">
        <v>9233</v>
      </c>
      <c r="N479" s="35">
        <v>5009</v>
      </c>
      <c r="O479" s="35">
        <v>14536</v>
      </c>
      <c r="P479" s="35">
        <v>71</v>
      </c>
      <c r="Q479" s="37">
        <v>3025</v>
      </c>
      <c r="R479" s="35">
        <v>1612</v>
      </c>
      <c r="S479" s="35">
        <v>306</v>
      </c>
      <c r="T479" s="35">
        <v>5014</v>
      </c>
      <c r="U479" s="37">
        <v>1918</v>
      </c>
    </row>
    <row r="480" spans="1:27" ht="14.5" x14ac:dyDescent="0.35">
      <c r="A480" s="20">
        <v>44369</v>
      </c>
      <c r="B480" s="6">
        <v>55291</v>
      </c>
      <c r="C480" s="6">
        <v>1810136</v>
      </c>
      <c r="D480" s="6">
        <v>152686</v>
      </c>
      <c r="E480" s="6">
        <v>2018113</v>
      </c>
      <c r="F480" s="6">
        <v>8014</v>
      </c>
      <c r="G480" s="6">
        <v>442059</v>
      </c>
      <c r="H480" s="6">
        <v>21167</v>
      </c>
      <c r="I480" s="6">
        <v>11024</v>
      </c>
      <c r="J480" s="6">
        <v>482264</v>
      </c>
      <c r="K480" s="6">
        <v>32191</v>
      </c>
      <c r="L480" s="35">
        <v>335</v>
      </c>
      <c r="M480" s="35">
        <v>8375</v>
      </c>
      <c r="N480" s="35">
        <v>4958</v>
      </c>
      <c r="O480" s="35">
        <v>13668</v>
      </c>
      <c r="P480" s="35">
        <v>38</v>
      </c>
      <c r="Q480" s="37">
        <v>3052</v>
      </c>
      <c r="R480" s="35">
        <v>450</v>
      </c>
      <c r="S480" s="35">
        <v>-319</v>
      </c>
      <c r="T480" s="35">
        <v>3221</v>
      </c>
      <c r="U480" s="37">
        <v>131</v>
      </c>
    </row>
    <row r="481" spans="1:27" ht="12.5" x14ac:dyDescent="0.25">
      <c r="A481" s="20">
        <v>44370</v>
      </c>
      <c r="B481" s="4">
        <v>55594</v>
      </c>
      <c r="C481" s="4">
        <v>1817303</v>
      </c>
      <c r="D481" s="4">
        <v>160524</v>
      </c>
      <c r="E481" s="4">
        <v>2033421</v>
      </c>
      <c r="F481" s="4">
        <v>8057</v>
      </c>
      <c r="G481" s="4">
        <v>443195</v>
      </c>
      <c r="H481" s="4">
        <v>22868</v>
      </c>
      <c r="I481" s="4">
        <v>12837</v>
      </c>
      <c r="J481" s="4">
        <v>486957</v>
      </c>
      <c r="K481" s="4">
        <v>35705</v>
      </c>
      <c r="L481" s="4">
        <v>303</v>
      </c>
      <c r="M481" s="4">
        <v>7167</v>
      </c>
      <c r="N481" s="4">
        <v>7838</v>
      </c>
      <c r="O481" s="4">
        <v>15308</v>
      </c>
      <c r="P481" s="4">
        <v>43</v>
      </c>
      <c r="Q481" s="4">
        <v>1136</v>
      </c>
      <c r="R481" s="4">
        <v>1701</v>
      </c>
      <c r="S481" s="4">
        <v>1813</v>
      </c>
      <c r="T481" s="4">
        <v>4693</v>
      </c>
      <c r="U481" s="4">
        <v>3514</v>
      </c>
    </row>
    <row r="482" spans="1:27" ht="12.5" x14ac:dyDescent="0.25">
      <c r="A482" s="20">
        <v>44371</v>
      </c>
      <c r="B482" s="4">
        <v>55949</v>
      </c>
      <c r="C482" s="4">
        <v>1826504</v>
      </c>
      <c r="D482" s="4">
        <v>171542</v>
      </c>
      <c r="E482" s="4">
        <v>2053995</v>
      </c>
      <c r="F482" s="4">
        <v>8107</v>
      </c>
      <c r="G482" s="4">
        <v>445718</v>
      </c>
      <c r="H482" s="4">
        <v>26403</v>
      </c>
      <c r="I482" s="4">
        <v>14234</v>
      </c>
      <c r="J482" s="4">
        <v>494462</v>
      </c>
      <c r="K482" s="4">
        <v>40637</v>
      </c>
      <c r="L482" s="4">
        <v>355</v>
      </c>
      <c r="M482" s="4">
        <v>9201</v>
      </c>
      <c r="N482" s="4">
        <v>11018</v>
      </c>
      <c r="O482" s="4">
        <v>20574</v>
      </c>
      <c r="P482" s="4">
        <v>50</v>
      </c>
      <c r="Q482" s="4">
        <v>2523</v>
      </c>
      <c r="R482" s="4">
        <v>3535</v>
      </c>
      <c r="S482" s="4">
        <v>1397</v>
      </c>
      <c r="T482" s="4">
        <v>7505</v>
      </c>
      <c r="U482" s="4">
        <v>4932</v>
      </c>
    </row>
    <row r="483" spans="1:27" ht="12.5" x14ac:dyDescent="0.25">
      <c r="A483" s="20">
        <v>44372</v>
      </c>
      <c r="B483" s="4">
        <v>56371</v>
      </c>
      <c r="C483" s="4">
        <v>1835061</v>
      </c>
      <c r="D483" s="4">
        <v>181435</v>
      </c>
      <c r="E483" s="4">
        <v>2072867</v>
      </c>
      <c r="F483" s="4">
        <v>8177</v>
      </c>
      <c r="G483" s="4">
        <v>448288</v>
      </c>
      <c r="H483" s="4">
        <v>29325</v>
      </c>
      <c r="I483" s="4">
        <v>15606</v>
      </c>
      <c r="J483" s="4">
        <v>501396</v>
      </c>
      <c r="K483" s="4">
        <v>44931</v>
      </c>
      <c r="L483" s="4">
        <v>422</v>
      </c>
      <c r="M483" s="4">
        <v>8557</v>
      </c>
      <c r="N483" s="4">
        <v>9893</v>
      </c>
      <c r="O483" s="4">
        <v>18872</v>
      </c>
      <c r="P483" s="4">
        <v>70</v>
      </c>
      <c r="Q483" s="4">
        <v>2570</v>
      </c>
      <c r="R483" s="4">
        <v>2922</v>
      </c>
      <c r="S483" s="4">
        <v>1372</v>
      </c>
      <c r="T483" s="4">
        <v>6934</v>
      </c>
      <c r="U483" s="4">
        <v>4294</v>
      </c>
    </row>
    <row r="484" spans="1:27" ht="14.5" x14ac:dyDescent="0.35">
      <c r="A484" s="20">
        <v>44373</v>
      </c>
      <c r="B484" s="6">
        <v>56729</v>
      </c>
      <c r="C484" s="6">
        <v>1842457</v>
      </c>
      <c r="D484" s="6">
        <v>194776</v>
      </c>
      <c r="E484" s="6">
        <v>2093962</v>
      </c>
      <c r="F484" s="6">
        <v>8220</v>
      </c>
      <c r="G484" s="6">
        <v>451013</v>
      </c>
      <c r="H484" s="6">
        <v>33829</v>
      </c>
      <c r="I484" s="6">
        <v>17605</v>
      </c>
      <c r="J484" s="6">
        <v>510667</v>
      </c>
      <c r="K484" s="6">
        <v>51434</v>
      </c>
      <c r="L484" s="6">
        <v>358</v>
      </c>
      <c r="M484" s="6">
        <v>7396</v>
      </c>
      <c r="N484" s="6">
        <v>13341</v>
      </c>
      <c r="O484" s="6">
        <v>21095</v>
      </c>
      <c r="P484" s="6">
        <v>43</v>
      </c>
      <c r="Q484" s="6">
        <v>2725</v>
      </c>
      <c r="R484" s="6">
        <v>4504</v>
      </c>
      <c r="S484" s="6">
        <v>1999</v>
      </c>
      <c r="T484" s="6">
        <v>9271</v>
      </c>
      <c r="U484" s="25">
        <v>6503</v>
      </c>
      <c r="V484" s="12"/>
      <c r="W484" s="12"/>
      <c r="X484" s="12"/>
      <c r="Y484" s="12"/>
      <c r="Z484" s="12"/>
      <c r="AA484" s="12"/>
    </row>
    <row r="485" spans="1:27" ht="12.5" x14ac:dyDescent="0.25">
      <c r="A485" s="20">
        <v>44374</v>
      </c>
      <c r="B485" s="4">
        <v>57138</v>
      </c>
      <c r="C485" s="4">
        <v>1850481</v>
      </c>
      <c r="D485" s="4">
        <v>207685</v>
      </c>
      <c r="E485" s="4">
        <v>2115304</v>
      </c>
      <c r="F485" s="4">
        <v>8269</v>
      </c>
      <c r="G485" s="4">
        <v>454497</v>
      </c>
      <c r="H485" s="4">
        <v>38464</v>
      </c>
      <c r="I485" s="4">
        <v>18831</v>
      </c>
      <c r="J485" s="4">
        <v>520061</v>
      </c>
      <c r="K485" s="4">
        <v>57295</v>
      </c>
      <c r="L485" s="4">
        <v>409</v>
      </c>
      <c r="M485" s="4">
        <v>8024</v>
      </c>
      <c r="N485" s="4">
        <v>12909</v>
      </c>
      <c r="O485" s="4">
        <v>21342</v>
      </c>
      <c r="P485" s="4">
        <v>49</v>
      </c>
      <c r="Q485" s="4">
        <v>3484</v>
      </c>
      <c r="R485" s="4">
        <v>4635</v>
      </c>
      <c r="S485" s="4">
        <v>1226</v>
      </c>
      <c r="T485" s="4">
        <v>9394</v>
      </c>
      <c r="U485" s="4">
        <v>5861</v>
      </c>
    </row>
    <row r="486" spans="1:27" ht="13" x14ac:dyDescent="0.3">
      <c r="A486" s="20">
        <v>44375</v>
      </c>
      <c r="B486" s="7">
        <v>57561</v>
      </c>
      <c r="C486" s="7">
        <v>1859961</v>
      </c>
      <c r="D486" s="7">
        <v>218476</v>
      </c>
      <c r="E486" s="7">
        <v>2135998</v>
      </c>
      <c r="F486" s="7">
        <v>8348</v>
      </c>
      <c r="G486" s="7">
        <v>457935</v>
      </c>
      <c r="H486" s="7">
        <v>42252</v>
      </c>
      <c r="I486" s="7">
        <v>19874</v>
      </c>
      <c r="J486" s="7">
        <v>528409</v>
      </c>
      <c r="K486" s="7">
        <v>62126</v>
      </c>
      <c r="L486" s="40">
        <v>423</v>
      </c>
      <c r="M486" s="40">
        <v>9480</v>
      </c>
      <c r="N486" s="40">
        <v>10791</v>
      </c>
      <c r="O486" s="40">
        <v>20694</v>
      </c>
      <c r="P486" s="40">
        <v>79</v>
      </c>
      <c r="Q486" s="41">
        <v>3438</v>
      </c>
      <c r="R486" s="40">
        <v>3788</v>
      </c>
      <c r="S486" s="40">
        <v>1043</v>
      </c>
      <c r="T486" s="40">
        <v>8348</v>
      </c>
      <c r="U486" s="41">
        <v>4831</v>
      </c>
    </row>
    <row r="487" spans="1:27" ht="14.5" x14ac:dyDescent="0.35">
      <c r="A487" s="20">
        <v>44376</v>
      </c>
      <c r="B487" s="6">
        <v>58024</v>
      </c>
      <c r="C487" s="6">
        <v>1869606</v>
      </c>
      <c r="D487" s="6">
        <v>228835</v>
      </c>
      <c r="E487" s="6">
        <v>2156465</v>
      </c>
      <c r="F487" s="6">
        <v>8426</v>
      </c>
      <c r="G487" s="6">
        <v>461439</v>
      </c>
      <c r="H487" s="6">
        <v>45504</v>
      </c>
      <c r="I487" s="6">
        <v>20419</v>
      </c>
      <c r="J487" s="6">
        <v>535788</v>
      </c>
      <c r="K487" s="6">
        <v>65923</v>
      </c>
      <c r="L487" s="35">
        <v>463</v>
      </c>
      <c r="M487" s="35">
        <v>9645</v>
      </c>
      <c r="N487" s="35">
        <v>10359</v>
      </c>
      <c r="O487" s="35">
        <v>20467</v>
      </c>
      <c r="P487" s="35">
        <v>78</v>
      </c>
      <c r="Q487" s="37">
        <v>3504</v>
      </c>
      <c r="R487" s="35">
        <v>3252</v>
      </c>
      <c r="S487" s="35">
        <v>545</v>
      </c>
      <c r="T487" s="35">
        <v>7379</v>
      </c>
      <c r="U487" s="37">
        <v>3797</v>
      </c>
    </row>
    <row r="488" spans="1:27" ht="12.5" x14ac:dyDescent="0.25">
      <c r="A488" s="20">
        <v>44377</v>
      </c>
      <c r="B488" s="4">
        <v>58491</v>
      </c>
      <c r="C488" s="4">
        <v>1880413</v>
      </c>
      <c r="D488" s="4">
        <v>239368</v>
      </c>
      <c r="E488" s="4">
        <v>2178272</v>
      </c>
      <c r="F488" s="4">
        <v>8486</v>
      </c>
      <c r="G488" s="4">
        <v>464943</v>
      </c>
      <c r="H488" s="4">
        <v>47829</v>
      </c>
      <c r="I488" s="4">
        <v>22210</v>
      </c>
      <c r="J488" s="4">
        <v>543468</v>
      </c>
      <c r="K488" s="4">
        <v>70039</v>
      </c>
      <c r="L488" s="4">
        <v>467</v>
      </c>
      <c r="M488" s="4">
        <v>10807</v>
      </c>
      <c r="N488" s="4">
        <v>10533</v>
      </c>
      <c r="O488" s="4">
        <v>21807</v>
      </c>
      <c r="P488" s="4">
        <v>60</v>
      </c>
      <c r="Q488" s="4">
        <v>3504</v>
      </c>
      <c r="R488" s="4">
        <v>2325</v>
      </c>
      <c r="S488" s="4">
        <v>1791</v>
      </c>
      <c r="T488" s="4">
        <v>7680</v>
      </c>
      <c r="U488" s="4">
        <v>4116</v>
      </c>
    </row>
    <row r="489" spans="1:27" ht="12.5" x14ac:dyDescent="0.25">
      <c r="A489" s="20">
        <v>44378</v>
      </c>
      <c r="B489" s="4">
        <v>58995</v>
      </c>
      <c r="C489" s="4">
        <v>1890287</v>
      </c>
      <c r="D489" s="4">
        <v>253826</v>
      </c>
      <c r="E489" s="4">
        <v>2203108</v>
      </c>
      <c r="F489" s="4">
        <v>8528</v>
      </c>
      <c r="G489" s="4">
        <v>468461</v>
      </c>
      <c r="H489" s="4">
        <v>49836</v>
      </c>
      <c r="I489" s="4">
        <v>24184</v>
      </c>
      <c r="J489" s="4">
        <v>551009</v>
      </c>
      <c r="K489" s="4">
        <v>74020</v>
      </c>
      <c r="L489" s="4">
        <v>504</v>
      </c>
      <c r="M489" s="4">
        <v>9874</v>
      </c>
      <c r="N489" s="4">
        <v>14458</v>
      </c>
      <c r="O489" s="4">
        <v>24836</v>
      </c>
      <c r="P489" s="4">
        <v>42</v>
      </c>
      <c r="Q489" s="4">
        <v>3518</v>
      </c>
      <c r="R489" s="4">
        <v>2007</v>
      </c>
      <c r="S489" s="4">
        <v>1974</v>
      </c>
      <c r="T489" s="4">
        <v>7541</v>
      </c>
      <c r="U489" s="4">
        <v>3981</v>
      </c>
    </row>
    <row r="490" spans="1:27" ht="14.5" x14ac:dyDescent="0.35">
      <c r="A490" s="20">
        <v>44379</v>
      </c>
      <c r="B490" s="15">
        <v>59534</v>
      </c>
      <c r="C490" s="15">
        <v>1901865</v>
      </c>
      <c r="D490" s="6">
        <v>267539</v>
      </c>
      <c r="E490" s="15">
        <v>2228938</v>
      </c>
      <c r="F490" s="6">
        <v>8547</v>
      </c>
      <c r="G490" s="6">
        <v>473467</v>
      </c>
      <c r="H490" s="6">
        <v>53014</v>
      </c>
      <c r="I490" s="6">
        <v>25380</v>
      </c>
      <c r="J490" s="6">
        <v>560408</v>
      </c>
      <c r="K490" s="6">
        <v>78394</v>
      </c>
      <c r="L490" s="6">
        <v>539</v>
      </c>
      <c r="M490" s="6">
        <v>11578</v>
      </c>
      <c r="N490" s="6">
        <v>13713</v>
      </c>
      <c r="O490" s="6">
        <v>25830</v>
      </c>
      <c r="P490" s="6">
        <v>19</v>
      </c>
      <c r="Q490" s="6">
        <v>5006</v>
      </c>
      <c r="R490" s="6">
        <v>3178</v>
      </c>
      <c r="S490" s="6">
        <v>1196</v>
      </c>
      <c r="T490" s="6">
        <v>9399</v>
      </c>
      <c r="U490" s="25">
        <v>4374</v>
      </c>
      <c r="V490" s="12"/>
      <c r="W490" s="12"/>
      <c r="X490" s="12"/>
      <c r="Y490" s="12"/>
      <c r="Z490" s="12"/>
      <c r="AA490" s="12"/>
    </row>
    <row r="491" spans="1:27" ht="14.5" x14ac:dyDescent="0.35">
      <c r="A491" s="20">
        <v>44380</v>
      </c>
      <c r="B491" s="6">
        <v>60027</v>
      </c>
      <c r="C491" s="6">
        <v>1915147</v>
      </c>
      <c r="D491" s="6">
        <v>281677</v>
      </c>
      <c r="E491" s="6">
        <v>2256851</v>
      </c>
      <c r="F491" s="6">
        <v>8577</v>
      </c>
      <c r="G491" s="6">
        <v>479150</v>
      </c>
      <c r="H491" s="6">
        <v>54941</v>
      </c>
      <c r="I491" s="6">
        <v>27442</v>
      </c>
      <c r="J491" s="6">
        <v>570110</v>
      </c>
      <c r="K491" s="6">
        <v>82383</v>
      </c>
      <c r="L491" s="35">
        <v>493</v>
      </c>
      <c r="M491" s="35">
        <v>13282</v>
      </c>
      <c r="N491" s="35">
        <v>14138</v>
      </c>
      <c r="O491" s="35">
        <v>27913</v>
      </c>
      <c r="P491" s="35">
        <v>30</v>
      </c>
      <c r="Q491" s="37">
        <v>5683</v>
      </c>
      <c r="R491" s="35">
        <v>1927</v>
      </c>
      <c r="S491" s="35">
        <v>2062</v>
      </c>
      <c r="T491" s="35">
        <v>9702</v>
      </c>
      <c r="U491" s="37">
        <v>3989</v>
      </c>
    </row>
    <row r="492" spans="1:27" ht="14.5" x14ac:dyDescent="0.35">
      <c r="A492" s="20">
        <v>44381</v>
      </c>
      <c r="B492" s="15">
        <v>60582</v>
      </c>
      <c r="C492" s="6">
        <v>1928274</v>
      </c>
      <c r="D492" s="6">
        <v>295228</v>
      </c>
      <c r="E492" s="6">
        <v>2284084</v>
      </c>
      <c r="F492" s="6">
        <v>8652</v>
      </c>
      <c r="G492" s="6">
        <v>484949</v>
      </c>
      <c r="H492" s="6">
        <v>59307</v>
      </c>
      <c r="I492" s="6">
        <v>27687</v>
      </c>
      <c r="J492" s="6">
        <v>580595</v>
      </c>
      <c r="K492" s="6">
        <v>86994</v>
      </c>
      <c r="L492" s="6">
        <v>555</v>
      </c>
      <c r="M492" s="6">
        <v>13127</v>
      </c>
      <c r="N492" s="6">
        <v>13551</v>
      </c>
      <c r="O492" s="6">
        <v>27233</v>
      </c>
      <c r="P492" s="6">
        <v>75</v>
      </c>
      <c r="Q492" s="6">
        <v>5799</v>
      </c>
      <c r="R492" s="6">
        <v>4366</v>
      </c>
      <c r="S492" s="6">
        <v>245</v>
      </c>
      <c r="T492" s="6">
        <v>10485</v>
      </c>
      <c r="U492" s="25">
        <v>4611</v>
      </c>
      <c r="V492" s="12"/>
      <c r="W492" s="12"/>
      <c r="X492" s="12"/>
      <c r="Y492" s="12"/>
      <c r="Z492" s="12"/>
      <c r="AA492" s="12"/>
    </row>
    <row r="493" spans="1:27" ht="12.5" x14ac:dyDescent="0.25">
      <c r="A493" s="20">
        <v>44382</v>
      </c>
      <c r="B493" s="4">
        <v>61140</v>
      </c>
      <c r="C493" s="4">
        <v>1942690</v>
      </c>
      <c r="D493" s="4">
        <v>309999</v>
      </c>
      <c r="E493" s="4">
        <v>2313829</v>
      </c>
      <c r="F493" s="4">
        <v>8779</v>
      </c>
      <c r="G493" s="4">
        <v>491556</v>
      </c>
      <c r="H493" s="4">
        <v>62873</v>
      </c>
      <c r="I493" s="4">
        <v>28290</v>
      </c>
      <c r="J493" s="4">
        <v>591498</v>
      </c>
      <c r="K493" s="4">
        <v>91163</v>
      </c>
      <c r="L493" s="4">
        <v>558</v>
      </c>
      <c r="M493" s="4">
        <v>14416</v>
      </c>
      <c r="N493" s="4">
        <v>14771</v>
      </c>
      <c r="O493" s="4">
        <v>29745</v>
      </c>
      <c r="P493" s="4">
        <v>127</v>
      </c>
      <c r="Q493" s="4">
        <v>6607</v>
      </c>
      <c r="R493" s="4">
        <v>3566</v>
      </c>
      <c r="S493" s="4">
        <v>603</v>
      </c>
      <c r="T493" s="4">
        <v>10903</v>
      </c>
      <c r="U493" s="4">
        <v>4169</v>
      </c>
    </row>
    <row r="494" spans="1:27" ht="12.5" x14ac:dyDescent="0.25">
      <c r="A494" s="20">
        <v>44383</v>
      </c>
      <c r="B494" s="4">
        <v>61868</v>
      </c>
      <c r="C494" s="4">
        <v>1958553</v>
      </c>
      <c r="D494" s="4">
        <v>324597</v>
      </c>
      <c r="E494" s="4">
        <v>2345018</v>
      </c>
      <c r="F494" s="4">
        <v>8861</v>
      </c>
      <c r="G494" s="4">
        <v>497492</v>
      </c>
      <c r="H494" s="4">
        <v>65448</v>
      </c>
      <c r="I494" s="4">
        <v>29136</v>
      </c>
      <c r="J494" s="4">
        <v>600937</v>
      </c>
      <c r="K494" s="4">
        <v>94584</v>
      </c>
      <c r="L494" s="4">
        <v>728</v>
      </c>
      <c r="M494" s="4">
        <v>15863</v>
      </c>
      <c r="N494" s="4">
        <v>14598</v>
      </c>
      <c r="O494" s="4">
        <v>31189</v>
      </c>
      <c r="P494" s="4">
        <v>82</v>
      </c>
      <c r="Q494" s="4">
        <v>5936</v>
      </c>
      <c r="R494" s="4">
        <v>2575</v>
      </c>
      <c r="S494" s="4">
        <v>846</v>
      </c>
      <c r="T494" s="4">
        <v>9439</v>
      </c>
      <c r="U494" s="4">
        <v>3421</v>
      </c>
    </row>
    <row r="495" spans="1:27" ht="14.5" x14ac:dyDescent="0.35">
      <c r="A495" s="20">
        <v>44384</v>
      </c>
      <c r="B495" s="6">
        <v>62908</v>
      </c>
      <c r="C495" s="6">
        <v>1973388</v>
      </c>
      <c r="D495" s="6">
        <v>343101</v>
      </c>
      <c r="E495" s="6">
        <v>2379397</v>
      </c>
      <c r="F495" s="6">
        <v>9042</v>
      </c>
      <c r="G495" s="6">
        <v>501199</v>
      </c>
      <c r="H495" s="6">
        <v>69644</v>
      </c>
      <c r="I495" s="6">
        <v>30418</v>
      </c>
      <c r="J495" s="6">
        <v>610303</v>
      </c>
      <c r="K495" s="6">
        <v>100062</v>
      </c>
      <c r="L495" s="35">
        <v>1040</v>
      </c>
      <c r="M495" s="35">
        <v>14835</v>
      </c>
      <c r="N495" s="35">
        <v>18504</v>
      </c>
      <c r="O495" s="35">
        <v>34379</v>
      </c>
      <c r="P495" s="35">
        <v>181</v>
      </c>
      <c r="Q495" s="37">
        <v>3707</v>
      </c>
      <c r="R495" s="35">
        <v>4196</v>
      </c>
      <c r="S495" s="35">
        <v>1282</v>
      </c>
      <c r="T495" s="35">
        <v>9366</v>
      </c>
      <c r="U495" s="37">
        <v>5478</v>
      </c>
    </row>
    <row r="496" spans="1:27" ht="14.5" x14ac:dyDescent="0.35">
      <c r="A496" s="20">
        <v>44385</v>
      </c>
      <c r="B496" s="6">
        <v>63760</v>
      </c>
      <c r="C496" s="6">
        <v>1994573</v>
      </c>
      <c r="D496" s="6">
        <v>359455</v>
      </c>
      <c r="E496" s="6">
        <v>2417788</v>
      </c>
      <c r="F496" s="6">
        <v>9110</v>
      </c>
      <c r="G496" s="6">
        <v>512085</v>
      </c>
      <c r="H496" s="6">
        <v>72361</v>
      </c>
      <c r="I496" s="6">
        <v>29721</v>
      </c>
      <c r="J496" s="6">
        <v>623277</v>
      </c>
      <c r="K496" s="6">
        <v>102082</v>
      </c>
      <c r="L496" s="35">
        <v>852</v>
      </c>
      <c r="M496" s="35">
        <v>21185</v>
      </c>
      <c r="N496" s="35">
        <v>16354</v>
      </c>
      <c r="O496" s="35">
        <v>38391</v>
      </c>
      <c r="P496" s="35">
        <v>68</v>
      </c>
      <c r="Q496" s="37">
        <v>10886</v>
      </c>
      <c r="R496" s="35">
        <v>2717</v>
      </c>
      <c r="S496" s="35">
        <v>-697</v>
      </c>
      <c r="T496" s="35">
        <v>12974</v>
      </c>
      <c r="U496" s="37">
        <v>2020</v>
      </c>
    </row>
    <row r="497" spans="1:27" ht="12.5" x14ac:dyDescent="0.25">
      <c r="A497" s="20">
        <v>44386</v>
      </c>
      <c r="B497" s="4">
        <v>64631</v>
      </c>
      <c r="C497" s="4">
        <v>2023548</v>
      </c>
      <c r="D497" s="4">
        <v>367733</v>
      </c>
      <c r="E497" s="4">
        <v>2455912</v>
      </c>
      <c r="F497" s="4">
        <v>9306</v>
      </c>
      <c r="G497" s="4">
        <v>526941</v>
      </c>
      <c r="H497" s="4">
        <v>73239</v>
      </c>
      <c r="I497" s="4">
        <v>26903</v>
      </c>
      <c r="J497" s="4">
        <v>636389</v>
      </c>
      <c r="K497" s="4">
        <v>100142</v>
      </c>
      <c r="L497" s="4">
        <v>871</v>
      </c>
      <c r="M497" s="4">
        <v>28975</v>
      </c>
      <c r="N497" s="4">
        <v>8278</v>
      </c>
      <c r="O497" s="4">
        <v>38124</v>
      </c>
      <c r="P497" s="4">
        <v>196</v>
      </c>
      <c r="Q497" s="4">
        <v>14856</v>
      </c>
      <c r="R497" s="4">
        <v>878</v>
      </c>
      <c r="S497" s="4">
        <v>-2818</v>
      </c>
      <c r="T497" s="4">
        <v>13112</v>
      </c>
      <c r="U497" s="4">
        <v>-1940</v>
      </c>
    </row>
    <row r="498" spans="1:27" ht="12.5" x14ac:dyDescent="0.25">
      <c r="A498" s="2">
        <v>44387</v>
      </c>
      <c r="B498" s="4">
        <v>65457</v>
      </c>
      <c r="C498" s="4">
        <v>2052109</v>
      </c>
      <c r="D498" s="4">
        <v>373440</v>
      </c>
      <c r="E498" s="4">
        <v>2491006</v>
      </c>
      <c r="F498" s="4">
        <v>9357</v>
      </c>
      <c r="G498" s="4">
        <v>543867</v>
      </c>
      <c r="H498" s="4">
        <v>71812</v>
      </c>
      <c r="I498" s="4">
        <v>24273</v>
      </c>
      <c r="J498" s="4">
        <v>649309</v>
      </c>
      <c r="K498" s="4">
        <v>96085</v>
      </c>
      <c r="L498" s="4">
        <v>826</v>
      </c>
      <c r="M498" s="4">
        <v>28561</v>
      </c>
      <c r="N498" s="4">
        <v>5707</v>
      </c>
      <c r="O498" s="4">
        <v>35094</v>
      </c>
      <c r="P498" s="4">
        <v>51</v>
      </c>
      <c r="Q498" s="4">
        <v>16926</v>
      </c>
      <c r="R498" s="4">
        <v>-1427</v>
      </c>
      <c r="S498" s="4">
        <v>-2630</v>
      </c>
      <c r="T498" s="4">
        <v>12920</v>
      </c>
      <c r="U498" s="4">
        <v>-4057</v>
      </c>
    </row>
    <row r="499" spans="1:27" ht="14.5" x14ac:dyDescent="0.35">
      <c r="A499" s="2">
        <v>44388</v>
      </c>
      <c r="B499" s="6">
        <v>66464</v>
      </c>
      <c r="C499" s="6">
        <v>2084724</v>
      </c>
      <c r="D499" s="6">
        <v>376015</v>
      </c>
      <c r="E499" s="6">
        <v>2527203</v>
      </c>
      <c r="F499" s="6">
        <v>9395</v>
      </c>
      <c r="G499" s="6">
        <v>564437</v>
      </c>
      <c r="H499" s="6">
        <v>68251</v>
      </c>
      <c r="I499" s="6">
        <v>20359</v>
      </c>
      <c r="J499" s="6">
        <v>662442</v>
      </c>
      <c r="K499" s="6">
        <v>88610</v>
      </c>
      <c r="L499" s="6">
        <v>1007</v>
      </c>
      <c r="M499" s="6">
        <v>32615</v>
      </c>
      <c r="N499" s="6">
        <v>2575</v>
      </c>
      <c r="O499" s="6">
        <v>36197</v>
      </c>
      <c r="P499" s="6">
        <v>38</v>
      </c>
      <c r="Q499" s="6">
        <v>20570</v>
      </c>
      <c r="R499" s="6">
        <v>-3561</v>
      </c>
      <c r="S499" s="6">
        <v>-3914</v>
      </c>
      <c r="T499" s="6">
        <v>13133</v>
      </c>
      <c r="U499" s="25">
        <v>-7475</v>
      </c>
      <c r="V499" s="12"/>
      <c r="W499" s="12"/>
      <c r="X499" s="12"/>
      <c r="Y499" s="12"/>
      <c r="Z499" s="12"/>
      <c r="AA499" s="12"/>
    </row>
    <row r="500" spans="1:27" ht="14.5" x14ac:dyDescent="0.35">
      <c r="A500" s="2">
        <v>44389</v>
      </c>
      <c r="B500" s="4">
        <v>67355</v>
      </c>
      <c r="C500" s="4">
        <v>2119478</v>
      </c>
      <c r="D500" s="4">
        <v>380797</v>
      </c>
      <c r="E500" s="4">
        <v>2567630</v>
      </c>
      <c r="F500" s="10">
        <v>9462</v>
      </c>
      <c r="G500" s="4">
        <v>584912</v>
      </c>
      <c r="H500" s="4">
        <v>66581</v>
      </c>
      <c r="I500" s="4">
        <v>16106</v>
      </c>
      <c r="J500" s="4">
        <v>677061</v>
      </c>
      <c r="K500" s="4">
        <v>82687</v>
      </c>
      <c r="L500" s="6">
        <v>891</v>
      </c>
      <c r="M500" s="4">
        <v>34754</v>
      </c>
      <c r="N500" s="4">
        <v>4782</v>
      </c>
      <c r="O500" s="4">
        <v>40427</v>
      </c>
      <c r="P500" s="4">
        <v>67</v>
      </c>
      <c r="Q500" s="4">
        <v>20475</v>
      </c>
      <c r="R500" s="4">
        <v>-1670</v>
      </c>
      <c r="S500" s="4">
        <v>-4253</v>
      </c>
      <c r="T500" s="4">
        <v>14619</v>
      </c>
      <c r="U500" s="4">
        <v>-5923</v>
      </c>
    </row>
    <row r="501" spans="1:27" ht="12.5" x14ac:dyDescent="0.25">
      <c r="A501" s="2">
        <v>44390</v>
      </c>
      <c r="B501" s="4">
        <v>68219</v>
      </c>
      <c r="C501" s="4">
        <v>2139601</v>
      </c>
      <c r="D501" s="4">
        <v>407709</v>
      </c>
      <c r="E501" s="4">
        <v>2615529</v>
      </c>
      <c r="F501" s="4">
        <v>9541</v>
      </c>
      <c r="G501" s="4">
        <v>589486</v>
      </c>
      <c r="H501" s="4">
        <v>71848</v>
      </c>
      <c r="I501" s="4">
        <v>18368</v>
      </c>
      <c r="J501" s="4">
        <v>689243</v>
      </c>
      <c r="K501" s="4">
        <v>90216</v>
      </c>
      <c r="L501" s="4">
        <v>864</v>
      </c>
      <c r="M501" s="4">
        <v>20123</v>
      </c>
      <c r="N501" s="4">
        <v>26912</v>
      </c>
      <c r="O501" s="4">
        <v>47899</v>
      </c>
      <c r="P501" s="4">
        <v>79</v>
      </c>
      <c r="Q501" s="4">
        <v>4574</v>
      </c>
      <c r="R501" s="4">
        <v>5267</v>
      </c>
      <c r="S501" s="4">
        <v>2262</v>
      </c>
      <c r="T501" s="4">
        <v>12182</v>
      </c>
      <c r="U501" s="4">
        <v>7529</v>
      </c>
    </row>
    <row r="502" spans="1:27" ht="12.5" x14ac:dyDescent="0.25">
      <c r="A502" s="2">
        <v>44391</v>
      </c>
      <c r="B502" s="4">
        <v>69210</v>
      </c>
      <c r="C502" s="4">
        <v>2157363</v>
      </c>
      <c r="D502" s="4">
        <v>443473</v>
      </c>
      <c r="E502" s="4">
        <v>2670046</v>
      </c>
      <c r="F502" s="4">
        <v>9603</v>
      </c>
      <c r="G502" s="4">
        <v>592556</v>
      </c>
      <c r="H502" s="4">
        <v>78571</v>
      </c>
      <c r="I502" s="4">
        <v>21180</v>
      </c>
      <c r="J502" s="4">
        <v>701910</v>
      </c>
      <c r="K502" s="4">
        <v>99751</v>
      </c>
      <c r="L502" s="4">
        <v>991</v>
      </c>
      <c r="M502" s="4">
        <v>17762</v>
      </c>
      <c r="N502" s="4">
        <v>35764</v>
      </c>
      <c r="O502" s="4">
        <v>54517</v>
      </c>
      <c r="P502" s="4">
        <v>62</v>
      </c>
      <c r="Q502" s="4">
        <v>3070</v>
      </c>
      <c r="R502" s="4">
        <v>6723</v>
      </c>
      <c r="S502" s="4">
        <v>2812</v>
      </c>
      <c r="T502" s="4">
        <v>12667</v>
      </c>
      <c r="U502" s="4">
        <v>9535</v>
      </c>
    </row>
    <row r="503" spans="1:27" ht="12.5" x14ac:dyDescent="0.25">
      <c r="A503" s="2">
        <v>44392</v>
      </c>
      <c r="B503" s="4">
        <v>70192</v>
      </c>
      <c r="C503" s="4">
        <v>2176412</v>
      </c>
      <c r="D503" s="4">
        <v>480199</v>
      </c>
      <c r="E503" s="4">
        <v>2726803</v>
      </c>
      <c r="F503" s="4">
        <v>9743</v>
      </c>
      <c r="G503" s="4">
        <v>595582</v>
      </c>
      <c r="H503" s="4">
        <v>86298</v>
      </c>
      <c r="I503" s="4">
        <v>22978</v>
      </c>
      <c r="J503" s="4">
        <v>714601</v>
      </c>
      <c r="K503" s="4">
        <v>109276</v>
      </c>
      <c r="L503" s="4">
        <v>982</v>
      </c>
      <c r="M503" s="4">
        <v>19049</v>
      </c>
      <c r="N503" s="4">
        <v>36726</v>
      </c>
      <c r="O503" s="4">
        <v>56757</v>
      </c>
      <c r="P503" s="4">
        <v>140</v>
      </c>
      <c r="Q503" s="4">
        <v>3026</v>
      </c>
      <c r="R503" s="4">
        <v>7727</v>
      </c>
      <c r="S503" s="4">
        <v>1798</v>
      </c>
      <c r="T503" s="4">
        <v>12691</v>
      </c>
      <c r="U503" s="4">
        <v>9525</v>
      </c>
    </row>
    <row r="504" spans="1:27" ht="14.5" x14ac:dyDescent="0.35">
      <c r="A504" s="42">
        <v>44393</v>
      </c>
      <c r="B504" s="6">
        <v>71397</v>
      </c>
      <c r="C504" s="6">
        <v>2204491</v>
      </c>
      <c r="D504" s="6">
        <v>504915</v>
      </c>
      <c r="E504" s="6">
        <v>2780803</v>
      </c>
      <c r="F504" s="6">
        <v>9845</v>
      </c>
      <c r="G504" s="6">
        <v>604034</v>
      </c>
      <c r="H504" s="6">
        <v>88294</v>
      </c>
      <c r="I504" s="6">
        <v>24843</v>
      </c>
      <c r="J504" s="6">
        <v>727016</v>
      </c>
      <c r="K504" s="6">
        <v>113137</v>
      </c>
      <c r="L504" s="6">
        <v>1205</v>
      </c>
      <c r="M504" s="6">
        <v>28079</v>
      </c>
      <c r="N504" s="6">
        <v>24716</v>
      </c>
      <c r="O504" s="6">
        <v>54000</v>
      </c>
      <c r="P504" s="6">
        <v>102</v>
      </c>
      <c r="Q504" s="6">
        <v>8452</v>
      </c>
      <c r="R504" s="6">
        <v>1996</v>
      </c>
      <c r="S504" s="6">
        <v>1865</v>
      </c>
      <c r="T504" s="6">
        <v>12415</v>
      </c>
      <c r="U504" s="25">
        <v>3861</v>
      </c>
      <c r="V504" s="12"/>
      <c r="W504" s="12"/>
      <c r="X504" s="12"/>
      <c r="Y504" s="12"/>
      <c r="Z504" s="12"/>
      <c r="AA504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53125" defaultRowHeight="15.75" customHeight="1" x14ac:dyDescent="0.25"/>
  <sheetData>
    <row r="1" spans="1:27" ht="15.75" customHeight="1" x14ac:dyDescent="0.25">
      <c r="A1" s="43" t="s">
        <v>0</v>
      </c>
      <c r="B1" s="44" t="s">
        <v>37</v>
      </c>
      <c r="C1" s="43" t="s">
        <v>38</v>
      </c>
      <c r="D1" s="43" t="s">
        <v>39</v>
      </c>
      <c r="E1" s="43" t="s">
        <v>40</v>
      </c>
      <c r="F1" s="43" t="s">
        <v>41</v>
      </c>
      <c r="G1" s="44" t="s">
        <v>42</v>
      </c>
      <c r="H1" s="43" t="s">
        <v>43</v>
      </c>
      <c r="I1" s="43" t="s">
        <v>44</v>
      </c>
      <c r="J1" s="43" t="s">
        <v>45</v>
      </c>
      <c r="K1" s="43" t="s">
        <v>46</v>
      </c>
      <c r="L1" s="44" t="s">
        <v>47</v>
      </c>
      <c r="M1" s="43" t="s">
        <v>48</v>
      </c>
      <c r="N1" s="43" t="s">
        <v>49</v>
      </c>
      <c r="O1" s="43" t="s">
        <v>50</v>
      </c>
      <c r="P1" s="43" t="s">
        <v>51</v>
      </c>
      <c r="Q1" s="44" t="s">
        <v>52</v>
      </c>
      <c r="R1" s="43" t="s">
        <v>53</v>
      </c>
      <c r="S1" s="43" t="s">
        <v>54</v>
      </c>
      <c r="T1" s="43" t="s">
        <v>55</v>
      </c>
      <c r="U1" s="43" t="s">
        <v>56</v>
      </c>
      <c r="V1" s="44" t="s">
        <v>57</v>
      </c>
      <c r="W1" s="43" t="s">
        <v>58</v>
      </c>
      <c r="X1" s="43" t="s">
        <v>59</v>
      </c>
      <c r="Y1" s="43" t="s">
        <v>60</v>
      </c>
      <c r="Z1" s="43" t="s">
        <v>61</v>
      </c>
      <c r="AA1" s="45" t="s">
        <v>62</v>
      </c>
    </row>
    <row r="2" spans="1:27" ht="15.75" customHeight="1" x14ac:dyDescent="0.25">
      <c r="A2" s="46">
        <v>44029</v>
      </c>
      <c r="B2" s="47">
        <v>5712</v>
      </c>
      <c r="F2" s="4">
        <v>5712</v>
      </c>
      <c r="G2" s="47">
        <v>78725</v>
      </c>
      <c r="I2" s="4">
        <v>5191</v>
      </c>
      <c r="K2" s="4">
        <v>73534</v>
      </c>
      <c r="L2" s="47">
        <v>1794</v>
      </c>
      <c r="N2" s="4">
        <v>41</v>
      </c>
      <c r="P2" s="4">
        <v>1753</v>
      </c>
      <c r="Q2" s="47">
        <v>42</v>
      </c>
      <c r="R2" s="4">
        <v>1</v>
      </c>
      <c r="T2" s="4">
        <v>4</v>
      </c>
      <c r="U2" s="4">
        <v>37</v>
      </c>
      <c r="V2" s="47">
        <v>51507</v>
      </c>
      <c r="W2" s="4">
        <v>981</v>
      </c>
      <c r="X2" s="4">
        <v>504</v>
      </c>
      <c r="Y2" s="4">
        <v>2194</v>
      </c>
      <c r="Z2" s="4">
        <v>47828</v>
      </c>
      <c r="AA2" s="48">
        <v>137780</v>
      </c>
    </row>
    <row r="3" spans="1:27" ht="15.75" customHeight="1" x14ac:dyDescent="0.25">
      <c r="A3" s="46">
        <v>44030</v>
      </c>
      <c r="B3" s="47">
        <v>5713</v>
      </c>
      <c r="F3" s="4">
        <v>5713</v>
      </c>
      <c r="G3" s="47">
        <v>80382</v>
      </c>
      <c r="I3" s="4">
        <v>6531</v>
      </c>
      <c r="K3" s="4">
        <v>73851</v>
      </c>
      <c r="L3" s="47">
        <v>1803</v>
      </c>
      <c r="N3" s="4">
        <v>45</v>
      </c>
      <c r="P3" s="4">
        <v>1758</v>
      </c>
      <c r="Q3" s="47">
        <v>42</v>
      </c>
      <c r="T3" s="4">
        <v>4</v>
      </c>
      <c r="U3" s="4">
        <v>38</v>
      </c>
      <c r="V3" s="47">
        <v>52081</v>
      </c>
      <c r="W3" s="4">
        <v>780</v>
      </c>
      <c r="X3" s="4">
        <v>584</v>
      </c>
      <c r="Y3" s="4">
        <v>2194</v>
      </c>
      <c r="Z3" s="4">
        <v>48523</v>
      </c>
      <c r="AA3" s="48">
        <v>140021</v>
      </c>
    </row>
    <row r="4" spans="1:27" ht="15.75" customHeight="1" x14ac:dyDescent="0.25">
      <c r="A4" s="46">
        <v>44031</v>
      </c>
      <c r="B4" s="47">
        <v>5713</v>
      </c>
      <c r="F4" s="4">
        <v>5713</v>
      </c>
      <c r="G4" s="47">
        <v>81327</v>
      </c>
      <c r="I4" s="4">
        <v>7372</v>
      </c>
      <c r="K4" s="4">
        <v>73955</v>
      </c>
      <c r="L4" s="47">
        <v>1803</v>
      </c>
      <c r="N4" s="4">
        <v>45</v>
      </c>
      <c r="P4" s="4">
        <v>1758</v>
      </c>
      <c r="Q4" s="47">
        <v>42</v>
      </c>
      <c r="T4" s="4">
        <v>4</v>
      </c>
      <c r="U4" s="4">
        <v>38</v>
      </c>
      <c r="V4" s="47">
        <v>52586</v>
      </c>
      <c r="W4" s="4">
        <v>1136</v>
      </c>
      <c r="X4" s="4">
        <v>610</v>
      </c>
      <c r="Y4" s="4">
        <v>2194</v>
      </c>
      <c r="Z4" s="4">
        <v>48646</v>
      </c>
      <c r="AA4" s="48">
        <v>141471</v>
      </c>
    </row>
    <row r="5" spans="1:27" ht="15.75" customHeight="1" x14ac:dyDescent="0.25">
      <c r="A5" s="46">
        <v>44032</v>
      </c>
      <c r="B5" s="47">
        <v>5713</v>
      </c>
      <c r="F5" s="4">
        <v>5713</v>
      </c>
      <c r="G5" s="47">
        <v>81739</v>
      </c>
      <c r="I5" s="4">
        <v>5547</v>
      </c>
      <c r="K5" s="4">
        <v>76192</v>
      </c>
      <c r="L5" s="47">
        <v>1809</v>
      </c>
      <c r="N5" s="4">
        <v>36</v>
      </c>
      <c r="P5" s="4">
        <v>1773</v>
      </c>
      <c r="Q5" s="47">
        <v>42</v>
      </c>
      <c r="T5" s="4">
        <v>4</v>
      </c>
      <c r="U5" s="4">
        <v>38</v>
      </c>
      <c r="V5" s="47">
        <v>52714</v>
      </c>
      <c r="W5" s="4">
        <v>1067</v>
      </c>
      <c r="X5" s="4">
        <v>602</v>
      </c>
      <c r="Y5" s="4">
        <v>2194</v>
      </c>
      <c r="Z5" s="4">
        <v>48851</v>
      </c>
      <c r="AA5" s="48">
        <v>142017</v>
      </c>
    </row>
    <row r="6" spans="1:27" ht="15.75" customHeight="1" x14ac:dyDescent="0.25">
      <c r="A6" s="46">
        <v>44033</v>
      </c>
      <c r="B6" s="47">
        <v>5643</v>
      </c>
      <c r="F6" s="4">
        <v>5643</v>
      </c>
      <c r="G6" s="47">
        <v>82860</v>
      </c>
      <c r="I6" s="4">
        <v>5934</v>
      </c>
      <c r="K6" s="4">
        <v>76926</v>
      </c>
      <c r="L6" s="47">
        <v>1824</v>
      </c>
      <c r="N6" s="4">
        <v>46</v>
      </c>
      <c r="P6" s="4">
        <v>1778</v>
      </c>
      <c r="Q6" s="47">
        <v>42</v>
      </c>
      <c r="T6" s="4">
        <v>4</v>
      </c>
      <c r="U6" s="4">
        <v>38</v>
      </c>
      <c r="V6" s="47">
        <v>52957</v>
      </c>
      <c r="W6" s="4">
        <v>1158</v>
      </c>
      <c r="X6" s="4">
        <v>725</v>
      </c>
      <c r="Y6" s="4">
        <v>2194</v>
      </c>
      <c r="Z6" s="4">
        <v>48880</v>
      </c>
      <c r="AA6" s="48">
        <v>143326</v>
      </c>
    </row>
    <row r="7" spans="1:27" ht="15.75" customHeight="1" x14ac:dyDescent="0.25">
      <c r="A7" s="46">
        <v>44034</v>
      </c>
      <c r="B7" s="47">
        <v>5591</v>
      </c>
      <c r="F7" s="4">
        <v>5591</v>
      </c>
      <c r="G7" s="47">
        <v>84560</v>
      </c>
      <c r="I7" s="4">
        <v>7159</v>
      </c>
      <c r="K7" s="4">
        <v>77401</v>
      </c>
      <c r="L7" s="47">
        <v>1838</v>
      </c>
      <c r="N7" s="4">
        <v>57</v>
      </c>
      <c r="P7" s="4">
        <v>1781</v>
      </c>
      <c r="Q7" s="47">
        <v>42</v>
      </c>
      <c r="T7" s="4">
        <v>4</v>
      </c>
      <c r="U7" s="4">
        <v>38</v>
      </c>
      <c r="V7" s="47">
        <v>53317</v>
      </c>
      <c r="W7" s="4">
        <v>1379</v>
      </c>
      <c r="X7" s="4">
        <v>877</v>
      </c>
      <c r="Y7" s="4">
        <v>2194</v>
      </c>
      <c r="Z7" s="4">
        <v>48867</v>
      </c>
      <c r="AA7" s="48">
        <v>145348</v>
      </c>
    </row>
    <row r="8" spans="1:27" ht="15.75" customHeight="1" x14ac:dyDescent="0.25">
      <c r="A8" s="46">
        <v>44035</v>
      </c>
      <c r="B8" s="47">
        <v>5591</v>
      </c>
      <c r="F8" s="4">
        <v>5591</v>
      </c>
      <c r="G8" s="47">
        <v>86226</v>
      </c>
      <c r="I8" s="4">
        <v>8411</v>
      </c>
      <c r="K8" s="4">
        <v>77815</v>
      </c>
      <c r="L8" s="47">
        <v>1870</v>
      </c>
      <c r="N8" s="4">
        <v>89</v>
      </c>
      <c r="P8" s="4">
        <v>1781</v>
      </c>
      <c r="Q8" s="47">
        <v>42</v>
      </c>
      <c r="T8" s="4">
        <v>4</v>
      </c>
      <c r="U8" s="4">
        <v>38</v>
      </c>
      <c r="V8" s="47">
        <v>53829</v>
      </c>
      <c r="W8" s="4">
        <v>1608</v>
      </c>
      <c r="X8" s="4">
        <v>1144</v>
      </c>
      <c r="Y8" s="4">
        <v>2194</v>
      </c>
      <c r="Z8" s="4">
        <v>48883</v>
      </c>
      <c r="AA8" s="48">
        <v>147558</v>
      </c>
    </row>
    <row r="9" spans="1:27" ht="15.75" customHeight="1" x14ac:dyDescent="0.25">
      <c r="A9" s="46">
        <v>44036</v>
      </c>
      <c r="B9" s="47">
        <v>5591</v>
      </c>
      <c r="F9" s="4">
        <v>5591</v>
      </c>
      <c r="G9" s="47">
        <v>88164</v>
      </c>
      <c r="I9" s="4">
        <v>8757</v>
      </c>
      <c r="K9" s="4">
        <v>79407</v>
      </c>
      <c r="L9" s="47">
        <v>1898</v>
      </c>
      <c r="N9" s="4">
        <v>94</v>
      </c>
      <c r="P9" s="4">
        <v>1804</v>
      </c>
      <c r="Q9" s="47">
        <v>42</v>
      </c>
      <c r="T9" s="4">
        <v>4</v>
      </c>
      <c r="U9" s="4">
        <v>38</v>
      </c>
      <c r="V9" s="47">
        <v>54401</v>
      </c>
      <c r="W9" s="4">
        <v>1860</v>
      </c>
      <c r="X9" s="4">
        <v>1440</v>
      </c>
      <c r="Y9" s="4">
        <v>2194</v>
      </c>
      <c r="Z9" s="4">
        <v>48907</v>
      </c>
      <c r="AA9" s="48">
        <v>150096</v>
      </c>
    </row>
    <row r="10" spans="1:27" ht="15.75" customHeight="1" x14ac:dyDescent="0.25">
      <c r="A10" s="46">
        <v>44037</v>
      </c>
      <c r="B10" s="47">
        <v>5591</v>
      </c>
      <c r="F10" s="4">
        <v>5591</v>
      </c>
      <c r="G10" s="47">
        <v>89710</v>
      </c>
      <c r="I10" s="4">
        <v>10002</v>
      </c>
      <c r="K10" s="4">
        <v>79708</v>
      </c>
      <c r="L10" s="47">
        <v>1923</v>
      </c>
      <c r="N10" s="4">
        <v>106</v>
      </c>
      <c r="P10" s="4">
        <v>1817</v>
      </c>
      <c r="Q10" s="47">
        <v>42</v>
      </c>
      <c r="T10" s="4">
        <v>4</v>
      </c>
      <c r="U10" s="4">
        <v>38</v>
      </c>
      <c r="V10" s="47">
        <v>55104</v>
      </c>
      <c r="W10" s="4">
        <v>2070</v>
      </c>
      <c r="X10" s="4">
        <v>1747</v>
      </c>
      <c r="Y10" s="4">
        <v>2194</v>
      </c>
      <c r="Z10" s="4">
        <v>49093</v>
      </c>
      <c r="AA10" s="48">
        <v>152370</v>
      </c>
    </row>
    <row r="11" spans="1:27" ht="15.75" customHeight="1" x14ac:dyDescent="0.25">
      <c r="A11" s="46">
        <v>44038</v>
      </c>
      <c r="B11" s="47">
        <v>5818</v>
      </c>
      <c r="E11" s="4">
        <v>1</v>
      </c>
      <c r="F11" s="4">
        <v>5817</v>
      </c>
      <c r="G11" s="47">
        <v>89951</v>
      </c>
      <c r="I11" s="4">
        <v>9666</v>
      </c>
      <c r="K11" s="4">
        <v>80285</v>
      </c>
      <c r="L11" s="47">
        <v>1928</v>
      </c>
      <c r="N11" s="4">
        <v>106</v>
      </c>
      <c r="P11" s="4">
        <v>1822</v>
      </c>
      <c r="Q11" s="47">
        <v>313</v>
      </c>
      <c r="T11" s="4">
        <v>275</v>
      </c>
      <c r="U11" s="4">
        <v>38</v>
      </c>
      <c r="V11" s="47">
        <v>55366</v>
      </c>
      <c r="W11" s="4">
        <v>1557</v>
      </c>
      <c r="X11" s="4">
        <v>1434</v>
      </c>
      <c r="Y11" s="4">
        <v>2226</v>
      </c>
      <c r="Z11" s="4">
        <v>50149</v>
      </c>
      <c r="AA11" s="48">
        <v>153376</v>
      </c>
    </row>
    <row r="12" spans="1:27" ht="15.75" customHeight="1" x14ac:dyDescent="0.25">
      <c r="A12" s="46">
        <v>44039</v>
      </c>
      <c r="B12" s="47">
        <v>5818</v>
      </c>
      <c r="E12" s="4">
        <v>1</v>
      </c>
      <c r="F12" s="4">
        <v>5817</v>
      </c>
      <c r="G12" s="47">
        <v>90652</v>
      </c>
      <c r="I12" s="4">
        <v>9452</v>
      </c>
      <c r="K12" s="4">
        <v>81200</v>
      </c>
      <c r="L12" s="47">
        <v>1931</v>
      </c>
      <c r="N12" s="4">
        <v>106</v>
      </c>
      <c r="P12" s="4">
        <v>1825</v>
      </c>
      <c r="Q12" s="47">
        <v>314</v>
      </c>
      <c r="T12" s="4">
        <v>276</v>
      </c>
      <c r="U12" s="4">
        <v>38</v>
      </c>
      <c r="V12" s="47">
        <v>55673</v>
      </c>
      <c r="W12" s="4">
        <v>1563</v>
      </c>
      <c r="X12" s="4">
        <v>1472</v>
      </c>
      <c r="Y12" s="4">
        <v>2226</v>
      </c>
      <c r="Z12" s="4">
        <v>50412</v>
      </c>
      <c r="AA12" s="48">
        <v>154388</v>
      </c>
    </row>
    <row r="13" spans="1:27" ht="15.75" customHeight="1" x14ac:dyDescent="0.25">
      <c r="A13" s="46">
        <v>44040</v>
      </c>
      <c r="B13" s="47">
        <v>5818</v>
      </c>
      <c r="E13" s="4">
        <v>1</v>
      </c>
      <c r="F13" s="4">
        <v>5817</v>
      </c>
      <c r="G13" s="47">
        <v>92456</v>
      </c>
      <c r="I13" s="4">
        <v>9901</v>
      </c>
      <c r="K13" s="4">
        <v>82555</v>
      </c>
      <c r="L13" s="47">
        <v>1944</v>
      </c>
      <c r="N13" s="4">
        <v>113</v>
      </c>
      <c r="P13" s="4">
        <v>1831</v>
      </c>
      <c r="Q13" s="47">
        <v>314</v>
      </c>
      <c r="T13" s="4">
        <v>276</v>
      </c>
      <c r="U13" s="4">
        <v>38</v>
      </c>
      <c r="V13" s="47">
        <v>56476</v>
      </c>
      <c r="W13" s="4">
        <v>1546</v>
      </c>
      <c r="X13" s="4">
        <v>1805</v>
      </c>
      <c r="Y13" s="4">
        <v>2226</v>
      </c>
      <c r="Z13" s="4">
        <v>50899</v>
      </c>
      <c r="AA13" s="48">
        <v>157008</v>
      </c>
    </row>
    <row r="14" spans="1:27" ht="15.75" customHeight="1" x14ac:dyDescent="0.25">
      <c r="A14" s="46">
        <v>44041</v>
      </c>
      <c r="B14" s="47">
        <v>5818</v>
      </c>
      <c r="E14" s="4">
        <v>1</v>
      </c>
      <c r="F14" s="4">
        <v>5817</v>
      </c>
      <c r="G14" s="47">
        <v>93944</v>
      </c>
      <c r="I14" s="4">
        <v>10371</v>
      </c>
      <c r="K14" s="4">
        <v>83573</v>
      </c>
      <c r="L14" s="47">
        <v>1968</v>
      </c>
      <c r="N14" s="4">
        <v>129</v>
      </c>
      <c r="P14" s="4">
        <v>1839</v>
      </c>
      <c r="Q14" s="47">
        <v>328</v>
      </c>
      <c r="T14" s="4">
        <v>290</v>
      </c>
      <c r="U14" s="4">
        <v>38</v>
      </c>
      <c r="V14" s="47">
        <v>57267</v>
      </c>
      <c r="W14" s="4">
        <v>1585</v>
      </c>
      <c r="X14" s="4">
        <v>2067</v>
      </c>
      <c r="Y14" s="4">
        <v>2226</v>
      </c>
      <c r="Z14" s="4">
        <v>51389</v>
      </c>
      <c r="AA14" s="48">
        <v>159325</v>
      </c>
    </row>
    <row r="15" spans="1:27" ht="15.75" customHeight="1" x14ac:dyDescent="0.25">
      <c r="A15" s="46">
        <v>44042</v>
      </c>
      <c r="B15" s="47">
        <v>5818</v>
      </c>
      <c r="E15" s="4">
        <v>1</v>
      </c>
      <c r="F15" s="4">
        <v>5817</v>
      </c>
      <c r="G15" s="47">
        <v>95827</v>
      </c>
      <c r="I15" s="4">
        <v>10663</v>
      </c>
      <c r="K15" s="4">
        <v>85164</v>
      </c>
      <c r="L15" s="47">
        <v>1999</v>
      </c>
      <c r="N15" s="4">
        <v>143</v>
      </c>
      <c r="P15" s="4">
        <v>1856</v>
      </c>
      <c r="Q15" s="47">
        <v>600</v>
      </c>
      <c r="T15" s="4">
        <v>562</v>
      </c>
      <c r="U15" s="4">
        <v>38</v>
      </c>
      <c r="V15" s="47">
        <v>58164</v>
      </c>
      <c r="W15" s="4">
        <v>1585</v>
      </c>
      <c r="X15" s="4">
        <v>2322</v>
      </c>
      <c r="Y15" s="4">
        <v>2226</v>
      </c>
      <c r="Z15" s="4">
        <v>52031</v>
      </c>
      <c r="AA15" s="48">
        <v>162408</v>
      </c>
    </row>
    <row r="16" spans="1:27" ht="15.75" customHeight="1" x14ac:dyDescent="0.25">
      <c r="A16" s="46">
        <v>44043</v>
      </c>
      <c r="B16" s="47">
        <v>5818</v>
      </c>
      <c r="E16" s="4">
        <v>1</v>
      </c>
      <c r="F16" s="4">
        <v>5817</v>
      </c>
      <c r="G16" s="47">
        <v>96920</v>
      </c>
      <c r="I16" s="4">
        <v>10389</v>
      </c>
      <c r="K16" s="4">
        <v>86531</v>
      </c>
      <c r="L16" s="47">
        <v>2004</v>
      </c>
      <c r="N16" s="4">
        <v>134</v>
      </c>
      <c r="P16" s="4">
        <v>1870</v>
      </c>
      <c r="Q16" s="47">
        <v>628</v>
      </c>
      <c r="T16" s="4">
        <v>590</v>
      </c>
      <c r="U16" s="4">
        <v>38</v>
      </c>
      <c r="V16" s="47">
        <v>58603</v>
      </c>
      <c r="W16" s="4">
        <v>1617</v>
      </c>
      <c r="X16" s="4">
        <v>2229</v>
      </c>
      <c r="Y16" s="4">
        <v>2226</v>
      </c>
      <c r="Z16" s="4">
        <v>52531</v>
      </c>
      <c r="AA16" s="48">
        <v>163973</v>
      </c>
    </row>
    <row r="17" spans="1:27" ht="15.75" customHeight="1" x14ac:dyDescent="0.25">
      <c r="A17" s="46">
        <v>44044</v>
      </c>
      <c r="B17" s="47">
        <v>5871</v>
      </c>
      <c r="E17" s="4">
        <v>1</v>
      </c>
      <c r="F17" s="4">
        <v>5870</v>
      </c>
      <c r="G17" s="47">
        <v>97630</v>
      </c>
      <c r="I17" s="4">
        <v>10873</v>
      </c>
      <c r="K17" s="4">
        <v>86757</v>
      </c>
      <c r="L17" s="47">
        <v>2009</v>
      </c>
      <c r="N17" s="4">
        <v>137</v>
      </c>
      <c r="P17" s="4">
        <v>1872</v>
      </c>
      <c r="Q17" s="47">
        <v>628</v>
      </c>
      <c r="T17" s="4">
        <v>590</v>
      </c>
      <c r="U17" s="4">
        <v>38</v>
      </c>
      <c r="V17" s="47">
        <v>58891</v>
      </c>
      <c r="W17" s="4">
        <v>1656</v>
      </c>
      <c r="X17" s="4">
        <v>2342</v>
      </c>
      <c r="Y17" s="4">
        <v>2226</v>
      </c>
      <c r="Z17" s="4">
        <v>52667</v>
      </c>
      <c r="AA17" s="48">
        <v>165029</v>
      </c>
    </row>
    <row r="18" spans="1:27" ht="15.75" customHeight="1" x14ac:dyDescent="0.25">
      <c r="A18" s="46">
        <v>44045</v>
      </c>
      <c r="B18" s="47">
        <v>6014</v>
      </c>
      <c r="E18" s="4">
        <v>1</v>
      </c>
      <c r="F18" s="4">
        <v>6013</v>
      </c>
      <c r="G18" s="47">
        <v>97755</v>
      </c>
      <c r="I18" s="4">
        <v>10747</v>
      </c>
      <c r="K18" s="4">
        <v>87008</v>
      </c>
      <c r="L18" s="47">
        <v>2009</v>
      </c>
      <c r="N18" s="4">
        <v>136</v>
      </c>
      <c r="P18" s="4">
        <v>1873</v>
      </c>
      <c r="Q18" s="47">
        <v>628</v>
      </c>
      <c r="T18" s="4">
        <v>590</v>
      </c>
      <c r="U18" s="4">
        <v>38</v>
      </c>
      <c r="V18" s="47">
        <v>59795</v>
      </c>
      <c r="W18" s="4">
        <v>1974</v>
      </c>
      <c r="X18" s="4">
        <v>2523</v>
      </c>
      <c r="Y18" s="4">
        <v>2226</v>
      </c>
      <c r="Z18" s="4">
        <v>53072</v>
      </c>
      <c r="AA18" s="48">
        <v>166201</v>
      </c>
    </row>
    <row r="19" spans="1:27" ht="15.75" customHeight="1" x14ac:dyDescent="0.25">
      <c r="A19" s="46">
        <v>44046</v>
      </c>
      <c r="B19" s="47">
        <v>6014</v>
      </c>
      <c r="E19" s="4">
        <v>1</v>
      </c>
      <c r="F19" s="4">
        <v>6013</v>
      </c>
      <c r="G19" s="47">
        <v>97872</v>
      </c>
      <c r="I19" s="4">
        <v>9436</v>
      </c>
      <c r="K19" s="4">
        <v>88436</v>
      </c>
      <c r="L19" s="47">
        <v>2009</v>
      </c>
      <c r="N19" s="4">
        <v>123</v>
      </c>
      <c r="P19" s="4">
        <v>1886</v>
      </c>
      <c r="Q19" s="47">
        <v>644</v>
      </c>
      <c r="T19" s="4">
        <v>606</v>
      </c>
      <c r="U19" s="4">
        <v>38</v>
      </c>
      <c r="V19" s="47">
        <v>60656</v>
      </c>
      <c r="W19" s="4">
        <v>1841</v>
      </c>
      <c r="X19" s="4">
        <v>3070</v>
      </c>
      <c r="Y19" s="4">
        <v>2226</v>
      </c>
      <c r="Z19" s="4">
        <v>53519</v>
      </c>
      <c r="AA19" s="48">
        <v>167195</v>
      </c>
    </row>
    <row r="20" spans="1:27" ht="15.75" customHeight="1" x14ac:dyDescent="0.25">
      <c r="A20" s="46">
        <v>44047</v>
      </c>
      <c r="B20" s="47">
        <v>6014</v>
      </c>
      <c r="E20" s="4">
        <v>1</v>
      </c>
      <c r="F20" s="4">
        <v>6013</v>
      </c>
      <c r="G20" s="47">
        <v>99037</v>
      </c>
      <c r="I20" s="4">
        <v>9278</v>
      </c>
      <c r="K20" s="4">
        <v>89759</v>
      </c>
      <c r="L20" s="47">
        <v>2024</v>
      </c>
      <c r="N20" s="4">
        <v>125</v>
      </c>
      <c r="P20" s="4">
        <v>1899</v>
      </c>
      <c r="Q20" s="47">
        <v>718</v>
      </c>
      <c r="T20" s="4">
        <v>680</v>
      </c>
      <c r="U20" s="4">
        <v>38</v>
      </c>
      <c r="V20" s="47">
        <v>61131</v>
      </c>
      <c r="W20" s="4">
        <v>1854</v>
      </c>
      <c r="X20" s="4">
        <v>3021</v>
      </c>
      <c r="Y20" s="4">
        <v>2258</v>
      </c>
      <c r="Z20" s="4">
        <v>53998</v>
      </c>
      <c r="AA20" s="48">
        <v>168924</v>
      </c>
    </row>
    <row r="21" spans="1:27" ht="15.75" customHeight="1" x14ac:dyDescent="0.25">
      <c r="A21" s="46">
        <v>44048</v>
      </c>
      <c r="B21" s="47">
        <v>6014</v>
      </c>
      <c r="E21" s="4">
        <v>1</v>
      </c>
      <c r="F21" s="4">
        <v>6013</v>
      </c>
      <c r="G21" s="47">
        <v>100777</v>
      </c>
      <c r="I21" s="4">
        <v>9281</v>
      </c>
      <c r="K21" s="4">
        <v>91496</v>
      </c>
      <c r="L21" s="47">
        <v>2060</v>
      </c>
      <c r="N21" s="4">
        <v>120</v>
      </c>
      <c r="P21" s="4">
        <v>1940</v>
      </c>
      <c r="Q21" s="47">
        <v>746</v>
      </c>
      <c r="T21" s="4">
        <v>708</v>
      </c>
      <c r="U21" s="4">
        <v>38</v>
      </c>
      <c r="V21" s="47">
        <v>61794</v>
      </c>
      <c r="W21" s="4">
        <v>1941</v>
      </c>
      <c r="X21" s="4">
        <v>2989</v>
      </c>
      <c r="Y21" s="4">
        <v>2258</v>
      </c>
      <c r="Z21" s="4">
        <v>54606</v>
      </c>
      <c r="AA21" s="48">
        <v>171391</v>
      </c>
    </row>
    <row r="22" spans="1:27" ht="15.75" customHeight="1" x14ac:dyDescent="0.25">
      <c r="A22" s="46">
        <v>44049</v>
      </c>
      <c r="B22" s="47">
        <v>6014</v>
      </c>
      <c r="E22" s="4">
        <v>1</v>
      </c>
      <c r="F22" s="4">
        <v>6013</v>
      </c>
      <c r="G22" s="47">
        <v>102537</v>
      </c>
      <c r="I22" s="4">
        <v>9517</v>
      </c>
      <c r="K22" s="4">
        <v>93020</v>
      </c>
      <c r="L22" s="47">
        <v>2082</v>
      </c>
      <c r="N22" s="4">
        <v>126</v>
      </c>
      <c r="P22" s="4">
        <v>1956</v>
      </c>
      <c r="Q22" s="47">
        <v>746</v>
      </c>
      <c r="T22" s="4">
        <v>708</v>
      </c>
      <c r="U22" s="4">
        <v>38</v>
      </c>
      <c r="V22" s="47">
        <v>62242</v>
      </c>
      <c r="W22" s="4">
        <v>1787</v>
      </c>
      <c r="X22" s="4">
        <v>2754</v>
      </c>
      <c r="Y22" s="4">
        <v>2258</v>
      </c>
      <c r="Z22" s="4">
        <v>55443</v>
      </c>
      <c r="AA22" s="48">
        <v>173621</v>
      </c>
    </row>
    <row r="23" spans="1:27" ht="12.5" x14ac:dyDescent="0.25">
      <c r="A23" s="46">
        <v>44050</v>
      </c>
      <c r="B23" s="47">
        <v>6014</v>
      </c>
      <c r="E23" s="4">
        <v>1</v>
      </c>
      <c r="F23" s="4">
        <v>6013</v>
      </c>
      <c r="G23" s="47">
        <v>104170</v>
      </c>
      <c r="I23" s="4">
        <v>9597</v>
      </c>
      <c r="K23" s="4">
        <v>94573</v>
      </c>
      <c r="L23" s="47">
        <v>2104</v>
      </c>
      <c r="N23" s="4">
        <v>108</v>
      </c>
      <c r="P23" s="4">
        <v>1996</v>
      </c>
      <c r="Q23" s="47">
        <v>760</v>
      </c>
      <c r="T23" s="4">
        <v>722</v>
      </c>
      <c r="U23" s="4">
        <v>38</v>
      </c>
      <c r="V23" s="47">
        <v>62717</v>
      </c>
      <c r="W23" s="4">
        <v>1573</v>
      </c>
      <c r="X23" s="4">
        <v>2541</v>
      </c>
      <c r="Y23" s="4">
        <v>2258</v>
      </c>
      <c r="Z23" s="4">
        <v>56345</v>
      </c>
      <c r="AA23" s="48">
        <v>175765</v>
      </c>
    </row>
    <row r="24" spans="1:27" ht="12.5" x14ac:dyDescent="0.25">
      <c r="A24" s="46">
        <v>44051</v>
      </c>
      <c r="B24" s="47">
        <v>6014</v>
      </c>
      <c r="E24" s="4">
        <v>1</v>
      </c>
      <c r="F24" s="4">
        <v>6013</v>
      </c>
      <c r="G24" s="47">
        <v>105713</v>
      </c>
      <c r="I24" s="4">
        <v>10770</v>
      </c>
      <c r="K24" s="4">
        <v>94943</v>
      </c>
      <c r="L24" s="47">
        <v>2120</v>
      </c>
      <c r="N24" s="4">
        <v>119</v>
      </c>
      <c r="P24" s="4">
        <v>2001</v>
      </c>
      <c r="Q24" s="47">
        <v>764</v>
      </c>
      <c r="T24" s="4">
        <v>726</v>
      </c>
      <c r="U24" s="4">
        <v>38</v>
      </c>
      <c r="V24" s="47">
        <v>63407</v>
      </c>
      <c r="W24" s="4">
        <v>1549</v>
      </c>
      <c r="X24" s="4">
        <v>2953</v>
      </c>
      <c r="Y24" s="4">
        <v>2258</v>
      </c>
      <c r="Z24" s="4">
        <v>56647</v>
      </c>
      <c r="AA24" s="48">
        <v>178018</v>
      </c>
    </row>
    <row r="25" spans="1:27" ht="12.5" x14ac:dyDescent="0.25">
      <c r="A25" s="46">
        <v>44052</v>
      </c>
      <c r="B25" s="47">
        <v>6014</v>
      </c>
      <c r="E25" s="4">
        <v>1</v>
      </c>
      <c r="F25" s="4">
        <v>6013</v>
      </c>
      <c r="G25" s="47">
        <v>105884</v>
      </c>
      <c r="I25" s="4">
        <v>10769</v>
      </c>
      <c r="K25" s="4">
        <v>95115</v>
      </c>
      <c r="L25" s="47">
        <v>2129</v>
      </c>
      <c r="N25" s="4">
        <v>128</v>
      </c>
      <c r="P25" s="4">
        <v>2001</v>
      </c>
      <c r="Q25" s="47">
        <v>769</v>
      </c>
      <c r="R25" s="4">
        <v>2</v>
      </c>
      <c r="T25" s="4">
        <v>729</v>
      </c>
      <c r="U25" s="4">
        <v>38</v>
      </c>
      <c r="V25" s="47">
        <v>64500</v>
      </c>
      <c r="W25" s="4">
        <v>1483</v>
      </c>
      <c r="X25" s="4">
        <v>3935</v>
      </c>
      <c r="Y25" s="4">
        <v>2258</v>
      </c>
      <c r="Z25" s="4">
        <v>56824</v>
      </c>
      <c r="AA25" s="48">
        <v>179296</v>
      </c>
    </row>
    <row r="26" spans="1:27" ht="12.5" x14ac:dyDescent="0.25">
      <c r="A26" s="46">
        <v>44053</v>
      </c>
      <c r="B26" s="47">
        <v>6014</v>
      </c>
      <c r="E26" s="4">
        <v>1</v>
      </c>
      <c r="F26" s="4">
        <v>6013</v>
      </c>
      <c r="G26" s="47">
        <v>106440</v>
      </c>
      <c r="I26" s="4">
        <v>9906</v>
      </c>
      <c r="K26" s="4">
        <v>96534</v>
      </c>
      <c r="L26" s="47">
        <v>2131</v>
      </c>
      <c r="N26" s="4">
        <v>117</v>
      </c>
      <c r="P26" s="4">
        <v>2014</v>
      </c>
      <c r="Q26" s="47">
        <v>770</v>
      </c>
      <c r="R26" s="4">
        <v>2</v>
      </c>
      <c r="T26" s="4">
        <v>730</v>
      </c>
      <c r="U26" s="4">
        <v>38</v>
      </c>
      <c r="V26" s="47">
        <v>64941</v>
      </c>
      <c r="W26" s="4">
        <v>1722</v>
      </c>
      <c r="X26" s="4">
        <v>3318</v>
      </c>
      <c r="Y26" s="4">
        <v>2258</v>
      </c>
      <c r="Z26" s="4">
        <v>57643</v>
      </c>
      <c r="AA26" s="48">
        <v>180296</v>
      </c>
    </row>
    <row r="27" spans="1:27" ht="12.5" x14ac:dyDescent="0.25">
      <c r="A27" s="46">
        <v>44054</v>
      </c>
      <c r="B27" s="47">
        <v>6014</v>
      </c>
      <c r="E27" s="4">
        <v>1</v>
      </c>
      <c r="F27" s="4">
        <v>6013</v>
      </c>
      <c r="G27" s="47">
        <v>108116</v>
      </c>
      <c r="I27" s="4">
        <v>9893</v>
      </c>
      <c r="K27" s="4">
        <v>98223</v>
      </c>
      <c r="L27" s="47">
        <v>2165</v>
      </c>
      <c r="N27" s="4">
        <v>108</v>
      </c>
      <c r="P27" s="4">
        <v>2057</v>
      </c>
      <c r="Q27" s="47">
        <v>854</v>
      </c>
      <c r="R27" s="4">
        <v>2</v>
      </c>
      <c r="T27" s="4">
        <v>814</v>
      </c>
      <c r="U27" s="4">
        <v>38</v>
      </c>
      <c r="V27" s="47">
        <v>65563</v>
      </c>
      <c r="W27" s="4">
        <v>1573</v>
      </c>
      <c r="X27" s="4">
        <v>3205</v>
      </c>
      <c r="Y27" s="4">
        <v>2258</v>
      </c>
      <c r="Z27" s="4">
        <v>58527</v>
      </c>
      <c r="AA27" s="48">
        <v>182712</v>
      </c>
    </row>
    <row r="28" spans="1:27" ht="12.5" x14ac:dyDescent="0.25">
      <c r="A28" s="46">
        <v>44055</v>
      </c>
      <c r="B28" s="47">
        <v>6014</v>
      </c>
      <c r="E28" s="4">
        <v>1</v>
      </c>
      <c r="F28" s="4">
        <v>6013</v>
      </c>
      <c r="G28" s="47">
        <v>109769</v>
      </c>
      <c r="I28" s="4">
        <v>9766</v>
      </c>
      <c r="K28" s="4">
        <v>100003</v>
      </c>
      <c r="L28" s="47">
        <v>2198</v>
      </c>
      <c r="N28" s="4">
        <v>118</v>
      </c>
      <c r="P28" s="4">
        <v>2080</v>
      </c>
      <c r="Q28" s="47">
        <v>875</v>
      </c>
      <c r="R28" s="4">
        <v>2</v>
      </c>
      <c r="T28" s="4">
        <v>835</v>
      </c>
      <c r="U28" s="4">
        <v>38</v>
      </c>
      <c r="V28" s="47">
        <v>66117</v>
      </c>
      <c r="W28" s="4">
        <v>1411</v>
      </c>
      <c r="X28" s="4">
        <v>2991</v>
      </c>
      <c r="Y28" s="4">
        <v>2258</v>
      </c>
      <c r="Z28" s="4">
        <v>59457</v>
      </c>
      <c r="AA28" s="48">
        <v>184973</v>
      </c>
    </row>
    <row r="29" spans="1:27" ht="12.5" x14ac:dyDescent="0.25">
      <c r="A29" s="46">
        <v>44056</v>
      </c>
      <c r="B29" s="47">
        <v>6014</v>
      </c>
      <c r="E29" s="4">
        <v>1</v>
      </c>
      <c r="F29" s="4">
        <v>6013</v>
      </c>
      <c r="G29" s="47">
        <v>111003</v>
      </c>
      <c r="I29" s="4">
        <v>9508</v>
      </c>
      <c r="K29" s="4">
        <v>101495</v>
      </c>
      <c r="L29" s="47">
        <v>2210</v>
      </c>
      <c r="N29" s="4">
        <v>115</v>
      </c>
      <c r="P29" s="4">
        <v>2095</v>
      </c>
      <c r="Q29" s="47">
        <v>895</v>
      </c>
      <c r="R29" s="4">
        <v>2</v>
      </c>
      <c r="T29" s="4">
        <v>855</v>
      </c>
      <c r="U29" s="4">
        <v>38</v>
      </c>
      <c r="V29" s="47">
        <v>66656</v>
      </c>
      <c r="W29" s="4">
        <v>1221</v>
      </c>
      <c r="X29" s="4">
        <v>2987</v>
      </c>
      <c r="Y29" s="4">
        <v>2258</v>
      </c>
      <c r="Z29" s="4">
        <v>60190</v>
      </c>
      <c r="AA29" s="48">
        <v>186778</v>
      </c>
    </row>
    <row r="30" spans="1:27" ht="12.5" x14ac:dyDescent="0.25">
      <c r="A30" s="46">
        <v>44057</v>
      </c>
      <c r="B30" s="47">
        <v>6014</v>
      </c>
      <c r="E30" s="4">
        <v>1</v>
      </c>
      <c r="F30" s="4">
        <v>6013</v>
      </c>
      <c r="G30" s="47">
        <v>112430</v>
      </c>
      <c r="I30" s="4">
        <v>10781</v>
      </c>
      <c r="K30" s="4">
        <v>101649</v>
      </c>
      <c r="L30" s="47">
        <v>2233</v>
      </c>
      <c r="N30" s="4">
        <v>134</v>
      </c>
      <c r="P30" s="4">
        <v>2099</v>
      </c>
      <c r="Q30" s="47">
        <v>913</v>
      </c>
      <c r="R30" s="4">
        <v>2</v>
      </c>
      <c r="T30" s="4">
        <v>873</v>
      </c>
      <c r="U30" s="4">
        <v>38</v>
      </c>
      <c r="V30" s="47">
        <v>67288</v>
      </c>
      <c r="W30" s="4">
        <v>1387</v>
      </c>
      <c r="X30" s="4">
        <v>3182</v>
      </c>
      <c r="Y30" s="4">
        <v>2266</v>
      </c>
      <c r="Z30" s="4">
        <v>60453</v>
      </c>
      <c r="AA30" s="48">
        <v>188878</v>
      </c>
    </row>
    <row r="31" spans="1:27" ht="12.5" x14ac:dyDescent="0.25">
      <c r="A31" s="46">
        <v>44058</v>
      </c>
      <c r="B31" s="47">
        <v>6014</v>
      </c>
      <c r="E31" s="4">
        <v>1</v>
      </c>
      <c r="F31" s="4">
        <v>6013</v>
      </c>
      <c r="G31" s="47">
        <v>113694</v>
      </c>
      <c r="I31" s="4">
        <v>11862</v>
      </c>
      <c r="K31" s="4">
        <v>101832</v>
      </c>
      <c r="L31" s="47">
        <v>2274</v>
      </c>
      <c r="N31" s="4">
        <v>174</v>
      </c>
      <c r="P31" s="4">
        <v>2100</v>
      </c>
      <c r="Q31" s="47">
        <v>913</v>
      </c>
      <c r="R31" s="4">
        <v>2</v>
      </c>
      <c r="T31" s="4">
        <v>873</v>
      </c>
      <c r="U31" s="4">
        <v>38</v>
      </c>
      <c r="V31" s="47">
        <v>67827</v>
      </c>
      <c r="W31" s="4">
        <v>1455</v>
      </c>
      <c r="X31" s="4">
        <v>3411</v>
      </c>
      <c r="Y31" s="4">
        <v>2266</v>
      </c>
      <c r="Z31" s="4">
        <v>60695</v>
      </c>
      <c r="AA31" s="48">
        <v>190722</v>
      </c>
    </row>
    <row r="32" spans="1:27" ht="12.5" x14ac:dyDescent="0.25">
      <c r="A32" s="46">
        <v>44059</v>
      </c>
      <c r="B32" s="47">
        <v>6014</v>
      </c>
      <c r="E32" s="4">
        <v>1</v>
      </c>
      <c r="F32" s="4">
        <v>6013</v>
      </c>
      <c r="G32" s="47">
        <v>114978</v>
      </c>
      <c r="I32" s="4">
        <v>12775</v>
      </c>
      <c r="K32" s="4">
        <v>102203</v>
      </c>
      <c r="L32" s="47">
        <v>2279</v>
      </c>
      <c r="N32" s="4">
        <v>177</v>
      </c>
      <c r="P32" s="4">
        <v>2102</v>
      </c>
      <c r="Q32" s="47">
        <v>914</v>
      </c>
      <c r="R32" s="4">
        <v>1</v>
      </c>
      <c r="S32" s="4">
        <v>1</v>
      </c>
      <c r="T32" s="4">
        <v>874</v>
      </c>
      <c r="U32" s="4">
        <v>38</v>
      </c>
      <c r="V32" s="47">
        <v>68741</v>
      </c>
      <c r="W32" s="4">
        <v>1987</v>
      </c>
      <c r="X32" s="4">
        <v>3431</v>
      </c>
      <c r="Y32" s="4">
        <v>2267</v>
      </c>
      <c r="Z32" s="4">
        <v>61056</v>
      </c>
      <c r="AA32" s="48">
        <v>192926</v>
      </c>
    </row>
    <row r="33" spans="1:27" ht="12.5" x14ac:dyDescent="0.25">
      <c r="A33" s="46">
        <v>44060</v>
      </c>
      <c r="B33" s="47">
        <v>6014</v>
      </c>
      <c r="E33" s="4">
        <v>1</v>
      </c>
      <c r="F33" s="4">
        <v>6013</v>
      </c>
      <c r="G33" s="47">
        <v>116142</v>
      </c>
      <c r="I33" s="4">
        <v>12393</v>
      </c>
      <c r="K33" s="4">
        <v>103749</v>
      </c>
      <c r="L33" s="47">
        <v>2281</v>
      </c>
      <c r="N33" s="4">
        <v>166</v>
      </c>
      <c r="P33" s="4">
        <v>2115</v>
      </c>
      <c r="Q33" s="47">
        <v>914</v>
      </c>
      <c r="R33" s="4">
        <v>1</v>
      </c>
      <c r="S33" s="4">
        <v>1</v>
      </c>
      <c r="T33" s="4">
        <v>874</v>
      </c>
      <c r="U33" s="4">
        <v>38</v>
      </c>
      <c r="V33" s="47">
        <v>69405</v>
      </c>
      <c r="W33" s="4">
        <v>2117</v>
      </c>
      <c r="X33" s="4">
        <v>3440</v>
      </c>
      <c r="Y33" s="4">
        <v>2267</v>
      </c>
      <c r="Z33" s="4">
        <v>61581</v>
      </c>
      <c r="AA33" s="48">
        <v>194756</v>
      </c>
    </row>
    <row r="34" spans="1:27" ht="12.5" x14ac:dyDescent="0.25">
      <c r="A34" s="46">
        <v>44061</v>
      </c>
      <c r="B34" s="47">
        <v>6014</v>
      </c>
      <c r="E34" s="4">
        <v>1</v>
      </c>
      <c r="F34" s="4">
        <v>6013</v>
      </c>
      <c r="G34" s="47">
        <v>118242</v>
      </c>
      <c r="I34" s="4">
        <v>13228</v>
      </c>
      <c r="K34" s="4">
        <v>105014</v>
      </c>
      <c r="L34" s="47">
        <v>2281</v>
      </c>
      <c r="N34" s="4">
        <v>143</v>
      </c>
      <c r="P34" s="4">
        <v>2138</v>
      </c>
      <c r="Q34" s="47">
        <v>915</v>
      </c>
      <c r="R34" s="4">
        <v>2</v>
      </c>
      <c r="T34" s="4">
        <v>875</v>
      </c>
      <c r="U34" s="4">
        <v>38</v>
      </c>
      <c r="V34" s="47">
        <v>70590</v>
      </c>
      <c r="W34" s="4">
        <v>2221</v>
      </c>
      <c r="X34" s="4">
        <v>4085</v>
      </c>
      <c r="Y34" s="4">
        <v>2267</v>
      </c>
      <c r="Z34" s="4">
        <v>62017</v>
      </c>
      <c r="AA34" s="48">
        <v>198042</v>
      </c>
    </row>
    <row r="35" spans="1:27" ht="12.5" x14ac:dyDescent="0.25">
      <c r="A35" s="46">
        <v>44062</v>
      </c>
      <c r="B35" s="47">
        <v>6014</v>
      </c>
      <c r="E35" s="4">
        <v>1</v>
      </c>
      <c r="F35" s="4">
        <v>6013</v>
      </c>
      <c r="G35" s="47">
        <v>119803</v>
      </c>
      <c r="I35" s="4">
        <v>13214</v>
      </c>
      <c r="K35" s="4">
        <v>106589</v>
      </c>
      <c r="L35" s="47">
        <v>2305</v>
      </c>
      <c r="N35" s="4">
        <v>146</v>
      </c>
      <c r="P35" s="4">
        <v>2159</v>
      </c>
      <c r="Q35" s="47">
        <v>997</v>
      </c>
      <c r="R35" s="4">
        <v>4</v>
      </c>
      <c r="T35" s="4">
        <v>949</v>
      </c>
      <c r="U35" s="4">
        <v>44</v>
      </c>
      <c r="V35" s="47">
        <v>71215</v>
      </c>
      <c r="W35" s="4">
        <v>2405</v>
      </c>
      <c r="X35" s="4">
        <v>3961</v>
      </c>
      <c r="Y35" s="4">
        <v>2251</v>
      </c>
      <c r="Z35" s="4">
        <v>62598</v>
      </c>
      <c r="AA35" s="48">
        <v>200334</v>
      </c>
    </row>
    <row r="36" spans="1:27" ht="12.5" x14ac:dyDescent="0.25">
      <c r="A36" s="46">
        <v>44063</v>
      </c>
      <c r="B36" s="47">
        <v>6065</v>
      </c>
      <c r="E36" s="4">
        <v>1</v>
      </c>
      <c r="F36" s="4">
        <v>6064</v>
      </c>
      <c r="G36" s="47">
        <v>120905</v>
      </c>
      <c r="I36" s="4">
        <v>12323</v>
      </c>
      <c r="K36" s="4">
        <v>108582</v>
      </c>
      <c r="L36" s="47">
        <v>2315</v>
      </c>
      <c r="N36" s="4">
        <v>128</v>
      </c>
      <c r="P36" s="4">
        <v>2187</v>
      </c>
      <c r="Q36" s="47">
        <v>1055</v>
      </c>
      <c r="R36" s="4">
        <v>8</v>
      </c>
      <c r="T36" s="4">
        <v>990</v>
      </c>
      <c r="U36" s="4">
        <v>57</v>
      </c>
      <c r="V36" s="47">
        <v>71807</v>
      </c>
      <c r="W36" s="4">
        <v>2419</v>
      </c>
      <c r="X36" s="4">
        <v>3723</v>
      </c>
      <c r="Y36" s="4">
        <v>2267</v>
      </c>
      <c r="Z36" s="4">
        <v>63398</v>
      </c>
      <c r="AA36" s="48">
        <v>202147</v>
      </c>
    </row>
    <row r="37" spans="1:27" ht="12.5" x14ac:dyDescent="0.25">
      <c r="A37" s="46">
        <v>44064</v>
      </c>
      <c r="B37" s="47">
        <v>6068</v>
      </c>
      <c r="E37" s="4">
        <v>1</v>
      </c>
      <c r="F37" s="4">
        <v>6067</v>
      </c>
      <c r="G37" s="47">
        <v>122832</v>
      </c>
      <c r="I37" s="4">
        <v>12706</v>
      </c>
      <c r="K37" s="4">
        <v>110126</v>
      </c>
      <c r="L37" s="47">
        <v>2316</v>
      </c>
      <c r="N37" s="4">
        <v>107</v>
      </c>
      <c r="P37" s="4">
        <v>2209</v>
      </c>
      <c r="Q37" s="47">
        <v>1057</v>
      </c>
      <c r="R37" s="4">
        <v>9</v>
      </c>
      <c r="T37" s="4">
        <v>990</v>
      </c>
      <c r="U37" s="4">
        <v>58</v>
      </c>
      <c r="V37" s="47">
        <v>73324</v>
      </c>
      <c r="W37" s="4">
        <v>2474</v>
      </c>
      <c r="X37" s="4">
        <v>4063</v>
      </c>
      <c r="Y37" s="4">
        <v>2267</v>
      </c>
      <c r="Z37" s="4">
        <v>64520</v>
      </c>
      <c r="AA37" s="48">
        <v>205597</v>
      </c>
    </row>
    <row r="38" spans="1:27" ht="12.5" x14ac:dyDescent="0.25">
      <c r="A38" s="46">
        <v>44065</v>
      </c>
      <c r="B38" s="47">
        <v>6118</v>
      </c>
      <c r="E38" s="4">
        <v>1</v>
      </c>
      <c r="F38" s="4">
        <v>6117</v>
      </c>
      <c r="G38" s="47">
        <v>124236</v>
      </c>
      <c r="I38" s="4">
        <v>14023</v>
      </c>
      <c r="K38" s="4">
        <v>110213</v>
      </c>
      <c r="L38" s="47">
        <v>2318</v>
      </c>
      <c r="N38" s="4">
        <v>107</v>
      </c>
      <c r="P38" s="4">
        <v>2211</v>
      </c>
      <c r="Q38" s="47">
        <v>1074</v>
      </c>
      <c r="R38" s="4">
        <v>15</v>
      </c>
      <c r="T38" s="4">
        <v>990</v>
      </c>
      <c r="U38" s="4">
        <v>69</v>
      </c>
      <c r="V38" s="47">
        <v>74511</v>
      </c>
      <c r="W38" s="4">
        <v>2092</v>
      </c>
      <c r="X38" s="4">
        <v>5213</v>
      </c>
      <c r="Y38" s="4">
        <v>2267</v>
      </c>
      <c r="Z38" s="4">
        <v>64939</v>
      </c>
      <c r="AA38" s="48">
        <v>208257</v>
      </c>
    </row>
    <row r="39" spans="1:27" ht="12.5" x14ac:dyDescent="0.25">
      <c r="A39" s="46">
        <v>44066</v>
      </c>
      <c r="B39" s="47">
        <v>6140</v>
      </c>
      <c r="E39" s="4">
        <v>1</v>
      </c>
      <c r="F39" s="4">
        <v>6139</v>
      </c>
      <c r="G39" s="47">
        <v>125760</v>
      </c>
      <c r="I39" s="4">
        <v>15452</v>
      </c>
      <c r="K39" s="4">
        <v>110308</v>
      </c>
      <c r="L39" s="47">
        <v>2322</v>
      </c>
      <c r="N39" s="4">
        <v>111</v>
      </c>
      <c r="P39" s="4">
        <v>2211</v>
      </c>
      <c r="Q39" s="47">
        <v>1079</v>
      </c>
      <c r="R39" s="4">
        <v>16</v>
      </c>
      <c r="S39" s="4">
        <v>2</v>
      </c>
      <c r="T39" s="4">
        <v>990</v>
      </c>
      <c r="U39" s="4">
        <v>71</v>
      </c>
      <c r="V39" s="47">
        <v>75321</v>
      </c>
      <c r="W39" s="4">
        <v>2272</v>
      </c>
      <c r="X39" s="4">
        <v>5749</v>
      </c>
      <c r="Y39" s="4">
        <v>2267</v>
      </c>
      <c r="Z39" s="4">
        <v>65033</v>
      </c>
      <c r="AA39" s="48">
        <v>210622</v>
      </c>
    </row>
    <row r="40" spans="1:27" ht="12.5" x14ac:dyDescent="0.25">
      <c r="A40" s="46">
        <v>44067</v>
      </c>
      <c r="B40" s="47">
        <v>6170</v>
      </c>
      <c r="E40" s="4">
        <v>1</v>
      </c>
      <c r="F40" s="4">
        <v>6169</v>
      </c>
      <c r="G40" s="47">
        <v>127308</v>
      </c>
      <c r="I40" s="4">
        <v>14315</v>
      </c>
      <c r="K40" s="4">
        <v>112993</v>
      </c>
      <c r="L40" s="47">
        <v>2322</v>
      </c>
      <c r="N40" s="4">
        <v>98</v>
      </c>
      <c r="P40" s="4">
        <v>2224</v>
      </c>
      <c r="Q40" s="47">
        <v>1134</v>
      </c>
      <c r="R40" s="4">
        <v>16</v>
      </c>
      <c r="S40" s="4">
        <v>2</v>
      </c>
      <c r="T40" s="4">
        <v>1045</v>
      </c>
      <c r="U40" s="4">
        <v>71</v>
      </c>
      <c r="V40" s="47">
        <v>76186</v>
      </c>
      <c r="W40" s="4">
        <v>2144</v>
      </c>
      <c r="X40" s="4">
        <v>5647</v>
      </c>
      <c r="Y40" s="4">
        <v>2294</v>
      </c>
      <c r="Z40" s="4">
        <v>66101</v>
      </c>
      <c r="AA40" s="48">
        <v>213120</v>
      </c>
    </row>
    <row r="41" spans="1:27" ht="12.5" x14ac:dyDescent="0.25">
      <c r="A41" s="46">
        <v>44068</v>
      </c>
      <c r="B41" s="47">
        <v>6221</v>
      </c>
      <c r="E41" s="4">
        <v>1</v>
      </c>
      <c r="F41" s="4">
        <v>6220</v>
      </c>
      <c r="G41" s="47">
        <v>128406</v>
      </c>
      <c r="I41" s="4">
        <v>13545</v>
      </c>
      <c r="K41" s="4">
        <v>114861</v>
      </c>
      <c r="L41" s="47">
        <v>2343</v>
      </c>
      <c r="N41" s="4">
        <v>111</v>
      </c>
      <c r="P41" s="4">
        <v>2232</v>
      </c>
      <c r="Q41" s="47">
        <v>1218</v>
      </c>
      <c r="R41" s="4">
        <v>18</v>
      </c>
      <c r="T41" s="4">
        <v>1129</v>
      </c>
      <c r="U41" s="4">
        <v>71</v>
      </c>
      <c r="V41" s="47">
        <v>76702</v>
      </c>
      <c r="W41" s="4">
        <v>2303</v>
      </c>
      <c r="X41" s="4">
        <v>5048</v>
      </c>
      <c r="Y41" s="4">
        <v>2294</v>
      </c>
      <c r="Z41" s="4">
        <v>67057</v>
      </c>
      <c r="AA41" s="48">
        <v>214890</v>
      </c>
    </row>
    <row r="42" spans="1:27" ht="12.5" x14ac:dyDescent="0.25">
      <c r="A42" s="46">
        <v>44069</v>
      </c>
      <c r="B42" s="47">
        <v>6281</v>
      </c>
      <c r="E42" s="4">
        <v>1</v>
      </c>
      <c r="F42" s="4">
        <v>6280</v>
      </c>
      <c r="G42" s="47">
        <v>129580</v>
      </c>
      <c r="I42" s="4">
        <v>11882</v>
      </c>
      <c r="K42" s="4">
        <v>117698</v>
      </c>
      <c r="L42" s="47">
        <v>2362</v>
      </c>
      <c r="N42" s="4">
        <v>81</v>
      </c>
      <c r="P42" s="4">
        <v>2281</v>
      </c>
      <c r="Q42" s="47">
        <v>1236</v>
      </c>
      <c r="R42" s="4">
        <v>31</v>
      </c>
      <c r="T42" s="4">
        <v>1129</v>
      </c>
      <c r="U42" s="4">
        <v>76</v>
      </c>
      <c r="V42" s="47">
        <v>77254</v>
      </c>
      <c r="W42" s="4">
        <v>2348</v>
      </c>
      <c r="X42" s="4">
        <v>4179</v>
      </c>
      <c r="Y42" s="4">
        <v>2294</v>
      </c>
      <c r="Z42" s="4">
        <v>68433</v>
      </c>
      <c r="AA42" s="48">
        <v>216713</v>
      </c>
    </row>
    <row r="43" spans="1:27" ht="12.5" x14ac:dyDescent="0.25">
      <c r="A43" s="46">
        <v>44070</v>
      </c>
      <c r="B43" s="47">
        <v>6368</v>
      </c>
      <c r="E43" s="4">
        <v>1</v>
      </c>
      <c r="F43" s="4">
        <v>6367</v>
      </c>
      <c r="G43" s="47">
        <v>130391</v>
      </c>
      <c r="I43" s="4">
        <v>10804</v>
      </c>
      <c r="K43" s="4">
        <v>119587</v>
      </c>
      <c r="L43" s="47">
        <v>2372</v>
      </c>
      <c r="N43" s="4">
        <v>88</v>
      </c>
      <c r="P43" s="4">
        <v>2284</v>
      </c>
      <c r="Q43" s="47">
        <v>1243</v>
      </c>
      <c r="R43" s="4">
        <v>31</v>
      </c>
      <c r="T43" s="4">
        <v>1129</v>
      </c>
      <c r="U43" s="4">
        <v>83</v>
      </c>
      <c r="V43" s="47">
        <v>77651</v>
      </c>
      <c r="W43" s="4">
        <v>1771</v>
      </c>
      <c r="X43" s="4">
        <v>4669</v>
      </c>
      <c r="Y43" s="4">
        <v>2294</v>
      </c>
      <c r="Z43" s="4">
        <v>68917</v>
      </c>
      <c r="AA43" s="48">
        <v>218025</v>
      </c>
    </row>
    <row r="44" spans="1:27" ht="12.5" x14ac:dyDescent="0.25">
      <c r="A44" s="46">
        <v>44071</v>
      </c>
      <c r="B44" s="47">
        <v>6415</v>
      </c>
      <c r="E44" s="4">
        <v>1</v>
      </c>
      <c r="F44" s="4">
        <v>6414</v>
      </c>
      <c r="G44" s="47">
        <v>131373</v>
      </c>
      <c r="I44" s="4">
        <v>9346</v>
      </c>
      <c r="K44" s="4">
        <v>122027</v>
      </c>
      <c r="L44" s="47">
        <v>2375</v>
      </c>
      <c r="N44" s="4">
        <v>61</v>
      </c>
      <c r="P44" s="4">
        <v>2314</v>
      </c>
      <c r="Q44" s="47">
        <v>1354</v>
      </c>
      <c r="R44" s="4">
        <v>42</v>
      </c>
      <c r="T44" s="4">
        <v>1228</v>
      </c>
      <c r="U44" s="4">
        <v>84</v>
      </c>
      <c r="V44" s="47">
        <v>78289</v>
      </c>
      <c r="W44" s="4">
        <v>1447</v>
      </c>
      <c r="X44" s="4">
        <v>3719</v>
      </c>
      <c r="Y44" s="4">
        <v>2302</v>
      </c>
      <c r="Z44" s="4">
        <v>70821</v>
      </c>
      <c r="AA44" s="48">
        <v>219806</v>
      </c>
    </row>
    <row r="45" spans="1:27" ht="12.5" x14ac:dyDescent="0.25">
      <c r="A45" s="46">
        <v>44072</v>
      </c>
      <c r="B45" s="47">
        <v>6478</v>
      </c>
      <c r="E45" s="4">
        <v>1</v>
      </c>
      <c r="F45" s="4">
        <v>6477</v>
      </c>
      <c r="G45" s="47">
        <v>132195</v>
      </c>
      <c r="I45" s="4">
        <v>10141</v>
      </c>
      <c r="K45" s="4">
        <v>122054</v>
      </c>
      <c r="L45" s="47">
        <v>2380</v>
      </c>
      <c r="N45" s="4">
        <v>66</v>
      </c>
      <c r="P45" s="4">
        <v>2314</v>
      </c>
      <c r="Q45" s="47">
        <v>1356</v>
      </c>
      <c r="R45" s="4">
        <v>46</v>
      </c>
      <c r="T45" s="4">
        <v>1216</v>
      </c>
      <c r="U45" s="4">
        <v>94</v>
      </c>
      <c r="V45" s="47">
        <v>78878</v>
      </c>
      <c r="W45" s="4">
        <v>1486</v>
      </c>
      <c r="X45" s="4">
        <v>3690</v>
      </c>
      <c r="Y45" s="4">
        <v>2302</v>
      </c>
      <c r="Z45" s="4">
        <v>71400</v>
      </c>
      <c r="AA45" s="48">
        <v>221287</v>
      </c>
    </row>
    <row r="46" spans="1:27" ht="12.5" x14ac:dyDescent="0.25">
      <c r="A46" s="46">
        <v>44073</v>
      </c>
      <c r="B46" s="47">
        <v>6488</v>
      </c>
      <c r="E46" s="4">
        <v>1</v>
      </c>
      <c r="F46" s="4">
        <v>6487</v>
      </c>
      <c r="G46" s="47">
        <v>133831</v>
      </c>
      <c r="I46" s="4">
        <v>11244</v>
      </c>
      <c r="K46" s="4">
        <v>122587</v>
      </c>
      <c r="L46" s="47">
        <v>2380</v>
      </c>
      <c r="N46" s="4">
        <v>65</v>
      </c>
      <c r="P46" s="4">
        <v>2315</v>
      </c>
      <c r="Q46" s="47">
        <v>1366</v>
      </c>
      <c r="R46" s="4">
        <v>53</v>
      </c>
      <c r="T46" s="4">
        <v>1216</v>
      </c>
      <c r="U46" s="4">
        <v>97</v>
      </c>
      <c r="V46" s="47">
        <v>79628</v>
      </c>
      <c r="W46" s="4">
        <v>1981</v>
      </c>
      <c r="X46" s="4">
        <v>3879</v>
      </c>
      <c r="Y46" s="4">
        <v>2302</v>
      </c>
      <c r="Z46" s="4">
        <v>71466</v>
      </c>
      <c r="AA46" s="48">
        <v>223693</v>
      </c>
    </row>
    <row r="47" spans="1:27" ht="12.5" x14ac:dyDescent="0.25">
      <c r="A47" s="46">
        <v>44074</v>
      </c>
      <c r="B47" s="47">
        <v>6526</v>
      </c>
      <c r="E47" s="4">
        <v>1</v>
      </c>
      <c r="F47" s="4">
        <v>6525</v>
      </c>
      <c r="G47" s="47">
        <v>136052</v>
      </c>
      <c r="I47" s="4">
        <v>10453</v>
      </c>
      <c r="K47" s="4">
        <v>125599</v>
      </c>
      <c r="L47" s="47">
        <v>2380</v>
      </c>
      <c r="N47" s="4">
        <v>59</v>
      </c>
      <c r="P47" s="4">
        <v>2321</v>
      </c>
      <c r="Q47" s="47">
        <v>1427</v>
      </c>
      <c r="R47" s="4">
        <v>51</v>
      </c>
      <c r="T47" s="4">
        <v>1276</v>
      </c>
      <c r="U47" s="4">
        <v>100</v>
      </c>
      <c r="V47" s="47">
        <v>81695</v>
      </c>
      <c r="W47" s="4">
        <v>1789</v>
      </c>
      <c r="X47" s="4">
        <v>4617</v>
      </c>
      <c r="Y47" s="4">
        <v>2302</v>
      </c>
      <c r="Z47" s="4">
        <v>72987</v>
      </c>
      <c r="AA47" s="48">
        <v>228080</v>
      </c>
    </row>
    <row r="48" spans="1:27" ht="12.5" x14ac:dyDescent="0.25">
      <c r="A48" s="46">
        <v>44075</v>
      </c>
      <c r="B48" s="47">
        <v>6628</v>
      </c>
      <c r="E48" s="4">
        <v>1</v>
      </c>
      <c r="F48" s="4">
        <v>6627</v>
      </c>
      <c r="G48" s="47">
        <v>136969</v>
      </c>
      <c r="I48" s="4">
        <v>11221</v>
      </c>
      <c r="K48" s="4">
        <v>125748</v>
      </c>
      <c r="L48" s="47">
        <v>2380</v>
      </c>
      <c r="N48" s="4">
        <v>59</v>
      </c>
      <c r="P48" s="4">
        <v>2321</v>
      </c>
      <c r="Q48" s="47">
        <v>1490</v>
      </c>
      <c r="R48" s="4">
        <v>59</v>
      </c>
      <c r="T48" s="4">
        <v>1326</v>
      </c>
      <c r="U48" s="4">
        <v>105</v>
      </c>
      <c r="V48" s="47">
        <v>82397</v>
      </c>
      <c r="W48" s="4">
        <v>1863</v>
      </c>
      <c r="X48" s="4">
        <v>5071</v>
      </c>
      <c r="Y48" s="4">
        <v>2302</v>
      </c>
      <c r="Z48" s="4">
        <v>73161</v>
      </c>
      <c r="AA48" s="48">
        <v>229864</v>
      </c>
    </row>
    <row r="49" spans="1:27" ht="12.5" x14ac:dyDescent="0.25">
      <c r="A49" s="46">
        <v>44076</v>
      </c>
      <c r="B49" s="47">
        <v>6684</v>
      </c>
      <c r="E49" s="4">
        <v>1</v>
      </c>
      <c r="F49" s="4">
        <v>6683</v>
      </c>
      <c r="G49" s="47">
        <v>141069</v>
      </c>
      <c r="I49" s="4">
        <v>11764</v>
      </c>
      <c r="K49" s="4">
        <v>129305</v>
      </c>
      <c r="L49" s="47">
        <v>2381</v>
      </c>
      <c r="N49" s="4">
        <v>43</v>
      </c>
      <c r="P49" s="4">
        <v>2338</v>
      </c>
      <c r="Q49" s="47">
        <v>1506</v>
      </c>
      <c r="R49" s="4">
        <v>43</v>
      </c>
      <c r="T49" s="4">
        <v>1326</v>
      </c>
      <c r="U49" s="4">
        <v>137</v>
      </c>
      <c r="V49" s="47">
        <v>84760</v>
      </c>
      <c r="W49" s="4">
        <v>2361</v>
      </c>
      <c r="X49" s="4">
        <v>5318</v>
      </c>
      <c r="Y49" s="4">
        <v>2302</v>
      </c>
      <c r="Z49" s="4">
        <v>74779</v>
      </c>
      <c r="AA49" s="48">
        <v>236400</v>
      </c>
    </row>
    <row r="50" spans="1:27" ht="12.5" x14ac:dyDescent="0.25">
      <c r="A50" s="46">
        <v>44077</v>
      </c>
      <c r="B50" s="47">
        <v>6743</v>
      </c>
      <c r="E50" s="4">
        <v>1</v>
      </c>
      <c r="F50" s="4">
        <v>6742</v>
      </c>
      <c r="G50" s="47">
        <v>142634</v>
      </c>
      <c r="I50" s="4">
        <v>12862</v>
      </c>
      <c r="K50" s="4">
        <v>129772</v>
      </c>
      <c r="L50" s="47">
        <v>2382</v>
      </c>
      <c r="N50" s="4">
        <v>43</v>
      </c>
      <c r="P50" s="4">
        <v>2339</v>
      </c>
      <c r="Q50" s="47">
        <v>1652</v>
      </c>
      <c r="R50" s="4">
        <v>39</v>
      </c>
      <c r="T50" s="4">
        <v>1461</v>
      </c>
      <c r="U50" s="4">
        <v>152</v>
      </c>
      <c r="V50" s="47">
        <v>85956</v>
      </c>
      <c r="W50" s="4">
        <v>2290</v>
      </c>
      <c r="X50" s="4">
        <v>6062</v>
      </c>
      <c r="Y50" s="4">
        <v>2302</v>
      </c>
      <c r="Z50" s="4">
        <v>75302</v>
      </c>
      <c r="AA50" s="48">
        <v>239367</v>
      </c>
    </row>
    <row r="51" spans="1:27" ht="12.5" x14ac:dyDescent="0.25">
      <c r="A51" s="46">
        <v>44078</v>
      </c>
      <c r="B51" s="47">
        <v>6826</v>
      </c>
      <c r="E51" s="4">
        <v>1</v>
      </c>
      <c r="F51" s="4">
        <v>6825</v>
      </c>
      <c r="G51" s="47">
        <v>145212</v>
      </c>
      <c r="I51" s="4">
        <v>14132</v>
      </c>
      <c r="K51" s="4">
        <v>131080</v>
      </c>
      <c r="L51" s="47">
        <v>2388</v>
      </c>
      <c r="N51" s="4">
        <v>44</v>
      </c>
      <c r="P51" s="4">
        <v>2344</v>
      </c>
      <c r="Q51" s="47">
        <v>1665</v>
      </c>
      <c r="R51" s="4">
        <v>36</v>
      </c>
      <c r="T51" s="4">
        <v>1461</v>
      </c>
      <c r="U51" s="4">
        <v>168</v>
      </c>
      <c r="V51" s="47">
        <v>87522</v>
      </c>
      <c r="W51" s="4">
        <v>2409</v>
      </c>
      <c r="X51" s="4">
        <v>6500</v>
      </c>
      <c r="Y51" s="4">
        <v>2302</v>
      </c>
      <c r="Z51" s="4">
        <v>76311</v>
      </c>
      <c r="AA51" s="48">
        <v>243613</v>
      </c>
    </row>
    <row r="52" spans="1:27" ht="12.5" x14ac:dyDescent="0.25">
      <c r="A52" s="46">
        <v>44079</v>
      </c>
      <c r="B52" s="47">
        <v>6954</v>
      </c>
      <c r="E52" s="4">
        <v>1</v>
      </c>
      <c r="F52" s="4">
        <v>6953</v>
      </c>
      <c r="G52" s="47">
        <v>147145</v>
      </c>
      <c r="I52" s="4">
        <v>15686</v>
      </c>
      <c r="K52" s="4">
        <v>131459</v>
      </c>
      <c r="L52" s="47">
        <v>2390</v>
      </c>
      <c r="N52" s="4">
        <v>46</v>
      </c>
      <c r="P52" s="4">
        <v>2344</v>
      </c>
      <c r="Q52" s="47">
        <v>1737</v>
      </c>
      <c r="R52" s="4">
        <v>42</v>
      </c>
      <c r="T52" s="4">
        <v>1518</v>
      </c>
      <c r="U52" s="4">
        <v>177</v>
      </c>
      <c r="V52" s="47">
        <v>88643</v>
      </c>
      <c r="W52" s="4">
        <v>2464</v>
      </c>
      <c r="X52" s="4">
        <v>7300</v>
      </c>
      <c r="Y52" s="4">
        <v>2302</v>
      </c>
      <c r="Z52" s="4">
        <v>76577</v>
      </c>
      <c r="AA52" s="48">
        <v>246869</v>
      </c>
    </row>
    <row r="53" spans="1:27" ht="12.5" x14ac:dyDescent="0.25">
      <c r="A53" s="46">
        <v>44080</v>
      </c>
      <c r="B53" s="47">
        <v>6954</v>
      </c>
      <c r="E53" s="4">
        <v>1</v>
      </c>
      <c r="F53" s="4">
        <v>6953</v>
      </c>
      <c r="G53" s="47">
        <v>147145</v>
      </c>
      <c r="I53" s="4">
        <v>15686</v>
      </c>
      <c r="K53" s="4">
        <v>131459</v>
      </c>
      <c r="L53" s="47">
        <v>2390</v>
      </c>
      <c r="N53" s="4">
        <v>46</v>
      </c>
      <c r="P53" s="4">
        <v>2344</v>
      </c>
      <c r="Q53" s="47">
        <v>1737</v>
      </c>
      <c r="R53" s="4">
        <v>41</v>
      </c>
      <c r="T53" s="4">
        <v>1518</v>
      </c>
      <c r="U53" s="4">
        <v>178</v>
      </c>
      <c r="V53" s="47">
        <v>88643</v>
      </c>
      <c r="W53" s="4">
        <v>2461</v>
      </c>
      <c r="X53" s="4">
        <v>7300</v>
      </c>
      <c r="Y53" s="4">
        <v>2302</v>
      </c>
      <c r="Z53" s="4">
        <v>76580</v>
      </c>
      <c r="AA53" s="48">
        <v>246869</v>
      </c>
    </row>
    <row r="54" spans="1:27" ht="12.5" x14ac:dyDescent="0.25">
      <c r="A54" s="46">
        <v>44081</v>
      </c>
      <c r="B54" s="47">
        <v>7003</v>
      </c>
      <c r="E54" s="4">
        <v>1</v>
      </c>
      <c r="F54" s="4">
        <v>7002</v>
      </c>
      <c r="G54" s="47">
        <v>150390</v>
      </c>
      <c r="I54" s="4">
        <v>15795</v>
      </c>
      <c r="K54" s="4">
        <v>134595</v>
      </c>
      <c r="L54" s="47">
        <v>2396</v>
      </c>
      <c r="N54" s="4">
        <v>30</v>
      </c>
      <c r="P54" s="4">
        <v>2366</v>
      </c>
      <c r="Q54" s="47">
        <v>1847</v>
      </c>
      <c r="R54" s="4">
        <v>42</v>
      </c>
      <c r="T54" s="4">
        <v>1618</v>
      </c>
      <c r="U54" s="4">
        <v>187</v>
      </c>
      <c r="V54" s="47">
        <v>90223</v>
      </c>
      <c r="W54" s="4">
        <v>2003</v>
      </c>
      <c r="X54" s="4">
        <v>7748</v>
      </c>
      <c r="Y54" s="4">
        <v>2302</v>
      </c>
      <c r="Z54" s="4">
        <v>78170</v>
      </c>
      <c r="AA54" s="48">
        <v>251859</v>
      </c>
    </row>
    <row r="55" spans="1:27" ht="12.5" x14ac:dyDescent="0.25">
      <c r="A55" s="46">
        <v>44082</v>
      </c>
      <c r="B55" s="47">
        <v>7098</v>
      </c>
      <c r="E55" s="4">
        <v>1</v>
      </c>
      <c r="F55" s="4">
        <v>7097</v>
      </c>
      <c r="G55" s="47">
        <v>151489</v>
      </c>
      <c r="I55" s="4">
        <v>15704</v>
      </c>
      <c r="K55" s="4">
        <v>135785</v>
      </c>
      <c r="L55" s="47">
        <v>2439</v>
      </c>
      <c r="N55" s="4">
        <v>66</v>
      </c>
      <c r="P55" s="4">
        <v>2373</v>
      </c>
      <c r="Q55" s="47">
        <v>1860</v>
      </c>
      <c r="R55" s="4">
        <v>42</v>
      </c>
      <c r="T55" s="4">
        <v>1618</v>
      </c>
      <c r="U55" s="4">
        <v>200</v>
      </c>
      <c r="V55" s="47">
        <v>90966</v>
      </c>
      <c r="W55" s="4">
        <v>1963</v>
      </c>
      <c r="X55" s="4">
        <v>7874</v>
      </c>
      <c r="Y55" s="4">
        <v>2302</v>
      </c>
      <c r="Z55" s="4">
        <v>78827</v>
      </c>
      <c r="AA55" s="48">
        <v>253852</v>
      </c>
    </row>
    <row r="56" spans="1:27" ht="12.5" x14ac:dyDescent="0.25">
      <c r="A56" s="46">
        <v>44083</v>
      </c>
      <c r="B56" s="47">
        <v>7171</v>
      </c>
      <c r="E56" s="4">
        <v>1</v>
      </c>
      <c r="F56" s="4">
        <v>7170</v>
      </c>
      <c r="G56" s="47">
        <v>154152</v>
      </c>
      <c r="I56" s="4">
        <v>16745</v>
      </c>
      <c r="K56" s="4">
        <v>137407</v>
      </c>
      <c r="L56" s="47">
        <v>2452</v>
      </c>
      <c r="N56" s="4">
        <v>72</v>
      </c>
      <c r="P56" s="4">
        <v>2380</v>
      </c>
      <c r="Q56" s="47">
        <v>2005</v>
      </c>
      <c r="R56" s="4">
        <v>43</v>
      </c>
      <c r="T56" s="4">
        <v>1734</v>
      </c>
      <c r="U56" s="4">
        <v>228</v>
      </c>
      <c r="V56" s="47">
        <v>92773</v>
      </c>
      <c r="W56" s="4">
        <v>2187</v>
      </c>
      <c r="X56" s="4">
        <v>8072</v>
      </c>
      <c r="Y56" s="4">
        <v>2302</v>
      </c>
      <c r="Z56" s="4">
        <v>80212</v>
      </c>
      <c r="AA56" s="48">
        <v>258553</v>
      </c>
    </row>
    <row r="57" spans="1:27" ht="12.5" x14ac:dyDescent="0.25">
      <c r="A57" s="46">
        <v>44084</v>
      </c>
      <c r="B57" s="47">
        <v>7171</v>
      </c>
      <c r="E57" s="4">
        <v>1</v>
      </c>
      <c r="F57" s="4">
        <v>7170</v>
      </c>
      <c r="G57" s="47">
        <v>155683</v>
      </c>
      <c r="I57" s="4">
        <v>16728</v>
      </c>
      <c r="K57" s="4">
        <v>138955</v>
      </c>
      <c r="L57" s="47">
        <v>2460</v>
      </c>
      <c r="N57" s="4">
        <v>77</v>
      </c>
      <c r="P57" s="4">
        <v>2383</v>
      </c>
      <c r="Q57" s="47">
        <v>2005</v>
      </c>
      <c r="R57" s="4">
        <v>38</v>
      </c>
      <c r="T57" s="4">
        <v>1734</v>
      </c>
      <c r="U57" s="4">
        <v>233</v>
      </c>
      <c r="V57" s="47">
        <v>93553</v>
      </c>
      <c r="W57" s="4">
        <v>2252</v>
      </c>
      <c r="X57" s="4">
        <v>7600</v>
      </c>
      <c r="Y57" s="4">
        <v>2302</v>
      </c>
      <c r="Z57" s="4">
        <v>81399</v>
      </c>
      <c r="AA57" s="48">
        <v>260872</v>
      </c>
    </row>
    <row r="58" spans="1:27" ht="12.5" x14ac:dyDescent="0.25">
      <c r="A58" s="46">
        <v>44085</v>
      </c>
      <c r="B58" s="47">
        <v>7196</v>
      </c>
      <c r="E58" s="4">
        <v>1</v>
      </c>
      <c r="F58" s="4">
        <v>7195</v>
      </c>
      <c r="G58" s="47">
        <v>156809</v>
      </c>
      <c r="I58" s="4">
        <v>15682</v>
      </c>
      <c r="K58" s="4">
        <v>141127</v>
      </c>
      <c r="L58" s="47">
        <v>2464</v>
      </c>
      <c r="N58" s="4">
        <v>77</v>
      </c>
      <c r="P58" s="4">
        <v>2387</v>
      </c>
      <c r="Q58" s="47">
        <v>2015</v>
      </c>
      <c r="R58" s="4">
        <v>40</v>
      </c>
      <c r="T58" s="4">
        <v>1734</v>
      </c>
      <c r="U58" s="4">
        <v>241</v>
      </c>
      <c r="V58" s="47">
        <v>94699</v>
      </c>
      <c r="W58" s="4">
        <v>2033</v>
      </c>
      <c r="X58" s="4">
        <v>7561</v>
      </c>
      <c r="Y58" s="4">
        <v>2302</v>
      </c>
      <c r="Z58" s="4">
        <v>82803</v>
      </c>
      <c r="AA58" s="48">
        <v>263183</v>
      </c>
    </row>
    <row r="59" spans="1:27" ht="12.5" x14ac:dyDescent="0.25">
      <c r="A59" s="46">
        <v>44086</v>
      </c>
      <c r="B59" s="47">
        <v>7196</v>
      </c>
      <c r="E59" s="4">
        <v>1</v>
      </c>
      <c r="F59" s="4">
        <v>7195</v>
      </c>
      <c r="G59" s="47">
        <v>159315</v>
      </c>
      <c r="I59" s="4">
        <v>17598</v>
      </c>
      <c r="K59" s="4">
        <v>141717</v>
      </c>
      <c r="L59" s="47">
        <v>2482</v>
      </c>
      <c r="M59" s="4">
        <v>1</v>
      </c>
      <c r="N59" s="4">
        <v>79</v>
      </c>
      <c r="P59" s="4">
        <v>2402</v>
      </c>
      <c r="Q59" s="47">
        <v>2015</v>
      </c>
      <c r="R59" s="4">
        <v>35</v>
      </c>
      <c r="T59" s="4">
        <v>1734</v>
      </c>
      <c r="U59" s="4">
        <v>246</v>
      </c>
      <c r="V59" s="47">
        <v>96210</v>
      </c>
      <c r="W59" s="4">
        <v>2403</v>
      </c>
      <c r="X59" s="4">
        <v>7614</v>
      </c>
      <c r="Y59" s="4">
        <v>2304</v>
      </c>
      <c r="Z59" s="4">
        <v>83889</v>
      </c>
      <c r="AA59" s="48">
        <v>267218</v>
      </c>
    </row>
    <row r="60" spans="1:27" ht="14.5" x14ac:dyDescent="0.35">
      <c r="A60" s="46">
        <v>44087</v>
      </c>
      <c r="B60" s="49">
        <v>7196</v>
      </c>
      <c r="C60" s="8"/>
      <c r="D60" s="8"/>
      <c r="E60" s="6">
        <v>1</v>
      </c>
      <c r="F60" s="6">
        <v>7195</v>
      </c>
      <c r="G60" s="50">
        <v>160315</v>
      </c>
      <c r="H60" s="8"/>
      <c r="I60" s="6">
        <v>18415</v>
      </c>
      <c r="J60" s="8"/>
      <c r="K60" s="6">
        <v>141900</v>
      </c>
      <c r="L60" s="50">
        <v>2492</v>
      </c>
      <c r="M60" s="8"/>
      <c r="N60" s="6">
        <v>90</v>
      </c>
      <c r="O60" s="8"/>
      <c r="P60" s="6">
        <v>2402</v>
      </c>
      <c r="Q60" s="50">
        <v>2015</v>
      </c>
      <c r="R60" s="6">
        <v>30</v>
      </c>
      <c r="S60" s="8"/>
      <c r="T60" s="6">
        <v>1734</v>
      </c>
      <c r="U60" s="6">
        <v>251</v>
      </c>
      <c r="V60" s="50">
        <v>96820</v>
      </c>
      <c r="W60" s="6">
        <v>2258</v>
      </c>
      <c r="X60" s="6">
        <v>8007</v>
      </c>
      <c r="Y60" s="6">
        <v>2305</v>
      </c>
      <c r="Z60" s="6">
        <v>84250</v>
      </c>
      <c r="AA60" s="51">
        <v>268838</v>
      </c>
    </row>
    <row r="61" spans="1:27" ht="14.5" x14ac:dyDescent="0.35">
      <c r="A61" s="46">
        <v>44088</v>
      </c>
      <c r="B61" s="49">
        <v>7352</v>
      </c>
      <c r="C61" s="8"/>
      <c r="D61" s="8"/>
      <c r="E61" s="6">
        <v>1</v>
      </c>
      <c r="F61" s="6">
        <v>7351</v>
      </c>
      <c r="G61" s="50">
        <v>162775</v>
      </c>
      <c r="H61" s="8"/>
      <c r="I61" s="6">
        <v>17947</v>
      </c>
      <c r="J61" s="8"/>
      <c r="K61" s="6">
        <v>144828</v>
      </c>
      <c r="L61" s="50">
        <v>2501</v>
      </c>
      <c r="M61" s="8"/>
      <c r="N61" s="6">
        <v>95</v>
      </c>
      <c r="O61" s="8"/>
      <c r="P61" s="6">
        <v>2406</v>
      </c>
      <c r="Q61" s="50">
        <v>2131</v>
      </c>
      <c r="R61" s="6">
        <v>40</v>
      </c>
      <c r="S61" s="8"/>
      <c r="T61" s="6">
        <v>1838</v>
      </c>
      <c r="U61" s="6">
        <v>253</v>
      </c>
      <c r="V61" s="50">
        <v>99116</v>
      </c>
      <c r="W61" s="6">
        <v>2205</v>
      </c>
      <c r="X61" s="6">
        <v>8190</v>
      </c>
      <c r="Y61" s="6">
        <v>2305</v>
      </c>
      <c r="Z61" s="6">
        <v>86416</v>
      </c>
      <c r="AA61" s="51">
        <v>273875</v>
      </c>
    </row>
    <row r="62" spans="1:27" ht="12.5" x14ac:dyDescent="0.25">
      <c r="A62" s="46">
        <v>44089</v>
      </c>
      <c r="B62" s="47">
        <v>7352</v>
      </c>
      <c r="E62" s="4">
        <v>1</v>
      </c>
      <c r="F62" s="4">
        <v>7351</v>
      </c>
      <c r="G62" s="47">
        <v>164503</v>
      </c>
      <c r="I62" s="4">
        <v>17057</v>
      </c>
      <c r="K62" s="4">
        <v>147446</v>
      </c>
      <c r="L62" s="47">
        <v>2517</v>
      </c>
      <c r="N62" s="4">
        <v>106</v>
      </c>
      <c r="P62" s="4">
        <v>2411</v>
      </c>
      <c r="Q62" s="47">
        <v>2131</v>
      </c>
      <c r="R62" s="4">
        <v>38</v>
      </c>
      <c r="T62" s="4">
        <v>1838</v>
      </c>
      <c r="U62" s="4">
        <v>255</v>
      </c>
      <c r="V62" s="47">
        <v>99802</v>
      </c>
      <c r="W62" s="4">
        <v>2251</v>
      </c>
      <c r="X62" s="4">
        <v>7479</v>
      </c>
      <c r="Y62" s="4">
        <v>2305</v>
      </c>
      <c r="Z62" s="4">
        <v>87767</v>
      </c>
      <c r="AA62" s="48">
        <v>276305</v>
      </c>
    </row>
    <row r="63" spans="1:27" ht="12.5" x14ac:dyDescent="0.25">
      <c r="A63" s="46">
        <v>44090</v>
      </c>
      <c r="B63" s="47">
        <v>7476</v>
      </c>
      <c r="E63" s="4">
        <v>1</v>
      </c>
      <c r="F63" s="4">
        <v>7475</v>
      </c>
      <c r="G63" s="47">
        <v>168612</v>
      </c>
      <c r="I63" s="4">
        <v>20502</v>
      </c>
      <c r="K63" s="4">
        <v>148110</v>
      </c>
      <c r="L63" s="47">
        <v>2536</v>
      </c>
      <c r="N63" s="4">
        <v>121</v>
      </c>
      <c r="P63" s="4">
        <v>2415</v>
      </c>
      <c r="Q63" s="47">
        <v>2214</v>
      </c>
      <c r="R63" s="4">
        <v>50</v>
      </c>
      <c r="T63" s="4">
        <v>1909</v>
      </c>
      <c r="U63" s="4">
        <v>255</v>
      </c>
      <c r="V63" s="47">
        <v>102330</v>
      </c>
      <c r="W63" s="4">
        <v>2244</v>
      </c>
      <c r="X63" s="4">
        <v>8988</v>
      </c>
      <c r="Y63" s="4">
        <v>2311</v>
      </c>
      <c r="Z63" s="4">
        <v>88787</v>
      </c>
      <c r="AA63" s="48">
        <v>283168</v>
      </c>
    </row>
    <row r="64" spans="1:27" ht="12.5" x14ac:dyDescent="0.25">
      <c r="A64" s="46">
        <v>44091</v>
      </c>
      <c r="B64" s="47">
        <v>7565</v>
      </c>
      <c r="E64" s="4">
        <v>1</v>
      </c>
      <c r="F64" s="4">
        <v>7564</v>
      </c>
      <c r="G64" s="47">
        <v>170098</v>
      </c>
      <c r="I64" s="4">
        <v>20077</v>
      </c>
      <c r="K64" s="4">
        <v>150021</v>
      </c>
      <c r="L64" s="47">
        <v>2554</v>
      </c>
      <c r="N64" s="4">
        <v>123</v>
      </c>
      <c r="P64" s="4">
        <v>2431</v>
      </c>
      <c r="Q64" s="47">
        <v>2234</v>
      </c>
      <c r="R64" s="4">
        <v>50</v>
      </c>
      <c r="T64" s="4">
        <v>1926</v>
      </c>
      <c r="U64" s="4">
        <v>258</v>
      </c>
      <c r="V64" s="47">
        <v>103480</v>
      </c>
      <c r="W64" s="4">
        <v>2322</v>
      </c>
      <c r="X64" s="4">
        <v>9059</v>
      </c>
      <c r="Y64" s="4">
        <v>2311</v>
      </c>
      <c r="Z64" s="4">
        <v>89788</v>
      </c>
      <c r="AA64" s="48">
        <v>285931</v>
      </c>
    </row>
    <row r="65" spans="1:27" ht="14.5" x14ac:dyDescent="0.35">
      <c r="A65" s="46">
        <v>44092</v>
      </c>
      <c r="B65" s="49">
        <v>7602</v>
      </c>
      <c r="C65" s="8"/>
      <c r="D65" s="8"/>
      <c r="E65" s="6">
        <v>1</v>
      </c>
      <c r="F65" s="6">
        <v>7601</v>
      </c>
      <c r="G65" s="50">
        <v>176674</v>
      </c>
      <c r="H65" s="8"/>
      <c r="I65" s="6">
        <v>21621</v>
      </c>
      <c r="J65" s="8"/>
      <c r="K65" s="6">
        <v>155053</v>
      </c>
      <c r="L65" s="50">
        <v>2559</v>
      </c>
      <c r="M65" s="8"/>
      <c r="N65" s="6">
        <v>103</v>
      </c>
      <c r="O65" s="8"/>
      <c r="P65" s="6">
        <v>2456</v>
      </c>
      <c r="Q65" s="50">
        <v>2340</v>
      </c>
      <c r="R65" s="6">
        <v>49</v>
      </c>
      <c r="S65" s="8"/>
      <c r="T65" s="6">
        <v>2026</v>
      </c>
      <c r="U65" s="6">
        <v>265</v>
      </c>
      <c r="V65" s="50">
        <v>107307</v>
      </c>
      <c r="W65" s="6">
        <v>1774</v>
      </c>
      <c r="X65" s="6">
        <v>10118</v>
      </c>
      <c r="Y65" s="6">
        <v>2311</v>
      </c>
      <c r="Z65" s="6">
        <v>93104</v>
      </c>
      <c r="AA65" s="51">
        <v>296482</v>
      </c>
    </row>
    <row r="66" spans="1:27" ht="12.5" x14ac:dyDescent="0.25">
      <c r="A66" s="46">
        <v>44093</v>
      </c>
      <c r="B66" s="47">
        <v>7656</v>
      </c>
      <c r="E66" s="4">
        <v>1</v>
      </c>
      <c r="F66" s="4">
        <v>7655</v>
      </c>
      <c r="G66" s="47">
        <v>179750</v>
      </c>
      <c r="I66" s="4">
        <v>23061</v>
      </c>
      <c r="K66" s="4">
        <v>156689</v>
      </c>
      <c r="L66" s="47">
        <v>2568</v>
      </c>
      <c r="N66" s="4">
        <v>111</v>
      </c>
      <c r="P66" s="4">
        <v>2457</v>
      </c>
      <c r="Q66" s="47">
        <v>2346</v>
      </c>
      <c r="R66" s="4">
        <v>45</v>
      </c>
      <c r="T66" s="4">
        <v>2031</v>
      </c>
      <c r="U66" s="4">
        <v>270</v>
      </c>
      <c r="V66" s="47">
        <v>109423</v>
      </c>
      <c r="W66" s="4">
        <v>2143</v>
      </c>
      <c r="X66" s="4">
        <v>10597</v>
      </c>
      <c r="Y66" s="4">
        <v>2311</v>
      </c>
      <c r="Z66" s="4">
        <v>94372</v>
      </c>
      <c r="AA66" s="48">
        <v>301743</v>
      </c>
    </row>
    <row r="67" spans="1:27" ht="14.5" x14ac:dyDescent="0.35">
      <c r="A67" s="46">
        <v>44094</v>
      </c>
      <c r="B67" s="49">
        <v>7722</v>
      </c>
      <c r="C67" s="8"/>
      <c r="D67" s="8"/>
      <c r="E67" s="9">
        <v>1</v>
      </c>
      <c r="F67" s="9">
        <v>7721</v>
      </c>
      <c r="G67" s="50">
        <v>181283</v>
      </c>
      <c r="H67" s="8"/>
      <c r="I67" s="9">
        <v>23831</v>
      </c>
      <c r="J67" s="8"/>
      <c r="K67" s="9">
        <v>157452</v>
      </c>
      <c r="L67" s="50">
        <v>2572</v>
      </c>
      <c r="M67" s="8"/>
      <c r="N67" s="9">
        <v>112</v>
      </c>
      <c r="O67" s="8"/>
      <c r="P67" s="9">
        <v>2460</v>
      </c>
      <c r="Q67" s="50">
        <v>2348</v>
      </c>
      <c r="R67" s="9">
        <v>40</v>
      </c>
      <c r="S67" s="8"/>
      <c r="T67" s="9">
        <v>2031</v>
      </c>
      <c r="U67" s="9">
        <v>277</v>
      </c>
      <c r="V67" s="50">
        <v>110659</v>
      </c>
      <c r="W67" s="9">
        <v>2168</v>
      </c>
      <c r="X67" s="9">
        <v>10979</v>
      </c>
      <c r="Y67" s="9">
        <v>2311</v>
      </c>
      <c r="Z67" s="9">
        <v>95201</v>
      </c>
      <c r="AA67" s="51">
        <v>304584</v>
      </c>
    </row>
    <row r="68" spans="1:27" ht="12.5" x14ac:dyDescent="0.25">
      <c r="A68" s="46">
        <v>44095</v>
      </c>
      <c r="B68" s="47">
        <v>7851</v>
      </c>
      <c r="E68" s="4">
        <v>1</v>
      </c>
      <c r="F68" s="4">
        <v>7850</v>
      </c>
      <c r="G68" s="47">
        <v>182603</v>
      </c>
      <c r="I68" s="4">
        <v>21903</v>
      </c>
      <c r="K68" s="4">
        <v>160700</v>
      </c>
      <c r="L68" s="47">
        <v>2572</v>
      </c>
      <c r="N68" s="4">
        <v>105</v>
      </c>
      <c r="P68" s="4">
        <v>2467</v>
      </c>
      <c r="Q68" s="47">
        <v>2462</v>
      </c>
      <c r="R68" s="4">
        <v>25</v>
      </c>
      <c r="T68" s="4">
        <v>2144</v>
      </c>
      <c r="U68" s="4">
        <v>293</v>
      </c>
      <c r="V68" s="47">
        <v>111163</v>
      </c>
      <c r="W68" s="4">
        <v>2056</v>
      </c>
      <c r="X68" s="4">
        <v>10339</v>
      </c>
      <c r="Y68" s="4">
        <v>2311</v>
      </c>
      <c r="Z68" s="4">
        <v>96457</v>
      </c>
      <c r="AA68" s="48">
        <v>306651</v>
      </c>
    </row>
    <row r="69" spans="1:27" ht="12.5" x14ac:dyDescent="0.25">
      <c r="A69" s="46">
        <v>44096</v>
      </c>
      <c r="B69" s="47">
        <v>7948</v>
      </c>
      <c r="E69" s="4">
        <v>1</v>
      </c>
      <c r="F69" s="4">
        <v>7947</v>
      </c>
      <c r="G69" s="47">
        <v>185846</v>
      </c>
      <c r="I69" s="4">
        <v>22114</v>
      </c>
      <c r="K69" s="4">
        <v>163732</v>
      </c>
      <c r="L69" s="47">
        <v>2573</v>
      </c>
      <c r="N69" s="4">
        <v>88</v>
      </c>
      <c r="P69" s="4">
        <v>2485</v>
      </c>
      <c r="Q69" s="47">
        <v>2596</v>
      </c>
      <c r="R69" s="4">
        <v>25</v>
      </c>
      <c r="T69" s="4">
        <v>2273</v>
      </c>
      <c r="U69" s="4">
        <v>298</v>
      </c>
      <c r="V69" s="47">
        <v>113190</v>
      </c>
      <c r="W69" s="4">
        <v>2131</v>
      </c>
      <c r="X69" s="4">
        <v>9885</v>
      </c>
      <c r="Y69" s="4">
        <v>2311</v>
      </c>
      <c r="Z69" s="4">
        <v>98863</v>
      </c>
      <c r="AA69" s="48">
        <v>312153</v>
      </c>
    </row>
    <row r="70" spans="1:27" ht="12.5" x14ac:dyDescent="0.25">
      <c r="A70" s="46">
        <v>44097</v>
      </c>
      <c r="B70" s="47">
        <v>7948</v>
      </c>
      <c r="E70" s="4">
        <v>1</v>
      </c>
      <c r="F70" s="4">
        <v>7947</v>
      </c>
      <c r="G70" s="47">
        <v>187836</v>
      </c>
      <c r="I70" s="4">
        <v>21220</v>
      </c>
      <c r="K70" s="4">
        <v>166616</v>
      </c>
      <c r="L70" s="47">
        <v>2586</v>
      </c>
      <c r="N70" s="4">
        <v>92</v>
      </c>
      <c r="P70" s="4">
        <v>2494</v>
      </c>
      <c r="Q70" s="47">
        <v>2657</v>
      </c>
      <c r="R70" s="4">
        <v>23</v>
      </c>
      <c r="T70" s="4">
        <v>2334</v>
      </c>
      <c r="U70" s="4">
        <v>300</v>
      </c>
      <c r="V70" s="47">
        <v>114165</v>
      </c>
      <c r="W70" s="4">
        <v>2542</v>
      </c>
      <c r="X70" s="4">
        <v>8922</v>
      </c>
      <c r="Y70" s="4">
        <v>2311</v>
      </c>
      <c r="Z70" s="4">
        <v>100390</v>
      </c>
      <c r="AA70" s="48">
        <v>315192</v>
      </c>
    </row>
    <row r="71" spans="1:27" ht="12.5" x14ac:dyDescent="0.25">
      <c r="A71" s="46">
        <v>44098</v>
      </c>
      <c r="B71" s="47">
        <v>7948</v>
      </c>
      <c r="E71" s="4">
        <v>1</v>
      </c>
      <c r="F71" s="4">
        <v>7947</v>
      </c>
      <c r="G71" s="47">
        <v>189533</v>
      </c>
      <c r="I71" s="4">
        <v>20398</v>
      </c>
      <c r="K71" s="4">
        <v>169135</v>
      </c>
      <c r="L71" s="47">
        <v>2593</v>
      </c>
      <c r="N71" s="4">
        <v>98</v>
      </c>
      <c r="P71" s="4">
        <v>2495</v>
      </c>
      <c r="Q71" s="47">
        <v>2735</v>
      </c>
      <c r="R71" s="4">
        <v>21</v>
      </c>
      <c r="T71" s="4">
        <v>2412</v>
      </c>
      <c r="U71" s="4">
        <v>302</v>
      </c>
      <c r="V71" s="47">
        <v>115390</v>
      </c>
      <c r="W71" s="4">
        <v>2092</v>
      </c>
      <c r="X71" s="4">
        <v>9176</v>
      </c>
      <c r="Y71" s="4">
        <v>2311</v>
      </c>
      <c r="Z71" s="4">
        <v>101811</v>
      </c>
      <c r="AA71" s="48">
        <v>318199</v>
      </c>
    </row>
    <row r="72" spans="1:27" ht="14.5" x14ac:dyDescent="0.35">
      <c r="A72" s="46">
        <v>44099</v>
      </c>
      <c r="B72" s="49">
        <v>8081</v>
      </c>
      <c r="C72" s="8"/>
      <c r="D72" s="8"/>
      <c r="E72" s="9">
        <v>1</v>
      </c>
      <c r="F72" s="9">
        <v>8080</v>
      </c>
      <c r="G72" s="50">
        <v>192040</v>
      </c>
      <c r="H72" s="8"/>
      <c r="I72" s="9">
        <v>19728</v>
      </c>
      <c r="J72" s="8"/>
      <c r="K72" s="9">
        <v>172312</v>
      </c>
      <c r="L72" s="50">
        <v>2635</v>
      </c>
      <c r="M72" s="8"/>
      <c r="N72" s="9">
        <v>114</v>
      </c>
      <c r="O72" s="8"/>
      <c r="P72" s="9">
        <v>2521</v>
      </c>
      <c r="Q72" s="50">
        <v>2743</v>
      </c>
      <c r="R72" s="9">
        <v>26</v>
      </c>
      <c r="S72" s="8"/>
      <c r="T72" s="9">
        <v>2413</v>
      </c>
      <c r="U72" s="9">
        <v>304</v>
      </c>
      <c r="V72" s="50">
        <v>117400</v>
      </c>
      <c r="W72" s="9">
        <v>2092</v>
      </c>
      <c r="X72" s="9">
        <v>9193</v>
      </c>
      <c r="Y72" s="9">
        <v>2311</v>
      </c>
      <c r="Z72" s="9">
        <v>103804</v>
      </c>
      <c r="AA72" s="51">
        <v>322899</v>
      </c>
    </row>
    <row r="73" spans="1:27" ht="12.5" x14ac:dyDescent="0.25">
      <c r="A73" s="46">
        <v>44100</v>
      </c>
      <c r="B73" s="47">
        <v>8081</v>
      </c>
      <c r="E73" s="4">
        <v>1</v>
      </c>
      <c r="F73" s="4">
        <v>8080</v>
      </c>
      <c r="G73" s="47">
        <v>193870</v>
      </c>
      <c r="I73" s="4">
        <v>19586</v>
      </c>
      <c r="K73" s="4">
        <v>174284</v>
      </c>
      <c r="L73" s="47">
        <v>2638</v>
      </c>
      <c r="N73" s="4">
        <v>77</v>
      </c>
      <c r="P73" s="4">
        <v>2561</v>
      </c>
      <c r="Q73" s="47">
        <v>2783</v>
      </c>
      <c r="R73" s="4">
        <v>22</v>
      </c>
      <c r="T73" s="4">
        <v>2453</v>
      </c>
      <c r="U73" s="4">
        <v>308</v>
      </c>
      <c r="V73" s="47">
        <v>118396</v>
      </c>
      <c r="W73" s="4">
        <v>2272</v>
      </c>
      <c r="X73" s="4">
        <v>8627</v>
      </c>
      <c r="Y73" s="4">
        <v>2311</v>
      </c>
      <c r="Z73" s="4">
        <v>105186</v>
      </c>
      <c r="AA73" s="48">
        <v>325768</v>
      </c>
    </row>
    <row r="74" spans="1:27" ht="14.5" x14ac:dyDescent="0.35">
      <c r="A74" s="46">
        <v>44101</v>
      </c>
      <c r="B74" s="49">
        <v>8138</v>
      </c>
      <c r="C74" s="8"/>
      <c r="D74" s="8"/>
      <c r="E74" s="9">
        <v>1</v>
      </c>
      <c r="F74" s="9">
        <v>8137</v>
      </c>
      <c r="G74" s="50">
        <v>195972</v>
      </c>
      <c r="H74" s="8"/>
      <c r="I74" s="9">
        <v>20616</v>
      </c>
      <c r="J74" s="8"/>
      <c r="K74" s="9">
        <v>175356</v>
      </c>
      <c r="L74" s="50">
        <v>2680</v>
      </c>
      <c r="M74" s="8"/>
      <c r="N74" s="9">
        <v>111</v>
      </c>
      <c r="O74" s="8"/>
      <c r="P74" s="9">
        <v>2569</v>
      </c>
      <c r="Q74" s="50">
        <v>2822</v>
      </c>
      <c r="R74" s="9">
        <v>30</v>
      </c>
      <c r="S74" s="8"/>
      <c r="T74" s="9">
        <v>2478</v>
      </c>
      <c r="U74" s="9">
        <v>314</v>
      </c>
      <c r="V74" s="50">
        <v>120426</v>
      </c>
      <c r="W74" s="9">
        <v>2365</v>
      </c>
      <c r="X74" s="9">
        <v>9753</v>
      </c>
      <c r="Y74" s="9">
        <v>2311</v>
      </c>
      <c r="Z74" s="9">
        <v>105997</v>
      </c>
      <c r="AA74" s="51">
        <v>330038</v>
      </c>
    </row>
    <row r="75" spans="1:27" ht="12.5" x14ac:dyDescent="0.25">
      <c r="A75" s="46">
        <v>44102</v>
      </c>
      <c r="B75" s="47">
        <v>8264</v>
      </c>
      <c r="E75" s="4">
        <v>1</v>
      </c>
      <c r="F75" s="4">
        <v>8263</v>
      </c>
      <c r="G75" s="47">
        <v>201687</v>
      </c>
      <c r="I75" s="4">
        <v>22709</v>
      </c>
      <c r="K75" s="4">
        <v>178978</v>
      </c>
      <c r="L75" s="47">
        <v>2680</v>
      </c>
      <c r="N75" s="4">
        <v>103</v>
      </c>
      <c r="P75" s="4">
        <v>2577</v>
      </c>
      <c r="Q75" s="47">
        <v>2864</v>
      </c>
      <c r="R75" s="4">
        <v>29</v>
      </c>
      <c r="T75" s="4">
        <v>2518</v>
      </c>
      <c r="U75" s="4">
        <v>317</v>
      </c>
      <c r="V75" s="47">
        <v>122732</v>
      </c>
      <c r="W75" s="4">
        <v>1971</v>
      </c>
      <c r="X75" s="4">
        <v>10447</v>
      </c>
      <c r="Y75" s="4">
        <v>2311</v>
      </c>
      <c r="Z75" s="4">
        <v>108003</v>
      </c>
      <c r="AA75" s="48">
        <v>338227</v>
      </c>
    </row>
    <row r="76" spans="1:27" ht="14.5" x14ac:dyDescent="0.35">
      <c r="A76" s="46">
        <v>44103</v>
      </c>
      <c r="B76" s="49">
        <v>8264</v>
      </c>
      <c r="C76" s="8"/>
      <c r="D76" s="8"/>
      <c r="E76" s="9">
        <v>1</v>
      </c>
      <c r="F76" s="9">
        <v>8263</v>
      </c>
      <c r="G76" s="50">
        <v>204027</v>
      </c>
      <c r="H76" s="8"/>
      <c r="I76" s="9">
        <v>21943</v>
      </c>
      <c r="J76" s="8"/>
      <c r="K76" s="9">
        <v>182084</v>
      </c>
      <c r="L76" s="50">
        <v>2680</v>
      </c>
      <c r="M76" s="8"/>
      <c r="N76" s="9">
        <v>89</v>
      </c>
      <c r="O76" s="8"/>
      <c r="P76" s="9">
        <v>2591</v>
      </c>
      <c r="Q76" s="50">
        <v>2867</v>
      </c>
      <c r="R76" s="9">
        <v>26</v>
      </c>
      <c r="S76" s="8"/>
      <c r="T76" s="9">
        <v>2518</v>
      </c>
      <c r="U76" s="9">
        <v>323</v>
      </c>
      <c r="V76" s="50">
        <v>124081</v>
      </c>
      <c r="W76" s="9">
        <v>2069</v>
      </c>
      <c r="X76" s="9">
        <v>9937</v>
      </c>
      <c r="Y76" s="9">
        <v>2311</v>
      </c>
      <c r="Z76" s="9">
        <v>109764</v>
      </c>
      <c r="AA76" s="51">
        <v>341919</v>
      </c>
    </row>
    <row r="77" spans="1:27" ht="12.5" x14ac:dyDescent="0.25">
      <c r="A77" s="46">
        <v>44104</v>
      </c>
      <c r="B77" s="47">
        <v>8303</v>
      </c>
      <c r="E77" s="4">
        <v>1</v>
      </c>
      <c r="F77" s="4">
        <v>8302</v>
      </c>
      <c r="G77" s="47">
        <v>207964</v>
      </c>
      <c r="I77" s="4">
        <v>22973</v>
      </c>
      <c r="K77" s="4">
        <v>184991</v>
      </c>
      <c r="L77" s="47">
        <v>2691</v>
      </c>
      <c r="N77" s="4">
        <v>90</v>
      </c>
      <c r="P77" s="4">
        <v>2601</v>
      </c>
      <c r="Q77" s="47">
        <v>2999</v>
      </c>
      <c r="R77" s="4">
        <v>26</v>
      </c>
      <c r="T77" s="4">
        <v>2648</v>
      </c>
      <c r="U77" s="4">
        <v>325</v>
      </c>
      <c r="V77" s="47">
        <v>126169</v>
      </c>
      <c r="W77" s="4">
        <v>1714</v>
      </c>
      <c r="X77" s="4">
        <v>10485</v>
      </c>
      <c r="Y77" s="4">
        <v>2311</v>
      </c>
      <c r="Z77" s="4">
        <v>111659</v>
      </c>
      <c r="AA77" s="48">
        <v>348126</v>
      </c>
    </row>
    <row r="78" spans="1:27" ht="12.5" x14ac:dyDescent="0.25">
      <c r="A78" s="46">
        <v>44105</v>
      </c>
      <c r="B78" s="47">
        <v>8379</v>
      </c>
      <c r="E78" s="4">
        <v>1</v>
      </c>
      <c r="F78" s="4">
        <v>8378</v>
      </c>
      <c r="G78" s="47">
        <v>209994</v>
      </c>
      <c r="I78" s="4">
        <v>21881</v>
      </c>
      <c r="K78" s="4">
        <v>188113</v>
      </c>
      <c r="L78" s="47">
        <v>2705</v>
      </c>
      <c r="N78" s="4">
        <v>96</v>
      </c>
      <c r="P78" s="4">
        <v>2609</v>
      </c>
      <c r="Q78" s="47">
        <v>3044</v>
      </c>
      <c r="R78" s="4">
        <v>30</v>
      </c>
      <c r="T78" s="4">
        <v>2688</v>
      </c>
      <c r="U78" s="4">
        <v>326</v>
      </c>
      <c r="V78" s="47">
        <v>127949</v>
      </c>
      <c r="W78" s="4">
        <v>1451</v>
      </c>
      <c r="X78" s="4">
        <v>10902</v>
      </c>
      <c r="Y78" s="4">
        <v>2311</v>
      </c>
      <c r="Z78" s="4">
        <v>113285</v>
      </c>
      <c r="AA78" s="48">
        <v>352071</v>
      </c>
    </row>
    <row r="79" spans="1:27" ht="14.5" x14ac:dyDescent="0.35">
      <c r="A79" s="46">
        <v>44106</v>
      </c>
      <c r="B79" s="49">
        <v>8379</v>
      </c>
      <c r="C79" s="8"/>
      <c r="D79" s="8"/>
      <c r="E79" s="9">
        <v>1</v>
      </c>
      <c r="F79" s="9">
        <v>8378</v>
      </c>
      <c r="G79" s="50">
        <v>215687</v>
      </c>
      <c r="H79" s="8"/>
      <c r="I79" s="9">
        <v>23648</v>
      </c>
      <c r="J79" s="8"/>
      <c r="K79" s="9">
        <v>192039</v>
      </c>
      <c r="L79" s="50">
        <v>2718</v>
      </c>
      <c r="M79" s="8"/>
      <c r="N79" s="9">
        <v>104</v>
      </c>
      <c r="O79" s="8"/>
      <c r="P79" s="9">
        <v>2614</v>
      </c>
      <c r="Q79" s="50">
        <v>3077</v>
      </c>
      <c r="R79" s="9">
        <v>28</v>
      </c>
      <c r="S79" s="8"/>
      <c r="T79" s="9">
        <v>2721</v>
      </c>
      <c r="U79" s="9">
        <v>328</v>
      </c>
      <c r="V79" s="50">
        <v>130383</v>
      </c>
      <c r="W79" s="9">
        <v>1460</v>
      </c>
      <c r="X79" s="9">
        <v>11454</v>
      </c>
      <c r="Y79" s="9">
        <v>2311</v>
      </c>
      <c r="Z79" s="9">
        <v>115158</v>
      </c>
      <c r="AA79" s="51">
        <v>360244</v>
      </c>
    </row>
    <row r="80" spans="1:27" ht="12.5" x14ac:dyDescent="0.25">
      <c r="A80" s="46">
        <v>44107</v>
      </c>
      <c r="B80" s="47">
        <v>8379</v>
      </c>
      <c r="E80" s="4">
        <v>1</v>
      </c>
      <c r="F80" s="4">
        <v>8378</v>
      </c>
      <c r="G80" s="47">
        <v>219356</v>
      </c>
      <c r="I80" s="4">
        <v>25468</v>
      </c>
      <c r="K80" s="4">
        <v>193888</v>
      </c>
      <c r="L80" s="47">
        <v>2718</v>
      </c>
      <c r="N80" s="4">
        <v>104</v>
      </c>
      <c r="P80" s="4">
        <v>2614</v>
      </c>
      <c r="Q80" s="47">
        <v>3114</v>
      </c>
      <c r="R80" s="4">
        <v>27</v>
      </c>
      <c r="T80" s="4">
        <v>2758</v>
      </c>
      <c r="U80" s="4">
        <v>329</v>
      </c>
      <c r="V80" s="47">
        <v>131975</v>
      </c>
      <c r="W80" s="4">
        <v>2047</v>
      </c>
      <c r="X80" s="4">
        <v>11541</v>
      </c>
      <c r="Y80" s="4">
        <v>2311</v>
      </c>
      <c r="Z80" s="4">
        <v>116076</v>
      </c>
      <c r="AA80" s="48">
        <v>365542</v>
      </c>
    </row>
    <row r="81" spans="1:27" ht="14.5" x14ac:dyDescent="0.35">
      <c r="A81" s="46">
        <v>44108</v>
      </c>
      <c r="B81" s="49">
        <v>8379</v>
      </c>
      <c r="C81" s="8"/>
      <c r="D81" s="8"/>
      <c r="E81" s="9">
        <v>1</v>
      </c>
      <c r="F81" s="9">
        <v>8378</v>
      </c>
      <c r="G81" s="50">
        <v>222028</v>
      </c>
      <c r="H81" s="8"/>
      <c r="I81" s="9">
        <v>26986</v>
      </c>
      <c r="J81" s="8"/>
      <c r="K81" s="9">
        <v>195042</v>
      </c>
      <c r="L81" s="50">
        <v>2718</v>
      </c>
      <c r="M81" s="8"/>
      <c r="N81" s="9">
        <v>104</v>
      </c>
      <c r="O81" s="8"/>
      <c r="P81" s="9">
        <v>2614</v>
      </c>
      <c r="Q81" s="50">
        <v>3114</v>
      </c>
      <c r="R81" s="9">
        <v>25</v>
      </c>
      <c r="S81" s="8"/>
      <c r="T81" s="9">
        <v>2758</v>
      </c>
      <c r="U81" s="9">
        <v>331</v>
      </c>
      <c r="V81" s="50">
        <v>132842</v>
      </c>
      <c r="W81" s="9">
        <v>1995</v>
      </c>
      <c r="X81" s="9">
        <v>12262</v>
      </c>
      <c r="Y81" s="9">
        <v>2311</v>
      </c>
      <c r="Z81" s="9">
        <v>116274</v>
      </c>
      <c r="AA81" s="51">
        <v>369081</v>
      </c>
    </row>
    <row r="82" spans="1:27" ht="12.5" x14ac:dyDescent="0.25">
      <c r="A82" s="46">
        <v>44109</v>
      </c>
      <c r="B82" s="47">
        <v>8379</v>
      </c>
      <c r="E82" s="4">
        <v>1</v>
      </c>
      <c r="F82" s="4">
        <v>8378</v>
      </c>
      <c r="G82" s="47">
        <v>224298</v>
      </c>
      <c r="I82" s="4">
        <v>26129</v>
      </c>
      <c r="K82" s="4">
        <v>198169</v>
      </c>
      <c r="L82" s="47">
        <v>2718</v>
      </c>
      <c r="N82" s="4">
        <v>78</v>
      </c>
      <c r="P82" s="4">
        <v>2640</v>
      </c>
      <c r="Q82" s="47">
        <v>3169</v>
      </c>
      <c r="R82" s="4">
        <v>18</v>
      </c>
      <c r="T82" s="4">
        <v>2813</v>
      </c>
      <c r="U82" s="4">
        <v>338</v>
      </c>
      <c r="V82" s="47">
        <v>133530</v>
      </c>
      <c r="W82" s="4">
        <v>2170</v>
      </c>
      <c r="X82" s="4">
        <v>11262</v>
      </c>
      <c r="Y82" s="4">
        <v>2311</v>
      </c>
      <c r="Z82" s="4">
        <v>117787</v>
      </c>
      <c r="AA82" s="48">
        <v>372094</v>
      </c>
    </row>
    <row r="83" spans="1:27" ht="12.5" x14ac:dyDescent="0.25">
      <c r="A83" s="46">
        <v>44110</v>
      </c>
      <c r="B83" s="47">
        <v>8699</v>
      </c>
      <c r="E83" s="4">
        <v>1</v>
      </c>
      <c r="F83" s="4">
        <v>8698</v>
      </c>
      <c r="G83" s="47">
        <v>226605</v>
      </c>
      <c r="I83" s="4">
        <v>25612</v>
      </c>
      <c r="K83" s="4">
        <v>200993</v>
      </c>
      <c r="L83" s="47">
        <v>2746</v>
      </c>
      <c r="N83" s="4">
        <v>73</v>
      </c>
      <c r="P83" s="4">
        <v>2673</v>
      </c>
      <c r="Q83" s="47">
        <v>3242</v>
      </c>
      <c r="R83" s="4">
        <v>16</v>
      </c>
      <c r="T83" s="4">
        <v>2874</v>
      </c>
      <c r="U83" s="4">
        <v>352</v>
      </c>
      <c r="V83" s="47">
        <v>136106</v>
      </c>
      <c r="W83" s="4">
        <v>2270</v>
      </c>
      <c r="X83" s="4">
        <v>11811</v>
      </c>
      <c r="Y83" s="4">
        <v>2311</v>
      </c>
      <c r="Z83" s="4">
        <v>119714</v>
      </c>
      <c r="AA83" s="48">
        <v>377398</v>
      </c>
    </row>
    <row r="84" spans="1:27" ht="12.5" x14ac:dyDescent="0.25">
      <c r="A84" s="46">
        <v>44111</v>
      </c>
      <c r="B84" s="47">
        <v>8809</v>
      </c>
      <c r="E84" s="4">
        <v>1</v>
      </c>
      <c r="F84" s="4">
        <v>8808</v>
      </c>
      <c r="G84" s="47">
        <v>232428</v>
      </c>
      <c r="I84" s="4">
        <v>27880</v>
      </c>
      <c r="K84" s="4">
        <v>204548</v>
      </c>
      <c r="L84" s="47">
        <v>2754</v>
      </c>
      <c r="N84" s="4">
        <v>35</v>
      </c>
      <c r="P84" s="4">
        <v>2719</v>
      </c>
      <c r="Q84" s="47">
        <v>3286</v>
      </c>
      <c r="R84" s="4">
        <v>20</v>
      </c>
      <c r="T84" s="4">
        <v>2912</v>
      </c>
      <c r="U84" s="4">
        <v>354</v>
      </c>
      <c r="V84" s="47">
        <v>139002</v>
      </c>
      <c r="W84" s="4">
        <v>1897</v>
      </c>
      <c r="X84" s="4">
        <v>12970</v>
      </c>
      <c r="Y84" s="4">
        <v>2311</v>
      </c>
      <c r="Z84" s="4">
        <v>121824</v>
      </c>
      <c r="AA84" s="48">
        <v>386279</v>
      </c>
    </row>
    <row r="85" spans="1:27" ht="12.5" x14ac:dyDescent="0.25">
      <c r="A85" s="46">
        <v>44112</v>
      </c>
      <c r="B85" s="47">
        <v>8884</v>
      </c>
      <c r="E85" s="4">
        <v>1</v>
      </c>
      <c r="F85" s="4">
        <v>8883</v>
      </c>
      <c r="G85" s="47">
        <v>238019</v>
      </c>
      <c r="I85" s="4">
        <v>29786</v>
      </c>
      <c r="K85" s="4">
        <v>208233</v>
      </c>
      <c r="L85" s="47">
        <v>2768</v>
      </c>
      <c r="N85" s="4">
        <v>33</v>
      </c>
      <c r="P85" s="4">
        <v>2735</v>
      </c>
      <c r="Q85" s="47">
        <v>3346</v>
      </c>
      <c r="R85" s="4">
        <v>34</v>
      </c>
      <c r="T85" s="4">
        <v>2955</v>
      </c>
      <c r="U85" s="4">
        <v>357</v>
      </c>
      <c r="V85" s="47">
        <v>142333</v>
      </c>
      <c r="W85" s="4">
        <v>1964</v>
      </c>
      <c r="X85" s="4">
        <v>13920</v>
      </c>
      <c r="Y85" s="4">
        <v>2311</v>
      </c>
      <c r="Z85" s="4">
        <v>124138</v>
      </c>
      <c r="AA85" s="48">
        <v>395350</v>
      </c>
    </row>
    <row r="86" spans="1:27" ht="14.5" x14ac:dyDescent="0.35">
      <c r="A86" s="46">
        <v>44113</v>
      </c>
      <c r="B86" s="49">
        <v>8884</v>
      </c>
      <c r="C86" s="8"/>
      <c r="D86" s="8"/>
      <c r="E86" s="9">
        <v>1</v>
      </c>
      <c r="F86" s="9">
        <v>8883</v>
      </c>
      <c r="G86" s="50">
        <v>240257</v>
      </c>
      <c r="H86" s="8"/>
      <c r="I86" s="9">
        <v>31485</v>
      </c>
      <c r="J86" s="8"/>
      <c r="K86" s="9">
        <v>208772</v>
      </c>
      <c r="L86" s="50">
        <v>2768</v>
      </c>
      <c r="M86" s="8"/>
      <c r="N86" s="9">
        <v>33</v>
      </c>
      <c r="O86" s="8"/>
      <c r="P86" s="9">
        <v>2735</v>
      </c>
      <c r="Q86" s="50">
        <v>3397</v>
      </c>
      <c r="R86" s="9">
        <v>34</v>
      </c>
      <c r="S86" s="8"/>
      <c r="T86" s="9">
        <v>3006</v>
      </c>
      <c r="U86" s="9">
        <v>357</v>
      </c>
      <c r="V86" s="50">
        <v>143804</v>
      </c>
      <c r="W86" s="9">
        <v>2047</v>
      </c>
      <c r="X86" s="9">
        <v>15186</v>
      </c>
      <c r="Y86" s="9">
        <v>2311</v>
      </c>
      <c r="Z86" s="9">
        <v>124260</v>
      </c>
      <c r="AA86" s="51">
        <v>399110</v>
      </c>
    </row>
    <row r="87" spans="1:27" ht="12.5" x14ac:dyDescent="0.25">
      <c r="A87" s="46">
        <v>44114</v>
      </c>
      <c r="B87" s="47">
        <v>8884</v>
      </c>
      <c r="E87" s="4">
        <v>1</v>
      </c>
      <c r="F87" s="4">
        <v>8883</v>
      </c>
      <c r="G87" s="47">
        <v>243775</v>
      </c>
      <c r="I87" s="4">
        <v>30800</v>
      </c>
      <c r="K87" s="4">
        <v>212975</v>
      </c>
      <c r="L87" s="47">
        <v>2768</v>
      </c>
      <c r="N87" s="4">
        <v>31</v>
      </c>
      <c r="P87" s="4">
        <v>2737</v>
      </c>
      <c r="Q87" s="47">
        <v>3397</v>
      </c>
      <c r="R87" s="4">
        <v>30</v>
      </c>
      <c r="T87" s="4">
        <v>3006</v>
      </c>
      <c r="U87" s="4">
        <v>361</v>
      </c>
      <c r="V87" s="47">
        <v>145808</v>
      </c>
      <c r="W87" s="4">
        <v>2256</v>
      </c>
      <c r="X87" s="4">
        <v>14918</v>
      </c>
      <c r="Y87" s="4">
        <v>2311</v>
      </c>
      <c r="Z87" s="4">
        <v>126323</v>
      </c>
      <c r="AA87" s="48">
        <v>404632</v>
      </c>
    </row>
    <row r="88" spans="1:27" ht="14.5" x14ac:dyDescent="0.35">
      <c r="A88" s="46">
        <v>44115</v>
      </c>
      <c r="B88" s="49">
        <v>9014</v>
      </c>
      <c r="C88" s="8"/>
      <c r="D88" s="8"/>
      <c r="E88" s="9">
        <v>1</v>
      </c>
      <c r="F88" s="9">
        <v>9013</v>
      </c>
      <c r="G88" s="50">
        <v>246751</v>
      </c>
      <c r="H88" s="8"/>
      <c r="I88" s="9">
        <v>31676</v>
      </c>
      <c r="J88" s="8"/>
      <c r="K88" s="9">
        <v>215075</v>
      </c>
      <c r="L88" s="50">
        <v>2827</v>
      </c>
      <c r="M88" s="8"/>
      <c r="N88" s="9">
        <v>35</v>
      </c>
      <c r="O88" s="8"/>
      <c r="P88" s="9">
        <v>2792</v>
      </c>
      <c r="Q88" s="50">
        <v>3414</v>
      </c>
      <c r="R88" s="9">
        <v>38</v>
      </c>
      <c r="S88" s="8"/>
      <c r="T88" s="9">
        <v>3006</v>
      </c>
      <c r="U88" s="9">
        <v>370</v>
      </c>
      <c r="V88" s="50">
        <v>147916</v>
      </c>
      <c r="W88" s="9">
        <v>2375</v>
      </c>
      <c r="X88" s="9">
        <v>15614</v>
      </c>
      <c r="Y88" s="9">
        <v>2311</v>
      </c>
      <c r="Z88" s="9">
        <v>127616</v>
      </c>
      <c r="AA88" s="51">
        <v>409922</v>
      </c>
    </row>
    <row r="89" spans="1:27" ht="12.5" x14ac:dyDescent="0.25">
      <c r="A89" s="46">
        <v>44116</v>
      </c>
      <c r="B89" s="47">
        <v>9014</v>
      </c>
      <c r="E89" s="4">
        <v>1</v>
      </c>
      <c r="F89" s="4">
        <v>9013</v>
      </c>
      <c r="G89" s="47">
        <v>249828</v>
      </c>
      <c r="I89" s="4">
        <v>29407</v>
      </c>
      <c r="K89" s="4">
        <v>220421</v>
      </c>
      <c r="L89" s="47">
        <v>2827</v>
      </c>
      <c r="N89" s="4">
        <v>28</v>
      </c>
      <c r="P89" s="4">
        <v>2799</v>
      </c>
      <c r="Q89" s="47">
        <v>3486</v>
      </c>
      <c r="R89" s="4">
        <v>34</v>
      </c>
      <c r="T89" s="4">
        <v>3078</v>
      </c>
      <c r="U89" s="4">
        <v>374</v>
      </c>
      <c r="V89" s="47">
        <v>149319</v>
      </c>
      <c r="W89" s="4">
        <v>2299</v>
      </c>
      <c r="X89" s="4">
        <v>14261</v>
      </c>
      <c r="Y89" s="4">
        <v>2311</v>
      </c>
      <c r="Z89" s="4">
        <v>130448</v>
      </c>
      <c r="AA89" s="48">
        <v>414474</v>
      </c>
    </row>
    <row r="90" spans="1:27" ht="14.5" x14ac:dyDescent="0.35">
      <c r="A90" s="46">
        <v>44117</v>
      </c>
      <c r="B90" s="49">
        <v>9014</v>
      </c>
      <c r="C90" s="8"/>
      <c r="D90" s="8"/>
      <c r="E90" s="9">
        <v>1</v>
      </c>
      <c r="F90" s="9">
        <v>9013</v>
      </c>
      <c r="G90" s="50">
        <v>252575</v>
      </c>
      <c r="H90" s="8"/>
      <c r="I90" s="9">
        <v>28133</v>
      </c>
      <c r="J90" s="8"/>
      <c r="K90" s="9">
        <v>224442</v>
      </c>
      <c r="L90" s="50">
        <v>2827</v>
      </c>
      <c r="M90" s="8"/>
      <c r="N90" s="9">
        <v>22</v>
      </c>
      <c r="O90" s="8"/>
      <c r="P90" s="9">
        <v>2805</v>
      </c>
      <c r="Q90" s="50">
        <v>3486</v>
      </c>
      <c r="R90" s="9">
        <v>33</v>
      </c>
      <c r="S90" s="8"/>
      <c r="T90" s="9">
        <v>3078</v>
      </c>
      <c r="U90" s="9">
        <v>375</v>
      </c>
      <c r="V90" s="50">
        <v>151453</v>
      </c>
      <c r="W90" s="9">
        <v>2468</v>
      </c>
      <c r="X90" s="9">
        <v>13605</v>
      </c>
      <c r="Y90" s="9">
        <v>2311</v>
      </c>
      <c r="Z90" s="9">
        <v>133069</v>
      </c>
      <c r="AA90" s="51">
        <v>419355</v>
      </c>
    </row>
    <row r="91" spans="1:27" ht="12.5" x14ac:dyDescent="0.25">
      <c r="A91" s="46">
        <v>44118</v>
      </c>
      <c r="B91" s="47">
        <v>9167</v>
      </c>
      <c r="E91" s="4">
        <v>1</v>
      </c>
      <c r="F91" s="4">
        <v>9166</v>
      </c>
      <c r="G91" s="47">
        <v>254730</v>
      </c>
      <c r="I91" s="4">
        <v>26020</v>
      </c>
      <c r="K91" s="4">
        <v>228710</v>
      </c>
      <c r="L91" s="47">
        <v>2865</v>
      </c>
      <c r="N91" s="4">
        <v>21</v>
      </c>
      <c r="P91" s="4">
        <v>2844</v>
      </c>
      <c r="Q91" s="47">
        <v>3493</v>
      </c>
      <c r="R91" s="4">
        <v>38</v>
      </c>
      <c r="T91" s="4">
        <v>3078</v>
      </c>
      <c r="U91" s="4">
        <v>377</v>
      </c>
      <c r="V91" s="47">
        <v>153437</v>
      </c>
      <c r="W91" s="4">
        <v>2578</v>
      </c>
      <c r="X91" s="4">
        <v>13153</v>
      </c>
      <c r="Y91" s="4">
        <v>2311</v>
      </c>
      <c r="Z91" s="4">
        <v>135395</v>
      </c>
      <c r="AA91" s="48">
        <v>423692</v>
      </c>
    </row>
    <row r="92" spans="1:27" ht="12.5" x14ac:dyDescent="0.25">
      <c r="A92" s="46">
        <v>44119</v>
      </c>
      <c r="B92" s="47">
        <v>9172</v>
      </c>
      <c r="E92" s="4">
        <v>1</v>
      </c>
      <c r="F92" s="4">
        <v>9171</v>
      </c>
      <c r="G92" s="47">
        <v>259093</v>
      </c>
      <c r="I92" s="4">
        <v>25835</v>
      </c>
      <c r="K92" s="4">
        <v>233258</v>
      </c>
      <c r="L92" s="47">
        <v>2889</v>
      </c>
      <c r="N92" s="4">
        <v>25</v>
      </c>
      <c r="P92" s="4">
        <v>2864</v>
      </c>
      <c r="Q92" s="47">
        <v>3644</v>
      </c>
      <c r="R92" s="4">
        <v>38</v>
      </c>
      <c r="T92" s="4">
        <v>3220</v>
      </c>
      <c r="U92" s="4">
        <v>386</v>
      </c>
      <c r="V92" s="47">
        <v>156858</v>
      </c>
      <c r="W92" s="4">
        <v>2119</v>
      </c>
      <c r="X92" s="4">
        <v>14340</v>
      </c>
      <c r="Y92" s="4">
        <v>2311</v>
      </c>
      <c r="Z92" s="4">
        <v>138088</v>
      </c>
      <c r="AA92" s="48">
        <v>431656</v>
      </c>
    </row>
    <row r="93" spans="1:27" ht="14.5" x14ac:dyDescent="0.35">
      <c r="A93" s="46">
        <v>44120</v>
      </c>
      <c r="B93" s="49">
        <v>9172</v>
      </c>
      <c r="C93" s="8"/>
      <c r="D93" s="8"/>
      <c r="E93" s="9">
        <v>1</v>
      </c>
      <c r="F93" s="9">
        <v>9171</v>
      </c>
      <c r="G93" s="50">
        <v>262702</v>
      </c>
      <c r="H93" s="8"/>
      <c r="I93" s="9">
        <v>25129</v>
      </c>
      <c r="J93" s="8"/>
      <c r="K93" s="9">
        <v>237573</v>
      </c>
      <c r="L93" s="50">
        <v>2889</v>
      </c>
      <c r="M93" s="8"/>
      <c r="N93" s="9">
        <v>24</v>
      </c>
      <c r="O93" s="8"/>
      <c r="P93" s="9">
        <v>2865</v>
      </c>
      <c r="Q93" s="50">
        <v>3684</v>
      </c>
      <c r="R93" s="9">
        <v>35</v>
      </c>
      <c r="S93" s="8"/>
      <c r="T93" s="9">
        <v>3260</v>
      </c>
      <c r="U93" s="9">
        <v>389</v>
      </c>
      <c r="V93" s="50">
        <v>158874</v>
      </c>
      <c r="W93" s="9">
        <v>1998</v>
      </c>
      <c r="X93" s="9">
        <v>13865</v>
      </c>
      <c r="Y93" s="9">
        <v>2311</v>
      </c>
      <c r="Z93" s="9">
        <v>140700</v>
      </c>
      <c r="AA93" s="51">
        <v>437321</v>
      </c>
    </row>
    <row r="94" spans="1:27" ht="12.5" x14ac:dyDescent="0.25">
      <c r="A94" s="46">
        <v>44121</v>
      </c>
      <c r="B94" s="47">
        <v>9172</v>
      </c>
      <c r="E94" s="4">
        <v>1</v>
      </c>
      <c r="F94" s="4">
        <v>9171</v>
      </c>
      <c r="G94" s="47">
        <v>267580</v>
      </c>
      <c r="I94" s="4">
        <v>28303</v>
      </c>
      <c r="K94" s="4">
        <v>239277</v>
      </c>
      <c r="L94" s="47">
        <v>2898</v>
      </c>
      <c r="N94" s="4">
        <v>24</v>
      </c>
      <c r="P94" s="4">
        <v>2874</v>
      </c>
      <c r="Q94" s="47">
        <v>3690</v>
      </c>
      <c r="R94" s="4">
        <v>37</v>
      </c>
      <c r="T94" s="4">
        <v>3260</v>
      </c>
      <c r="U94" s="4">
        <v>393</v>
      </c>
      <c r="V94" s="47">
        <v>159679</v>
      </c>
      <c r="W94" s="4">
        <v>1714</v>
      </c>
      <c r="X94" s="4">
        <v>13866</v>
      </c>
      <c r="Y94" s="4">
        <v>2311</v>
      </c>
      <c r="Z94" s="4">
        <v>141788</v>
      </c>
      <c r="AA94" s="48">
        <v>443019</v>
      </c>
    </row>
    <row r="95" spans="1:27" ht="14.5" x14ac:dyDescent="0.35">
      <c r="A95" s="52">
        <v>44122</v>
      </c>
      <c r="B95" s="49">
        <v>9172</v>
      </c>
      <c r="C95" s="8"/>
      <c r="D95" s="8"/>
      <c r="E95" s="9">
        <v>1</v>
      </c>
      <c r="F95" s="9">
        <v>9171</v>
      </c>
      <c r="G95" s="50">
        <v>271067</v>
      </c>
      <c r="H95" s="8"/>
      <c r="I95" s="9">
        <v>30374</v>
      </c>
      <c r="J95" s="8"/>
      <c r="K95" s="9">
        <v>240693</v>
      </c>
      <c r="L95" s="50">
        <v>2898</v>
      </c>
      <c r="M95" s="8"/>
      <c r="N95" s="9">
        <v>24</v>
      </c>
      <c r="O95" s="8"/>
      <c r="P95" s="9">
        <v>2874</v>
      </c>
      <c r="Q95" s="50">
        <v>3690</v>
      </c>
      <c r="R95" s="9">
        <v>36</v>
      </c>
      <c r="S95" s="8"/>
      <c r="T95" s="9">
        <v>3260</v>
      </c>
      <c r="U95" s="9">
        <v>394</v>
      </c>
      <c r="V95" s="50">
        <v>162501</v>
      </c>
      <c r="W95" s="9">
        <v>1857</v>
      </c>
      <c r="X95" s="9">
        <v>15490</v>
      </c>
      <c r="Y95" s="9">
        <v>2311</v>
      </c>
      <c r="Z95" s="9">
        <v>142843</v>
      </c>
      <c r="AA95" s="51">
        <v>449328</v>
      </c>
    </row>
    <row r="96" spans="1:27" ht="12.5" x14ac:dyDescent="0.25">
      <c r="A96" s="46">
        <v>44123</v>
      </c>
      <c r="B96" s="47">
        <v>9172</v>
      </c>
      <c r="E96" s="4">
        <v>1</v>
      </c>
      <c r="F96" s="4">
        <v>9171</v>
      </c>
      <c r="G96" s="47">
        <v>273009</v>
      </c>
      <c r="I96" s="4">
        <v>27847</v>
      </c>
      <c r="K96" s="4">
        <v>245162</v>
      </c>
      <c r="L96" s="47">
        <v>2898</v>
      </c>
      <c r="N96" s="4">
        <v>21</v>
      </c>
      <c r="P96" s="4">
        <v>2877</v>
      </c>
      <c r="Q96" s="47">
        <v>3690</v>
      </c>
      <c r="R96" s="4">
        <v>27</v>
      </c>
      <c r="T96" s="4">
        <v>3260</v>
      </c>
      <c r="U96" s="4">
        <v>403</v>
      </c>
      <c r="V96" s="47">
        <v>163356</v>
      </c>
      <c r="W96" s="4">
        <v>2181</v>
      </c>
      <c r="X96" s="4">
        <v>13136</v>
      </c>
      <c r="Y96" s="4">
        <v>2311</v>
      </c>
      <c r="Z96" s="4">
        <v>145728</v>
      </c>
      <c r="AA96" s="48">
        <v>452125</v>
      </c>
    </row>
    <row r="97" spans="1:27" ht="12.5" x14ac:dyDescent="0.25">
      <c r="A97" s="52">
        <v>44124</v>
      </c>
      <c r="B97" s="47">
        <v>9234</v>
      </c>
      <c r="E97" s="4">
        <v>1</v>
      </c>
      <c r="F97" s="4">
        <v>9233</v>
      </c>
      <c r="G97" s="47">
        <v>276749</v>
      </c>
      <c r="I97" s="4">
        <v>27954</v>
      </c>
      <c r="K97" s="4">
        <v>248795</v>
      </c>
      <c r="L97" s="47">
        <v>2910</v>
      </c>
      <c r="N97" s="4">
        <v>24</v>
      </c>
      <c r="P97" s="4">
        <v>2886</v>
      </c>
      <c r="Q97" s="47">
        <v>3691</v>
      </c>
      <c r="R97" s="4">
        <v>25</v>
      </c>
      <c r="T97" s="4">
        <v>3260</v>
      </c>
      <c r="U97" s="4">
        <v>406</v>
      </c>
      <c r="V97" s="47">
        <v>166320</v>
      </c>
      <c r="W97" s="4">
        <v>2197</v>
      </c>
      <c r="X97" s="4">
        <v>13255</v>
      </c>
      <c r="Y97" s="4">
        <v>2311</v>
      </c>
      <c r="Z97" s="4">
        <v>148557</v>
      </c>
      <c r="AA97" s="48">
        <v>458904</v>
      </c>
    </row>
    <row r="98" spans="1:27" ht="12.5" x14ac:dyDescent="0.25">
      <c r="A98" s="46">
        <v>44125</v>
      </c>
      <c r="B98" s="47">
        <v>9234</v>
      </c>
      <c r="E98" s="4">
        <v>1</v>
      </c>
      <c r="F98" s="4">
        <v>9233</v>
      </c>
      <c r="G98" s="47">
        <v>278637</v>
      </c>
      <c r="I98" s="4">
        <v>26293</v>
      </c>
      <c r="K98" s="4">
        <v>252344</v>
      </c>
      <c r="L98" s="47">
        <v>2933</v>
      </c>
      <c r="N98" s="4">
        <v>31</v>
      </c>
      <c r="P98" s="4">
        <v>2902</v>
      </c>
      <c r="Q98" s="47">
        <v>3700</v>
      </c>
      <c r="R98" s="4">
        <v>29</v>
      </c>
      <c r="T98" s="4">
        <v>3260</v>
      </c>
      <c r="U98" s="4">
        <v>411</v>
      </c>
      <c r="V98" s="47">
        <v>167829</v>
      </c>
      <c r="W98" s="4">
        <v>1949</v>
      </c>
      <c r="X98" s="4">
        <v>12304</v>
      </c>
      <c r="Y98" s="4">
        <v>2311</v>
      </c>
      <c r="Z98" s="4">
        <v>151265</v>
      </c>
      <c r="AA98" s="48">
        <v>462333</v>
      </c>
    </row>
    <row r="99" spans="1:27" ht="12.5" x14ac:dyDescent="0.25">
      <c r="A99" s="46">
        <v>44126</v>
      </c>
      <c r="B99" s="47">
        <v>9257</v>
      </c>
      <c r="E99" s="4">
        <v>1</v>
      </c>
      <c r="F99" s="4">
        <v>9256</v>
      </c>
      <c r="G99" s="47">
        <v>280838</v>
      </c>
      <c r="I99" s="4">
        <v>24196</v>
      </c>
      <c r="K99" s="4">
        <v>256642</v>
      </c>
      <c r="L99" s="47">
        <v>2946</v>
      </c>
      <c r="N99" s="4">
        <v>31</v>
      </c>
      <c r="P99" s="4">
        <v>2915</v>
      </c>
      <c r="Q99" s="47">
        <v>3744</v>
      </c>
      <c r="R99" s="4">
        <v>27</v>
      </c>
      <c r="T99" s="4">
        <v>3302</v>
      </c>
      <c r="U99" s="4">
        <v>415</v>
      </c>
      <c r="V99" s="47">
        <v>168692</v>
      </c>
      <c r="W99" s="4">
        <v>1676</v>
      </c>
      <c r="X99" s="4">
        <v>11528</v>
      </c>
      <c r="Y99" s="4">
        <v>2311</v>
      </c>
      <c r="Z99" s="4">
        <v>153177</v>
      </c>
      <c r="AA99" s="48">
        <v>465477</v>
      </c>
    </row>
    <row r="100" spans="1:27" ht="14.5" x14ac:dyDescent="0.35">
      <c r="A100" s="52">
        <v>44127</v>
      </c>
      <c r="B100" s="49">
        <v>9383</v>
      </c>
      <c r="C100" s="8"/>
      <c r="D100" s="8"/>
      <c r="E100" s="9">
        <v>1</v>
      </c>
      <c r="F100" s="9">
        <v>9382</v>
      </c>
      <c r="G100" s="50">
        <v>283186</v>
      </c>
      <c r="H100" s="8"/>
      <c r="I100" s="9">
        <v>25571</v>
      </c>
      <c r="J100" s="8"/>
      <c r="K100" s="9">
        <v>257615</v>
      </c>
      <c r="L100" s="50">
        <v>2967</v>
      </c>
      <c r="M100" s="8"/>
      <c r="N100" s="9">
        <v>32</v>
      </c>
      <c r="O100" s="8"/>
      <c r="P100" s="9">
        <v>2935</v>
      </c>
      <c r="Q100" s="50">
        <v>3747</v>
      </c>
      <c r="R100" s="9">
        <v>29</v>
      </c>
      <c r="S100" s="8"/>
      <c r="T100" s="9">
        <v>3302</v>
      </c>
      <c r="U100" s="9">
        <v>416</v>
      </c>
      <c r="V100" s="50">
        <v>169684</v>
      </c>
      <c r="W100" s="9">
        <v>1739</v>
      </c>
      <c r="X100" s="9">
        <v>12232</v>
      </c>
      <c r="Y100" s="9">
        <v>2311</v>
      </c>
      <c r="Z100" s="9">
        <v>153402</v>
      </c>
      <c r="AA100" s="51">
        <v>468967</v>
      </c>
    </row>
    <row r="101" spans="1:27" ht="12.5" x14ac:dyDescent="0.25">
      <c r="A101" s="46">
        <v>44128</v>
      </c>
      <c r="B101" s="47">
        <v>9453</v>
      </c>
      <c r="E101" s="4">
        <v>1</v>
      </c>
      <c r="F101" s="4">
        <v>9452</v>
      </c>
      <c r="G101" s="47">
        <v>285576</v>
      </c>
      <c r="I101" s="4">
        <v>23034</v>
      </c>
      <c r="K101" s="4">
        <v>262542</v>
      </c>
      <c r="L101" s="47">
        <v>2985</v>
      </c>
      <c r="N101" s="4">
        <v>35</v>
      </c>
      <c r="P101" s="4">
        <v>2950</v>
      </c>
      <c r="Q101" s="47">
        <v>3749</v>
      </c>
      <c r="R101" s="4">
        <v>28</v>
      </c>
      <c r="T101" s="4">
        <v>3302</v>
      </c>
      <c r="U101" s="4">
        <v>419</v>
      </c>
      <c r="V101" s="47">
        <v>170801</v>
      </c>
      <c r="W101" s="4">
        <v>1550</v>
      </c>
      <c r="X101" s="4">
        <v>11758</v>
      </c>
      <c r="Y101" s="4">
        <v>2311</v>
      </c>
      <c r="Z101" s="4">
        <v>155182</v>
      </c>
      <c r="AA101" s="48">
        <v>472564</v>
      </c>
    </row>
    <row r="102" spans="1:27" ht="14.5" x14ac:dyDescent="0.35">
      <c r="A102" s="52">
        <v>44129</v>
      </c>
      <c r="B102" s="49">
        <v>9600</v>
      </c>
      <c r="C102" s="8"/>
      <c r="D102" s="8"/>
      <c r="E102" s="9">
        <v>1</v>
      </c>
      <c r="F102" s="9">
        <v>9599</v>
      </c>
      <c r="G102" s="50">
        <v>288794</v>
      </c>
      <c r="H102" s="8"/>
      <c r="I102" s="9">
        <v>24006</v>
      </c>
      <c r="J102" s="8"/>
      <c r="K102" s="9">
        <v>264788</v>
      </c>
      <c r="L102" s="50">
        <v>2997</v>
      </c>
      <c r="M102" s="8"/>
      <c r="N102" s="9">
        <v>36</v>
      </c>
      <c r="O102" s="8"/>
      <c r="P102" s="9">
        <v>2961</v>
      </c>
      <c r="Q102" s="50">
        <v>3837</v>
      </c>
      <c r="R102" s="9">
        <v>29</v>
      </c>
      <c r="S102" s="8"/>
      <c r="T102" s="9">
        <v>3386</v>
      </c>
      <c r="U102" s="9">
        <v>422</v>
      </c>
      <c r="V102" s="50">
        <v>172634</v>
      </c>
      <c r="W102" s="9">
        <v>1826</v>
      </c>
      <c r="X102" s="9">
        <v>11851</v>
      </c>
      <c r="Y102" s="9">
        <v>2311</v>
      </c>
      <c r="Z102" s="9">
        <v>156646</v>
      </c>
      <c r="AA102" s="51">
        <v>477862</v>
      </c>
    </row>
    <row r="103" spans="1:27" ht="12.5" x14ac:dyDescent="0.25">
      <c r="A103" s="46">
        <v>44130</v>
      </c>
      <c r="B103" s="47">
        <v>9676</v>
      </c>
      <c r="E103" s="4">
        <v>1</v>
      </c>
      <c r="F103" s="4">
        <v>9675</v>
      </c>
      <c r="G103" s="47">
        <v>291363</v>
      </c>
      <c r="I103" s="4">
        <v>22298</v>
      </c>
      <c r="K103" s="4">
        <v>269065</v>
      </c>
      <c r="L103" s="47">
        <v>2997</v>
      </c>
      <c r="N103" s="4">
        <v>35</v>
      </c>
      <c r="P103" s="4">
        <v>2962</v>
      </c>
      <c r="Q103" s="47">
        <v>3908</v>
      </c>
      <c r="R103" s="4">
        <v>29</v>
      </c>
      <c r="T103" s="4">
        <v>3455</v>
      </c>
      <c r="U103" s="4">
        <v>424</v>
      </c>
      <c r="V103" s="47">
        <v>173667</v>
      </c>
      <c r="W103" s="4">
        <v>1652</v>
      </c>
      <c r="X103" s="4">
        <v>10592</v>
      </c>
      <c r="Y103" s="4">
        <v>2311</v>
      </c>
      <c r="Z103" s="4">
        <v>159112</v>
      </c>
      <c r="AA103" s="48">
        <v>481611</v>
      </c>
    </row>
    <row r="104" spans="1:27" ht="14.5" x14ac:dyDescent="0.35">
      <c r="A104" s="52">
        <v>44131</v>
      </c>
      <c r="B104" s="49">
        <v>9747</v>
      </c>
      <c r="C104" s="8"/>
      <c r="D104" s="8"/>
      <c r="E104" s="9">
        <v>1</v>
      </c>
      <c r="F104" s="9">
        <v>9746</v>
      </c>
      <c r="G104" s="50">
        <v>295337</v>
      </c>
      <c r="H104" s="8"/>
      <c r="I104" s="9">
        <v>22896</v>
      </c>
      <c r="J104" s="8"/>
      <c r="K104" s="9">
        <v>272441</v>
      </c>
      <c r="L104" s="50">
        <v>3002</v>
      </c>
      <c r="M104" s="8"/>
      <c r="N104" s="9">
        <v>33</v>
      </c>
      <c r="O104" s="8"/>
      <c r="P104" s="9">
        <v>2969</v>
      </c>
      <c r="Q104" s="50">
        <v>3913</v>
      </c>
      <c r="R104" s="9">
        <v>33</v>
      </c>
      <c r="S104" s="8"/>
      <c r="T104" s="9">
        <v>3455</v>
      </c>
      <c r="U104" s="9">
        <v>425</v>
      </c>
      <c r="V104" s="50">
        <v>175710</v>
      </c>
      <c r="W104" s="9">
        <v>1717</v>
      </c>
      <c r="X104" s="9">
        <v>10486</v>
      </c>
      <c r="Y104" s="9">
        <v>2311</v>
      </c>
      <c r="Z104" s="9">
        <v>161196</v>
      </c>
      <c r="AA104" s="51">
        <v>487709</v>
      </c>
    </row>
    <row r="105" spans="1:27" ht="12.5" x14ac:dyDescent="0.25">
      <c r="A105" s="46">
        <v>44132</v>
      </c>
      <c r="B105" s="47">
        <v>9853</v>
      </c>
      <c r="E105" s="4">
        <v>1</v>
      </c>
      <c r="F105" s="4">
        <v>9852</v>
      </c>
      <c r="G105" s="47">
        <v>297240</v>
      </c>
      <c r="I105" s="4">
        <v>21014</v>
      </c>
      <c r="K105" s="4">
        <v>276226</v>
      </c>
      <c r="L105" s="47">
        <v>3007</v>
      </c>
      <c r="N105" s="4">
        <v>33</v>
      </c>
      <c r="P105" s="4">
        <v>2974</v>
      </c>
      <c r="Q105" s="47">
        <v>3921</v>
      </c>
      <c r="R105" s="4">
        <v>41</v>
      </c>
      <c r="T105" s="4">
        <v>3455</v>
      </c>
      <c r="U105" s="4">
        <v>425</v>
      </c>
      <c r="V105" s="47">
        <v>176589</v>
      </c>
      <c r="W105" s="4">
        <v>1745</v>
      </c>
      <c r="X105" s="4">
        <v>9912</v>
      </c>
      <c r="Y105" s="4">
        <v>2311</v>
      </c>
      <c r="Z105" s="4">
        <v>162621</v>
      </c>
      <c r="AA105" s="48">
        <v>490610</v>
      </c>
    </row>
    <row r="106" spans="1:27" ht="12.5" x14ac:dyDescent="0.25">
      <c r="A106" s="46">
        <v>44133</v>
      </c>
      <c r="B106" s="47">
        <v>9982</v>
      </c>
      <c r="D106" s="4">
        <v>60</v>
      </c>
      <c r="E106" s="4">
        <v>1</v>
      </c>
      <c r="F106" s="4">
        <v>9921</v>
      </c>
      <c r="G106" s="47">
        <v>301090</v>
      </c>
      <c r="I106" s="4">
        <v>18603</v>
      </c>
      <c r="K106" s="4">
        <v>282487</v>
      </c>
      <c r="L106" s="47">
        <v>3019</v>
      </c>
      <c r="N106" s="4">
        <v>40</v>
      </c>
      <c r="P106" s="4">
        <v>2979</v>
      </c>
      <c r="Q106" s="47">
        <v>3949</v>
      </c>
      <c r="R106" s="4">
        <v>40</v>
      </c>
      <c r="T106" s="4">
        <v>3478</v>
      </c>
      <c r="U106" s="4">
        <v>431</v>
      </c>
      <c r="V106" s="47">
        <v>178752</v>
      </c>
      <c r="W106" s="4">
        <v>1579</v>
      </c>
      <c r="X106" s="4">
        <v>10171</v>
      </c>
      <c r="Y106" s="4">
        <v>2311</v>
      </c>
      <c r="Z106" s="4">
        <v>164691</v>
      </c>
      <c r="AA106" s="48">
        <v>496792</v>
      </c>
    </row>
    <row r="107" spans="1:27" ht="14.5" x14ac:dyDescent="0.35">
      <c r="A107" s="52">
        <v>44134</v>
      </c>
      <c r="B107" s="49">
        <v>10146</v>
      </c>
      <c r="C107" s="8"/>
      <c r="D107" s="6">
        <v>60</v>
      </c>
      <c r="E107" s="9">
        <v>1</v>
      </c>
      <c r="F107" s="9">
        <v>10085</v>
      </c>
      <c r="G107" s="50">
        <v>308922</v>
      </c>
      <c r="H107" s="8"/>
      <c r="I107" s="9">
        <v>23145</v>
      </c>
      <c r="J107" s="8"/>
      <c r="K107" s="9">
        <v>285777</v>
      </c>
      <c r="L107" s="50">
        <v>3019</v>
      </c>
      <c r="M107" s="8"/>
      <c r="N107" s="9">
        <v>36</v>
      </c>
      <c r="O107" s="8"/>
      <c r="P107" s="9">
        <v>2983</v>
      </c>
      <c r="Q107" s="50">
        <v>3956</v>
      </c>
      <c r="R107" s="9">
        <v>44</v>
      </c>
      <c r="S107" s="8"/>
      <c r="T107" s="9">
        <v>3478</v>
      </c>
      <c r="U107" s="9">
        <v>434</v>
      </c>
      <c r="V107" s="50">
        <v>181900</v>
      </c>
      <c r="W107" s="9">
        <v>1338</v>
      </c>
      <c r="X107" s="9">
        <v>11058</v>
      </c>
      <c r="Y107" s="9">
        <v>2311</v>
      </c>
      <c r="Z107" s="9">
        <v>167193</v>
      </c>
      <c r="AA107" s="51">
        <v>507943</v>
      </c>
    </row>
    <row r="108" spans="1:27" ht="12.5" x14ac:dyDescent="0.25">
      <c r="A108" s="46">
        <v>44135</v>
      </c>
      <c r="B108" s="47">
        <v>10327</v>
      </c>
      <c r="D108" s="4">
        <v>60</v>
      </c>
      <c r="E108" s="4">
        <v>1</v>
      </c>
      <c r="F108" s="4">
        <v>10266</v>
      </c>
      <c r="G108" s="47">
        <v>313621</v>
      </c>
      <c r="I108" s="4">
        <v>22870</v>
      </c>
      <c r="K108" s="4">
        <v>290751</v>
      </c>
      <c r="L108" s="47">
        <v>3022</v>
      </c>
      <c r="N108" s="4">
        <v>39</v>
      </c>
      <c r="P108" s="4">
        <v>2983</v>
      </c>
      <c r="Q108" s="47">
        <v>3959</v>
      </c>
      <c r="R108" s="4">
        <v>47</v>
      </c>
      <c r="T108" s="4">
        <v>3478</v>
      </c>
      <c r="U108" s="4">
        <v>434</v>
      </c>
      <c r="V108" s="47">
        <v>184070</v>
      </c>
      <c r="W108" s="4">
        <v>1735</v>
      </c>
      <c r="X108" s="4">
        <v>11912</v>
      </c>
      <c r="Y108" s="4">
        <v>2311</v>
      </c>
      <c r="Z108" s="4">
        <v>168112</v>
      </c>
      <c r="AA108" s="48">
        <v>514999</v>
      </c>
    </row>
    <row r="109" spans="1:27" ht="14.5" x14ac:dyDescent="0.35">
      <c r="A109" s="46">
        <v>44136</v>
      </c>
      <c r="B109" s="49">
        <v>10390</v>
      </c>
      <c r="C109" s="8"/>
      <c r="D109" s="6">
        <v>30</v>
      </c>
      <c r="E109" s="9">
        <v>1</v>
      </c>
      <c r="F109" s="9">
        <v>10359</v>
      </c>
      <c r="G109" s="50">
        <v>317753</v>
      </c>
      <c r="H109" s="8"/>
      <c r="I109" s="9">
        <v>23320</v>
      </c>
      <c r="J109" s="8"/>
      <c r="K109" s="9">
        <v>294433</v>
      </c>
      <c r="L109" s="50">
        <v>3023</v>
      </c>
      <c r="M109" s="8"/>
      <c r="N109" s="9">
        <v>39</v>
      </c>
      <c r="O109" s="8"/>
      <c r="P109" s="9">
        <v>2984</v>
      </c>
      <c r="Q109" s="50">
        <v>3961</v>
      </c>
      <c r="R109" s="9">
        <v>47</v>
      </c>
      <c r="S109" s="8"/>
      <c r="T109" s="9">
        <v>3478</v>
      </c>
      <c r="U109" s="9">
        <v>436</v>
      </c>
      <c r="V109" s="50">
        <v>185855</v>
      </c>
      <c r="W109" s="9">
        <v>1811</v>
      </c>
      <c r="X109" s="9">
        <v>12663</v>
      </c>
      <c r="Y109" s="9">
        <v>2311</v>
      </c>
      <c r="Z109" s="9">
        <v>169070</v>
      </c>
      <c r="AA109" s="51">
        <v>520982</v>
      </c>
    </row>
    <row r="110" spans="1:27" ht="12.5" x14ac:dyDescent="0.25">
      <c r="A110" s="46">
        <v>44137</v>
      </c>
      <c r="B110" s="47">
        <v>10535</v>
      </c>
      <c r="E110" s="4">
        <v>1</v>
      </c>
      <c r="F110" s="4">
        <v>10534</v>
      </c>
      <c r="G110" s="47">
        <v>319994</v>
      </c>
      <c r="I110" s="4">
        <v>22170</v>
      </c>
      <c r="K110" s="4">
        <v>297824</v>
      </c>
      <c r="L110" s="47">
        <v>3023</v>
      </c>
      <c r="N110" s="4">
        <v>30</v>
      </c>
      <c r="P110" s="4">
        <v>2993</v>
      </c>
      <c r="Q110" s="47">
        <v>3962</v>
      </c>
      <c r="R110" s="4">
        <v>48</v>
      </c>
      <c r="T110" s="4">
        <v>3478</v>
      </c>
      <c r="U110" s="4">
        <v>436</v>
      </c>
      <c r="V110" s="47">
        <v>186632</v>
      </c>
      <c r="W110" s="4">
        <v>1960</v>
      </c>
      <c r="X110" s="4">
        <v>12092</v>
      </c>
      <c r="Y110" s="4">
        <v>2311</v>
      </c>
      <c r="Z110" s="4">
        <v>170269</v>
      </c>
      <c r="AA110" s="48">
        <v>524146</v>
      </c>
    </row>
    <row r="111" spans="1:27" ht="12.5" x14ac:dyDescent="0.25">
      <c r="A111" s="46">
        <v>44138</v>
      </c>
      <c r="B111" s="47">
        <v>10720</v>
      </c>
      <c r="E111" s="4">
        <v>1</v>
      </c>
      <c r="F111" s="4">
        <v>10719</v>
      </c>
      <c r="G111" s="47">
        <v>324175</v>
      </c>
      <c r="I111" s="4">
        <v>23400</v>
      </c>
      <c r="K111" s="4">
        <v>300775</v>
      </c>
      <c r="L111" s="47">
        <v>3025</v>
      </c>
      <c r="N111" s="4">
        <v>27</v>
      </c>
      <c r="P111" s="4">
        <v>2998</v>
      </c>
      <c r="Q111" s="47">
        <v>4167</v>
      </c>
      <c r="R111" s="4">
        <v>44</v>
      </c>
      <c r="T111" s="4">
        <v>3675</v>
      </c>
      <c r="U111" s="4">
        <v>448</v>
      </c>
      <c r="V111" s="47">
        <v>189118</v>
      </c>
      <c r="W111" s="4">
        <v>2273</v>
      </c>
      <c r="X111" s="4">
        <v>12526</v>
      </c>
      <c r="Y111" s="4">
        <v>2311</v>
      </c>
      <c r="Z111" s="4">
        <v>172008</v>
      </c>
      <c r="AA111" s="48">
        <v>531205</v>
      </c>
    </row>
    <row r="112" spans="1:27" ht="12.5" x14ac:dyDescent="0.25">
      <c r="A112" s="46">
        <v>44139</v>
      </c>
      <c r="B112" s="47">
        <v>10798</v>
      </c>
      <c r="E112" s="4">
        <v>1</v>
      </c>
      <c r="F112" s="4">
        <v>10797</v>
      </c>
      <c r="G112" s="47">
        <v>329301</v>
      </c>
      <c r="I112" s="4">
        <v>23802</v>
      </c>
      <c r="K112" s="4">
        <v>305499</v>
      </c>
      <c r="L112" s="47">
        <v>3030</v>
      </c>
      <c r="N112" s="4">
        <v>24</v>
      </c>
      <c r="P112" s="4">
        <v>3006</v>
      </c>
      <c r="Q112" s="47">
        <v>4210</v>
      </c>
      <c r="R112" s="4">
        <v>31</v>
      </c>
      <c r="T112" s="4">
        <v>3714</v>
      </c>
      <c r="U112" s="4">
        <v>465</v>
      </c>
      <c r="V112" s="47">
        <v>191453</v>
      </c>
      <c r="W112" s="4">
        <v>1915</v>
      </c>
      <c r="X112" s="4">
        <v>11753</v>
      </c>
      <c r="Y112" s="4">
        <v>2311</v>
      </c>
      <c r="Z112" s="4">
        <v>175474</v>
      </c>
      <c r="AA112" s="48">
        <v>538792</v>
      </c>
    </row>
    <row r="113" spans="1:27" ht="12.5" x14ac:dyDescent="0.25">
      <c r="A113" s="46">
        <v>44140</v>
      </c>
      <c r="B113" s="47">
        <v>10839</v>
      </c>
      <c r="E113" s="4">
        <v>1</v>
      </c>
      <c r="F113" s="4">
        <v>10838</v>
      </c>
      <c r="G113" s="47">
        <v>333716</v>
      </c>
      <c r="I113" s="4">
        <v>24083</v>
      </c>
      <c r="K113" s="4">
        <v>309633</v>
      </c>
      <c r="L113" s="47">
        <v>3040</v>
      </c>
      <c r="N113" s="4">
        <v>26</v>
      </c>
      <c r="P113" s="4">
        <v>3014</v>
      </c>
      <c r="Q113" s="47">
        <v>4220</v>
      </c>
      <c r="R113" s="4">
        <v>40</v>
      </c>
      <c r="T113" s="4">
        <v>3714</v>
      </c>
      <c r="U113" s="4">
        <v>466</v>
      </c>
      <c r="V113" s="47">
        <v>194393</v>
      </c>
      <c r="W113" s="4">
        <v>2082</v>
      </c>
      <c r="X113" s="4">
        <v>12419</v>
      </c>
      <c r="Y113" s="4">
        <v>2311</v>
      </c>
      <c r="Z113" s="4">
        <v>177581</v>
      </c>
      <c r="AA113" s="48">
        <v>546208</v>
      </c>
    </row>
    <row r="114" spans="1:27" ht="14.5" x14ac:dyDescent="0.35">
      <c r="A114" s="46">
        <v>44141</v>
      </c>
      <c r="B114" s="49">
        <v>10934</v>
      </c>
      <c r="C114" s="8"/>
      <c r="D114" s="8"/>
      <c r="E114" s="9">
        <v>1</v>
      </c>
      <c r="F114" s="9">
        <v>10933</v>
      </c>
      <c r="G114" s="50">
        <v>335295</v>
      </c>
      <c r="H114" s="8"/>
      <c r="I114" s="9">
        <v>21281</v>
      </c>
      <c r="J114" s="8"/>
      <c r="K114" s="9">
        <v>314014</v>
      </c>
      <c r="L114" s="50">
        <v>3059</v>
      </c>
      <c r="M114" s="8"/>
      <c r="N114" s="9">
        <v>38</v>
      </c>
      <c r="O114" s="8"/>
      <c r="P114" s="9">
        <v>3021</v>
      </c>
      <c r="Q114" s="50">
        <v>4222</v>
      </c>
      <c r="R114" s="9">
        <v>40</v>
      </c>
      <c r="S114" s="8"/>
      <c r="T114" s="9">
        <v>3714</v>
      </c>
      <c r="U114" s="9">
        <v>468</v>
      </c>
      <c r="V114" s="50">
        <v>195399</v>
      </c>
      <c r="W114" s="9">
        <v>2100</v>
      </c>
      <c r="X114" s="9">
        <v>11335</v>
      </c>
      <c r="Y114" s="9">
        <v>2311</v>
      </c>
      <c r="Z114" s="9">
        <v>179653</v>
      </c>
      <c r="AA114" s="51">
        <v>548909</v>
      </c>
    </row>
    <row r="115" spans="1:27" ht="12.5" x14ac:dyDescent="0.25">
      <c r="A115" s="46">
        <v>44142</v>
      </c>
      <c r="B115" s="47">
        <v>11051</v>
      </c>
      <c r="E115" s="4">
        <v>1</v>
      </c>
      <c r="F115" s="4">
        <v>11050</v>
      </c>
      <c r="G115" s="47">
        <v>341191</v>
      </c>
      <c r="I115" s="4">
        <v>24008</v>
      </c>
      <c r="K115" s="4">
        <v>317183</v>
      </c>
      <c r="L115" s="47">
        <v>3075</v>
      </c>
      <c r="N115" s="4">
        <v>47</v>
      </c>
      <c r="P115" s="4">
        <v>3028</v>
      </c>
      <c r="Q115" s="47">
        <v>4233</v>
      </c>
      <c r="R115" s="4">
        <v>42</v>
      </c>
      <c r="T115" s="4">
        <v>3714</v>
      </c>
      <c r="U115" s="4">
        <v>477</v>
      </c>
      <c r="V115" s="47">
        <v>198518</v>
      </c>
      <c r="W115" s="4">
        <v>1907</v>
      </c>
      <c r="X115" s="4">
        <v>12470</v>
      </c>
      <c r="Y115" s="4">
        <v>2311</v>
      </c>
      <c r="Z115" s="4">
        <v>181830</v>
      </c>
      <c r="AA115" s="48">
        <v>558068</v>
      </c>
    </row>
    <row r="116" spans="1:27" ht="14.5" x14ac:dyDescent="0.35">
      <c r="A116" s="46">
        <v>44143</v>
      </c>
      <c r="B116" s="49">
        <v>11185</v>
      </c>
      <c r="C116" s="8"/>
      <c r="D116" s="8"/>
      <c r="E116" s="9">
        <v>1</v>
      </c>
      <c r="F116" s="9">
        <v>11184</v>
      </c>
      <c r="G116" s="50">
        <v>344884</v>
      </c>
      <c r="H116" s="8"/>
      <c r="I116" s="9">
        <v>26148</v>
      </c>
      <c r="J116" s="8"/>
      <c r="K116" s="9">
        <v>318736</v>
      </c>
      <c r="L116" s="50">
        <v>3085</v>
      </c>
      <c r="M116" s="8"/>
      <c r="N116" s="9">
        <v>49</v>
      </c>
      <c r="O116" s="8"/>
      <c r="P116" s="9">
        <v>3036</v>
      </c>
      <c r="Q116" s="50">
        <v>4236</v>
      </c>
      <c r="R116" s="9">
        <v>42</v>
      </c>
      <c r="S116" s="8"/>
      <c r="T116" s="9">
        <v>3714</v>
      </c>
      <c r="U116" s="9">
        <v>480</v>
      </c>
      <c r="V116" s="50">
        <v>200694</v>
      </c>
      <c r="W116" s="9">
        <v>1909</v>
      </c>
      <c r="X116" s="9">
        <v>13612</v>
      </c>
      <c r="Y116" s="9">
        <v>2311</v>
      </c>
      <c r="Z116" s="9">
        <v>182862</v>
      </c>
      <c r="AA116" s="51">
        <v>564084</v>
      </c>
    </row>
    <row r="117" spans="1:27" ht="12.5" x14ac:dyDescent="0.25">
      <c r="A117" s="46">
        <v>44144</v>
      </c>
      <c r="B117" s="47">
        <v>11334</v>
      </c>
      <c r="E117" s="4">
        <v>1</v>
      </c>
      <c r="F117" s="4">
        <v>11333</v>
      </c>
      <c r="G117" s="47">
        <v>345171</v>
      </c>
      <c r="I117" s="4">
        <v>22232</v>
      </c>
      <c r="K117" s="4">
        <v>322939</v>
      </c>
      <c r="L117" s="47">
        <v>3085</v>
      </c>
      <c r="N117" s="4">
        <v>44</v>
      </c>
      <c r="P117" s="4">
        <v>3041</v>
      </c>
      <c r="Q117" s="47">
        <v>4241</v>
      </c>
      <c r="R117" s="4">
        <v>39</v>
      </c>
      <c r="T117" s="4">
        <v>3714</v>
      </c>
      <c r="U117" s="4">
        <v>488</v>
      </c>
      <c r="V117" s="47">
        <v>200822</v>
      </c>
      <c r="W117" s="4">
        <v>1649</v>
      </c>
      <c r="X117" s="4">
        <v>11855</v>
      </c>
      <c r="Y117" s="4">
        <v>2311</v>
      </c>
      <c r="Z117" s="4">
        <v>185007</v>
      </c>
      <c r="AA117" s="48">
        <v>564653</v>
      </c>
    </row>
    <row r="118" spans="1:27" ht="14.5" x14ac:dyDescent="0.35">
      <c r="A118" s="52">
        <v>44145</v>
      </c>
      <c r="B118" s="49">
        <v>11392</v>
      </c>
      <c r="C118" s="8"/>
      <c r="D118" s="8"/>
      <c r="E118" s="9">
        <v>1</v>
      </c>
      <c r="F118" s="9">
        <v>11391</v>
      </c>
      <c r="G118" s="50">
        <v>348726</v>
      </c>
      <c r="H118" s="8"/>
      <c r="I118" s="9">
        <v>21204</v>
      </c>
      <c r="J118" s="8"/>
      <c r="K118" s="9">
        <v>327522</v>
      </c>
      <c r="L118" s="50">
        <v>3087</v>
      </c>
      <c r="M118" s="8"/>
      <c r="N118" s="9">
        <v>41</v>
      </c>
      <c r="O118" s="8"/>
      <c r="P118" s="9">
        <v>3046</v>
      </c>
      <c r="Q118" s="50">
        <v>4249</v>
      </c>
      <c r="R118" s="9">
        <v>43</v>
      </c>
      <c r="S118" s="8"/>
      <c r="T118" s="9">
        <v>3714</v>
      </c>
      <c r="U118" s="9">
        <v>492</v>
      </c>
      <c r="V118" s="50">
        <v>203100</v>
      </c>
      <c r="W118" s="9">
        <v>1532</v>
      </c>
      <c r="X118" s="9">
        <v>11739</v>
      </c>
      <c r="Y118" s="9">
        <v>2311</v>
      </c>
      <c r="Z118" s="9">
        <v>187518</v>
      </c>
      <c r="AA118" s="51">
        <v>570554</v>
      </c>
    </row>
    <row r="119" spans="1:27" ht="12.5" x14ac:dyDescent="0.25">
      <c r="A119" s="46">
        <v>44146</v>
      </c>
      <c r="B119" s="47">
        <v>11495</v>
      </c>
      <c r="E119" s="4">
        <v>1</v>
      </c>
      <c r="F119" s="4">
        <v>11494</v>
      </c>
      <c r="G119" s="47">
        <v>351836</v>
      </c>
      <c r="I119" s="4">
        <v>21713</v>
      </c>
      <c r="K119" s="4">
        <v>330123</v>
      </c>
      <c r="L119" s="47">
        <v>3092</v>
      </c>
      <c r="N119" s="4">
        <v>36</v>
      </c>
      <c r="P119" s="4">
        <v>3056</v>
      </c>
      <c r="Q119" s="47">
        <v>4252</v>
      </c>
      <c r="R119" s="4">
        <v>41</v>
      </c>
      <c r="T119" s="4">
        <v>3714</v>
      </c>
      <c r="U119" s="4">
        <v>497</v>
      </c>
      <c r="V119" s="47">
        <v>205925</v>
      </c>
      <c r="W119" s="4">
        <v>1404</v>
      </c>
      <c r="X119" s="4">
        <v>12908</v>
      </c>
      <c r="Y119" s="4">
        <v>2311</v>
      </c>
      <c r="Z119" s="4">
        <v>189302</v>
      </c>
      <c r="AA119" s="48">
        <v>576600</v>
      </c>
    </row>
    <row r="120" spans="1:27" ht="14.5" x14ac:dyDescent="0.35">
      <c r="A120" s="52">
        <v>44147</v>
      </c>
      <c r="B120" s="49">
        <v>11678</v>
      </c>
      <c r="C120" s="8"/>
      <c r="D120" s="8"/>
      <c r="E120" s="9">
        <v>1</v>
      </c>
      <c r="F120" s="9">
        <v>11677</v>
      </c>
      <c r="G120" s="50">
        <v>356799</v>
      </c>
      <c r="H120" s="8"/>
      <c r="I120" s="9">
        <v>24385</v>
      </c>
      <c r="J120" s="8"/>
      <c r="K120" s="9">
        <v>332414</v>
      </c>
      <c r="L120" s="50">
        <v>3096</v>
      </c>
      <c r="M120" s="8"/>
      <c r="N120" s="9">
        <v>39</v>
      </c>
      <c r="O120" s="8"/>
      <c r="P120" s="9">
        <v>3057</v>
      </c>
      <c r="Q120" s="50">
        <v>4254</v>
      </c>
      <c r="R120" s="9">
        <v>41</v>
      </c>
      <c r="S120" s="8"/>
      <c r="T120" s="9">
        <v>3714</v>
      </c>
      <c r="U120" s="9">
        <v>499</v>
      </c>
      <c r="V120" s="50">
        <v>209565</v>
      </c>
      <c r="W120" s="9">
        <v>1535</v>
      </c>
      <c r="X120" s="9">
        <v>14587</v>
      </c>
      <c r="Y120" s="9">
        <v>2311</v>
      </c>
      <c r="Z120" s="9">
        <v>191132</v>
      </c>
      <c r="AA120" s="51">
        <v>585392</v>
      </c>
    </row>
    <row r="121" spans="1:27" ht="12.5" x14ac:dyDescent="0.25">
      <c r="A121" s="46">
        <v>44148</v>
      </c>
      <c r="B121" s="47">
        <v>11785</v>
      </c>
      <c r="E121" s="4">
        <v>1</v>
      </c>
      <c r="F121" s="4">
        <v>11784</v>
      </c>
      <c r="G121" s="47">
        <v>362473</v>
      </c>
      <c r="I121" s="4">
        <v>27757</v>
      </c>
      <c r="K121" s="4">
        <v>334716</v>
      </c>
      <c r="L121" s="47">
        <v>3107</v>
      </c>
      <c r="N121" s="4">
        <v>43</v>
      </c>
      <c r="P121" s="4">
        <v>3064</v>
      </c>
      <c r="Q121" s="47">
        <v>4315</v>
      </c>
      <c r="R121" s="4">
        <v>42</v>
      </c>
      <c r="T121" s="4">
        <v>3773</v>
      </c>
      <c r="U121" s="4">
        <v>500</v>
      </c>
      <c r="V121" s="47">
        <v>213362</v>
      </c>
      <c r="W121" s="4">
        <v>1478</v>
      </c>
      <c r="X121" s="4">
        <v>16161</v>
      </c>
      <c r="Y121" s="4">
        <v>2311</v>
      </c>
      <c r="Z121" s="4">
        <v>193412</v>
      </c>
      <c r="AA121" s="48">
        <v>595042</v>
      </c>
    </row>
    <row r="122" spans="1:27" ht="12.5" x14ac:dyDescent="0.25">
      <c r="A122" s="46">
        <v>44149</v>
      </c>
      <c r="B122" s="47">
        <v>11881</v>
      </c>
      <c r="E122" s="4">
        <v>1</v>
      </c>
      <c r="F122" s="4">
        <v>11880</v>
      </c>
      <c r="G122" s="47">
        <v>364313</v>
      </c>
      <c r="I122" s="4">
        <v>28848</v>
      </c>
      <c r="K122" s="4">
        <v>335465</v>
      </c>
      <c r="L122" s="47">
        <v>3111</v>
      </c>
      <c r="N122" s="4">
        <v>45</v>
      </c>
      <c r="P122" s="4">
        <v>3066</v>
      </c>
      <c r="Q122" s="47">
        <v>4318</v>
      </c>
      <c r="R122" s="4">
        <v>45</v>
      </c>
      <c r="T122" s="4">
        <v>3773</v>
      </c>
      <c r="U122" s="4">
        <v>500</v>
      </c>
      <c r="V122" s="47">
        <v>214350</v>
      </c>
      <c r="W122" s="4">
        <v>1514</v>
      </c>
      <c r="X122" s="4">
        <v>17023</v>
      </c>
      <c r="Y122" s="4">
        <v>2311</v>
      </c>
      <c r="Z122" s="4">
        <v>193502</v>
      </c>
      <c r="AA122" s="48">
        <v>597973</v>
      </c>
    </row>
    <row r="123" spans="1:27" ht="14.5" x14ac:dyDescent="0.35">
      <c r="A123" s="52">
        <v>44150</v>
      </c>
      <c r="B123" s="49">
        <v>12006</v>
      </c>
      <c r="C123" s="8"/>
      <c r="D123" s="8"/>
      <c r="E123" s="9">
        <v>1</v>
      </c>
      <c r="F123" s="9">
        <v>12005</v>
      </c>
      <c r="G123" s="50">
        <v>367745</v>
      </c>
      <c r="H123" s="8"/>
      <c r="I123" s="9">
        <v>30555</v>
      </c>
      <c r="J123" s="8"/>
      <c r="K123" s="9">
        <v>337190</v>
      </c>
      <c r="L123" s="50">
        <v>3116</v>
      </c>
      <c r="M123" s="8"/>
      <c r="N123" s="9">
        <v>46</v>
      </c>
      <c r="O123" s="8"/>
      <c r="P123" s="9">
        <v>3070</v>
      </c>
      <c r="Q123" s="50">
        <v>4355</v>
      </c>
      <c r="R123" s="9">
        <v>45</v>
      </c>
      <c r="S123" s="8"/>
      <c r="T123" s="9">
        <v>3808</v>
      </c>
      <c r="U123" s="9">
        <v>502</v>
      </c>
      <c r="V123" s="50">
        <v>216502</v>
      </c>
      <c r="W123" s="9">
        <v>1354</v>
      </c>
      <c r="X123" s="9">
        <v>18114</v>
      </c>
      <c r="Y123" s="9">
        <v>2311</v>
      </c>
      <c r="Z123" s="9">
        <v>194723</v>
      </c>
      <c r="AA123" s="51">
        <v>603724</v>
      </c>
    </row>
    <row r="124" spans="1:27" ht="12.5" x14ac:dyDescent="0.25">
      <c r="A124" s="46">
        <v>44151</v>
      </c>
      <c r="B124" s="47">
        <v>12095</v>
      </c>
      <c r="E124" s="4">
        <v>1</v>
      </c>
      <c r="F124" s="4">
        <v>12094</v>
      </c>
      <c r="G124" s="47">
        <v>371581</v>
      </c>
      <c r="I124" s="4">
        <v>33448</v>
      </c>
      <c r="K124" s="4">
        <v>338133</v>
      </c>
      <c r="L124" s="47">
        <v>3116</v>
      </c>
      <c r="N124" s="4">
        <v>46</v>
      </c>
      <c r="P124" s="4">
        <v>3070</v>
      </c>
      <c r="Q124" s="47">
        <v>4461</v>
      </c>
      <c r="R124" s="4">
        <v>47</v>
      </c>
      <c r="T124" s="4">
        <v>3911</v>
      </c>
      <c r="U124" s="4">
        <v>503</v>
      </c>
      <c r="V124" s="47">
        <v>218309</v>
      </c>
      <c r="W124" s="4">
        <v>1474</v>
      </c>
      <c r="X124" s="4">
        <v>19133</v>
      </c>
      <c r="Y124" s="4">
        <v>2311</v>
      </c>
      <c r="Z124" s="4">
        <v>195391</v>
      </c>
      <c r="AA124" s="48">
        <v>609562</v>
      </c>
    </row>
    <row r="125" spans="1:27" ht="12.5" x14ac:dyDescent="0.25">
      <c r="A125" s="46">
        <v>44152</v>
      </c>
      <c r="B125" s="47">
        <v>12210</v>
      </c>
      <c r="E125" s="4">
        <v>1</v>
      </c>
      <c r="F125" s="4">
        <v>12209</v>
      </c>
      <c r="G125" s="47">
        <v>375215</v>
      </c>
      <c r="I125" s="4">
        <v>28584</v>
      </c>
      <c r="K125" s="4">
        <v>346631</v>
      </c>
      <c r="L125" s="47">
        <v>3125</v>
      </c>
      <c r="N125" s="4">
        <v>48</v>
      </c>
      <c r="P125" s="4">
        <v>3077</v>
      </c>
      <c r="Q125" s="47">
        <v>4507</v>
      </c>
      <c r="R125" s="4">
        <v>47</v>
      </c>
      <c r="T125" s="4">
        <v>3945</v>
      </c>
      <c r="U125" s="4">
        <v>515</v>
      </c>
      <c r="V125" s="47">
        <v>220956</v>
      </c>
      <c r="W125" s="4">
        <v>1315</v>
      </c>
      <c r="X125" s="4">
        <v>17684</v>
      </c>
      <c r="Y125" s="4">
        <v>2311</v>
      </c>
      <c r="Z125" s="4">
        <v>199646</v>
      </c>
      <c r="AA125" s="48">
        <v>616013</v>
      </c>
    </row>
    <row r="126" spans="1:27" ht="12.5" x14ac:dyDescent="0.25">
      <c r="A126" s="46">
        <v>44153</v>
      </c>
      <c r="B126" s="47">
        <v>12267</v>
      </c>
      <c r="E126" s="4">
        <v>1</v>
      </c>
      <c r="F126" s="4">
        <v>12266</v>
      </c>
      <c r="G126" s="47">
        <v>381621</v>
      </c>
      <c r="I126" s="4">
        <v>28143</v>
      </c>
      <c r="K126" s="4">
        <v>353478</v>
      </c>
      <c r="L126" s="47">
        <v>3143</v>
      </c>
      <c r="N126" s="4">
        <v>33</v>
      </c>
      <c r="P126" s="4">
        <v>3110</v>
      </c>
      <c r="Q126" s="47">
        <v>4566</v>
      </c>
      <c r="R126" s="4">
        <v>47</v>
      </c>
      <c r="T126" s="4">
        <v>3997</v>
      </c>
      <c r="U126" s="4">
        <v>522</v>
      </c>
      <c r="V126" s="47">
        <v>225294</v>
      </c>
      <c r="W126" s="4">
        <v>1477</v>
      </c>
      <c r="X126" s="4">
        <v>17218</v>
      </c>
      <c r="Y126" s="4">
        <v>2311</v>
      </c>
      <c r="Z126" s="4">
        <v>204288</v>
      </c>
      <c r="AA126" s="48">
        <v>626891</v>
      </c>
    </row>
    <row r="127" spans="1:27" ht="12.5" x14ac:dyDescent="0.25">
      <c r="A127" s="46">
        <v>44154</v>
      </c>
      <c r="B127" s="47">
        <v>12267</v>
      </c>
      <c r="E127" s="4">
        <v>1</v>
      </c>
      <c r="F127" s="4">
        <v>12266</v>
      </c>
      <c r="G127" s="47">
        <v>385965</v>
      </c>
      <c r="I127" s="4">
        <v>28530</v>
      </c>
      <c r="K127" s="4">
        <v>357435</v>
      </c>
      <c r="L127" s="47">
        <v>3143</v>
      </c>
      <c r="N127" s="4">
        <v>28</v>
      </c>
      <c r="P127" s="4">
        <v>3115</v>
      </c>
      <c r="Q127" s="47">
        <v>4661</v>
      </c>
      <c r="R127" s="4">
        <v>43</v>
      </c>
      <c r="T127" s="4">
        <v>4092</v>
      </c>
      <c r="U127" s="4">
        <v>526</v>
      </c>
      <c r="V127" s="47">
        <v>228041</v>
      </c>
      <c r="W127" s="4">
        <v>1588</v>
      </c>
      <c r="X127" s="4">
        <v>17078</v>
      </c>
      <c r="Y127" s="4">
        <v>2311</v>
      </c>
      <c r="Z127" s="4">
        <v>207064</v>
      </c>
      <c r="AA127" s="48">
        <v>634077</v>
      </c>
    </row>
    <row r="128" spans="1:27" ht="14.5" x14ac:dyDescent="0.35">
      <c r="A128" s="52">
        <v>44155</v>
      </c>
      <c r="B128" s="49">
        <v>12364</v>
      </c>
      <c r="C128" s="8"/>
      <c r="D128" s="8"/>
      <c r="E128" s="9">
        <v>1</v>
      </c>
      <c r="F128" s="9">
        <v>12363</v>
      </c>
      <c r="G128" s="50">
        <v>391656</v>
      </c>
      <c r="H128" s="8"/>
      <c r="I128" s="9">
        <v>28922</v>
      </c>
      <c r="J128" s="8"/>
      <c r="K128" s="9">
        <v>362734</v>
      </c>
      <c r="L128" s="50">
        <v>3159</v>
      </c>
      <c r="M128" s="8"/>
      <c r="N128" s="9">
        <v>29</v>
      </c>
      <c r="O128" s="8"/>
      <c r="P128" s="9">
        <v>3130</v>
      </c>
      <c r="Q128" s="50">
        <v>4688</v>
      </c>
      <c r="R128" s="9">
        <v>41</v>
      </c>
      <c r="S128" s="8"/>
      <c r="T128" s="9">
        <v>4118</v>
      </c>
      <c r="U128" s="9">
        <v>529</v>
      </c>
      <c r="V128" s="50">
        <v>231910</v>
      </c>
      <c r="W128" s="9">
        <v>1584</v>
      </c>
      <c r="X128" s="9">
        <v>17490</v>
      </c>
      <c r="Y128" s="9">
        <v>2311</v>
      </c>
      <c r="Z128" s="9">
        <v>210525</v>
      </c>
      <c r="AA128" s="51">
        <v>643777</v>
      </c>
    </row>
    <row r="129" spans="1:27" ht="12.5" x14ac:dyDescent="0.25">
      <c r="A129" s="46">
        <v>44156</v>
      </c>
      <c r="B129" s="47">
        <v>12367</v>
      </c>
      <c r="E129" s="4">
        <v>1</v>
      </c>
      <c r="F129" s="4">
        <v>12366</v>
      </c>
      <c r="G129" s="47">
        <v>393530</v>
      </c>
      <c r="I129" s="4">
        <v>28624</v>
      </c>
      <c r="K129" s="4">
        <v>364906</v>
      </c>
      <c r="L129" s="47">
        <v>3176</v>
      </c>
      <c r="N129" s="4">
        <v>28</v>
      </c>
      <c r="P129" s="4">
        <v>3148</v>
      </c>
      <c r="Q129" s="47">
        <v>4694</v>
      </c>
      <c r="R129" s="4">
        <v>42</v>
      </c>
      <c r="T129" s="4">
        <v>4118</v>
      </c>
      <c r="U129" s="4">
        <v>534</v>
      </c>
      <c r="V129" s="47">
        <v>233185</v>
      </c>
      <c r="W129" s="4">
        <v>1517</v>
      </c>
      <c r="X129" s="4">
        <v>17474</v>
      </c>
      <c r="Y129" s="4">
        <v>2311</v>
      </c>
      <c r="Z129" s="4">
        <v>211883</v>
      </c>
      <c r="AA129" s="48">
        <v>646952</v>
      </c>
    </row>
    <row r="130" spans="1:27" ht="14.5" x14ac:dyDescent="0.35">
      <c r="A130" s="52">
        <v>44157</v>
      </c>
      <c r="B130" s="49">
        <v>12423</v>
      </c>
      <c r="C130" s="8"/>
      <c r="D130" s="8"/>
      <c r="E130" s="9">
        <v>1</v>
      </c>
      <c r="F130" s="9">
        <v>12422</v>
      </c>
      <c r="G130" s="50">
        <v>399938</v>
      </c>
      <c r="H130" s="8"/>
      <c r="I130" s="9">
        <v>33028</v>
      </c>
      <c r="J130" s="8"/>
      <c r="K130" s="9">
        <v>366910</v>
      </c>
      <c r="L130" s="50">
        <v>3218</v>
      </c>
      <c r="M130" s="8"/>
      <c r="N130" s="9">
        <v>60</v>
      </c>
      <c r="O130" s="8"/>
      <c r="P130" s="9">
        <v>3158</v>
      </c>
      <c r="Q130" s="50">
        <v>4700</v>
      </c>
      <c r="R130" s="9">
        <v>44</v>
      </c>
      <c r="S130" s="8"/>
      <c r="T130" s="9">
        <v>4118</v>
      </c>
      <c r="U130" s="9">
        <v>538</v>
      </c>
      <c r="V130" s="50">
        <v>236561</v>
      </c>
      <c r="W130" s="9">
        <v>1682</v>
      </c>
      <c r="X130" s="9">
        <v>19341</v>
      </c>
      <c r="Y130" s="9">
        <v>2311</v>
      </c>
      <c r="Z130" s="9">
        <v>213227</v>
      </c>
      <c r="AA130" s="51">
        <v>656840</v>
      </c>
    </row>
    <row r="131" spans="1:27" ht="12.5" x14ac:dyDescent="0.25">
      <c r="A131" s="46">
        <v>44158</v>
      </c>
      <c r="B131" s="47">
        <v>12466</v>
      </c>
      <c r="E131" s="4">
        <v>1</v>
      </c>
      <c r="F131" s="4">
        <v>12465</v>
      </c>
      <c r="G131" s="47">
        <v>403540</v>
      </c>
      <c r="I131" s="4">
        <v>32034</v>
      </c>
      <c r="K131" s="4">
        <v>371506</v>
      </c>
      <c r="L131" s="47">
        <v>3229</v>
      </c>
      <c r="N131" s="4">
        <v>65</v>
      </c>
      <c r="P131" s="4">
        <v>3164</v>
      </c>
      <c r="Q131" s="47">
        <v>4706</v>
      </c>
      <c r="R131" s="4">
        <v>44</v>
      </c>
      <c r="T131" s="4">
        <v>4118</v>
      </c>
      <c r="U131" s="4">
        <v>544</v>
      </c>
      <c r="V131" s="47">
        <v>238175</v>
      </c>
      <c r="W131" s="4">
        <v>1613</v>
      </c>
      <c r="X131" s="4">
        <v>18061</v>
      </c>
      <c r="Y131" s="4">
        <v>2311</v>
      </c>
      <c r="Z131" s="4">
        <v>216190</v>
      </c>
      <c r="AA131" s="48">
        <v>662116</v>
      </c>
    </row>
    <row r="132" spans="1:27" ht="14.5" x14ac:dyDescent="0.35">
      <c r="A132" s="52">
        <v>44159</v>
      </c>
      <c r="B132" s="49">
        <v>12571</v>
      </c>
      <c r="C132" s="8"/>
      <c r="D132" s="8"/>
      <c r="E132" s="9">
        <v>1</v>
      </c>
      <c r="F132" s="9">
        <v>12570</v>
      </c>
      <c r="G132" s="50">
        <v>407146</v>
      </c>
      <c r="H132" s="8"/>
      <c r="I132" s="9">
        <v>32187</v>
      </c>
      <c r="J132" s="8"/>
      <c r="K132" s="9">
        <v>374959</v>
      </c>
      <c r="L132" s="50">
        <v>3229</v>
      </c>
      <c r="M132" s="8"/>
      <c r="N132" s="9">
        <v>59</v>
      </c>
      <c r="O132" s="8"/>
      <c r="P132" s="9">
        <v>3170</v>
      </c>
      <c r="Q132" s="50">
        <v>4710</v>
      </c>
      <c r="R132" s="9">
        <v>42</v>
      </c>
      <c r="S132" s="8"/>
      <c r="T132" s="9">
        <v>4118</v>
      </c>
      <c r="U132" s="9">
        <v>550</v>
      </c>
      <c r="V132" s="50">
        <v>239739</v>
      </c>
      <c r="W132" s="9">
        <v>1577</v>
      </c>
      <c r="X132" s="9">
        <v>17468</v>
      </c>
      <c r="Y132" s="9">
        <v>2311</v>
      </c>
      <c r="Z132" s="9">
        <v>218383</v>
      </c>
      <c r="AA132" s="51">
        <v>667395</v>
      </c>
    </row>
    <row r="133" spans="1:27" ht="12.5" x14ac:dyDescent="0.25">
      <c r="A133" s="46">
        <v>44160</v>
      </c>
      <c r="B133" s="47">
        <v>12621</v>
      </c>
      <c r="E133" s="4">
        <v>1</v>
      </c>
      <c r="F133" s="4">
        <v>12620</v>
      </c>
      <c r="G133" s="47">
        <v>412758</v>
      </c>
      <c r="I133" s="4">
        <v>34347</v>
      </c>
      <c r="K133" s="4">
        <v>378411</v>
      </c>
      <c r="L133" s="47">
        <v>3257</v>
      </c>
      <c r="N133" s="4">
        <v>62</v>
      </c>
      <c r="P133" s="4">
        <v>3195</v>
      </c>
      <c r="Q133" s="47">
        <v>4744</v>
      </c>
      <c r="R133" s="4">
        <v>43</v>
      </c>
      <c r="T133" s="4">
        <v>4148</v>
      </c>
      <c r="U133" s="4">
        <v>553</v>
      </c>
      <c r="V133" s="47">
        <v>243217</v>
      </c>
      <c r="W133" s="4">
        <v>1583</v>
      </c>
      <c r="X133" s="4">
        <v>18202</v>
      </c>
      <c r="Y133" s="4">
        <v>2311</v>
      </c>
      <c r="Z133" s="4">
        <v>221121</v>
      </c>
      <c r="AA133" s="48">
        <v>676597</v>
      </c>
    </row>
    <row r="134" spans="1:27" ht="12.5" x14ac:dyDescent="0.25">
      <c r="A134" s="46">
        <v>44161</v>
      </c>
      <c r="B134" s="47">
        <v>12691</v>
      </c>
      <c r="E134" s="4">
        <v>1</v>
      </c>
      <c r="F134" s="4">
        <v>12690</v>
      </c>
      <c r="G134" s="47">
        <v>419682</v>
      </c>
      <c r="I134" s="4">
        <v>35307</v>
      </c>
      <c r="K134" s="4">
        <v>384375</v>
      </c>
      <c r="L134" s="47">
        <v>3266</v>
      </c>
      <c r="N134" s="4">
        <v>39</v>
      </c>
      <c r="P134" s="4">
        <v>3227</v>
      </c>
      <c r="Q134" s="47">
        <v>4751</v>
      </c>
      <c r="R134" s="4">
        <v>47</v>
      </c>
      <c r="T134" s="4">
        <v>4148</v>
      </c>
      <c r="U134" s="4">
        <v>556</v>
      </c>
      <c r="V134" s="47">
        <v>247299</v>
      </c>
      <c r="W134" s="4">
        <v>1486</v>
      </c>
      <c r="X134" s="4">
        <v>19121</v>
      </c>
      <c r="Y134" s="4">
        <v>2311</v>
      </c>
      <c r="Z134" s="4">
        <v>224381</v>
      </c>
      <c r="AA134" s="48">
        <v>687689</v>
      </c>
    </row>
    <row r="135" spans="1:27" ht="14.5" x14ac:dyDescent="0.35">
      <c r="A135" s="52">
        <v>44162</v>
      </c>
      <c r="B135" s="49">
        <v>12756</v>
      </c>
      <c r="C135" s="8"/>
      <c r="D135" s="8"/>
      <c r="E135" s="9">
        <v>1</v>
      </c>
      <c r="F135" s="9">
        <v>12755</v>
      </c>
      <c r="G135" s="50">
        <v>426826</v>
      </c>
      <c r="H135" s="8"/>
      <c r="I135" s="9">
        <v>36226</v>
      </c>
      <c r="J135" s="8"/>
      <c r="K135" s="9">
        <v>390600</v>
      </c>
      <c r="L135" s="50">
        <v>3299</v>
      </c>
      <c r="M135" s="8"/>
      <c r="N135" s="9">
        <v>35</v>
      </c>
      <c r="O135" s="8"/>
      <c r="P135" s="9">
        <v>3264</v>
      </c>
      <c r="Q135" s="50">
        <v>4902</v>
      </c>
      <c r="R135" s="9">
        <v>49</v>
      </c>
      <c r="S135" s="8"/>
      <c r="T135" s="9">
        <v>4284</v>
      </c>
      <c r="U135" s="9">
        <v>569</v>
      </c>
      <c r="V135" s="50">
        <v>251571</v>
      </c>
      <c r="W135" s="9">
        <v>1415</v>
      </c>
      <c r="X135" s="9">
        <v>19750</v>
      </c>
      <c r="Y135" s="9">
        <v>2311</v>
      </c>
      <c r="Z135" s="9">
        <v>228095</v>
      </c>
      <c r="AA135" s="51">
        <v>699354</v>
      </c>
    </row>
    <row r="136" spans="1:27" ht="14.5" x14ac:dyDescent="0.35">
      <c r="A136" s="52">
        <v>44163</v>
      </c>
      <c r="B136" s="49">
        <v>12805</v>
      </c>
      <c r="C136" s="8"/>
      <c r="D136" s="8"/>
      <c r="E136" s="9">
        <v>1</v>
      </c>
      <c r="F136" s="9">
        <v>12804</v>
      </c>
      <c r="G136" s="50">
        <v>433658</v>
      </c>
      <c r="H136" s="8"/>
      <c r="I136" s="9">
        <v>39551</v>
      </c>
      <c r="J136" s="8"/>
      <c r="K136" s="9">
        <v>394107</v>
      </c>
      <c r="L136" s="50">
        <v>3338</v>
      </c>
      <c r="M136" s="8"/>
      <c r="N136" s="9">
        <v>41</v>
      </c>
      <c r="O136" s="8"/>
      <c r="P136" s="9">
        <v>3297</v>
      </c>
      <c r="Q136" s="50">
        <v>4905</v>
      </c>
      <c r="R136" s="9">
        <v>50</v>
      </c>
      <c r="S136" s="8"/>
      <c r="T136" s="9">
        <v>4284</v>
      </c>
      <c r="U136" s="9">
        <v>571</v>
      </c>
      <c r="V136" s="50">
        <v>256114</v>
      </c>
      <c r="W136" s="9">
        <v>1359</v>
      </c>
      <c r="X136" s="9">
        <v>21025</v>
      </c>
      <c r="Y136" s="9">
        <v>2311</v>
      </c>
      <c r="Z136" s="9">
        <v>231419</v>
      </c>
      <c r="AA136" s="51">
        <v>710820</v>
      </c>
    </row>
    <row r="137" spans="1:27" ht="12.5" x14ac:dyDescent="0.25">
      <c r="A137" s="46">
        <v>44164</v>
      </c>
      <c r="B137" s="47">
        <v>12897</v>
      </c>
      <c r="E137" s="4">
        <v>1</v>
      </c>
      <c r="F137" s="4">
        <v>12896</v>
      </c>
      <c r="G137" s="47">
        <v>439261</v>
      </c>
      <c r="I137" s="4">
        <v>42654</v>
      </c>
      <c r="K137" s="4">
        <v>396607</v>
      </c>
      <c r="L137" s="47">
        <v>3355</v>
      </c>
      <c r="N137" s="4">
        <v>47</v>
      </c>
      <c r="P137" s="4">
        <v>3308</v>
      </c>
      <c r="Q137" s="47">
        <v>4909</v>
      </c>
      <c r="R137" s="4">
        <v>51</v>
      </c>
      <c r="T137" s="4">
        <v>4284</v>
      </c>
      <c r="U137" s="4">
        <v>574</v>
      </c>
      <c r="V137" s="47">
        <v>259412</v>
      </c>
      <c r="W137" s="4">
        <v>1410</v>
      </c>
      <c r="X137" s="4">
        <v>22825</v>
      </c>
      <c r="Y137" s="4">
        <v>2311</v>
      </c>
      <c r="Z137" s="4">
        <v>232866</v>
      </c>
      <c r="AA137" s="48">
        <v>719834</v>
      </c>
    </row>
    <row r="138" spans="1:27" ht="12.5" x14ac:dyDescent="0.25">
      <c r="A138" s="52">
        <v>44165</v>
      </c>
      <c r="B138" s="47">
        <v>12955</v>
      </c>
      <c r="E138" s="4">
        <v>1</v>
      </c>
      <c r="F138" s="4">
        <v>12954</v>
      </c>
      <c r="G138" s="47">
        <v>443495</v>
      </c>
      <c r="I138" s="4">
        <v>40338</v>
      </c>
      <c r="K138" s="4">
        <v>403157</v>
      </c>
      <c r="L138" s="47">
        <v>3369</v>
      </c>
      <c r="N138" s="4">
        <v>46</v>
      </c>
      <c r="P138" s="4">
        <v>3323</v>
      </c>
      <c r="Q138" s="47">
        <v>5080</v>
      </c>
      <c r="R138" s="4">
        <v>46</v>
      </c>
      <c r="T138" s="4">
        <v>4452</v>
      </c>
      <c r="U138" s="4">
        <v>582</v>
      </c>
      <c r="V138" s="47">
        <v>261610</v>
      </c>
      <c r="W138" s="4">
        <v>1328</v>
      </c>
      <c r="X138" s="4">
        <v>21201</v>
      </c>
      <c r="Y138" s="4">
        <v>2311</v>
      </c>
      <c r="Z138" s="4">
        <v>236770</v>
      </c>
      <c r="AA138" s="48">
        <v>726509</v>
      </c>
    </row>
    <row r="139" spans="1:27" ht="12.5" x14ac:dyDescent="0.25">
      <c r="A139" s="46">
        <v>44166</v>
      </c>
      <c r="B139" s="47">
        <v>13010</v>
      </c>
      <c r="E139" s="4">
        <v>1</v>
      </c>
      <c r="F139" s="4">
        <v>13009</v>
      </c>
      <c r="G139" s="47">
        <v>446437</v>
      </c>
      <c r="I139" s="4">
        <v>38666</v>
      </c>
      <c r="K139" s="4">
        <v>407771</v>
      </c>
      <c r="L139" s="47">
        <v>3379</v>
      </c>
      <c r="N139" s="4">
        <v>45</v>
      </c>
      <c r="P139" s="4">
        <v>3334</v>
      </c>
      <c r="Q139" s="47">
        <v>5081</v>
      </c>
      <c r="R139" s="4">
        <v>39</v>
      </c>
      <c r="T139" s="4">
        <v>4452</v>
      </c>
      <c r="U139" s="4">
        <v>590</v>
      </c>
      <c r="V139" s="47">
        <v>262895</v>
      </c>
      <c r="W139" s="4">
        <v>1305</v>
      </c>
      <c r="X139" s="4">
        <v>20201</v>
      </c>
      <c r="Y139" s="4">
        <v>2311</v>
      </c>
      <c r="Z139" s="4">
        <v>239078</v>
      </c>
      <c r="AA139" s="48">
        <v>730802</v>
      </c>
    </row>
    <row r="140" spans="1:27" ht="12.5" x14ac:dyDescent="0.25">
      <c r="A140" s="46">
        <v>44167</v>
      </c>
      <c r="B140" s="47">
        <v>13053</v>
      </c>
      <c r="E140" s="4">
        <v>1</v>
      </c>
      <c r="F140" s="4">
        <v>13052</v>
      </c>
      <c r="G140" s="47">
        <v>452536</v>
      </c>
      <c r="I140" s="4">
        <v>39532</v>
      </c>
      <c r="K140" s="4">
        <v>413004</v>
      </c>
      <c r="L140" s="47">
        <v>3393</v>
      </c>
      <c r="N140" s="4">
        <v>46</v>
      </c>
      <c r="P140" s="4">
        <v>3347</v>
      </c>
      <c r="Q140" s="47">
        <v>5085</v>
      </c>
      <c r="R140" s="4">
        <v>43</v>
      </c>
      <c r="T140" s="4">
        <v>4452</v>
      </c>
      <c r="U140" s="4">
        <v>590</v>
      </c>
      <c r="V140" s="47">
        <v>266413</v>
      </c>
      <c r="W140" s="4">
        <v>1376</v>
      </c>
      <c r="X140" s="4">
        <v>20318</v>
      </c>
      <c r="Y140" s="4">
        <v>2311</v>
      </c>
      <c r="Z140" s="4">
        <v>242408</v>
      </c>
      <c r="AA140" s="48">
        <v>740480</v>
      </c>
    </row>
    <row r="141" spans="1:27" ht="12.5" x14ac:dyDescent="0.25">
      <c r="A141" s="46">
        <v>44168</v>
      </c>
      <c r="B141" s="47">
        <v>13103</v>
      </c>
      <c r="E141" s="4">
        <v>1</v>
      </c>
      <c r="F141" s="4">
        <v>13102</v>
      </c>
      <c r="G141" s="47">
        <v>457750</v>
      </c>
      <c r="I141" s="4">
        <v>38423</v>
      </c>
      <c r="K141" s="4">
        <v>419327</v>
      </c>
      <c r="L141" s="47">
        <v>3419</v>
      </c>
      <c r="N141" s="4">
        <v>54</v>
      </c>
      <c r="P141" s="4">
        <v>3365</v>
      </c>
      <c r="Q141" s="47">
        <v>5281</v>
      </c>
      <c r="R141" s="4">
        <v>45</v>
      </c>
      <c r="T141" s="4">
        <v>4640</v>
      </c>
      <c r="U141" s="4">
        <v>596</v>
      </c>
      <c r="V141" s="47">
        <v>270662</v>
      </c>
      <c r="W141" s="4">
        <v>1388</v>
      </c>
      <c r="X141" s="4">
        <v>20674</v>
      </c>
      <c r="Y141" s="4">
        <v>2311</v>
      </c>
      <c r="Z141" s="4">
        <v>246289</v>
      </c>
      <c r="AA141" s="48">
        <v>750215</v>
      </c>
    </row>
    <row r="142" spans="1:27" ht="14.5" x14ac:dyDescent="0.35">
      <c r="A142" s="46">
        <v>44169</v>
      </c>
      <c r="B142" s="49">
        <v>13164</v>
      </c>
      <c r="C142" s="8"/>
      <c r="D142" s="8"/>
      <c r="E142" s="9">
        <v>1</v>
      </c>
      <c r="F142" s="9">
        <v>13163</v>
      </c>
      <c r="G142" s="50">
        <v>462561</v>
      </c>
      <c r="H142" s="8"/>
      <c r="I142" s="9">
        <v>37159</v>
      </c>
      <c r="J142" s="8"/>
      <c r="K142" s="9">
        <v>425402</v>
      </c>
      <c r="L142" s="50">
        <v>3442</v>
      </c>
      <c r="M142" s="8"/>
      <c r="N142" s="9">
        <v>41</v>
      </c>
      <c r="O142" s="8"/>
      <c r="P142" s="9">
        <v>3401</v>
      </c>
      <c r="Q142" s="50">
        <v>5288</v>
      </c>
      <c r="R142" s="9">
        <v>48</v>
      </c>
      <c r="S142" s="8"/>
      <c r="T142" s="9">
        <v>4640</v>
      </c>
      <c r="U142" s="9">
        <v>600</v>
      </c>
      <c r="V142" s="50">
        <v>275103</v>
      </c>
      <c r="W142" s="9">
        <v>1268</v>
      </c>
      <c r="X142" s="9">
        <v>21281</v>
      </c>
      <c r="Y142" s="9">
        <v>2311</v>
      </c>
      <c r="Z142" s="9">
        <v>250243</v>
      </c>
      <c r="AA142" s="51">
        <v>759558</v>
      </c>
    </row>
    <row r="143" spans="1:27" ht="14.5" x14ac:dyDescent="0.35">
      <c r="A143" s="46">
        <v>44170</v>
      </c>
      <c r="B143" s="49">
        <v>13189</v>
      </c>
      <c r="C143" s="8"/>
      <c r="D143" s="8"/>
      <c r="E143" s="9">
        <v>1</v>
      </c>
      <c r="F143" s="9">
        <v>13188</v>
      </c>
      <c r="G143" s="50">
        <v>464652</v>
      </c>
      <c r="H143" s="8"/>
      <c r="I143" s="9">
        <v>36311</v>
      </c>
      <c r="J143" s="8"/>
      <c r="K143" s="9">
        <v>428341</v>
      </c>
      <c r="L143" s="50">
        <v>3454</v>
      </c>
      <c r="M143" s="8"/>
      <c r="N143" s="9">
        <v>46</v>
      </c>
      <c r="O143" s="8"/>
      <c r="P143" s="9">
        <v>3408</v>
      </c>
      <c r="Q143" s="50">
        <v>5293</v>
      </c>
      <c r="R143" s="9">
        <v>50</v>
      </c>
      <c r="S143" s="8"/>
      <c r="T143" s="9">
        <v>4640</v>
      </c>
      <c r="U143" s="9">
        <v>603</v>
      </c>
      <c r="V143" s="50">
        <v>277276</v>
      </c>
      <c r="W143" s="9">
        <v>1223</v>
      </c>
      <c r="X143" s="9">
        <v>20929</v>
      </c>
      <c r="Y143" s="9">
        <v>2311</v>
      </c>
      <c r="Z143" s="9">
        <v>252813</v>
      </c>
      <c r="AA143" s="51">
        <v>763864</v>
      </c>
    </row>
    <row r="144" spans="1:27" ht="12.5" x14ac:dyDescent="0.25">
      <c r="A144" s="46">
        <v>44171</v>
      </c>
      <c r="B144" s="47">
        <v>13277</v>
      </c>
      <c r="E144" s="4">
        <v>1</v>
      </c>
      <c r="F144" s="4">
        <v>13276</v>
      </c>
      <c r="G144" s="47">
        <v>475888</v>
      </c>
      <c r="I144" s="4">
        <v>44978</v>
      </c>
      <c r="K144" s="4">
        <v>430910</v>
      </c>
      <c r="L144" s="47">
        <v>3465</v>
      </c>
      <c r="N144" s="4">
        <v>49</v>
      </c>
      <c r="P144" s="4">
        <v>3416</v>
      </c>
      <c r="Q144" s="47">
        <v>5298</v>
      </c>
      <c r="R144" s="4">
        <v>51</v>
      </c>
      <c r="T144" s="4">
        <v>4640</v>
      </c>
      <c r="U144" s="4">
        <v>607</v>
      </c>
      <c r="V144" s="47">
        <v>283820</v>
      </c>
      <c r="W144" s="4">
        <v>1469</v>
      </c>
      <c r="X144" s="4">
        <v>24827</v>
      </c>
      <c r="Y144" s="4">
        <v>2311</v>
      </c>
      <c r="Z144" s="4">
        <v>255213</v>
      </c>
      <c r="AA144" s="48">
        <v>781748</v>
      </c>
    </row>
    <row r="145" spans="1:27" ht="12.5" x14ac:dyDescent="0.25">
      <c r="A145" s="46">
        <v>44172</v>
      </c>
      <c r="B145" s="47">
        <v>13381</v>
      </c>
      <c r="E145" s="4">
        <v>1</v>
      </c>
      <c r="F145" s="4">
        <v>13380</v>
      </c>
      <c r="G145" s="47">
        <v>480248</v>
      </c>
      <c r="I145" s="4">
        <v>42342</v>
      </c>
      <c r="K145" s="4">
        <v>437906</v>
      </c>
      <c r="L145" s="47">
        <v>3466</v>
      </c>
      <c r="N145" s="4">
        <v>43</v>
      </c>
      <c r="P145" s="4">
        <v>3423</v>
      </c>
      <c r="Q145" s="47">
        <v>5302</v>
      </c>
      <c r="R145" s="4">
        <v>50</v>
      </c>
      <c r="T145" s="4">
        <v>4640</v>
      </c>
      <c r="U145" s="4">
        <v>612</v>
      </c>
      <c r="V145" s="47">
        <v>285701</v>
      </c>
      <c r="W145" s="4">
        <v>1515</v>
      </c>
      <c r="X145" s="4">
        <v>23064</v>
      </c>
      <c r="Y145" s="4">
        <v>2311</v>
      </c>
      <c r="Z145" s="4">
        <v>258811</v>
      </c>
      <c r="AA145" s="48">
        <v>788098</v>
      </c>
    </row>
    <row r="146" spans="1:27" ht="12.5" x14ac:dyDescent="0.25">
      <c r="A146" s="46">
        <v>44173</v>
      </c>
      <c r="B146" s="47">
        <v>13385</v>
      </c>
      <c r="E146" s="4">
        <v>1</v>
      </c>
      <c r="F146" s="4">
        <v>13384</v>
      </c>
      <c r="G146" s="47">
        <v>483143</v>
      </c>
      <c r="I146" s="4">
        <v>40129</v>
      </c>
      <c r="K146" s="4">
        <v>443014</v>
      </c>
      <c r="L146" s="47">
        <v>3483</v>
      </c>
      <c r="N146" s="4">
        <v>45</v>
      </c>
      <c r="P146" s="4">
        <v>3438</v>
      </c>
      <c r="Q146" s="47">
        <v>5304</v>
      </c>
      <c r="R146" s="4">
        <v>45</v>
      </c>
      <c r="T146" s="4">
        <v>4640</v>
      </c>
      <c r="U146" s="4">
        <v>619</v>
      </c>
      <c r="V146" s="47">
        <v>286988</v>
      </c>
      <c r="W146" s="4">
        <v>1403</v>
      </c>
      <c r="X146" s="4">
        <v>21175</v>
      </c>
      <c r="Y146" s="4">
        <v>2311</v>
      </c>
      <c r="Z146" s="4">
        <v>262099</v>
      </c>
      <c r="AA146" s="48">
        <v>792303</v>
      </c>
    </row>
    <row r="147" spans="1:27" ht="14.5" x14ac:dyDescent="0.35">
      <c r="A147" s="46">
        <v>44174</v>
      </c>
      <c r="B147" s="49">
        <v>13487</v>
      </c>
      <c r="C147" s="8"/>
      <c r="D147" s="8"/>
      <c r="E147" s="9">
        <v>1</v>
      </c>
      <c r="F147" s="9">
        <v>13486</v>
      </c>
      <c r="G147" s="50">
        <v>488081</v>
      </c>
      <c r="H147" s="8"/>
      <c r="I147" s="9">
        <v>38001</v>
      </c>
      <c r="J147" s="8"/>
      <c r="K147" s="9">
        <v>450080</v>
      </c>
      <c r="L147" s="50">
        <v>3468</v>
      </c>
      <c r="M147" s="8"/>
      <c r="N147" s="9">
        <v>21</v>
      </c>
      <c r="O147" s="8"/>
      <c r="P147" s="9">
        <v>3447</v>
      </c>
      <c r="Q147" s="50">
        <v>5318</v>
      </c>
      <c r="R147" s="9">
        <v>19</v>
      </c>
      <c r="S147" s="8"/>
      <c r="T147" s="9">
        <v>4649</v>
      </c>
      <c r="U147" s="9">
        <v>650</v>
      </c>
      <c r="V147" s="50">
        <v>289439</v>
      </c>
      <c r="W147" s="9">
        <v>1206</v>
      </c>
      <c r="X147" s="9">
        <v>19374</v>
      </c>
      <c r="Y147" s="9">
        <v>2311</v>
      </c>
      <c r="Z147" s="9">
        <v>266548</v>
      </c>
      <c r="AA147" s="51">
        <v>799793</v>
      </c>
    </row>
    <row r="148" spans="1:27" ht="12.5" x14ac:dyDescent="0.25">
      <c r="A148" s="46">
        <v>44175</v>
      </c>
      <c r="B148" s="47">
        <v>13530</v>
      </c>
      <c r="E148" s="4">
        <v>1</v>
      </c>
      <c r="F148" s="4">
        <v>13529</v>
      </c>
      <c r="G148" s="47">
        <v>489757</v>
      </c>
      <c r="I148" s="4">
        <v>35167</v>
      </c>
      <c r="K148" s="4">
        <v>454590</v>
      </c>
      <c r="L148" s="47">
        <v>3481</v>
      </c>
      <c r="N148" s="4">
        <v>17</v>
      </c>
      <c r="P148" s="4">
        <v>3464</v>
      </c>
      <c r="Q148" s="47">
        <v>5313</v>
      </c>
      <c r="R148" s="4">
        <v>18</v>
      </c>
      <c r="T148" s="4">
        <v>4640</v>
      </c>
      <c r="U148" s="4">
        <v>655</v>
      </c>
      <c r="V148" s="47">
        <v>291337</v>
      </c>
      <c r="W148" s="4">
        <v>1053</v>
      </c>
      <c r="X148" s="4">
        <v>18680</v>
      </c>
      <c r="Y148" s="4">
        <v>2311</v>
      </c>
      <c r="Z148" s="4">
        <v>269293</v>
      </c>
      <c r="AA148" s="48">
        <v>803418</v>
      </c>
    </row>
    <row r="149" spans="1:27" ht="14.5" x14ac:dyDescent="0.35">
      <c r="A149" s="52">
        <v>44176</v>
      </c>
      <c r="B149" s="49">
        <v>13621</v>
      </c>
      <c r="C149" s="8"/>
      <c r="D149" s="8"/>
      <c r="E149" s="9">
        <v>1</v>
      </c>
      <c r="F149" s="9">
        <v>13620</v>
      </c>
      <c r="G149" s="50">
        <v>494108</v>
      </c>
      <c r="H149" s="8"/>
      <c r="I149" s="9">
        <v>33724</v>
      </c>
      <c r="J149" s="8"/>
      <c r="K149" s="9">
        <v>460384</v>
      </c>
      <c r="L149" s="50">
        <v>3483</v>
      </c>
      <c r="M149" s="8"/>
      <c r="N149" s="9">
        <v>19</v>
      </c>
      <c r="O149" s="8"/>
      <c r="P149" s="9">
        <v>3464</v>
      </c>
      <c r="Q149" s="50">
        <v>5314</v>
      </c>
      <c r="R149" s="9">
        <v>19</v>
      </c>
      <c r="S149" s="8"/>
      <c r="T149" s="9">
        <v>4640</v>
      </c>
      <c r="U149" s="9">
        <v>655</v>
      </c>
      <c r="V149" s="50">
        <v>293204</v>
      </c>
      <c r="W149" s="9">
        <v>997</v>
      </c>
      <c r="X149" s="9">
        <v>17777</v>
      </c>
      <c r="Y149" s="9">
        <v>2311</v>
      </c>
      <c r="Z149" s="9">
        <v>272119</v>
      </c>
      <c r="AA149" s="51">
        <v>809730</v>
      </c>
    </row>
    <row r="150" spans="1:27" ht="12.5" x14ac:dyDescent="0.25">
      <c r="A150" s="46">
        <v>44177</v>
      </c>
      <c r="B150" s="47">
        <v>13734</v>
      </c>
      <c r="E150" s="4">
        <v>1</v>
      </c>
      <c r="F150" s="4">
        <v>13733</v>
      </c>
      <c r="G150" s="47">
        <v>496049</v>
      </c>
      <c r="I150" s="4">
        <v>33372</v>
      </c>
      <c r="K150" s="4">
        <v>462677</v>
      </c>
      <c r="L150" s="47">
        <v>3505</v>
      </c>
      <c r="N150" s="4">
        <v>19</v>
      </c>
      <c r="P150" s="4">
        <v>3486</v>
      </c>
      <c r="Q150" s="47">
        <v>5334</v>
      </c>
      <c r="R150" s="4">
        <v>38</v>
      </c>
      <c r="T150" s="4">
        <v>4640</v>
      </c>
      <c r="U150" s="4">
        <v>656</v>
      </c>
      <c r="V150" s="47">
        <v>294602</v>
      </c>
      <c r="W150" s="4">
        <v>919</v>
      </c>
      <c r="X150" s="4">
        <v>17873</v>
      </c>
      <c r="Y150" s="4">
        <v>2311</v>
      </c>
      <c r="Z150" s="4">
        <v>273499</v>
      </c>
      <c r="AA150" s="48">
        <v>813224</v>
      </c>
    </row>
    <row r="151" spans="1:27" ht="14.5" x14ac:dyDescent="0.35">
      <c r="A151" s="52">
        <v>44178</v>
      </c>
      <c r="B151" s="49">
        <v>13871</v>
      </c>
      <c r="C151" s="8"/>
      <c r="D151" s="8"/>
      <c r="E151" s="9">
        <v>1</v>
      </c>
      <c r="F151" s="9">
        <v>13870</v>
      </c>
      <c r="G151" s="50">
        <v>497943</v>
      </c>
      <c r="H151" s="8"/>
      <c r="I151" s="9">
        <v>34190</v>
      </c>
      <c r="J151" s="8"/>
      <c r="K151" s="9">
        <v>463753</v>
      </c>
      <c r="L151" s="50">
        <v>3521</v>
      </c>
      <c r="M151" s="8"/>
      <c r="N151" s="9">
        <v>24</v>
      </c>
      <c r="O151" s="8"/>
      <c r="P151" s="9">
        <v>3497</v>
      </c>
      <c r="Q151" s="50">
        <v>5336</v>
      </c>
      <c r="R151" s="9">
        <v>39</v>
      </c>
      <c r="S151" s="8"/>
      <c r="T151" s="9">
        <v>4640</v>
      </c>
      <c r="U151" s="9">
        <v>657</v>
      </c>
      <c r="V151" s="50">
        <v>296265</v>
      </c>
      <c r="W151" s="9">
        <v>902</v>
      </c>
      <c r="X151" s="9">
        <v>18513</v>
      </c>
      <c r="Y151" s="9">
        <v>2311</v>
      </c>
      <c r="Z151" s="9">
        <v>274539</v>
      </c>
      <c r="AA151" s="51">
        <v>816936</v>
      </c>
    </row>
    <row r="152" spans="1:27" ht="12.5" x14ac:dyDescent="0.25">
      <c r="A152" s="46">
        <v>44179</v>
      </c>
      <c r="B152" s="47">
        <v>14081</v>
      </c>
      <c r="E152" s="4">
        <v>1</v>
      </c>
      <c r="F152" s="4">
        <v>14080</v>
      </c>
      <c r="G152" s="47">
        <v>501458</v>
      </c>
      <c r="I152" s="4">
        <v>32337</v>
      </c>
      <c r="K152" s="4">
        <v>469121</v>
      </c>
      <c r="L152" s="47">
        <v>3527</v>
      </c>
      <c r="N152" s="4">
        <v>28</v>
      </c>
      <c r="P152" s="4">
        <v>3499</v>
      </c>
      <c r="Q152" s="47">
        <v>5809</v>
      </c>
      <c r="R152" s="4">
        <v>37</v>
      </c>
      <c r="T152" s="4">
        <v>5109</v>
      </c>
      <c r="U152" s="4">
        <v>663</v>
      </c>
      <c r="V152" s="47">
        <v>298338</v>
      </c>
      <c r="W152" s="4">
        <v>891</v>
      </c>
      <c r="X152" s="4">
        <v>17164</v>
      </c>
      <c r="Y152" s="4">
        <v>2311</v>
      </c>
      <c r="Z152" s="4">
        <v>277972</v>
      </c>
      <c r="AA152" s="48">
        <v>823213</v>
      </c>
    </row>
    <row r="153" spans="1:27" ht="12.5" x14ac:dyDescent="0.25">
      <c r="A153" s="46">
        <v>44180</v>
      </c>
      <c r="B153" s="47">
        <v>14130</v>
      </c>
      <c r="E153" s="4">
        <v>1</v>
      </c>
      <c r="F153" s="4">
        <v>14129</v>
      </c>
      <c r="G153" s="47">
        <v>504695</v>
      </c>
      <c r="I153" s="4">
        <v>30182</v>
      </c>
      <c r="K153" s="4">
        <v>474513</v>
      </c>
      <c r="L153" s="47">
        <v>3529</v>
      </c>
      <c r="N153" s="4">
        <v>23</v>
      </c>
      <c r="P153" s="4">
        <v>3506</v>
      </c>
      <c r="Q153" s="47">
        <v>5813</v>
      </c>
      <c r="R153" s="4">
        <v>37</v>
      </c>
      <c r="T153" s="4">
        <v>5109</v>
      </c>
      <c r="U153" s="4">
        <v>667</v>
      </c>
      <c r="V153" s="47">
        <v>299705</v>
      </c>
      <c r="W153" s="4">
        <v>993</v>
      </c>
      <c r="X153" s="4">
        <v>15244</v>
      </c>
      <c r="Y153" s="4">
        <v>2311</v>
      </c>
      <c r="Z153" s="4">
        <v>281157</v>
      </c>
      <c r="AA153" s="48">
        <v>827872</v>
      </c>
    </row>
    <row r="154" spans="1:27" ht="12.5" x14ac:dyDescent="0.25">
      <c r="A154" s="46">
        <v>44181</v>
      </c>
      <c r="B154" s="47">
        <v>14189</v>
      </c>
      <c r="E154" s="4">
        <v>1</v>
      </c>
      <c r="F154" s="4">
        <v>14188</v>
      </c>
      <c r="G154" s="47">
        <v>510306</v>
      </c>
      <c r="I154" s="4">
        <v>29550</v>
      </c>
      <c r="K154" s="4">
        <v>480756</v>
      </c>
      <c r="L154" s="47">
        <v>3529</v>
      </c>
      <c r="N154" s="4">
        <v>22</v>
      </c>
      <c r="P154" s="4">
        <v>3507</v>
      </c>
      <c r="Q154" s="47">
        <v>5814</v>
      </c>
      <c r="R154" s="4">
        <v>36</v>
      </c>
      <c r="T154" s="4">
        <v>5109</v>
      </c>
      <c r="U154" s="4">
        <v>669</v>
      </c>
      <c r="V154" s="47">
        <v>302401</v>
      </c>
      <c r="W154" s="4">
        <v>1110</v>
      </c>
      <c r="X154" s="4">
        <v>14636</v>
      </c>
      <c r="Y154" s="4">
        <v>2311</v>
      </c>
      <c r="Z154" s="4">
        <v>284344</v>
      </c>
      <c r="AA154" s="48">
        <v>836239</v>
      </c>
    </row>
    <row r="155" spans="1:27" ht="12.5" x14ac:dyDescent="0.25">
      <c r="A155" s="52">
        <v>44182</v>
      </c>
      <c r="B155" s="47">
        <v>14231</v>
      </c>
      <c r="E155" s="4">
        <v>1</v>
      </c>
      <c r="F155" s="4">
        <v>14230</v>
      </c>
      <c r="G155" s="47">
        <v>516263</v>
      </c>
      <c r="I155" s="4">
        <v>29438</v>
      </c>
      <c r="K155" s="4">
        <v>486825</v>
      </c>
      <c r="L155" s="47">
        <v>3531</v>
      </c>
      <c r="N155" s="4">
        <v>23</v>
      </c>
      <c r="P155" s="4">
        <v>3508</v>
      </c>
      <c r="Q155" s="47">
        <v>6041</v>
      </c>
      <c r="R155" s="4">
        <v>39</v>
      </c>
      <c r="T155" s="4">
        <v>5332</v>
      </c>
      <c r="U155" s="4">
        <v>670</v>
      </c>
      <c r="V155" s="47">
        <v>306024</v>
      </c>
      <c r="W155" s="4">
        <v>1251</v>
      </c>
      <c r="X155" s="4">
        <v>15117</v>
      </c>
      <c r="Y155" s="4">
        <v>2311</v>
      </c>
      <c r="Z155" s="4">
        <v>287345</v>
      </c>
      <c r="AA155" s="48">
        <v>846090</v>
      </c>
    </row>
    <row r="156" spans="1:27" ht="12.5" x14ac:dyDescent="0.25">
      <c r="A156" s="52">
        <v>44183</v>
      </c>
      <c r="B156" s="47">
        <v>14252</v>
      </c>
      <c r="E156" s="4">
        <v>1</v>
      </c>
      <c r="F156" s="4">
        <v>14251</v>
      </c>
      <c r="G156" s="47">
        <v>522934</v>
      </c>
      <c r="I156" s="4">
        <v>30159</v>
      </c>
      <c r="K156" s="4">
        <v>492775</v>
      </c>
      <c r="L156" s="47">
        <v>3538</v>
      </c>
      <c r="N156" s="4">
        <v>23</v>
      </c>
      <c r="P156" s="4">
        <v>3515</v>
      </c>
      <c r="Q156" s="47">
        <v>6045</v>
      </c>
      <c r="R156" s="4">
        <v>37</v>
      </c>
      <c r="T156" s="4">
        <v>5332</v>
      </c>
      <c r="U156" s="4">
        <v>676</v>
      </c>
      <c r="V156" s="47">
        <v>309437</v>
      </c>
      <c r="W156" s="4">
        <v>1276</v>
      </c>
      <c r="X156" s="4">
        <v>15751</v>
      </c>
      <c r="Y156" s="4">
        <v>2311</v>
      </c>
      <c r="Z156" s="4">
        <v>290099</v>
      </c>
      <c r="AA156" s="48">
        <v>856206</v>
      </c>
    </row>
    <row r="157" spans="1:27" ht="12.5" x14ac:dyDescent="0.25">
      <c r="A157" s="46">
        <v>44184</v>
      </c>
      <c r="B157" s="47">
        <v>14388</v>
      </c>
      <c r="E157" s="4">
        <v>1</v>
      </c>
      <c r="F157" s="4">
        <v>14387</v>
      </c>
      <c r="G157" s="47">
        <v>527685</v>
      </c>
      <c r="I157" s="4">
        <v>31876</v>
      </c>
      <c r="K157" s="4">
        <v>495809</v>
      </c>
      <c r="L157" s="47">
        <v>3553</v>
      </c>
      <c r="N157" s="4">
        <v>27</v>
      </c>
      <c r="P157" s="4">
        <v>3526</v>
      </c>
      <c r="Q157" s="47">
        <v>6049</v>
      </c>
      <c r="R157" s="4">
        <v>41</v>
      </c>
      <c r="T157" s="4">
        <v>5332</v>
      </c>
      <c r="U157" s="4">
        <v>676</v>
      </c>
      <c r="V157" s="47">
        <v>312519</v>
      </c>
      <c r="W157" s="4">
        <v>1321</v>
      </c>
      <c r="X157" s="4">
        <v>17727</v>
      </c>
      <c r="Y157" s="4">
        <v>2311</v>
      </c>
      <c r="Z157" s="4">
        <v>291160</v>
      </c>
      <c r="AA157" s="48">
        <v>864194</v>
      </c>
    </row>
    <row r="158" spans="1:27" ht="12.5" x14ac:dyDescent="0.25">
      <c r="A158" s="46">
        <v>44185</v>
      </c>
      <c r="B158" s="47">
        <v>14506</v>
      </c>
      <c r="E158" s="4">
        <v>1</v>
      </c>
      <c r="F158" s="4">
        <v>14505</v>
      </c>
      <c r="G158" s="47">
        <v>533131</v>
      </c>
      <c r="I158" s="4">
        <v>35407</v>
      </c>
      <c r="K158" s="4">
        <v>497724</v>
      </c>
      <c r="L158" s="47">
        <v>3556</v>
      </c>
      <c r="N158" s="4">
        <v>30</v>
      </c>
      <c r="P158" s="4">
        <v>3526</v>
      </c>
      <c r="Q158" s="47">
        <v>6051</v>
      </c>
      <c r="R158" s="4">
        <v>42</v>
      </c>
      <c r="T158" s="4">
        <v>5332</v>
      </c>
      <c r="U158" s="4">
        <v>677</v>
      </c>
      <c r="V158" s="47">
        <v>315903</v>
      </c>
      <c r="W158" s="4">
        <v>1334</v>
      </c>
      <c r="X158" s="4">
        <v>20467</v>
      </c>
      <c r="Y158" s="4">
        <v>2311</v>
      </c>
      <c r="Z158" s="4">
        <v>291791</v>
      </c>
      <c r="AA158" s="48">
        <v>873147</v>
      </c>
    </row>
    <row r="159" spans="1:27" ht="12.5" x14ac:dyDescent="0.25">
      <c r="A159" s="46">
        <v>44186</v>
      </c>
      <c r="B159" s="47">
        <v>14652</v>
      </c>
      <c r="E159" s="4">
        <v>1</v>
      </c>
      <c r="F159" s="4">
        <v>14651</v>
      </c>
      <c r="G159" s="47">
        <v>537156</v>
      </c>
      <c r="I159" s="4">
        <v>39432</v>
      </c>
      <c r="K159" s="4">
        <v>497724</v>
      </c>
      <c r="L159" s="47">
        <v>3558</v>
      </c>
      <c r="N159" s="4">
        <v>32</v>
      </c>
      <c r="P159" s="4">
        <v>3526</v>
      </c>
      <c r="Q159" s="47">
        <v>6054</v>
      </c>
      <c r="R159" s="4">
        <v>45</v>
      </c>
      <c r="T159" s="4">
        <v>5332</v>
      </c>
      <c r="U159" s="4">
        <v>677</v>
      </c>
      <c r="V159" s="47">
        <v>317697</v>
      </c>
      <c r="W159" s="4">
        <v>1350</v>
      </c>
      <c r="X159" s="4">
        <v>21711</v>
      </c>
      <c r="Y159" s="4">
        <v>2311</v>
      </c>
      <c r="Z159" s="4">
        <v>292325</v>
      </c>
      <c r="AA159" s="48">
        <v>879117</v>
      </c>
    </row>
    <row r="160" spans="1:27" ht="12.5" x14ac:dyDescent="0.25">
      <c r="A160" s="46">
        <v>44187</v>
      </c>
      <c r="B160" s="47">
        <v>14681</v>
      </c>
      <c r="E160" s="4">
        <v>1</v>
      </c>
      <c r="F160" s="4">
        <v>14680</v>
      </c>
      <c r="G160" s="47">
        <v>540466</v>
      </c>
      <c r="I160" s="4">
        <v>34408</v>
      </c>
      <c r="K160" s="4">
        <v>506058</v>
      </c>
      <c r="L160" s="47">
        <v>3558</v>
      </c>
      <c r="N160" s="4">
        <v>25</v>
      </c>
      <c r="P160" s="4">
        <v>3533</v>
      </c>
      <c r="Q160" s="47">
        <v>6054</v>
      </c>
      <c r="R160" s="4">
        <v>38</v>
      </c>
      <c r="T160" s="4">
        <v>5332</v>
      </c>
      <c r="U160" s="4">
        <v>684</v>
      </c>
      <c r="V160" s="47">
        <v>319317</v>
      </c>
      <c r="W160" s="4">
        <v>1349</v>
      </c>
      <c r="X160" s="4">
        <v>18663</v>
      </c>
      <c r="Y160" s="4">
        <v>2311</v>
      </c>
      <c r="Z160" s="4">
        <v>296994</v>
      </c>
      <c r="AA160" s="48">
        <v>884076</v>
      </c>
    </row>
    <row r="161" spans="1:27" ht="12.5" x14ac:dyDescent="0.25">
      <c r="A161" s="46">
        <v>44188</v>
      </c>
      <c r="B161" s="47">
        <v>14856</v>
      </c>
      <c r="E161" s="4">
        <v>1</v>
      </c>
      <c r="F161" s="4">
        <v>14855</v>
      </c>
      <c r="G161" s="47">
        <v>542373</v>
      </c>
      <c r="I161" s="4">
        <v>35374</v>
      </c>
      <c r="K161" s="4">
        <v>506999</v>
      </c>
      <c r="L161" s="47">
        <v>3565</v>
      </c>
      <c r="N161" s="4">
        <v>30</v>
      </c>
      <c r="P161" s="4">
        <v>3535</v>
      </c>
      <c r="Q161" s="47">
        <v>6064</v>
      </c>
      <c r="R161" s="4">
        <v>44</v>
      </c>
      <c r="T161" s="4">
        <v>5332</v>
      </c>
      <c r="U161" s="4">
        <v>688</v>
      </c>
      <c r="V161" s="47">
        <v>320898</v>
      </c>
      <c r="W161" s="4">
        <v>1442</v>
      </c>
      <c r="X161" s="4">
        <v>19419</v>
      </c>
      <c r="Y161" s="4">
        <v>2311</v>
      </c>
      <c r="Z161" s="4">
        <v>297726</v>
      </c>
      <c r="AA161" s="48">
        <v>887756</v>
      </c>
    </row>
    <row r="162" spans="1:27" ht="12.5" x14ac:dyDescent="0.25">
      <c r="A162" s="46">
        <v>44189</v>
      </c>
      <c r="B162" s="47">
        <v>14943</v>
      </c>
      <c r="E162" s="4">
        <v>1</v>
      </c>
      <c r="F162" s="4">
        <v>14942</v>
      </c>
      <c r="G162" s="47">
        <v>544030</v>
      </c>
      <c r="I162" s="4">
        <v>32453</v>
      </c>
      <c r="K162" s="4">
        <v>511577</v>
      </c>
      <c r="L162" s="47">
        <v>3566</v>
      </c>
      <c r="N162" s="4">
        <v>30</v>
      </c>
      <c r="P162" s="4">
        <v>3536</v>
      </c>
      <c r="Q162" s="47">
        <v>6077</v>
      </c>
      <c r="R162" s="4">
        <v>38</v>
      </c>
      <c r="T162" s="4">
        <v>5332</v>
      </c>
      <c r="U162" s="4">
        <v>707</v>
      </c>
      <c r="V162" s="47">
        <v>322266</v>
      </c>
      <c r="W162" s="4">
        <v>1324</v>
      </c>
      <c r="X162" s="4">
        <v>18230</v>
      </c>
      <c r="Y162" s="4">
        <v>2311</v>
      </c>
      <c r="Z162" s="4">
        <v>300401</v>
      </c>
      <c r="AA162" s="48">
        <v>890822</v>
      </c>
    </row>
    <row r="163" spans="1:27" ht="12.5" x14ac:dyDescent="0.25">
      <c r="A163" s="46">
        <v>44190</v>
      </c>
      <c r="B163" s="47">
        <v>14946</v>
      </c>
      <c r="E163" s="4">
        <v>1</v>
      </c>
      <c r="F163" s="4">
        <v>14945</v>
      </c>
      <c r="G163" s="47">
        <v>550198</v>
      </c>
      <c r="I163" s="4">
        <v>32693</v>
      </c>
      <c r="K163" s="4">
        <v>517505</v>
      </c>
      <c r="L163" s="47">
        <v>3571</v>
      </c>
      <c r="N163" s="4">
        <v>30</v>
      </c>
      <c r="P163" s="4">
        <v>3541</v>
      </c>
      <c r="Q163" s="47">
        <v>6093</v>
      </c>
      <c r="R163" s="4">
        <v>38</v>
      </c>
      <c r="T163" s="4">
        <v>5333</v>
      </c>
      <c r="U163" s="4">
        <v>722</v>
      </c>
      <c r="V163" s="47">
        <v>325709</v>
      </c>
      <c r="W163" s="4">
        <v>1003</v>
      </c>
      <c r="X163" s="4">
        <v>19001</v>
      </c>
      <c r="Y163" s="4">
        <v>2311</v>
      </c>
      <c r="Z163" s="4">
        <v>303394</v>
      </c>
      <c r="AA163" s="53">
        <f>B163+G163+L163+Q163+V163</f>
        <v>900517</v>
      </c>
    </row>
    <row r="164" spans="1:27" ht="12.5" x14ac:dyDescent="0.25">
      <c r="A164" s="46">
        <v>44191</v>
      </c>
      <c r="B164" s="47">
        <v>15002</v>
      </c>
      <c r="E164" s="4">
        <v>1</v>
      </c>
      <c r="F164" s="4">
        <v>15001</v>
      </c>
      <c r="G164" s="47">
        <v>555803</v>
      </c>
      <c r="I164" s="4">
        <v>34927</v>
      </c>
      <c r="K164" s="4">
        <v>520876</v>
      </c>
      <c r="L164" s="47">
        <v>3574</v>
      </c>
      <c r="N164" s="4">
        <v>33</v>
      </c>
      <c r="P164" s="4">
        <v>3541</v>
      </c>
      <c r="Q164" s="47">
        <v>6104</v>
      </c>
      <c r="R164" s="4">
        <v>39</v>
      </c>
      <c r="T164" s="4">
        <v>5333</v>
      </c>
      <c r="U164" s="4">
        <v>732</v>
      </c>
      <c r="V164" s="47">
        <v>328991</v>
      </c>
      <c r="W164" s="4">
        <v>717</v>
      </c>
      <c r="X164" s="4">
        <v>20999</v>
      </c>
      <c r="Y164" s="4">
        <v>2311</v>
      </c>
      <c r="Z164" s="4">
        <v>304964</v>
      </c>
      <c r="AA164" s="48">
        <v>909474</v>
      </c>
    </row>
    <row r="165" spans="1:27" ht="12.5" x14ac:dyDescent="0.25">
      <c r="A165" s="46">
        <v>44192</v>
      </c>
      <c r="B165" s="47">
        <v>15021</v>
      </c>
      <c r="E165" s="4">
        <v>1</v>
      </c>
      <c r="F165" s="4">
        <v>15020</v>
      </c>
      <c r="G165" s="47">
        <v>559477</v>
      </c>
      <c r="I165" s="4">
        <v>37111</v>
      </c>
      <c r="K165" s="4">
        <v>522366</v>
      </c>
      <c r="L165" s="47">
        <v>3577</v>
      </c>
      <c r="N165" s="4">
        <v>36</v>
      </c>
      <c r="P165" s="4">
        <v>3541</v>
      </c>
      <c r="Q165" s="47">
        <v>6109</v>
      </c>
      <c r="R165" s="4">
        <v>37</v>
      </c>
      <c r="T165" s="4">
        <v>5333</v>
      </c>
      <c r="U165" s="4">
        <v>739</v>
      </c>
      <c r="V165" s="47">
        <v>330758</v>
      </c>
      <c r="W165" s="4">
        <v>635</v>
      </c>
      <c r="X165" s="4">
        <v>20333</v>
      </c>
      <c r="Y165" s="4">
        <v>2311</v>
      </c>
      <c r="Z165" s="4">
        <v>307479</v>
      </c>
      <c r="AA165" s="48">
        <v>914942</v>
      </c>
    </row>
    <row r="166" spans="1:27" ht="12.5" x14ac:dyDescent="0.25">
      <c r="A166" s="46">
        <v>44193</v>
      </c>
      <c r="B166" s="47">
        <v>15186</v>
      </c>
      <c r="E166" s="4">
        <v>1</v>
      </c>
      <c r="F166" s="4">
        <v>15185</v>
      </c>
      <c r="G166" s="47">
        <v>561956</v>
      </c>
      <c r="I166" s="4">
        <v>32883</v>
      </c>
      <c r="K166" s="4">
        <v>529073</v>
      </c>
      <c r="L166" s="47">
        <v>3583</v>
      </c>
      <c r="N166" s="4">
        <v>35</v>
      </c>
      <c r="P166" s="4">
        <v>3548</v>
      </c>
      <c r="Q166" s="47">
        <v>6116</v>
      </c>
      <c r="R166" s="4">
        <v>40</v>
      </c>
      <c r="T166" s="4">
        <v>5333</v>
      </c>
      <c r="U166" s="4">
        <v>743</v>
      </c>
      <c r="V166" s="47">
        <v>332280</v>
      </c>
      <c r="W166" s="4">
        <v>740</v>
      </c>
      <c r="X166" s="4">
        <v>18704</v>
      </c>
      <c r="Y166" s="4">
        <v>2311</v>
      </c>
      <c r="Z166" s="4">
        <v>310525</v>
      </c>
      <c r="AA166" s="48">
        <v>919121</v>
      </c>
    </row>
    <row r="167" spans="1:27" ht="12.5" x14ac:dyDescent="0.25">
      <c r="A167" s="46">
        <v>44194</v>
      </c>
      <c r="B167" s="47">
        <v>15199</v>
      </c>
      <c r="E167" s="4">
        <v>1</v>
      </c>
      <c r="F167" s="4">
        <v>15198</v>
      </c>
      <c r="G167" s="47">
        <v>565132</v>
      </c>
      <c r="I167" s="4">
        <v>31403</v>
      </c>
      <c r="K167" s="4">
        <v>533729</v>
      </c>
      <c r="L167" s="47">
        <v>3583</v>
      </c>
      <c r="N167" s="4">
        <v>34</v>
      </c>
      <c r="P167" s="4">
        <v>3549</v>
      </c>
      <c r="Q167" s="47">
        <v>6122</v>
      </c>
      <c r="R167" s="4">
        <v>36</v>
      </c>
      <c r="T167" s="4">
        <v>5333</v>
      </c>
      <c r="U167" s="4">
        <v>753</v>
      </c>
      <c r="V167" s="47">
        <v>333547</v>
      </c>
      <c r="W167" s="4">
        <v>1040</v>
      </c>
      <c r="X167" s="4">
        <v>16967</v>
      </c>
      <c r="Y167" s="4">
        <v>2311</v>
      </c>
      <c r="Z167" s="4">
        <v>313229</v>
      </c>
      <c r="AA167" s="48">
        <v>923583</v>
      </c>
    </row>
    <row r="168" spans="1:27" ht="12.5" x14ac:dyDescent="0.25">
      <c r="A168" s="46">
        <v>44195</v>
      </c>
      <c r="B168" s="47">
        <v>15286</v>
      </c>
      <c r="E168" s="4">
        <v>1</v>
      </c>
      <c r="F168" s="4">
        <v>15285</v>
      </c>
      <c r="G168" s="47">
        <v>570443</v>
      </c>
      <c r="I168" s="4">
        <v>31810</v>
      </c>
      <c r="K168" s="4">
        <v>538633</v>
      </c>
      <c r="L168" s="47">
        <v>3586</v>
      </c>
      <c r="N168" s="4">
        <v>29</v>
      </c>
      <c r="P168" s="4">
        <v>3557</v>
      </c>
      <c r="Q168" s="47">
        <v>6141</v>
      </c>
      <c r="R168" s="4">
        <v>44</v>
      </c>
      <c r="T168" s="4">
        <v>5333</v>
      </c>
      <c r="U168" s="4">
        <v>764</v>
      </c>
      <c r="V168" s="47">
        <v>336838</v>
      </c>
      <c r="W168" s="4">
        <v>1211</v>
      </c>
      <c r="X168" s="4">
        <v>16595</v>
      </c>
      <c r="Y168" s="4">
        <v>2311</v>
      </c>
      <c r="Z168" s="4">
        <v>316721</v>
      </c>
      <c r="AA168" s="48">
        <v>932294</v>
      </c>
    </row>
    <row r="169" spans="1:27" ht="12.5" x14ac:dyDescent="0.25">
      <c r="A169" s="46">
        <v>44196</v>
      </c>
      <c r="B169" s="47">
        <v>15428</v>
      </c>
      <c r="E169" s="4">
        <v>1</v>
      </c>
      <c r="F169" s="4">
        <v>15427</v>
      </c>
      <c r="G169" s="47">
        <v>572388</v>
      </c>
      <c r="I169" s="4">
        <v>30195</v>
      </c>
      <c r="K169" s="4">
        <v>542193</v>
      </c>
      <c r="L169" s="47">
        <v>3590</v>
      </c>
      <c r="N169" s="4">
        <v>30</v>
      </c>
      <c r="P169" s="4">
        <v>3560</v>
      </c>
      <c r="Q169" s="47">
        <v>6169</v>
      </c>
      <c r="R169" s="4">
        <v>48</v>
      </c>
      <c r="T169" s="4">
        <v>5333</v>
      </c>
      <c r="U169" s="4">
        <v>788</v>
      </c>
      <c r="V169" s="47">
        <v>338740</v>
      </c>
      <c r="W169" s="4">
        <v>1202</v>
      </c>
      <c r="X169" s="4">
        <v>16358</v>
      </c>
      <c r="Y169" s="4">
        <v>2311</v>
      </c>
      <c r="Z169" s="4">
        <v>318869</v>
      </c>
      <c r="AA169" s="48">
        <v>936315</v>
      </c>
    </row>
    <row r="170" spans="1:27" ht="12.5" x14ac:dyDescent="0.25">
      <c r="A170" s="46">
        <v>44197</v>
      </c>
      <c r="B170" s="47">
        <v>15498</v>
      </c>
      <c r="E170" s="4">
        <v>1</v>
      </c>
      <c r="F170" s="4">
        <v>15497</v>
      </c>
      <c r="G170" s="47">
        <v>578649</v>
      </c>
      <c r="I170" s="4">
        <v>32408</v>
      </c>
      <c r="K170" s="4">
        <v>546241</v>
      </c>
      <c r="L170" s="47">
        <v>3598</v>
      </c>
      <c r="N170" s="4">
        <v>31</v>
      </c>
      <c r="P170" s="4">
        <v>3567</v>
      </c>
      <c r="Q170" s="47">
        <v>6185</v>
      </c>
      <c r="R170" s="4">
        <v>48</v>
      </c>
      <c r="T170" s="4">
        <v>5333</v>
      </c>
      <c r="U170" s="4">
        <v>804</v>
      </c>
      <c r="V170" s="47">
        <v>342460</v>
      </c>
      <c r="W170" s="4">
        <v>1220</v>
      </c>
      <c r="X170" s="4">
        <v>17844</v>
      </c>
      <c r="Y170" s="4">
        <v>2311</v>
      </c>
      <c r="Z170" s="4">
        <v>321085</v>
      </c>
      <c r="AA170" s="48">
        <v>946390</v>
      </c>
    </row>
    <row r="171" spans="1:27" ht="12.5" x14ac:dyDescent="0.25">
      <c r="A171" s="46">
        <v>44198</v>
      </c>
      <c r="B171" s="47">
        <v>15526</v>
      </c>
      <c r="E171" s="4">
        <v>1</v>
      </c>
      <c r="F171" s="4">
        <v>15525</v>
      </c>
      <c r="G171" s="47">
        <v>582349</v>
      </c>
      <c r="I171" s="4">
        <v>33931</v>
      </c>
      <c r="K171" s="4">
        <v>548418</v>
      </c>
      <c r="L171" s="47">
        <v>3600</v>
      </c>
      <c r="N171" s="4">
        <v>32</v>
      </c>
      <c r="P171" s="4">
        <v>3568</v>
      </c>
      <c r="Q171" s="47">
        <v>6194</v>
      </c>
      <c r="R171" s="4">
        <v>51</v>
      </c>
      <c r="T171" s="4">
        <v>5333</v>
      </c>
      <c r="U171" s="4">
        <v>810</v>
      </c>
      <c r="V171" s="47">
        <v>345087</v>
      </c>
      <c r="W171" s="4">
        <v>1267</v>
      </c>
      <c r="X171" s="4">
        <v>19535</v>
      </c>
      <c r="Y171" s="4">
        <v>2311</v>
      </c>
      <c r="Z171" s="4">
        <v>321974</v>
      </c>
      <c r="AA171" s="48">
        <v>952756</v>
      </c>
    </row>
    <row r="172" spans="1:27" ht="12.5" x14ac:dyDescent="0.25">
      <c r="A172" s="46">
        <v>44199</v>
      </c>
      <c r="B172" s="47">
        <v>15580</v>
      </c>
      <c r="E172" s="4">
        <v>1</v>
      </c>
      <c r="F172" s="4">
        <v>15579</v>
      </c>
      <c r="G172" s="47">
        <v>584419</v>
      </c>
      <c r="I172" s="4">
        <v>35270</v>
      </c>
      <c r="K172" s="4">
        <v>549149</v>
      </c>
      <c r="L172" s="47">
        <v>3604</v>
      </c>
      <c r="N172" s="4">
        <v>32</v>
      </c>
      <c r="P172" s="4">
        <v>3572</v>
      </c>
      <c r="Q172" s="47">
        <v>6210</v>
      </c>
      <c r="R172" s="4">
        <v>55</v>
      </c>
      <c r="T172" s="4">
        <v>5333</v>
      </c>
      <c r="U172" s="4">
        <v>823</v>
      </c>
      <c r="V172" s="47">
        <v>346196</v>
      </c>
      <c r="W172" s="4">
        <v>1224</v>
      </c>
      <c r="X172" s="4">
        <v>20153</v>
      </c>
      <c r="Y172" s="4">
        <v>2311</v>
      </c>
      <c r="Z172" s="4">
        <v>322508</v>
      </c>
      <c r="AA172" s="48">
        <v>956009</v>
      </c>
    </row>
    <row r="173" spans="1:27" ht="12.5" x14ac:dyDescent="0.25">
      <c r="A173" s="46">
        <v>44200</v>
      </c>
      <c r="B173" s="47">
        <v>15651</v>
      </c>
      <c r="E173" s="4">
        <v>1</v>
      </c>
      <c r="F173" s="4">
        <v>15650</v>
      </c>
      <c r="G173" s="47">
        <v>585444</v>
      </c>
      <c r="I173" s="4">
        <v>32375</v>
      </c>
      <c r="K173" s="4">
        <v>553069</v>
      </c>
      <c r="L173" s="47">
        <v>3607</v>
      </c>
      <c r="N173" s="4">
        <v>28</v>
      </c>
      <c r="P173" s="4">
        <v>3579</v>
      </c>
      <c r="Q173" s="47">
        <v>6214</v>
      </c>
      <c r="R173" s="4">
        <v>53</v>
      </c>
      <c r="T173" s="4">
        <v>5333</v>
      </c>
      <c r="U173" s="4">
        <v>828</v>
      </c>
      <c r="V173" s="47">
        <v>346679</v>
      </c>
      <c r="W173" s="4">
        <v>1176</v>
      </c>
      <c r="X173" s="4">
        <v>18054</v>
      </c>
      <c r="Y173" s="4">
        <v>2311</v>
      </c>
      <c r="Z173" s="4">
        <v>325138</v>
      </c>
      <c r="AA173" s="48">
        <v>957595</v>
      </c>
    </row>
    <row r="174" spans="1:27" ht="12.5" x14ac:dyDescent="0.25">
      <c r="A174" s="46">
        <v>44201</v>
      </c>
      <c r="B174" s="47">
        <v>15651</v>
      </c>
      <c r="E174" s="4">
        <v>1</v>
      </c>
      <c r="F174" s="4">
        <v>15650</v>
      </c>
      <c r="G174" s="47">
        <v>588626</v>
      </c>
      <c r="I174" s="4">
        <v>30688</v>
      </c>
      <c r="K174" s="4">
        <v>557938</v>
      </c>
      <c r="L174" s="47">
        <v>3608</v>
      </c>
      <c r="N174" s="4">
        <v>24</v>
      </c>
      <c r="P174" s="4">
        <v>3584</v>
      </c>
      <c r="Q174" s="47">
        <v>6214</v>
      </c>
      <c r="R174" s="4">
        <v>51</v>
      </c>
      <c r="T174" s="4">
        <v>5333</v>
      </c>
      <c r="U174" s="4">
        <v>830</v>
      </c>
      <c r="V174" s="47">
        <v>348165</v>
      </c>
      <c r="W174" s="4">
        <v>1082</v>
      </c>
      <c r="X174" s="4">
        <v>16966</v>
      </c>
      <c r="Y174" s="4">
        <v>2311</v>
      </c>
      <c r="Z174" s="4">
        <v>327806</v>
      </c>
      <c r="AA174" s="48">
        <v>962264</v>
      </c>
    </row>
    <row r="175" spans="1:27" ht="12.5" x14ac:dyDescent="0.25">
      <c r="A175" s="46">
        <v>44202</v>
      </c>
      <c r="B175" s="47">
        <v>15704</v>
      </c>
      <c r="E175" s="4">
        <v>1</v>
      </c>
      <c r="F175" s="4">
        <v>15703</v>
      </c>
      <c r="G175" s="47">
        <v>591171</v>
      </c>
      <c r="I175" s="4">
        <v>28155</v>
      </c>
      <c r="K175" s="4">
        <v>563016</v>
      </c>
      <c r="L175" s="47">
        <v>3619</v>
      </c>
      <c r="N175" s="4">
        <v>25</v>
      </c>
      <c r="P175" s="4">
        <v>3594</v>
      </c>
      <c r="Q175" s="47">
        <v>6229</v>
      </c>
      <c r="R175" s="4">
        <v>53</v>
      </c>
      <c r="T175" s="4">
        <v>5333</v>
      </c>
      <c r="U175" s="4">
        <v>843</v>
      </c>
      <c r="V175" s="47">
        <v>349743</v>
      </c>
      <c r="W175" s="4">
        <v>899</v>
      </c>
      <c r="X175" s="4">
        <v>16233</v>
      </c>
      <c r="Y175" s="4">
        <v>2311</v>
      </c>
      <c r="Z175" s="4">
        <v>330300</v>
      </c>
      <c r="AA175" s="48">
        <v>966466</v>
      </c>
    </row>
    <row r="176" spans="1:27" ht="12.5" x14ac:dyDescent="0.25">
      <c r="A176" s="46">
        <v>44203</v>
      </c>
      <c r="B176" s="47">
        <v>15706</v>
      </c>
      <c r="E176" s="4">
        <v>1</v>
      </c>
      <c r="F176" s="4">
        <v>15705</v>
      </c>
      <c r="G176" s="47">
        <v>593604</v>
      </c>
      <c r="I176" s="4">
        <v>27635</v>
      </c>
      <c r="K176" s="4">
        <v>565969</v>
      </c>
      <c r="L176" s="47">
        <v>3633</v>
      </c>
      <c r="N176" s="4">
        <v>30</v>
      </c>
      <c r="P176" s="4">
        <v>3603</v>
      </c>
      <c r="Q176" s="47">
        <v>6252</v>
      </c>
      <c r="R176" s="4">
        <v>56</v>
      </c>
      <c r="T176" s="4">
        <v>5333</v>
      </c>
      <c r="U176" s="4">
        <v>863</v>
      </c>
      <c r="V176" s="47">
        <v>351166</v>
      </c>
      <c r="W176" s="4">
        <v>758</v>
      </c>
      <c r="X176" s="4">
        <v>16009</v>
      </c>
      <c r="Y176" s="4">
        <v>2311</v>
      </c>
      <c r="Z176" s="4">
        <v>332088</v>
      </c>
      <c r="AA176" s="53">
        <f>V176+Q176+L176+G176+B176</f>
        <v>970361</v>
      </c>
    </row>
    <row r="177" spans="1:27" ht="12.5" x14ac:dyDescent="0.25">
      <c r="A177" s="46">
        <v>44204</v>
      </c>
      <c r="B177" s="47">
        <v>15722</v>
      </c>
      <c r="E177" s="4">
        <v>1</v>
      </c>
      <c r="F177" s="4">
        <v>15721</v>
      </c>
      <c r="G177" s="47">
        <v>595805</v>
      </c>
      <c r="I177" s="4">
        <v>28557</v>
      </c>
      <c r="K177" s="4">
        <v>567248</v>
      </c>
      <c r="L177" s="47">
        <v>3651</v>
      </c>
      <c r="N177" s="4">
        <v>35</v>
      </c>
      <c r="P177" s="4">
        <v>3616</v>
      </c>
      <c r="Q177" s="47">
        <v>6318</v>
      </c>
      <c r="R177" s="4">
        <v>69</v>
      </c>
      <c r="T177" s="4">
        <v>5333</v>
      </c>
      <c r="U177" s="4">
        <v>916</v>
      </c>
      <c r="V177" s="47">
        <v>352651</v>
      </c>
      <c r="W177" s="4">
        <v>688</v>
      </c>
      <c r="X177" s="4">
        <v>16727</v>
      </c>
      <c r="Y177" s="4">
        <v>2311</v>
      </c>
      <c r="Z177" s="4">
        <v>332925</v>
      </c>
      <c r="AA177" s="48">
        <v>974147</v>
      </c>
    </row>
    <row r="178" spans="1:27" ht="12.5" x14ac:dyDescent="0.25">
      <c r="A178" s="46">
        <v>44205</v>
      </c>
      <c r="B178" s="47">
        <v>15741</v>
      </c>
      <c r="E178" s="4">
        <v>1</v>
      </c>
      <c r="F178" s="4">
        <v>15740</v>
      </c>
      <c r="G178" s="47">
        <v>597337</v>
      </c>
      <c r="I178" s="4">
        <v>27496</v>
      </c>
      <c r="K178" s="4">
        <v>569841</v>
      </c>
      <c r="L178" s="47">
        <v>3663</v>
      </c>
      <c r="N178" s="4">
        <v>38</v>
      </c>
      <c r="P178" s="4">
        <v>3625</v>
      </c>
      <c r="Q178" s="47">
        <v>6354</v>
      </c>
      <c r="R178" s="4">
        <v>101</v>
      </c>
      <c r="T178" s="4">
        <v>5333</v>
      </c>
      <c r="U178" s="4">
        <v>920</v>
      </c>
      <c r="V178" s="47">
        <v>353971</v>
      </c>
      <c r="W178" s="4">
        <v>1749</v>
      </c>
      <c r="X178" s="4">
        <v>15688</v>
      </c>
      <c r="Y178" s="4">
        <v>2311</v>
      </c>
      <c r="Z178" s="4">
        <v>334223</v>
      </c>
      <c r="AA178" s="48">
        <v>977066</v>
      </c>
    </row>
    <row r="179" spans="1:27" ht="12.5" x14ac:dyDescent="0.25">
      <c r="A179" s="46">
        <v>44206</v>
      </c>
      <c r="B179" s="47">
        <v>15750</v>
      </c>
      <c r="E179" s="4">
        <v>1</v>
      </c>
      <c r="F179" s="4">
        <v>15749</v>
      </c>
      <c r="G179" s="47">
        <v>599404</v>
      </c>
      <c r="I179" s="4">
        <v>28027</v>
      </c>
      <c r="K179" s="4">
        <v>571377</v>
      </c>
      <c r="L179" s="47">
        <v>3676</v>
      </c>
      <c r="N179" s="4">
        <v>42</v>
      </c>
      <c r="P179" s="4">
        <v>3634</v>
      </c>
      <c r="Q179" s="47">
        <v>6362</v>
      </c>
      <c r="R179" s="4">
        <v>63</v>
      </c>
      <c r="T179" s="4">
        <v>5333</v>
      </c>
      <c r="U179" s="4">
        <v>966</v>
      </c>
      <c r="V179" s="47">
        <v>355197</v>
      </c>
      <c r="W179" s="4">
        <v>1696</v>
      </c>
      <c r="X179" s="4">
        <v>14293</v>
      </c>
      <c r="Y179" s="4">
        <v>2311</v>
      </c>
      <c r="Z179" s="4">
        <v>336897</v>
      </c>
      <c r="AA179" s="48">
        <v>980389</v>
      </c>
    </row>
    <row r="180" spans="1:27" ht="12.5" x14ac:dyDescent="0.25">
      <c r="A180" s="46">
        <v>44207</v>
      </c>
      <c r="B180" s="47">
        <v>15840</v>
      </c>
      <c r="E180" s="4">
        <v>1</v>
      </c>
      <c r="F180" s="4">
        <v>15839</v>
      </c>
      <c r="G180" s="47">
        <v>602881</v>
      </c>
      <c r="I180" s="4">
        <v>3477</v>
      </c>
      <c r="K180" s="4">
        <v>599404</v>
      </c>
      <c r="L180" s="47">
        <v>3688</v>
      </c>
      <c r="N180" s="4">
        <v>12</v>
      </c>
      <c r="P180" s="4">
        <v>3676</v>
      </c>
      <c r="Q180" s="47">
        <v>6368</v>
      </c>
      <c r="R180" s="4">
        <v>6</v>
      </c>
      <c r="T180" s="4">
        <v>5333</v>
      </c>
      <c r="U180" s="4">
        <v>1029</v>
      </c>
      <c r="V180" s="47">
        <v>357486</v>
      </c>
      <c r="W180" s="4">
        <v>37</v>
      </c>
      <c r="X180" s="4">
        <v>2252</v>
      </c>
      <c r="Y180" s="4">
        <v>2311</v>
      </c>
      <c r="Z180" s="4">
        <v>352886</v>
      </c>
      <c r="AA180" s="48">
        <v>986263</v>
      </c>
    </row>
    <row r="181" spans="1:27" ht="12.5" x14ac:dyDescent="0.25">
      <c r="A181" s="46">
        <v>44208</v>
      </c>
      <c r="B181" s="47">
        <v>15489</v>
      </c>
      <c r="E181" s="4">
        <v>1</v>
      </c>
      <c r="F181" s="4">
        <v>15488</v>
      </c>
      <c r="G181" s="47">
        <v>603216</v>
      </c>
      <c r="I181" s="4">
        <v>3037</v>
      </c>
      <c r="K181" s="4">
        <v>600179</v>
      </c>
      <c r="L181" s="47">
        <v>3691</v>
      </c>
      <c r="N181" s="4">
        <v>6</v>
      </c>
      <c r="P181" s="4">
        <v>3685</v>
      </c>
      <c r="Q181" s="47">
        <v>6395</v>
      </c>
      <c r="R181" s="4">
        <v>5</v>
      </c>
      <c r="T181" s="4">
        <v>5333</v>
      </c>
      <c r="U181" s="4">
        <v>1057</v>
      </c>
      <c r="V181" s="47">
        <v>519522</v>
      </c>
      <c r="W181" s="4">
        <v>33</v>
      </c>
      <c r="X181" s="4">
        <v>5665</v>
      </c>
      <c r="Y181" s="4">
        <v>2311</v>
      </c>
      <c r="Z181" s="4">
        <v>511513</v>
      </c>
      <c r="AA181" s="53">
        <f>SUM(V181,Q181,L181,G181,B181)</f>
        <v>1148313</v>
      </c>
    </row>
    <row r="182" spans="1:27" ht="12.5" x14ac:dyDescent="0.25">
      <c r="A182" s="46">
        <v>44209</v>
      </c>
      <c r="B182" s="47">
        <v>15929</v>
      </c>
      <c r="E182" s="4">
        <v>1</v>
      </c>
      <c r="F182" s="4">
        <v>15928</v>
      </c>
      <c r="G182" s="47">
        <v>611485</v>
      </c>
      <c r="I182" s="4">
        <v>9742</v>
      </c>
      <c r="K182" s="4">
        <v>601743</v>
      </c>
      <c r="L182" s="47">
        <v>3705</v>
      </c>
      <c r="N182" s="4">
        <v>8</v>
      </c>
      <c r="P182" s="4">
        <v>3697</v>
      </c>
      <c r="Q182" s="47">
        <v>6408</v>
      </c>
      <c r="R182" s="4">
        <v>8</v>
      </c>
      <c r="T182" s="4">
        <v>5333</v>
      </c>
      <c r="U182" s="4">
        <v>1067</v>
      </c>
      <c r="V182" s="47">
        <v>525155</v>
      </c>
      <c r="W182" s="4">
        <v>61</v>
      </c>
      <c r="X182" s="4">
        <v>10262</v>
      </c>
      <c r="Y182" s="4">
        <v>2311</v>
      </c>
      <c r="Z182" s="4">
        <v>512521</v>
      </c>
      <c r="AA182" s="48">
        <v>1162682</v>
      </c>
    </row>
    <row r="183" spans="1:27" ht="12.5" x14ac:dyDescent="0.25">
      <c r="A183" s="46">
        <v>44210</v>
      </c>
      <c r="B183" s="47">
        <v>16038</v>
      </c>
      <c r="E183" s="4">
        <v>1</v>
      </c>
      <c r="F183" s="4">
        <v>16037</v>
      </c>
      <c r="G183" s="47">
        <v>613834</v>
      </c>
      <c r="I183" s="4">
        <v>11957</v>
      </c>
      <c r="K183" s="4">
        <v>601877</v>
      </c>
      <c r="L183" s="47">
        <v>3719</v>
      </c>
      <c r="N183" s="4">
        <v>20</v>
      </c>
      <c r="P183" s="4">
        <v>3699</v>
      </c>
      <c r="Q183" s="47">
        <v>6439</v>
      </c>
      <c r="R183" s="4">
        <v>10</v>
      </c>
      <c r="T183" s="4">
        <v>5333</v>
      </c>
      <c r="U183" s="4">
        <v>1096</v>
      </c>
      <c r="V183" s="47">
        <v>527982</v>
      </c>
      <c r="W183" s="4">
        <v>139</v>
      </c>
      <c r="X183" s="4">
        <v>11849</v>
      </c>
      <c r="Y183" s="4">
        <v>2311</v>
      </c>
      <c r="Z183" s="4">
        <v>513683</v>
      </c>
      <c r="AA183" s="53">
        <f>B183+G183+L183+Q183+V183</f>
        <v>1168012</v>
      </c>
    </row>
    <row r="184" spans="1:27" ht="12.5" x14ac:dyDescent="0.25">
      <c r="A184" s="46">
        <v>44211</v>
      </c>
      <c r="B184" s="47">
        <v>16069</v>
      </c>
      <c r="E184" s="4">
        <v>1</v>
      </c>
      <c r="F184" s="4">
        <v>16068</v>
      </c>
      <c r="G184" s="47">
        <v>615648</v>
      </c>
      <c r="I184" s="4">
        <v>13521</v>
      </c>
      <c r="K184" s="4">
        <v>602127</v>
      </c>
      <c r="L184" s="47">
        <v>3737</v>
      </c>
      <c r="N184" s="4">
        <v>37</v>
      </c>
      <c r="P184" s="4">
        <v>3700</v>
      </c>
      <c r="Q184" s="47">
        <v>6499</v>
      </c>
      <c r="R184" s="4">
        <v>12</v>
      </c>
      <c r="T184" s="4">
        <v>5333</v>
      </c>
      <c r="U184" s="4">
        <v>1108</v>
      </c>
      <c r="V184" s="47">
        <v>530417</v>
      </c>
      <c r="W184" s="4">
        <v>177</v>
      </c>
      <c r="X184" s="4">
        <v>13638</v>
      </c>
      <c r="Y184" s="4">
        <v>2311</v>
      </c>
      <c r="Z184" s="4">
        <v>514291</v>
      </c>
      <c r="AA184" s="53"/>
    </row>
    <row r="185" spans="1:27" ht="12.5" x14ac:dyDescent="0.25">
      <c r="A185" s="46">
        <v>44212</v>
      </c>
      <c r="B185" s="47">
        <v>16153</v>
      </c>
      <c r="E185" s="4">
        <v>1</v>
      </c>
      <c r="F185" s="4">
        <v>16152</v>
      </c>
      <c r="G185" s="47">
        <v>622851</v>
      </c>
      <c r="I185" s="4">
        <v>18735</v>
      </c>
      <c r="K185" s="4">
        <v>604116</v>
      </c>
      <c r="L185" s="47">
        <v>3758</v>
      </c>
      <c r="N185" s="4">
        <v>18</v>
      </c>
      <c r="P185" s="4">
        <v>3740</v>
      </c>
      <c r="Q185" s="47">
        <v>6521</v>
      </c>
      <c r="R185" s="4">
        <v>13</v>
      </c>
      <c r="T185" s="4">
        <v>5333</v>
      </c>
      <c r="U185" s="4">
        <v>1175</v>
      </c>
      <c r="V185" s="47">
        <v>536128</v>
      </c>
      <c r="W185" s="4">
        <v>194</v>
      </c>
      <c r="X185" s="4">
        <v>17108</v>
      </c>
      <c r="Y185" s="4">
        <v>2311</v>
      </c>
      <c r="Z185" s="4">
        <v>516515</v>
      </c>
      <c r="AA185" s="54">
        <v>1185411</v>
      </c>
    </row>
    <row r="186" spans="1:27" ht="12.5" x14ac:dyDescent="0.25">
      <c r="A186" s="46">
        <v>44213</v>
      </c>
      <c r="B186" s="47">
        <v>16208</v>
      </c>
      <c r="E186" s="4">
        <v>1</v>
      </c>
      <c r="F186" s="4">
        <v>16207</v>
      </c>
      <c r="G186" s="47">
        <v>630849</v>
      </c>
      <c r="I186" s="4">
        <v>25283</v>
      </c>
      <c r="K186" s="4">
        <v>605566</v>
      </c>
      <c r="L186" s="47">
        <v>3776</v>
      </c>
      <c r="N186" s="4">
        <v>23</v>
      </c>
      <c r="P186" s="4">
        <v>3753</v>
      </c>
      <c r="Q186" s="47">
        <v>6548</v>
      </c>
      <c r="R186" s="4">
        <v>15</v>
      </c>
      <c r="T186" s="4">
        <v>5333</v>
      </c>
      <c r="U186" s="4">
        <v>1200</v>
      </c>
      <c r="V186" s="47">
        <v>541875</v>
      </c>
      <c r="W186" s="4">
        <v>238</v>
      </c>
      <c r="X186" s="4">
        <v>21802</v>
      </c>
      <c r="Y186" s="4">
        <v>2311</v>
      </c>
      <c r="Z186" s="4">
        <v>517524</v>
      </c>
      <c r="AA186" s="48">
        <v>1199256</v>
      </c>
    </row>
    <row r="187" spans="1:27" ht="12.5" x14ac:dyDescent="0.25">
      <c r="A187" s="55">
        <v>44214</v>
      </c>
      <c r="B187" s="47">
        <v>16258</v>
      </c>
      <c r="E187" s="4">
        <v>1</v>
      </c>
      <c r="F187" s="4">
        <v>16257</v>
      </c>
      <c r="G187" s="47">
        <v>631104</v>
      </c>
      <c r="I187" s="4">
        <v>24788</v>
      </c>
      <c r="K187" s="4">
        <v>606316</v>
      </c>
      <c r="L187" s="47">
        <v>3792</v>
      </c>
      <c r="N187" s="4">
        <v>23</v>
      </c>
      <c r="P187" s="4">
        <v>3769</v>
      </c>
      <c r="Q187" s="47">
        <v>6554</v>
      </c>
      <c r="R187" s="4">
        <v>16</v>
      </c>
      <c r="T187" s="4">
        <v>5333</v>
      </c>
      <c r="U187" s="4">
        <v>1205</v>
      </c>
      <c r="V187" s="47">
        <v>542724</v>
      </c>
      <c r="W187" s="4">
        <v>262</v>
      </c>
      <c r="X187" s="4">
        <v>21411</v>
      </c>
      <c r="Y187" s="4">
        <v>2311</v>
      </c>
      <c r="Z187" s="4">
        <v>518740</v>
      </c>
      <c r="AA187" s="48">
        <v>1200432</v>
      </c>
    </row>
    <row r="188" spans="1:27" ht="12.5" x14ac:dyDescent="0.25">
      <c r="A188" s="46">
        <v>44215</v>
      </c>
      <c r="B188" s="47">
        <v>16313</v>
      </c>
      <c r="D188" s="4">
        <v>2</v>
      </c>
      <c r="E188" s="4">
        <v>1</v>
      </c>
      <c r="F188" s="4">
        <v>16310</v>
      </c>
      <c r="G188" s="47">
        <v>634594</v>
      </c>
      <c r="H188" s="4">
        <v>1</v>
      </c>
      <c r="I188" s="4">
        <v>27277</v>
      </c>
      <c r="K188" s="4">
        <v>607316</v>
      </c>
      <c r="L188" s="47">
        <v>3792</v>
      </c>
      <c r="N188" s="4">
        <v>21</v>
      </c>
      <c r="P188" s="4">
        <v>3771</v>
      </c>
      <c r="Q188" s="47">
        <v>6566</v>
      </c>
      <c r="R188" s="4">
        <v>16</v>
      </c>
      <c r="S188" s="4">
        <v>11</v>
      </c>
      <c r="T188" s="4">
        <v>5333</v>
      </c>
      <c r="U188" s="4">
        <v>1206</v>
      </c>
      <c r="V188" s="47">
        <v>545376</v>
      </c>
      <c r="W188" s="4">
        <v>252</v>
      </c>
      <c r="X188" s="4">
        <v>22828</v>
      </c>
      <c r="Y188" s="4">
        <v>2311</v>
      </c>
      <c r="Z188" s="4">
        <v>519985</v>
      </c>
      <c r="AA188" s="48">
        <v>1206641</v>
      </c>
    </row>
    <row r="189" spans="1:27" ht="12.5" x14ac:dyDescent="0.25">
      <c r="A189" s="46">
        <v>44216</v>
      </c>
      <c r="B189" s="47">
        <v>16316</v>
      </c>
      <c r="D189" s="4">
        <v>4</v>
      </c>
      <c r="E189" s="4">
        <v>1</v>
      </c>
      <c r="F189" s="4">
        <v>16311</v>
      </c>
      <c r="G189" s="47">
        <v>636432</v>
      </c>
      <c r="H189" s="4">
        <v>2</v>
      </c>
      <c r="I189" s="4">
        <v>27454</v>
      </c>
      <c r="K189" s="4">
        <v>608976</v>
      </c>
      <c r="L189" s="47">
        <v>3801</v>
      </c>
      <c r="M189" s="4">
        <v>1</v>
      </c>
      <c r="N189" s="4">
        <v>24</v>
      </c>
      <c r="P189" s="4">
        <v>3776</v>
      </c>
      <c r="Q189" s="47">
        <v>6578</v>
      </c>
      <c r="R189" s="4">
        <v>20</v>
      </c>
      <c r="S189" s="4">
        <v>15</v>
      </c>
      <c r="T189" s="4">
        <v>5333</v>
      </c>
      <c r="U189" s="4">
        <v>1210</v>
      </c>
      <c r="V189" s="47">
        <v>547648</v>
      </c>
      <c r="W189" s="4">
        <v>317</v>
      </c>
      <c r="X189" s="4">
        <v>23256</v>
      </c>
      <c r="Y189" s="4">
        <v>2311</v>
      </c>
      <c r="Z189" s="4">
        <v>521764</v>
      </c>
      <c r="AA189" s="48">
        <v>1210775</v>
      </c>
    </row>
    <row r="190" spans="1:27" ht="12.5" x14ac:dyDescent="0.25">
      <c r="A190" s="46">
        <v>44217</v>
      </c>
      <c r="B190" s="47">
        <v>16404</v>
      </c>
      <c r="E190" s="4">
        <v>1</v>
      </c>
      <c r="F190" s="4">
        <v>16403</v>
      </c>
      <c r="G190" s="47">
        <v>638439</v>
      </c>
      <c r="I190" s="4">
        <v>27455</v>
      </c>
      <c r="K190" s="4">
        <v>610984</v>
      </c>
      <c r="L190" s="47">
        <v>3827</v>
      </c>
      <c r="N190" s="4">
        <v>25</v>
      </c>
      <c r="P190" s="4">
        <v>3802</v>
      </c>
      <c r="Q190" s="47">
        <v>6599</v>
      </c>
      <c r="R190" s="4">
        <v>23</v>
      </c>
      <c r="T190" s="4">
        <v>5333</v>
      </c>
      <c r="U190" s="4">
        <v>1243</v>
      </c>
      <c r="V190" s="47">
        <v>550483</v>
      </c>
      <c r="W190" s="4">
        <v>379</v>
      </c>
      <c r="X190" s="4">
        <v>23475</v>
      </c>
      <c r="Y190" s="4">
        <v>2311</v>
      </c>
      <c r="Z190" s="4">
        <v>524318</v>
      </c>
      <c r="AA190" s="48">
        <v>1215752</v>
      </c>
    </row>
    <row r="191" spans="1:27" ht="12.5" x14ac:dyDescent="0.25">
      <c r="A191" s="46">
        <v>44218</v>
      </c>
      <c r="B191" s="47">
        <v>16479</v>
      </c>
      <c r="E191" s="4">
        <v>1</v>
      </c>
      <c r="F191" s="4">
        <v>16478</v>
      </c>
      <c r="G191" s="47">
        <v>640185</v>
      </c>
      <c r="I191" s="4">
        <v>28967</v>
      </c>
      <c r="K191" s="4">
        <v>611218</v>
      </c>
      <c r="L191" s="47">
        <v>3836</v>
      </c>
      <c r="N191" s="4">
        <v>27</v>
      </c>
      <c r="P191" s="4">
        <v>3809</v>
      </c>
      <c r="Q191" s="47">
        <v>6627</v>
      </c>
      <c r="R191" s="4">
        <v>70</v>
      </c>
      <c r="T191" s="4">
        <v>5333</v>
      </c>
      <c r="U191" s="4">
        <v>1224</v>
      </c>
      <c r="V191" s="47">
        <v>553545</v>
      </c>
      <c r="W191" s="4">
        <v>450</v>
      </c>
      <c r="X191" s="4">
        <v>25987</v>
      </c>
      <c r="Y191" s="4">
        <v>2311</v>
      </c>
      <c r="Z191" s="4">
        <v>524797</v>
      </c>
      <c r="AA191" s="48">
        <v>1220672</v>
      </c>
    </row>
    <row r="192" spans="1:27" ht="12.5" x14ac:dyDescent="0.25">
      <c r="A192" s="46">
        <v>44219</v>
      </c>
      <c r="B192" s="47">
        <v>16498</v>
      </c>
      <c r="E192" s="4">
        <v>1</v>
      </c>
      <c r="F192" s="4">
        <v>16497</v>
      </c>
      <c r="G192" s="47">
        <v>641595</v>
      </c>
      <c r="I192" s="4">
        <v>25808</v>
      </c>
      <c r="K192" s="4">
        <v>615787</v>
      </c>
      <c r="L192" s="47">
        <v>3845</v>
      </c>
      <c r="N192" s="4">
        <v>27</v>
      </c>
      <c r="P192" s="4">
        <v>3818</v>
      </c>
      <c r="Q192" s="47">
        <v>6645</v>
      </c>
      <c r="R192" s="4">
        <v>80</v>
      </c>
      <c r="T192" s="4">
        <v>5333</v>
      </c>
      <c r="U192" s="4">
        <v>1232</v>
      </c>
      <c r="V192" s="47">
        <v>555467</v>
      </c>
      <c r="W192" s="4">
        <v>412</v>
      </c>
      <c r="X192" s="4">
        <v>23154</v>
      </c>
      <c r="Y192" s="4">
        <v>2311</v>
      </c>
      <c r="Z192" s="4">
        <v>529590</v>
      </c>
      <c r="AA192" s="48">
        <v>1224050</v>
      </c>
    </row>
    <row r="193" spans="1:27" ht="12.5" x14ac:dyDescent="0.25">
      <c r="A193" s="46">
        <v>44220</v>
      </c>
      <c r="B193" s="47">
        <v>16588</v>
      </c>
      <c r="E193" s="4">
        <v>1</v>
      </c>
      <c r="F193" s="4">
        <v>16587</v>
      </c>
      <c r="G193" s="47">
        <v>646819</v>
      </c>
      <c r="I193" s="4">
        <v>29521</v>
      </c>
      <c r="K193" s="4">
        <v>617298</v>
      </c>
      <c r="L193" s="47">
        <v>3869</v>
      </c>
      <c r="N193" s="4">
        <v>40</v>
      </c>
      <c r="P193" s="4">
        <v>3829</v>
      </c>
      <c r="Q193" s="47">
        <v>6673</v>
      </c>
      <c r="R193" s="4">
        <v>99</v>
      </c>
      <c r="T193" s="4">
        <v>5333</v>
      </c>
      <c r="U193" s="4">
        <v>1241</v>
      </c>
      <c r="V193" s="47">
        <v>564496</v>
      </c>
      <c r="W193" s="4">
        <v>453</v>
      </c>
      <c r="X193" s="4">
        <v>28632</v>
      </c>
      <c r="Y193" s="4">
        <v>2311</v>
      </c>
      <c r="Z193" s="4">
        <v>533100</v>
      </c>
      <c r="AA193" s="48">
        <v>1238445</v>
      </c>
    </row>
    <row r="194" spans="1:27" ht="12.5" x14ac:dyDescent="0.25">
      <c r="A194" s="46">
        <v>44221</v>
      </c>
      <c r="B194" s="47">
        <v>16588</v>
      </c>
      <c r="E194" s="4">
        <v>1</v>
      </c>
      <c r="F194" s="4">
        <v>16587</v>
      </c>
      <c r="G194" s="47">
        <v>647125</v>
      </c>
      <c r="I194" s="4">
        <v>25693</v>
      </c>
      <c r="K194" s="4">
        <v>621432</v>
      </c>
      <c r="L194" s="47">
        <v>3869</v>
      </c>
      <c r="N194" s="4">
        <v>38</v>
      </c>
      <c r="P194" s="4">
        <v>3831</v>
      </c>
      <c r="Q194" s="47">
        <v>6677</v>
      </c>
      <c r="R194" s="4">
        <v>102</v>
      </c>
      <c r="T194" s="4">
        <v>5333</v>
      </c>
      <c r="U194" s="4">
        <v>1242</v>
      </c>
      <c r="V194" s="47">
        <v>564855</v>
      </c>
      <c r="W194" s="4">
        <v>418</v>
      </c>
      <c r="X194" s="4">
        <v>25727</v>
      </c>
      <c r="Y194" s="4">
        <v>2311</v>
      </c>
      <c r="Z194" s="4">
        <v>536399</v>
      </c>
      <c r="AA194" s="48">
        <v>1239114</v>
      </c>
    </row>
    <row r="195" spans="1:27" ht="12.5" x14ac:dyDescent="0.25">
      <c r="A195" s="46">
        <v>44222</v>
      </c>
      <c r="B195" s="47">
        <v>16589</v>
      </c>
      <c r="E195" s="4">
        <v>1</v>
      </c>
      <c r="F195" s="4">
        <v>16588</v>
      </c>
      <c r="G195" s="47">
        <v>652852</v>
      </c>
      <c r="I195" s="4">
        <v>26124</v>
      </c>
      <c r="K195" s="4">
        <v>626728</v>
      </c>
      <c r="L195" s="47">
        <v>3872</v>
      </c>
      <c r="N195" s="4">
        <v>36</v>
      </c>
      <c r="P195" s="4">
        <v>3836</v>
      </c>
      <c r="Q195" s="47">
        <v>6681</v>
      </c>
      <c r="R195" s="4">
        <v>83</v>
      </c>
      <c r="T195" s="4">
        <v>5333</v>
      </c>
      <c r="U195" s="4">
        <v>1265</v>
      </c>
      <c r="V195" s="47">
        <v>567566</v>
      </c>
      <c r="W195" s="4">
        <v>371</v>
      </c>
      <c r="X195" s="4">
        <v>24660</v>
      </c>
      <c r="Y195" s="4">
        <v>2311</v>
      </c>
      <c r="Z195" s="4">
        <v>540224</v>
      </c>
      <c r="AA195" s="48">
        <v>1247560</v>
      </c>
    </row>
    <row r="196" spans="1:27" ht="12.5" x14ac:dyDescent="0.25">
      <c r="A196" s="46">
        <v>44223</v>
      </c>
      <c r="B196" s="47">
        <v>16646</v>
      </c>
      <c r="E196" s="4">
        <v>1</v>
      </c>
      <c r="F196" s="4">
        <v>16645</v>
      </c>
      <c r="G196" s="47">
        <v>659174</v>
      </c>
      <c r="I196" s="4">
        <v>25909</v>
      </c>
      <c r="K196" s="4">
        <v>633265</v>
      </c>
      <c r="L196" s="47">
        <v>3896</v>
      </c>
      <c r="N196" s="4">
        <v>32</v>
      </c>
      <c r="P196" s="4">
        <v>3864</v>
      </c>
      <c r="Q196" s="47">
        <v>6707</v>
      </c>
      <c r="R196" s="4">
        <v>103</v>
      </c>
      <c r="T196" s="4">
        <v>5333</v>
      </c>
      <c r="U196" s="4">
        <v>1271</v>
      </c>
      <c r="V196" s="47">
        <v>572681</v>
      </c>
      <c r="W196" s="4">
        <v>395</v>
      </c>
      <c r="X196" s="4">
        <v>25126</v>
      </c>
      <c r="Y196" s="4">
        <v>2311</v>
      </c>
      <c r="Z196" s="4">
        <v>544849</v>
      </c>
      <c r="AA196" s="48">
        <v>1259104</v>
      </c>
    </row>
    <row r="197" spans="1:27" ht="12.5" x14ac:dyDescent="0.25">
      <c r="A197" s="46">
        <v>44224</v>
      </c>
      <c r="B197" s="47">
        <v>16694</v>
      </c>
      <c r="E197" s="4">
        <v>1</v>
      </c>
      <c r="F197" s="4">
        <v>16693</v>
      </c>
      <c r="G197" s="47">
        <v>661365</v>
      </c>
      <c r="I197" s="4">
        <v>22303</v>
      </c>
      <c r="K197" s="4">
        <v>639062</v>
      </c>
      <c r="L197" s="47">
        <v>3912</v>
      </c>
      <c r="N197" s="4">
        <v>22</v>
      </c>
      <c r="P197" s="4">
        <v>3890</v>
      </c>
      <c r="Q197" s="47">
        <v>6724</v>
      </c>
      <c r="R197" s="4">
        <v>104</v>
      </c>
      <c r="T197" s="4">
        <v>5333</v>
      </c>
      <c r="U197" s="4">
        <v>1287</v>
      </c>
      <c r="V197" s="47">
        <v>578738</v>
      </c>
      <c r="W197" s="4">
        <v>357</v>
      </c>
      <c r="X197" s="4">
        <v>23972</v>
      </c>
      <c r="Y197" s="4">
        <v>2311</v>
      </c>
      <c r="Z197" s="4">
        <v>552098</v>
      </c>
      <c r="AA197" s="48">
        <v>1267433</v>
      </c>
    </row>
    <row r="198" spans="1:27" ht="12.5" x14ac:dyDescent="0.25">
      <c r="A198" s="46">
        <v>44225</v>
      </c>
      <c r="B198" s="47">
        <v>16735</v>
      </c>
      <c r="E198" s="4">
        <v>1</v>
      </c>
      <c r="F198" s="4">
        <v>16734</v>
      </c>
      <c r="G198" s="47">
        <v>677646</v>
      </c>
      <c r="I198" s="4">
        <v>16509</v>
      </c>
      <c r="K198" s="4">
        <v>661137</v>
      </c>
      <c r="L198" s="47">
        <v>3932</v>
      </c>
      <c r="N198" s="4">
        <v>18</v>
      </c>
      <c r="P198" s="4">
        <v>3914</v>
      </c>
      <c r="Q198" s="47">
        <v>6737</v>
      </c>
      <c r="R198" s="4">
        <v>92</v>
      </c>
      <c r="T198" s="4">
        <v>5333</v>
      </c>
      <c r="U198" s="4">
        <v>1312</v>
      </c>
      <c r="V198" s="47">
        <v>587777</v>
      </c>
      <c r="W198" s="4">
        <v>292</v>
      </c>
      <c r="X198" s="4">
        <v>17877</v>
      </c>
      <c r="Y198" s="4">
        <v>2311</v>
      </c>
      <c r="Z198" s="4">
        <v>567297</v>
      </c>
      <c r="AA198" s="48">
        <v>1292827</v>
      </c>
    </row>
    <row r="199" spans="1:27" ht="12.5" x14ac:dyDescent="0.25">
      <c r="A199" s="46">
        <v>44226</v>
      </c>
      <c r="B199" s="47">
        <v>16740</v>
      </c>
      <c r="E199" s="4">
        <v>1</v>
      </c>
      <c r="F199" s="4">
        <v>16739</v>
      </c>
      <c r="G199" s="47">
        <v>687547</v>
      </c>
      <c r="I199" s="4">
        <v>15608</v>
      </c>
      <c r="K199" s="4">
        <v>671939</v>
      </c>
      <c r="L199" s="47">
        <v>3976</v>
      </c>
      <c r="N199" s="4">
        <v>18</v>
      </c>
      <c r="P199" s="4">
        <v>3958</v>
      </c>
      <c r="Q199" s="47">
        <v>6762</v>
      </c>
      <c r="R199" s="4">
        <v>79</v>
      </c>
      <c r="T199" s="4">
        <v>5333</v>
      </c>
      <c r="U199" s="4">
        <v>1350</v>
      </c>
      <c r="V199" s="47">
        <v>593699</v>
      </c>
      <c r="W199" s="4">
        <v>245</v>
      </c>
      <c r="X199" s="4">
        <v>16800</v>
      </c>
      <c r="Y199" s="4">
        <v>2311</v>
      </c>
      <c r="Z199" s="4">
        <v>574343</v>
      </c>
      <c r="AA199" s="48">
        <v>1308724</v>
      </c>
    </row>
    <row r="200" spans="1:27" ht="12.5" x14ac:dyDescent="0.25">
      <c r="A200" s="46">
        <v>44227</v>
      </c>
      <c r="B200" s="47">
        <v>16789</v>
      </c>
      <c r="E200" s="4">
        <v>1</v>
      </c>
      <c r="F200" s="4">
        <v>16788</v>
      </c>
      <c r="G200" s="47">
        <v>696559</v>
      </c>
      <c r="I200" s="4">
        <v>21391</v>
      </c>
      <c r="K200" s="4">
        <v>675168</v>
      </c>
      <c r="L200" s="47">
        <v>3998</v>
      </c>
      <c r="N200" s="4">
        <v>18</v>
      </c>
      <c r="P200" s="4">
        <v>3980</v>
      </c>
      <c r="Q200" s="47">
        <v>6777</v>
      </c>
      <c r="R200" s="4">
        <v>85</v>
      </c>
      <c r="T200" s="4">
        <v>5333</v>
      </c>
      <c r="U200" s="4">
        <v>1359</v>
      </c>
      <c r="V200" s="47">
        <v>599684</v>
      </c>
      <c r="W200" s="4">
        <v>255</v>
      </c>
      <c r="X200" s="4">
        <v>20446</v>
      </c>
      <c r="Y200" s="4">
        <v>2311</v>
      </c>
      <c r="Z200" s="4">
        <v>576672</v>
      </c>
      <c r="AA200" s="48">
        <v>1323807</v>
      </c>
    </row>
    <row r="201" spans="1:27" ht="12.5" x14ac:dyDescent="0.25">
      <c r="A201" s="46">
        <v>44228</v>
      </c>
      <c r="B201" s="47">
        <v>16840</v>
      </c>
      <c r="E201" s="4">
        <v>1</v>
      </c>
      <c r="F201" s="4">
        <v>16839</v>
      </c>
      <c r="G201" s="47">
        <v>703657</v>
      </c>
      <c r="I201" s="4">
        <v>23615</v>
      </c>
      <c r="K201" s="4">
        <v>680042</v>
      </c>
      <c r="L201" s="47">
        <v>4032</v>
      </c>
      <c r="N201" s="4">
        <v>14</v>
      </c>
      <c r="P201" s="4">
        <v>4018</v>
      </c>
      <c r="Q201" s="47">
        <v>6786</v>
      </c>
      <c r="R201" s="4">
        <v>78</v>
      </c>
      <c r="T201" s="4">
        <v>5333</v>
      </c>
      <c r="U201" s="4">
        <v>1375</v>
      </c>
      <c r="V201" s="47">
        <v>603199</v>
      </c>
      <c r="W201" s="4">
        <v>238</v>
      </c>
      <c r="X201" s="4">
        <v>19928</v>
      </c>
      <c r="Y201" s="4">
        <v>2311</v>
      </c>
      <c r="Z201" s="4">
        <v>580722</v>
      </c>
      <c r="AA201" s="48">
        <v>1334514</v>
      </c>
    </row>
    <row r="202" spans="1:27" ht="12.5" x14ac:dyDescent="0.25">
      <c r="A202" s="46">
        <v>44229</v>
      </c>
      <c r="B202" s="47">
        <v>16841</v>
      </c>
      <c r="E202" s="4">
        <v>1</v>
      </c>
      <c r="F202" s="4">
        <v>16840</v>
      </c>
      <c r="G202" s="47">
        <v>707801</v>
      </c>
      <c r="I202" s="4">
        <v>26705</v>
      </c>
      <c r="K202" s="4">
        <v>681096</v>
      </c>
      <c r="L202" s="47">
        <v>4032</v>
      </c>
      <c r="N202" s="4">
        <v>14</v>
      </c>
      <c r="P202" s="4">
        <v>4018</v>
      </c>
      <c r="Q202" s="47">
        <v>6802</v>
      </c>
      <c r="R202" s="4">
        <v>94</v>
      </c>
      <c r="T202" s="4">
        <v>5333</v>
      </c>
      <c r="U202" s="4">
        <v>1375</v>
      </c>
      <c r="V202" s="47">
        <v>605168</v>
      </c>
      <c r="W202" s="4">
        <v>247</v>
      </c>
      <c r="X202" s="4">
        <v>21411</v>
      </c>
      <c r="Y202" s="4">
        <v>2311</v>
      </c>
      <c r="Z202" s="4">
        <v>581199</v>
      </c>
      <c r="AA202" s="48">
        <v>1340644</v>
      </c>
    </row>
    <row r="203" spans="1:27" ht="12.5" x14ac:dyDescent="0.25">
      <c r="A203" s="46">
        <v>44230</v>
      </c>
      <c r="B203" s="47">
        <v>16892</v>
      </c>
      <c r="E203" s="4">
        <v>1</v>
      </c>
      <c r="F203" s="4">
        <v>16891</v>
      </c>
      <c r="G203" s="47">
        <v>710128</v>
      </c>
      <c r="I203" s="4">
        <v>25162</v>
      </c>
      <c r="K203" s="4">
        <v>684966</v>
      </c>
      <c r="L203" s="47">
        <v>4036</v>
      </c>
      <c r="N203" s="4">
        <v>13</v>
      </c>
      <c r="P203" s="4">
        <v>4023</v>
      </c>
      <c r="Q203" s="47">
        <v>6818</v>
      </c>
      <c r="R203" s="4">
        <v>95</v>
      </c>
      <c r="T203" s="4">
        <v>5333</v>
      </c>
      <c r="U203" s="4">
        <v>1390</v>
      </c>
      <c r="V203" s="47">
        <v>607178</v>
      </c>
      <c r="W203" s="4">
        <v>261</v>
      </c>
      <c r="X203" s="4">
        <v>19139</v>
      </c>
      <c r="Y203" s="4">
        <v>2311</v>
      </c>
      <c r="Z203" s="4">
        <v>585467</v>
      </c>
      <c r="AA203" s="48">
        <v>1345052</v>
      </c>
    </row>
    <row r="204" spans="1:27" ht="12.5" x14ac:dyDescent="0.25">
      <c r="A204" s="46">
        <v>44231</v>
      </c>
      <c r="B204" s="47">
        <v>17014</v>
      </c>
      <c r="E204" s="4">
        <v>1</v>
      </c>
      <c r="F204" s="4">
        <v>17013</v>
      </c>
      <c r="G204" s="47">
        <v>725175</v>
      </c>
      <c r="I204" s="4">
        <v>31716</v>
      </c>
      <c r="K204" s="4">
        <v>693459</v>
      </c>
      <c r="L204" s="47">
        <v>4056</v>
      </c>
      <c r="N204" s="4">
        <v>6</v>
      </c>
      <c r="P204" s="4">
        <v>4050</v>
      </c>
      <c r="Q204" s="47">
        <v>6844</v>
      </c>
      <c r="R204" s="4">
        <v>93</v>
      </c>
      <c r="T204" s="4">
        <v>5333</v>
      </c>
      <c r="U204" s="4">
        <v>1418</v>
      </c>
      <c r="V204" s="47">
        <v>615688</v>
      </c>
      <c r="W204" s="4">
        <v>272</v>
      </c>
      <c r="X204" s="4">
        <v>22619</v>
      </c>
      <c r="Y204" s="4">
        <v>2311</v>
      </c>
      <c r="Z204" s="4">
        <v>590486</v>
      </c>
      <c r="AA204" s="48">
        <v>1368777</v>
      </c>
    </row>
    <row r="205" spans="1:27" ht="12.5" x14ac:dyDescent="0.25">
      <c r="A205" s="46">
        <v>44232</v>
      </c>
      <c r="B205" s="47">
        <v>17015</v>
      </c>
      <c r="E205" s="4">
        <v>1</v>
      </c>
      <c r="F205" s="4">
        <v>17014</v>
      </c>
      <c r="G205" s="47">
        <v>732637</v>
      </c>
      <c r="I205" s="4">
        <v>27690</v>
      </c>
      <c r="K205" s="4">
        <v>704947</v>
      </c>
      <c r="L205" s="47">
        <v>4062</v>
      </c>
      <c r="N205" s="4">
        <v>4</v>
      </c>
      <c r="P205" s="4">
        <v>4058</v>
      </c>
      <c r="Q205" s="47">
        <v>6878</v>
      </c>
      <c r="R205" s="4">
        <v>75</v>
      </c>
      <c r="T205" s="4">
        <v>5333</v>
      </c>
      <c r="U205" s="4">
        <v>1470</v>
      </c>
      <c r="V205" s="47">
        <v>620627</v>
      </c>
      <c r="W205" s="4">
        <v>248</v>
      </c>
      <c r="X205" s="4">
        <v>19548</v>
      </c>
      <c r="Y205" s="4">
        <v>2311</v>
      </c>
      <c r="Z205" s="4">
        <v>598520</v>
      </c>
      <c r="AA205" s="48">
        <v>1381219</v>
      </c>
    </row>
    <row r="206" spans="1:27" ht="12.5" x14ac:dyDescent="0.25">
      <c r="A206" s="46">
        <v>44233</v>
      </c>
      <c r="B206" s="47">
        <v>17077</v>
      </c>
      <c r="E206" s="4">
        <v>1</v>
      </c>
      <c r="F206" s="4">
        <v>17076</v>
      </c>
      <c r="G206" s="47">
        <v>734059</v>
      </c>
      <c r="I206" s="4">
        <v>28958</v>
      </c>
      <c r="K206" s="4">
        <v>705101</v>
      </c>
      <c r="L206" s="47">
        <v>4067</v>
      </c>
      <c r="N206" s="4">
        <v>7</v>
      </c>
      <c r="P206" s="4">
        <v>4060</v>
      </c>
      <c r="Q206" s="47">
        <v>6890</v>
      </c>
      <c r="R206" s="4">
        <v>84</v>
      </c>
      <c r="T206" s="4">
        <v>5333</v>
      </c>
      <c r="U206" s="4">
        <v>1473</v>
      </c>
      <c r="V206" s="47">
        <v>622686</v>
      </c>
      <c r="W206" s="4">
        <v>324</v>
      </c>
      <c r="X206" s="4">
        <v>21207</v>
      </c>
      <c r="Y206" s="4">
        <v>2311</v>
      </c>
      <c r="Z206" s="4">
        <v>598844</v>
      </c>
      <c r="AA206" s="48">
        <v>1384779</v>
      </c>
    </row>
    <row r="207" spans="1:27" ht="12.5" x14ac:dyDescent="0.25">
      <c r="A207" s="46">
        <v>44234</v>
      </c>
      <c r="B207" s="47">
        <v>17132</v>
      </c>
      <c r="E207" s="4">
        <v>1</v>
      </c>
      <c r="F207" s="4">
        <v>17131</v>
      </c>
      <c r="G207" s="47">
        <v>749947</v>
      </c>
      <c r="I207" s="4">
        <v>34706</v>
      </c>
      <c r="K207" s="4">
        <v>715241</v>
      </c>
      <c r="L207" s="47">
        <v>4077</v>
      </c>
      <c r="N207" s="4">
        <v>7</v>
      </c>
      <c r="P207" s="4">
        <v>4070</v>
      </c>
      <c r="Q207" s="47">
        <v>6943</v>
      </c>
      <c r="R207" s="4">
        <v>75</v>
      </c>
      <c r="T207" s="4">
        <v>5333</v>
      </c>
      <c r="U207" s="4">
        <v>1535</v>
      </c>
      <c r="V207" s="47">
        <v>631934</v>
      </c>
      <c r="W207" s="4">
        <v>301</v>
      </c>
      <c r="X207" s="4">
        <v>23323</v>
      </c>
      <c r="Y207" s="4">
        <v>2311</v>
      </c>
      <c r="Z207" s="4">
        <v>605999</v>
      </c>
      <c r="AA207" s="48">
        <v>1410033</v>
      </c>
    </row>
    <row r="208" spans="1:27" ht="12.5" x14ac:dyDescent="0.25">
      <c r="A208" s="46">
        <v>44235</v>
      </c>
      <c r="B208" s="47">
        <v>17132</v>
      </c>
      <c r="E208" s="4">
        <v>1</v>
      </c>
      <c r="F208" s="4">
        <v>17131</v>
      </c>
      <c r="G208" s="47">
        <v>755591</v>
      </c>
      <c r="I208" s="4">
        <v>35516</v>
      </c>
      <c r="K208" s="4">
        <v>720075</v>
      </c>
      <c r="L208" s="47">
        <v>4077</v>
      </c>
      <c r="N208" s="4">
        <v>6</v>
      </c>
      <c r="P208" s="4">
        <v>4071</v>
      </c>
      <c r="Q208" s="47">
        <v>6943</v>
      </c>
      <c r="R208" s="4">
        <v>59</v>
      </c>
      <c r="T208" s="4">
        <v>5333</v>
      </c>
      <c r="U208" s="4">
        <v>1551</v>
      </c>
      <c r="V208" s="47">
        <v>634751</v>
      </c>
      <c r="W208" s="4">
        <v>262</v>
      </c>
      <c r="X208" s="4">
        <v>22964</v>
      </c>
      <c r="Y208" s="4">
        <v>2311</v>
      </c>
      <c r="Z208" s="4">
        <v>609214</v>
      </c>
      <c r="AA208" s="48">
        <v>1418494</v>
      </c>
    </row>
    <row r="209" spans="1:27" ht="12.5" x14ac:dyDescent="0.25">
      <c r="A209" s="46">
        <v>44236</v>
      </c>
      <c r="B209" s="47">
        <v>17181</v>
      </c>
      <c r="E209" s="4">
        <v>1</v>
      </c>
      <c r="F209" s="4">
        <v>17180</v>
      </c>
      <c r="G209" s="47">
        <v>758670</v>
      </c>
      <c r="I209" s="4">
        <v>35782</v>
      </c>
      <c r="K209" s="4">
        <v>722888</v>
      </c>
      <c r="L209" s="47">
        <v>4098</v>
      </c>
      <c r="N209" s="4">
        <v>6</v>
      </c>
      <c r="P209" s="4">
        <v>4092</v>
      </c>
      <c r="Q209" s="47">
        <v>6990</v>
      </c>
      <c r="R209" s="4">
        <v>72</v>
      </c>
      <c r="T209" s="4">
        <v>5333</v>
      </c>
      <c r="U209" s="4">
        <v>1558</v>
      </c>
      <c r="V209" s="47">
        <v>637597</v>
      </c>
      <c r="W209" s="4">
        <v>254</v>
      </c>
      <c r="X209" s="4">
        <v>23564</v>
      </c>
      <c r="Y209" s="4">
        <v>2311</v>
      </c>
      <c r="Z209" s="4">
        <v>611468</v>
      </c>
      <c r="AA209" s="48">
        <v>1424536</v>
      </c>
    </row>
    <row r="210" spans="1:27" ht="12.5" x14ac:dyDescent="0.25">
      <c r="A210" s="46">
        <v>44237</v>
      </c>
      <c r="B210" s="47">
        <v>17184</v>
      </c>
      <c r="E210" s="4">
        <v>1</v>
      </c>
      <c r="F210" s="4">
        <v>17183</v>
      </c>
      <c r="G210" s="47">
        <v>759606</v>
      </c>
      <c r="I210" s="4">
        <v>33485</v>
      </c>
      <c r="K210" s="4">
        <v>726121</v>
      </c>
      <c r="L210" s="47">
        <v>4106</v>
      </c>
      <c r="N210" s="4">
        <v>9</v>
      </c>
      <c r="P210" s="4">
        <v>4097</v>
      </c>
      <c r="Q210" s="47">
        <v>7026</v>
      </c>
      <c r="R210" s="4">
        <v>92</v>
      </c>
      <c r="T210" s="4">
        <v>5333</v>
      </c>
      <c r="U210" s="4">
        <v>1601</v>
      </c>
      <c r="V210" s="47">
        <v>638802</v>
      </c>
      <c r="W210" s="4">
        <v>275</v>
      </c>
      <c r="X210" s="4">
        <v>22594</v>
      </c>
      <c r="Y210" s="4">
        <v>2311</v>
      </c>
      <c r="Z210" s="4">
        <v>613622</v>
      </c>
      <c r="AA210" s="48">
        <v>1426724</v>
      </c>
    </row>
    <row r="211" spans="1:27" ht="12.5" x14ac:dyDescent="0.25">
      <c r="A211" s="46">
        <v>44238</v>
      </c>
      <c r="B211" s="47">
        <v>17303</v>
      </c>
      <c r="E211" s="4">
        <v>1</v>
      </c>
      <c r="F211" s="4">
        <v>17302</v>
      </c>
      <c r="G211" s="47">
        <v>763234</v>
      </c>
      <c r="I211" s="4">
        <v>31005</v>
      </c>
      <c r="K211" s="4">
        <v>732229</v>
      </c>
      <c r="L211" s="47">
        <v>4142</v>
      </c>
      <c r="N211" s="4">
        <v>15</v>
      </c>
      <c r="P211" s="4">
        <v>4127</v>
      </c>
      <c r="Q211" s="47">
        <v>7101</v>
      </c>
      <c r="R211" s="4">
        <v>82</v>
      </c>
      <c r="T211" s="4">
        <v>5333</v>
      </c>
      <c r="U211" s="4">
        <v>1686</v>
      </c>
      <c r="V211" s="47">
        <v>641295</v>
      </c>
      <c r="W211" s="4">
        <v>309</v>
      </c>
      <c r="X211" s="4">
        <v>21800</v>
      </c>
      <c r="Y211" s="4">
        <v>2311</v>
      </c>
      <c r="Z211" s="4">
        <v>616875</v>
      </c>
      <c r="AA211" s="48">
        <v>1433075</v>
      </c>
    </row>
    <row r="212" spans="1:27" ht="12.5" x14ac:dyDescent="0.25">
      <c r="A212" s="46">
        <v>44239</v>
      </c>
      <c r="B212" s="47">
        <v>17395</v>
      </c>
      <c r="E212" s="4">
        <v>1</v>
      </c>
      <c r="F212" s="4">
        <v>17394</v>
      </c>
      <c r="G212" s="47">
        <v>780436</v>
      </c>
      <c r="I212" s="4">
        <v>33193</v>
      </c>
      <c r="K212" s="4">
        <v>747243</v>
      </c>
      <c r="L212" s="47">
        <v>4161</v>
      </c>
      <c r="N212" s="4">
        <v>14</v>
      </c>
      <c r="P212" s="4">
        <v>4147</v>
      </c>
      <c r="Q212" s="47">
        <v>7157</v>
      </c>
      <c r="R212" s="4">
        <v>96</v>
      </c>
      <c r="T212" s="4">
        <v>5333</v>
      </c>
      <c r="U212" s="4">
        <v>1728</v>
      </c>
      <c r="V212" s="47">
        <v>650431</v>
      </c>
      <c r="W212" s="4">
        <v>295</v>
      </c>
      <c r="X212" s="4">
        <v>24917</v>
      </c>
      <c r="Y212" s="4">
        <v>2311</v>
      </c>
      <c r="Z212" s="4">
        <v>622908</v>
      </c>
      <c r="AA212" s="48">
        <v>1459580</v>
      </c>
    </row>
    <row r="213" spans="1:27" ht="12.5" x14ac:dyDescent="0.25">
      <c r="A213" s="46">
        <v>44240</v>
      </c>
      <c r="B213" s="47">
        <v>17404</v>
      </c>
      <c r="E213" s="4">
        <v>1</v>
      </c>
      <c r="F213" s="4">
        <v>17403</v>
      </c>
      <c r="G213" s="47">
        <v>795979</v>
      </c>
      <c r="I213" s="4">
        <v>44171</v>
      </c>
      <c r="K213" s="4">
        <v>751808</v>
      </c>
      <c r="L213" s="47">
        <v>4183</v>
      </c>
      <c r="N213" s="4">
        <v>16</v>
      </c>
      <c r="P213" s="4">
        <v>4167</v>
      </c>
      <c r="Q213" s="47">
        <v>7199</v>
      </c>
      <c r="R213" s="4">
        <v>112</v>
      </c>
      <c r="T213" s="4">
        <v>5333</v>
      </c>
      <c r="U213" s="4">
        <v>1754</v>
      </c>
      <c r="V213" s="47">
        <v>659577</v>
      </c>
      <c r="W213" s="4">
        <v>325</v>
      </c>
      <c r="X213" s="4">
        <v>31765</v>
      </c>
      <c r="Y213" s="4">
        <v>2311</v>
      </c>
      <c r="Z213" s="4">
        <v>625176</v>
      </c>
      <c r="AA213" s="48">
        <v>1484342</v>
      </c>
    </row>
    <row r="214" spans="1:27" ht="12.5" x14ac:dyDescent="0.25">
      <c r="A214" s="46">
        <v>44241</v>
      </c>
      <c r="B214" s="47">
        <v>17406</v>
      </c>
      <c r="E214" s="4">
        <v>1</v>
      </c>
      <c r="F214" s="4">
        <v>17405</v>
      </c>
      <c r="G214" s="47">
        <v>803017</v>
      </c>
      <c r="I214" s="4">
        <v>48810</v>
      </c>
      <c r="K214" s="4">
        <v>754207</v>
      </c>
      <c r="L214" s="47">
        <v>4185</v>
      </c>
      <c r="N214" s="4">
        <v>16</v>
      </c>
      <c r="P214" s="4">
        <v>4169</v>
      </c>
      <c r="Q214" s="47">
        <v>7200</v>
      </c>
      <c r="R214" s="4">
        <v>112</v>
      </c>
      <c r="T214" s="4">
        <v>5333</v>
      </c>
      <c r="U214" s="4">
        <v>1755</v>
      </c>
      <c r="V214" s="47">
        <v>663417</v>
      </c>
      <c r="W214" s="4">
        <v>322</v>
      </c>
      <c r="X214" s="4">
        <v>34482</v>
      </c>
      <c r="Y214" s="4">
        <v>2311</v>
      </c>
      <c r="Z214" s="4">
        <v>626302</v>
      </c>
      <c r="AA214" s="48">
        <v>1495225</v>
      </c>
    </row>
    <row r="215" spans="1:27" ht="12.5" x14ac:dyDescent="0.25">
      <c r="A215" s="46">
        <v>44242</v>
      </c>
      <c r="B215" s="47">
        <v>17423</v>
      </c>
      <c r="E215" s="4">
        <v>1</v>
      </c>
      <c r="F215" s="4">
        <v>17422</v>
      </c>
      <c r="G215" s="47">
        <v>807116</v>
      </c>
      <c r="I215" s="4">
        <v>46155</v>
      </c>
      <c r="K215" s="4">
        <v>760961</v>
      </c>
      <c r="L215" s="47">
        <v>4203</v>
      </c>
      <c r="N215" s="4">
        <v>16</v>
      </c>
      <c r="P215" s="4">
        <v>4187</v>
      </c>
      <c r="Q215" s="47">
        <v>7208</v>
      </c>
      <c r="R215" s="4">
        <v>101</v>
      </c>
      <c r="T215" s="4">
        <v>5333</v>
      </c>
      <c r="U215" s="4">
        <v>1774</v>
      </c>
      <c r="V215" s="47">
        <v>666550</v>
      </c>
      <c r="W215" s="4">
        <v>285</v>
      </c>
      <c r="X215" s="4">
        <v>32956</v>
      </c>
      <c r="Y215" s="4">
        <v>2311</v>
      </c>
      <c r="Z215" s="4">
        <v>630998</v>
      </c>
      <c r="AA215" s="48">
        <v>1502500</v>
      </c>
    </row>
    <row r="216" spans="1:27" ht="12.5" x14ac:dyDescent="0.25">
      <c r="A216" s="46">
        <v>44243</v>
      </c>
      <c r="B216" s="47">
        <v>17423</v>
      </c>
      <c r="E216" s="4">
        <v>1</v>
      </c>
      <c r="F216" s="4">
        <v>17422</v>
      </c>
      <c r="G216" s="47">
        <v>810884</v>
      </c>
      <c r="I216" s="4">
        <v>41789</v>
      </c>
      <c r="K216" s="4">
        <v>769095</v>
      </c>
      <c r="L216" s="47">
        <v>4221</v>
      </c>
      <c r="N216" s="4">
        <v>13</v>
      </c>
      <c r="P216" s="4">
        <v>4208</v>
      </c>
      <c r="Q216" s="47">
        <v>7211</v>
      </c>
      <c r="R216" s="4">
        <v>97</v>
      </c>
      <c r="T216" s="4">
        <v>5333</v>
      </c>
      <c r="U216" s="4">
        <v>1781</v>
      </c>
      <c r="V216" s="47">
        <v>669133</v>
      </c>
      <c r="W216" s="4">
        <v>269</v>
      </c>
      <c r="X216" s="4">
        <v>29871</v>
      </c>
      <c r="Y216" s="4">
        <v>2311</v>
      </c>
      <c r="Z216" s="4">
        <v>636682</v>
      </c>
      <c r="AA216" s="48">
        <v>1508872</v>
      </c>
    </row>
    <row r="217" spans="1:27" ht="12.5" x14ac:dyDescent="0.25">
      <c r="A217" s="46">
        <v>44244</v>
      </c>
      <c r="B217" s="47">
        <v>17424</v>
      </c>
      <c r="E217" s="4">
        <v>1</v>
      </c>
      <c r="F217" s="4">
        <v>17423</v>
      </c>
      <c r="G217" s="47">
        <v>815975</v>
      </c>
      <c r="I217" s="4">
        <v>39454</v>
      </c>
      <c r="K217" s="4">
        <v>776521</v>
      </c>
      <c r="L217" s="47">
        <v>4235</v>
      </c>
      <c r="N217" s="4">
        <v>9</v>
      </c>
      <c r="P217" s="4">
        <v>4226</v>
      </c>
      <c r="Q217" s="47">
        <v>7256</v>
      </c>
      <c r="R217" s="4">
        <v>93</v>
      </c>
      <c r="T217" s="4">
        <v>5333</v>
      </c>
      <c r="U217" s="4">
        <v>1830</v>
      </c>
      <c r="V217" s="47">
        <v>672830</v>
      </c>
      <c r="W217" s="4">
        <v>266</v>
      </c>
      <c r="X217" s="4">
        <v>28436</v>
      </c>
      <c r="Y217" s="4">
        <v>2311</v>
      </c>
      <c r="Z217" s="4">
        <v>641817</v>
      </c>
      <c r="AA217" s="48">
        <v>1517720</v>
      </c>
    </row>
    <row r="218" spans="1:27" ht="12.5" x14ac:dyDescent="0.25">
      <c r="A218" s="46">
        <v>44245</v>
      </c>
      <c r="B218" s="47">
        <v>17424</v>
      </c>
      <c r="E218" s="4">
        <v>1</v>
      </c>
      <c r="F218" s="4">
        <v>17423</v>
      </c>
      <c r="G218" s="47">
        <v>818296</v>
      </c>
      <c r="I218" s="4">
        <v>34898</v>
      </c>
      <c r="K218" s="4">
        <v>783398</v>
      </c>
      <c r="L218" s="47">
        <v>4259</v>
      </c>
      <c r="N218" s="4">
        <v>9</v>
      </c>
      <c r="P218" s="4">
        <v>4250</v>
      </c>
      <c r="Q218" s="47">
        <v>7289</v>
      </c>
      <c r="R218" s="4">
        <v>99</v>
      </c>
      <c r="T218" s="4">
        <v>5333</v>
      </c>
      <c r="U218" s="4">
        <v>1857</v>
      </c>
      <c r="V218" s="47">
        <v>675949</v>
      </c>
      <c r="W218" s="4">
        <v>293</v>
      </c>
      <c r="X218" s="4">
        <v>26560</v>
      </c>
      <c r="Y218" s="4">
        <v>2311</v>
      </c>
      <c r="Z218" s="4">
        <v>646785</v>
      </c>
      <c r="AA218" s="48">
        <v>1523217</v>
      </c>
    </row>
    <row r="219" spans="1:27" ht="12.5" x14ac:dyDescent="0.25">
      <c r="A219" s="46">
        <v>44246</v>
      </c>
      <c r="B219" s="47">
        <v>17424</v>
      </c>
      <c r="E219" s="4">
        <v>1</v>
      </c>
      <c r="F219" s="4">
        <v>17423</v>
      </c>
      <c r="G219" s="47">
        <v>822499</v>
      </c>
      <c r="I219" s="4">
        <v>31026</v>
      </c>
      <c r="K219" s="4">
        <v>791473</v>
      </c>
      <c r="L219" s="47">
        <v>4283</v>
      </c>
      <c r="N219" s="4">
        <v>9</v>
      </c>
      <c r="P219" s="4">
        <v>4274</v>
      </c>
      <c r="Q219" s="47">
        <v>7326</v>
      </c>
      <c r="R219" s="4">
        <v>102</v>
      </c>
      <c r="T219" s="4">
        <v>5333</v>
      </c>
      <c r="U219" s="4">
        <v>1891</v>
      </c>
      <c r="V219" s="47">
        <v>679414</v>
      </c>
      <c r="W219" s="4">
        <v>299</v>
      </c>
      <c r="X219" s="4">
        <v>24728</v>
      </c>
      <c r="Y219" s="4">
        <v>2311</v>
      </c>
      <c r="Z219" s="4">
        <v>652076</v>
      </c>
      <c r="AA219" s="48">
        <v>1530946</v>
      </c>
    </row>
    <row r="220" spans="1:27" ht="12.5" x14ac:dyDescent="0.25">
      <c r="A220" s="46">
        <v>44247</v>
      </c>
      <c r="B220" s="47">
        <v>17424</v>
      </c>
      <c r="E220" s="4">
        <v>1</v>
      </c>
      <c r="F220" s="4">
        <v>17423</v>
      </c>
      <c r="G220" s="47">
        <v>823882</v>
      </c>
      <c r="I220" s="4">
        <v>27460</v>
      </c>
      <c r="K220" s="4">
        <v>796422</v>
      </c>
      <c r="L220" s="47">
        <v>4312</v>
      </c>
      <c r="N220" s="4">
        <v>9</v>
      </c>
      <c r="P220" s="4">
        <v>4303</v>
      </c>
      <c r="Q220" s="47">
        <v>7346</v>
      </c>
      <c r="R220" s="4">
        <v>107</v>
      </c>
      <c r="T220" s="4">
        <v>5333</v>
      </c>
      <c r="U220" s="4">
        <v>1906</v>
      </c>
      <c r="V220" s="47">
        <v>682091</v>
      </c>
      <c r="W220" s="4">
        <v>293</v>
      </c>
      <c r="X220" s="4">
        <v>22479</v>
      </c>
      <c r="Y220" s="4">
        <v>2311</v>
      </c>
      <c r="Z220" s="4">
        <v>657008</v>
      </c>
      <c r="AA220" s="48">
        <v>1535055</v>
      </c>
    </row>
    <row r="221" spans="1:27" ht="12.5" x14ac:dyDescent="0.25">
      <c r="A221" s="46">
        <v>44248</v>
      </c>
      <c r="B221" s="47">
        <v>17424</v>
      </c>
      <c r="E221" s="4">
        <v>1</v>
      </c>
      <c r="F221" s="4">
        <v>17423</v>
      </c>
      <c r="G221" s="47">
        <v>838656</v>
      </c>
      <c r="I221" s="4">
        <v>35838</v>
      </c>
      <c r="K221" s="4">
        <v>802818</v>
      </c>
      <c r="L221" s="47">
        <v>4320</v>
      </c>
      <c r="N221" s="4">
        <v>9</v>
      </c>
      <c r="P221" s="4">
        <v>4311</v>
      </c>
      <c r="Q221" s="47">
        <v>7359</v>
      </c>
      <c r="R221" s="4">
        <v>105</v>
      </c>
      <c r="T221" s="4">
        <v>5333</v>
      </c>
      <c r="U221" s="4">
        <v>1921</v>
      </c>
      <c r="V221" s="47">
        <v>690193</v>
      </c>
      <c r="W221" s="4">
        <v>288</v>
      </c>
      <c r="X221" s="4">
        <v>26677</v>
      </c>
      <c r="Y221" s="4">
        <v>2311</v>
      </c>
      <c r="Z221" s="4">
        <v>660917</v>
      </c>
      <c r="AA221" s="48">
        <v>1557952</v>
      </c>
    </row>
    <row r="222" spans="1:27" ht="12.5" x14ac:dyDescent="0.25">
      <c r="A222" s="46">
        <v>44249</v>
      </c>
      <c r="B222" s="47">
        <v>17424</v>
      </c>
      <c r="E222" s="4">
        <v>1</v>
      </c>
      <c r="F222" s="4">
        <v>17423</v>
      </c>
      <c r="G222" s="47">
        <v>844335</v>
      </c>
      <c r="I222" s="4">
        <v>32968</v>
      </c>
      <c r="K222" s="4">
        <v>811367</v>
      </c>
      <c r="L222" s="47">
        <v>4342</v>
      </c>
      <c r="N222" s="4">
        <v>8</v>
      </c>
      <c r="P222" s="4">
        <v>4334</v>
      </c>
      <c r="Q222" s="47">
        <v>7373</v>
      </c>
      <c r="R222" s="4">
        <v>98</v>
      </c>
      <c r="T222" s="4">
        <v>5333</v>
      </c>
      <c r="U222" s="4">
        <v>1942</v>
      </c>
      <c r="V222" s="47">
        <v>693445</v>
      </c>
      <c r="W222" s="4">
        <v>267</v>
      </c>
      <c r="X222" s="4">
        <v>25160</v>
      </c>
      <c r="Y222" s="4">
        <v>2311</v>
      </c>
      <c r="Z222" s="4">
        <v>665707</v>
      </c>
      <c r="AA222" s="48">
        <v>1566919</v>
      </c>
    </row>
    <row r="223" spans="1:27" ht="12.5" x14ac:dyDescent="0.25">
      <c r="A223" s="46">
        <v>44250</v>
      </c>
      <c r="B223" s="47">
        <v>17424</v>
      </c>
      <c r="E223" s="4">
        <v>1</v>
      </c>
      <c r="F223" s="4">
        <v>17423</v>
      </c>
      <c r="G223" s="47">
        <v>847546</v>
      </c>
      <c r="I223" s="4">
        <v>30697</v>
      </c>
      <c r="K223" s="4">
        <v>816849</v>
      </c>
      <c r="L223" s="47">
        <v>4342</v>
      </c>
      <c r="N223" s="4">
        <v>3</v>
      </c>
      <c r="P223" s="4">
        <v>4339</v>
      </c>
      <c r="Q223" s="47">
        <v>7375</v>
      </c>
      <c r="R223" s="4">
        <v>87</v>
      </c>
      <c r="T223" s="4">
        <v>5333</v>
      </c>
      <c r="U223" s="4">
        <v>1955</v>
      </c>
      <c r="V223" s="47">
        <v>695717</v>
      </c>
      <c r="W223" s="4">
        <v>244</v>
      </c>
      <c r="X223" s="4">
        <v>23316</v>
      </c>
      <c r="Y223" s="4">
        <v>2311</v>
      </c>
      <c r="Z223" s="4">
        <v>669846</v>
      </c>
      <c r="AA223" s="48">
        <v>1572404</v>
      </c>
    </row>
    <row r="224" spans="1:27" ht="12.5" x14ac:dyDescent="0.25">
      <c r="A224" s="46">
        <v>44251</v>
      </c>
      <c r="B224" s="47">
        <v>17427</v>
      </c>
      <c r="E224" s="4">
        <v>1</v>
      </c>
      <c r="F224" s="4">
        <v>17426</v>
      </c>
      <c r="G224" s="47">
        <v>853526</v>
      </c>
      <c r="I224" s="4">
        <v>30058</v>
      </c>
      <c r="K224" s="4">
        <v>823468</v>
      </c>
      <c r="L224" s="47">
        <v>4367</v>
      </c>
      <c r="N224" s="4">
        <v>3</v>
      </c>
      <c r="P224" s="4">
        <v>4364</v>
      </c>
      <c r="Q224" s="47">
        <v>7392</v>
      </c>
      <c r="R224" s="4">
        <v>80</v>
      </c>
      <c r="T224" s="4">
        <v>5333</v>
      </c>
      <c r="U224" s="4">
        <v>1979</v>
      </c>
      <c r="V224" s="47">
        <v>700314</v>
      </c>
      <c r="W224" s="4">
        <v>219</v>
      </c>
      <c r="X224" s="4">
        <v>23354</v>
      </c>
      <c r="Y224" s="4">
        <v>2311</v>
      </c>
      <c r="Z224" s="4">
        <v>674430</v>
      </c>
      <c r="AA224" s="48">
        <v>1583026</v>
      </c>
    </row>
    <row r="225" spans="1:27" ht="12.5" x14ac:dyDescent="0.25">
      <c r="A225" s="46">
        <v>44252</v>
      </c>
      <c r="B225" s="47">
        <v>17431</v>
      </c>
      <c r="E225" s="4">
        <v>1</v>
      </c>
      <c r="F225" s="4">
        <v>17430</v>
      </c>
      <c r="G225" s="47">
        <v>855359</v>
      </c>
      <c r="I225" s="4">
        <v>27501</v>
      </c>
      <c r="K225" s="4">
        <v>827858</v>
      </c>
      <c r="L225" s="47">
        <v>4378</v>
      </c>
      <c r="N225" s="4">
        <v>2</v>
      </c>
      <c r="P225" s="4">
        <v>4376</v>
      </c>
      <c r="Q225" s="47">
        <v>7415</v>
      </c>
      <c r="R225" s="4">
        <v>80</v>
      </c>
      <c r="T225" s="4">
        <v>5333</v>
      </c>
      <c r="U225" s="4">
        <v>2002</v>
      </c>
      <c r="V225" s="47">
        <v>702398</v>
      </c>
      <c r="W225" s="4">
        <v>202</v>
      </c>
      <c r="X225" s="4">
        <v>21526</v>
      </c>
      <c r="Y225" s="4">
        <v>2311</v>
      </c>
      <c r="Z225" s="4">
        <v>678359</v>
      </c>
      <c r="AA225" s="48">
        <v>1586981</v>
      </c>
    </row>
    <row r="226" spans="1:27" ht="12.5" x14ac:dyDescent="0.25">
      <c r="A226" s="46">
        <v>44253</v>
      </c>
      <c r="B226" s="47">
        <v>17451</v>
      </c>
      <c r="E226" s="4">
        <v>1</v>
      </c>
      <c r="F226" s="4">
        <v>17450</v>
      </c>
      <c r="G226" s="47">
        <v>870125</v>
      </c>
      <c r="I226" s="4">
        <v>36176</v>
      </c>
      <c r="K226" s="4">
        <v>833949</v>
      </c>
      <c r="L226" s="47">
        <v>4416</v>
      </c>
      <c r="N226" s="4">
        <v>2</v>
      </c>
      <c r="P226" s="4">
        <v>4414</v>
      </c>
      <c r="Q226" s="47">
        <v>7440</v>
      </c>
      <c r="R226" s="4">
        <v>87</v>
      </c>
      <c r="T226" s="4">
        <v>5333</v>
      </c>
      <c r="U226" s="4">
        <v>2020</v>
      </c>
      <c r="V226" s="47">
        <v>711023</v>
      </c>
      <c r="W226" s="4">
        <v>201</v>
      </c>
      <c r="X226" s="4">
        <v>26375</v>
      </c>
      <c r="Y226" s="4">
        <v>2311</v>
      </c>
      <c r="Z226" s="4">
        <v>682136</v>
      </c>
      <c r="AA226" s="48">
        <v>1610455</v>
      </c>
    </row>
    <row r="227" spans="1:27" ht="12.5" x14ac:dyDescent="0.25">
      <c r="A227" s="46">
        <v>44254</v>
      </c>
      <c r="B227" s="47">
        <v>17454</v>
      </c>
      <c r="E227" s="4">
        <v>1</v>
      </c>
      <c r="F227" s="4">
        <v>17453</v>
      </c>
      <c r="G227" s="47">
        <v>878966</v>
      </c>
      <c r="I227" s="4">
        <v>40016</v>
      </c>
      <c r="K227" s="4">
        <v>838950</v>
      </c>
      <c r="L227" s="47">
        <v>4439</v>
      </c>
      <c r="N227" s="4">
        <v>3</v>
      </c>
      <c r="P227" s="4">
        <v>4436</v>
      </c>
      <c r="Q227" s="47">
        <v>7464</v>
      </c>
      <c r="R227" s="4">
        <v>95</v>
      </c>
      <c r="T227" s="4">
        <v>5333</v>
      </c>
      <c r="U227" s="4">
        <v>2036</v>
      </c>
      <c r="V227" s="47">
        <v>714770</v>
      </c>
      <c r="W227" s="4">
        <v>216</v>
      </c>
      <c r="X227" s="4">
        <v>27044</v>
      </c>
      <c r="Y227" s="4">
        <v>2311</v>
      </c>
      <c r="Z227" s="4">
        <v>685199</v>
      </c>
      <c r="AA227" s="48">
        <v>1623093</v>
      </c>
    </row>
    <row r="228" spans="1:27" ht="12.5" x14ac:dyDescent="0.25">
      <c r="A228" s="46">
        <v>44255</v>
      </c>
      <c r="B228" s="47">
        <v>17463</v>
      </c>
      <c r="E228" s="4">
        <v>1</v>
      </c>
      <c r="F228" s="4">
        <v>17462</v>
      </c>
      <c r="G228" s="47">
        <v>886591</v>
      </c>
      <c r="I228" s="4">
        <v>44028</v>
      </c>
      <c r="K228" s="4">
        <v>842563</v>
      </c>
      <c r="L228" s="47">
        <v>4452</v>
      </c>
      <c r="N228" s="4">
        <v>3</v>
      </c>
      <c r="P228" s="4">
        <v>4449</v>
      </c>
      <c r="Q228" s="47">
        <v>7476</v>
      </c>
      <c r="R228" s="4">
        <v>95</v>
      </c>
      <c r="T228" s="4">
        <v>5333</v>
      </c>
      <c r="U228" s="4">
        <v>2048</v>
      </c>
      <c r="V228" s="47">
        <v>717950</v>
      </c>
      <c r="W228" s="4">
        <v>197</v>
      </c>
      <c r="X228" s="4">
        <v>28717</v>
      </c>
      <c r="Y228" s="4">
        <v>2311</v>
      </c>
      <c r="Z228" s="4">
        <v>686725</v>
      </c>
      <c r="AA228" s="48">
        <v>1633932</v>
      </c>
    </row>
    <row r="229" spans="1:27" ht="12.5" x14ac:dyDescent="0.25">
      <c r="A229" s="46">
        <v>44256</v>
      </c>
      <c r="B229" s="47">
        <v>17465</v>
      </c>
      <c r="E229" s="4">
        <v>1</v>
      </c>
      <c r="F229" s="4">
        <v>17464</v>
      </c>
      <c r="G229" s="47">
        <v>892380</v>
      </c>
      <c r="I229" s="4">
        <v>43016</v>
      </c>
      <c r="K229" s="4">
        <v>849364</v>
      </c>
      <c r="L229" s="47">
        <v>4486</v>
      </c>
      <c r="N229" s="4">
        <v>3</v>
      </c>
      <c r="P229" s="4">
        <v>4483</v>
      </c>
      <c r="Q229" s="47">
        <v>7489</v>
      </c>
      <c r="R229" s="4">
        <v>86</v>
      </c>
      <c r="T229" s="4">
        <v>5333</v>
      </c>
      <c r="U229" s="4">
        <v>2070</v>
      </c>
      <c r="V229" s="47">
        <v>719998</v>
      </c>
      <c r="W229" s="4">
        <v>175</v>
      </c>
      <c r="X229" s="4">
        <v>27536</v>
      </c>
      <c r="Y229" s="4">
        <v>2311</v>
      </c>
      <c r="Z229" s="4">
        <v>689976</v>
      </c>
      <c r="AA229" s="48">
        <v>1641818</v>
      </c>
    </row>
    <row r="230" spans="1:27" ht="12.5" x14ac:dyDescent="0.25">
      <c r="A230" s="46">
        <v>44257</v>
      </c>
      <c r="B230" s="47">
        <v>17469</v>
      </c>
      <c r="E230" s="4">
        <v>1</v>
      </c>
      <c r="F230" s="4">
        <v>17468</v>
      </c>
      <c r="G230" s="47">
        <v>893201</v>
      </c>
      <c r="I230" s="4">
        <v>39762</v>
      </c>
      <c r="K230" s="4">
        <v>853439</v>
      </c>
      <c r="L230" s="47">
        <v>4486</v>
      </c>
      <c r="N230" s="4">
        <v>2</v>
      </c>
      <c r="P230" s="4">
        <v>4484</v>
      </c>
      <c r="Q230" s="47">
        <v>7492</v>
      </c>
      <c r="R230" s="4">
        <v>74</v>
      </c>
      <c r="T230" s="4">
        <v>5333</v>
      </c>
      <c r="U230" s="4">
        <v>2085</v>
      </c>
      <c r="V230" s="47">
        <v>721613</v>
      </c>
      <c r="W230" s="4">
        <v>165</v>
      </c>
      <c r="X230" s="4">
        <v>25068</v>
      </c>
      <c r="Y230" s="4">
        <v>2311</v>
      </c>
      <c r="Z230" s="4">
        <v>694069</v>
      </c>
      <c r="AA230" s="48">
        <v>1644261</v>
      </c>
    </row>
    <row r="231" spans="1:27" ht="12.5" x14ac:dyDescent="0.25">
      <c r="A231" s="46">
        <v>44258</v>
      </c>
      <c r="B231" s="47">
        <v>17469</v>
      </c>
      <c r="E231" s="4">
        <v>1</v>
      </c>
      <c r="F231" s="4">
        <v>17468</v>
      </c>
      <c r="G231" s="47">
        <v>895034</v>
      </c>
      <c r="I231" s="4">
        <v>36067</v>
      </c>
      <c r="K231" s="4">
        <v>858967</v>
      </c>
      <c r="L231" s="47">
        <v>4505</v>
      </c>
      <c r="N231" s="4">
        <v>2</v>
      </c>
      <c r="P231" s="4">
        <v>4503</v>
      </c>
      <c r="Q231" s="47">
        <v>7505</v>
      </c>
      <c r="R231" s="4">
        <v>72</v>
      </c>
      <c r="T231" s="4">
        <v>5333</v>
      </c>
      <c r="U231" s="4">
        <v>2100</v>
      </c>
      <c r="V231" s="47">
        <v>723389</v>
      </c>
      <c r="W231" s="4">
        <v>160</v>
      </c>
      <c r="X231" s="4">
        <v>22614</v>
      </c>
      <c r="Y231" s="4">
        <v>2311</v>
      </c>
      <c r="Z231" s="4">
        <v>698304</v>
      </c>
      <c r="AA231" s="48">
        <v>1647902</v>
      </c>
    </row>
    <row r="232" spans="1:27" ht="12.5" x14ac:dyDescent="0.25">
      <c r="A232" s="46">
        <v>44259</v>
      </c>
      <c r="B232" s="47">
        <v>17476</v>
      </c>
      <c r="E232" s="4">
        <v>1</v>
      </c>
      <c r="F232" s="4">
        <v>17475</v>
      </c>
      <c r="G232" s="47">
        <v>903633</v>
      </c>
      <c r="I232" s="4">
        <v>36710</v>
      </c>
      <c r="K232" s="4">
        <v>866923</v>
      </c>
      <c r="L232" s="47">
        <v>4546</v>
      </c>
      <c r="N232" s="4">
        <v>1</v>
      </c>
      <c r="P232" s="4">
        <v>4545</v>
      </c>
      <c r="Q232" s="47">
        <v>7537</v>
      </c>
      <c r="R232" s="4">
        <v>75</v>
      </c>
      <c r="T232" s="4">
        <v>5333</v>
      </c>
      <c r="U232" s="4">
        <v>2129</v>
      </c>
      <c r="V232" s="47">
        <v>727084</v>
      </c>
      <c r="W232" s="4">
        <v>172</v>
      </c>
      <c r="X232" s="4">
        <v>21702</v>
      </c>
      <c r="Y232" s="4">
        <v>2311</v>
      </c>
      <c r="Z232" s="4">
        <v>702899</v>
      </c>
      <c r="AA232" s="48">
        <v>1660276</v>
      </c>
    </row>
    <row r="233" spans="1:27" ht="12.5" x14ac:dyDescent="0.25">
      <c r="A233" s="46">
        <v>44260</v>
      </c>
      <c r="B233" s="47">
        <v>17476</v>
      </c>
      <c r="E233" s="4">
        <v>1</v>
      </c>
      <c r="F233" s="4">
        <v>17475</v>
      </c>
      <c r="G233" s="47">
        <v>917412</v>
      </c>
      <c r="I233" s="4">
        <v>40960</v>
      </c>
      <c r="K233" s="4">
        <v>876452</v>
      </c>
      <c r="L233" s="47">
        <v>4578</v>
      </c>
      <c r="N233" s="4">
        <v>7</v>
      </c>
      <c r="P233" s="4">
        <v>4571</v>
      </c>
      <c r="Q233" s="47">
        <v>7553</v>
      </c>
      <c r="R233" s="4">
        <v>74</v>
      </c>
      <c r="T233" s="4">
        <v>5333</v>
      </c>
      <c r="U233" s="4">
        <v>2146</v>
      </c>
      <c r="V233" s="47">
        <v>732002</v>
      </c>
      <c r="W233" s="4">
        <v>165</v>
      </c>
      <c r="X233" s="4">
        <v>21808</v>
      </c>
      <c r="Y233" s="4">
        <v>2311</v>
      </c>
      <c r="Z233" s="4">
        <v>707718</v>
      </c>
      <c r="AA233" s="48">
        <v>1679021</v>
      </c>
    </row>
    <row r="234" spans="1:27" ht="12.5" x14ac:dyDescent="0.25">
      <c r="A234" s="46">
        <v>44261</v>
      </c>
      <c r="B234" s="47">
        <v>17476</v>
      </c>
      <c r="E234" s="4">
        <v>1</v>
      </c>
      <c r="F234" s="4">
        <v>17475</v>
      </c>
      <c r="G234" s="47">
        <v>927216</v>
      </c>
      <c r="I234" s="4">
        <v>45316</v>
      </c>
      <c r="K234" s="4">
        <v>881900</v>
      </c>
      <c r="L234" s="47">
        <v>4641</v>
      </c>
      <c r="N234" s="4">
        <v>11</v>
      </c>
      <c r="P234" s="4">
        <v>4630</v>
      </c>
      <c r="Q234" s="47">
        <v>7575</v>
      </c>
      <c r="R234" s="4">
        <v>76</v>
      </c>
      <c r="T234" s="4">
        <v>5333</v>
      </c>
      <c r="U234" s="4">
        <v>2166</v>
      </c>
      <c r="V234" s="47">
        <v>736043</v>
      </c>
      <c r="W234" s="4">
        <v>165</v>
      </c>
      <c r="X234" s="4">
        <v>22876</v>
      </c>
      <c r="Y234" s="4">
        <v>2311</v>
      </c>
      <c r="Z234" s="4">
        <v>710691</v>
      </c>
      <c r="AA234" s="48">
        <v>1692951</v>
      </c>
    </row>
    <row r="235" spans="1:27" ht="12.5" x14ac:dyDescent="0.25">
      <c r="A235" s="46">
        <v>44262</v>
      </c>
      <c r="B235" s="47">
        <v>17479</v>
      </c>
      <c r="E235" s="4">
        <v>1</v>
      </c>
      <c r="F235" s="4">
        <v>17478</v>
      </c>
      <c r="G235" s="47">
        <v>935157</v>
      </c>
      <c r="I235" s="4">
        <v>42752</v>
      </c>
      <c r="K235" s="4">
        <v>892405</v>
      </c>
      <c r="L235" s="47">
        <v>4695</v>
      </c>
      <c r="N235" s="4">
        <v>12</v>
      </c>
      <c r="P235" s="4">
        <v>4683</v>
      </c>
      <c r="Q235" s="47">
        <v>7596</v>
      </c>
      <c r="R235" s="4">
        <v>68</v>
      </c>
      <c r="T235" s="4">
        <v>5333</v>
      </c>
      <c r="U235" s="4">
        <v>2195</v>
      </c>
      <c r="V235" s="47">
        <v>739274</v>
      </c>
      <c r="W235" s="4">
        <v>170</v>
      </c>
      <c r="X235" s="4">
        <v>20169</v>
      </c>
      <c r="Y235" s="4">
        <v>2311</v>
      </c>
      <c r="Z235" s="4">
        <v>716624</v>
      </c>
      <c r="AA235" s="48">
        <v>1704201</v>
      </c>
    </row>
    <row r="236" spans="1:27" ht="12.5" x14ac:dyDescent="0.25">
      <c r="A236" s="46">
        <v>44263</v>
      </c>
      <c r="B236" s="47">
        <v>17481</v>
      </c>
      <c r="E236" s="4">
        <v>1</v>
      </c>
      <c r="F236" s="4">
        <v>17480</v>
      </c>
      <c r="G236" s="47">
        <v>943553</v>
      </c>
      <c r="I236" s="4">
        <v>49087</v>
      </c>
      <c r="K236" s="4">
        <v>894466</v>
      </c>
      <c r="L236" s="47">
        <v>4743</v>
      </c>
      <c r="N236" s="4">
        <v>12</v>
      </c>
      <c r="P236" s="4">
        <v>4731</v>
      </c>
      <c r="Q236" s="47">
        <v>7611</v>
      </c>
      <c r="R236" s="4">
        <v>76</v>
      </c>
      <c r="T236" s="4">
        <v>5333</v>
      </c>
      <c r="U236" s="4">
        <v>2202</v>
      </c>
      <c r="V236" s="47">
        <v>741605</v>
      </c>
      <c r="W236" s="4">
        <v>208</v>
      </c>
      <c r="X236" s="4">
        <v>21991</v>
      </c>
      <c r="Y236" s="4">
        <v>2311</v>
      </c>
      <c r="Z236" s="4">
        <v>717095</v>
      </c>
      <c r="AA236" s="48">
        <v>1714993</v>
      </c>
    </row>
    <row r="237" spans="1:27" ht="12.5" x14ac:dyDescent="0.25">
      <c r="A237" s="46">
        <v>44264</v>
      </c>
      <c r="B237" s="47">
        <v>17481</v>
      </c>
      <c r="E237" s="4">
        <v>1</v>
      </c>
      <c r="F237" s="4">
        <v>17480</v>
      </c>
      <c r="G237" s="47">
        <v>945905</v>
      </c>
      <c r="I237" s="4">
        <v>45606</v>
      </c>
      <c r="K237" s="4">
        <v>900299</v>
      </c>
      <c r="L237" s="47">
        <v>4743</v>
      </c>
      <c r="N237" s="4">
        <v>12</v>
      </c>
      <c r="P237" s="4">
        <v>4731</v>
      </c>
      <c r="Q237" s="47">
        <v>7613</v>
      </c>
      <c r="R237" s="4">
        <v>60</v>
      </c>
      <c r="T237" s="4">
        <v>5333</v>
      </c>
      <c r="U237" s="4">
        <v>2220</v>
      </c>
      <c r="V237" s="47">
        <v>742400</v>
      </c>
      <c r="W237" s="4">
        <v>192</v>
      </c>
      <c r="X237" s="4">
        <v>19539</v>
      </c>
      <c r="Y237" s="4">
        <v>2311</v>
      </c>
      <c r="Z237" s="4">
        <v>720358</v>
      </c>
      <c r="AA237" s="48">
        <v>1718142</v>
      </c>
    </row>
    <row r="238" spans="1:27" ht="12.5" x14ac:dyDescent="0.25">
      <c r="A238" s="46">
        <v>44265</v>
      </c>
      <c r="B238" s="47">
        <v>17485</v>
      </c>
      <c r="E238" s="4">
        <v>1</v>
      </c>
      <c r="F238" s="4">
        <v>17484</v>
      </c>
      <c r="G238" s="47">
        <v>947565</v>
      </c>
      <c r="I238" s="4">
        <v>41371</v>
      </c>
      <c r="K238" s="4">
        <v>906194</v>
      </c>
      <c r="L238" s="47">
        <v>4757</v>
      </c>
      <c r="N238" s="4">
        <v>12</v>
      </c>
      <c r="P238" s="4">
        <v>4745</v>
      </c>
      <c r="Q238" s="47">
        <v>7628</v>
      </c>
      <c r="R238" s="4">
        <v>55</v>
      </c>
      <c r="T238" s="4">
        <v>5333</v>
      </c>
      <c r="U238" s="4">
        <v>2240</v>
      </c>
      <c r="V238" s="47">
        <v>743890</v>
      </c>
      <c r="W238" s="4">
        <v>191</v>
      </c>
      <c r="X238" s="4">
        <v>17864</v>
      </c>
      <c r="Y238" s="4">
        <v>2311</v>
      </c>
      <c r="Z238" s="4">
        <v>723524</v>
      </c>
      <c r="AA238" s="48">
        <v>1721325</v>
      </c>
    </row>
    <row r="239" spans="1:27" ht="12.5" x14ac:dyDescent="0.25">
      <c r="A239" s="46">
        <v>44266</v>
      </c>
      <c r="B239" s="47">
        <v>17487</v>
      </c>
      <c r="E239" s="4">
        <v>1</v>
      </c>
      <c r="F239" s="4">
        <v>17486</v>
      </c>
      <c r="G239" s="47">
        <v>960815</v>
      </c>
      <c r="I239" s="4">
        <v>44639</v>
      </c>
      <c r="K239" s="4">
        <v>916176</v>
      </c>
      <c r="L239" s="47">
        <v>4776</v>
      </c>
      <c r="N239" s="4">
        <v>14</v>
      </c>
      <c r="P239" s="4">
        <v>4762</v>
      </c>
      <c r="Q239" s="47">
        <v>7645</v>
      </c>
      <c r="R239" s="4">
        <v>55</v>
      </c>
      <c r="T239" s="4">
        <v>5333</v>
      </c>
      <c r="U239" s="4">
        <v>2257</v>
      </c>
      <c r="V239" s="47">
        <v>748586</v>
      </c>
      <c r="W239" s="4">
        <v>206</v>
      </c>
      <c r="X239" s="4">
        <v>19379</v>
      </c>
      <c r="Y239" s="4">
        <v>2311</v>
      </c>
      <c r="Z239" s="4">
        <v>726690</v>
      </c>
      <c r="AA239" s="48">
        <v>1739309</v>
      </c>
    </row>
    <row r="240" spans="1:27" ht="12.5" x14ac:dyDescent="0.25">
      <c r="A240" s="46">
        <v>44267</v>
      </c>
      <c r="B240" s="47">
        <v>17504</v>
      </c>
      <c r="E240" s="4">
        <v>1</v>
      </c>
      <c r="F240" s="4">
        <v>17503</v>
      </c>
      <c r="G240" s="47">
        <v>962666</v>
      </c>
      <c r="I240" s="4">
        <v>40560</v>
      </c>
      <c r="K240" s="4">
        <v>922106</v>
      </c>
      <c r="L240" s="47">
        <v>4803</v>
      </c>
      <c r="N240" s="4">
        <v>19</v>
      </c>
      <c r="P240" s="4">
        <v>4784</v>
      </c>
      <c r="Q240" s="47">
        <v>7695</v>
      </c>
      <c r="R240" s="4">
        <v>72</v>
      </c>
      <c r="T240" s="4">
        <v>5333</v>
      </c>
      <c r="U240" s="4">
        <v>2290</v>
      </c>
      <c r="V240" s="47">
        <v>750353</v>
      </c>
      <c r="W240" s="4">
        <v>208</v>
      </c>
      <c r="X240" s="4">
        <v>17904</v>
      </c>
      <c r="Y240" s="4">
        <v>2311</v>
      </c>
      <c r="Z240" s="4">
        <v>729930</v>
      </c>
      <c r="AA240" s="48">
        <v>1743021</v>
      </c>
    </row>
    <row r="241" spans="1:27" ht="12.5" x14ac:dyDescent="0.25">
      <c r="A241" s="46">
        <v>44268</v>
      </c>
      <c r="B241" s="47">
        <v>17504</v>
      </c>
      <c r="E241" s="4">
        <v>1</v>
      </c>
      <c r="F241" s="4">
        <v>17503</v>
      </c>
      <c r="G241" s="47">
        <v>972395</v>
      </c>
      <c r="I241" s="4">
        <v>44581</v>
      </c>
      <c r="K241" s="4">
        <v>927814</v>
      </c>
      <c r="L241" s="47">
        <v>4803</v>
      </c>
      <c r="N241" s="4">
        <v>19</v>
      </c>
      <c r="P241" s="4">
        <v>4784</v>
      </c>
      <c r="Q241" s="47">
        <v>7698</v>
      </c>
      <c r="R241" s="4">
        <v>69</v>
      </c>
      <c r="T241" s="4">
        <v>5333</v>
      </c>
      <c r="U241" s="4">
        <v>2296</v>
      </c>
      <c r="V241" s="47">
        <v>753779</v>
      </c>
      <c r="W241" s="4">
        <v>195</v>
      </c>
      <c r="X241" s="4">
        <v>19258</v>
      </c>
      <c r="Y241" s="4">
        <v>2311</v>
      </c>
      <c r="Z241" s="4">
        <v>732015</v>
      </c>
      <c r="AA241" s="48">
        <v>1756179</v>
      </c>
    </row>
    <row r="242" spans="1:27" ht="12.5" x14ac:dyDescent="0.25">
      <c r="A242" s="46">
        <v>44269</v>
      </c>
      <c r="B242" s="47">
        <v>17504</v>
      </c>
      <c r="E242" s="4">
        <v>1</v>
      </c>
      <c r="F242" s="4">
        <v>17503</v>
      </c>
      <c r="G242" s="47">
        <v>979360</v>
      </c>
      <c r="I242" s="4">
        <v>47868</v>
      </c>
      <c r="K242" s="4">
        <v>931492</v>
      </c>
      <c r="L242" s="47">
        <v>4852</v>
      </c>
      <c r="N242" s="4">
        <v>20</v>
      </c>
      <c r="P242" s="4">
        <v>4832</v>
      </c>
      <c r="Q242" s="47">
        <v>7720</v>
      </c>
      <c r="R242" s="4">
        <v>84</v>
      </c>
      <c r="T242" s="4">
        <v>5333</v>
      </c>
      <c r="U242" s="4">
        <v>2303</v>
      </c>
      <c r="V242" s="47">
        <v>756544</v>
      </c>
      <c r="W242" s="4">
        <v>219</v>
      </c>
      <c r="X242" s="4">
        <v>20805</v>
      </c>
      <c r="Y242" s="4">
        <v>2311</v>
      </c>
      <c r="Z242" s="4">
        <v>733209</v>
      </c>
      <c r="AA242" s="48">
        <v>1765980</v>
      </c>
    </row>
    <row r="243" spans="1:27" ht="12.5" x14ac:dyDescent="0.25">
      <c r="A243" s="46">
        <v>44270</v>
      </c>
      <c r="B243" s="47">
        <v>17504</v>
      </c>
      <c r="E243" s="4">
        <v>1</v>
      </c>
      <c r="F243" s="4">
        <v>17503</v>
      </c>
      <c r="G243" s="47">
        <v>979825</v>
      </c>
      <c r="I243" s="4">
        <v>41020</v>
      </c>
      <c r="K243" s="4">
        <v>938805</v>
      </c>
      <c r="L243" s="47">
        <v>4880</v>
      </c>
      <c r="N243" s="4">
        <v>16</v>
      </c>
      <c r="P243" s="4">
        <v>4864</v>
      </c>
      <c r="Q243" s="47">
        <v>7740</v>
      </c>
      <c r="R243" s="4">
        <v>84</v>
      </c>
      <c r="T243" s="4">
        <v>5333</v>
      </c>
      <c r="U243" s="4">
        <v>2323</v>
      </c>
      <c r="V243" s="47">
        <v>757385</v>
      </c>
      <c r="W243" s="4">
        <v>254</v>
      </c>
      <c r="X243" s="4">
        <v>18240</v>
      </c>
      <c r="Y243" s="4">
        <v>2311</v>
      </c>
      <c r="Z243" s="4">
        <v>736580</v>
      </c>
      <c r="AA243" s="48">
        <v>1767334</v>
      </c>
    </row>
    <row r="244" spans="1:27" ht="12.5" x14ac:dyDescent="0.25">
      <c r="A244" s="46">
        <v>44271</v>
      </c>
      <c r="B244" s="47">
        <v>17504</v>
      </c>
      <c r="E244" s="4">
        <v>1</v>
      </c>
      <c r="F244" s="4">
        <v>17503</v>
      </c>
      <c r="G244" s="47">
        <v>987745</v>
      </c>
      <c r="I244" s="4">
        <v>41419</v>
      </c>
      <c r="K244" s="4">
        <v>946326</v>
      </c>
      <c r="L244" s="47">
        <v>4887</v>
      </c>
      <c r="N244" s="4">
        <v>16</v>
      </c>
      <c r="P244" s="4">
        <v>4871</v>
      </c>
      <c r="Q244" s="47">
        <v>7796</v>
      </c>
      <c r="R244" s="4">
        <v>75</v>
      </c>
      <c r="T244" s="4">
        <v>5384</v>
      </c>
      <c r="U244" s="4">
        <v>2337</v>
      </c>
      <c r="V244" s="47">
        <v>759394</v>
      </c>
      <c r="W244" s="4">
        <v>238</v>
      </c>
      <c r="X244" s="4">
        <v>17365</v>
      </c>
      <c r="Y244" s="4">
        <v>2311</v>
      </c>
      <c r="Z244" s="4">
        <v>739480</v>
      </c>
      <c r="AA244" s="48">
        <v>1777326</v>
      </c>
    </row>
    <row r="245" spans="1:27" ht="12.5" x14ac:dyDescent="0.25">
      <c r="A245" s="46">
        <v>44272</v>
      </c>
      <c r="B245" s="47">
        <v>17507</v>
      </c>
      <c r="E245" s="4">
        <v>1</v>
      </c>
      <c r="F245" s="4">
        <v>17506</v>
      </c>
      <c r="G245" s="47">
        <v>995035</v>
      </c>
      <c r="I245" s="4">
        <v>39830</v>
      </c>
      <c r="K245" s="4">
        <v>955205</v>
      </c>
      <c r="L245" s="47">
        <v>4943</v>
      </c>
      <c r="N245" s="4">
        <v>8</v>
      </c>
      <c r="P245" s="4">
        <v>4935</v>
      </c>
      <c r="Q245" s="47">
        <v>7829</v>
      </c>
      <c r="R245" s="4">
        <v>70</v>
      </c>
      <c r="T245" s="4">
        <v>5403</v>
      </c>
      <c r="U245" s="4">
        <v>2356</v>
      </c>
      <c r="V245" s="47">
        <v>762619</v>
      </c>
      <c r="W245" s="4">
        <v>230</v>
      </c>
      <c r="X245" s="4">
        <v>17072</v>
      </c>
      <c r="Y245" s="4">
        <v>2311</v>
      </c>
      <c r="Z245" s="4">
        <v>743006</v>
      </c>
      <c r="AA245" s="48">
        <v>1787933</v>
      </c>
    </row>
    <row r="246" spans="1:27" ht="12.5" x14ac:dyDescent="0.25">
      <c r="A246" s="46">
        <v>44273</v>
      </c>
      <c r="B246" s="47">
        <v>17512</v>
      </c>
      <c r="E246" s="4">
        <v>1</v>
      </c>
      <c r="F246" s="4">
        <v>17511</v>
      </c>
      <c r="G246" s="47">
        <v>1002426</v>
      </c>
      <c r="I246" s="4">
        <v>39394</v>
      </c>
      <c r="K246" s="4">
        <v>963032</v>
      </c>
      <c r="L246" s="47">
        <v>5012</v>
      </c>
      <c r="N246" s="4">
        <v>8</v>
      </c>
      <c r="P246" s="4">
        <v>5004</v>
      </c>
      <c r="Q246" s="47">
        <v>7888</v>
      </c>
      <c r="R246" s="4">
        <v>83</v>
      </c>
      <c r="T246" s="4">
        <v>5436</v>
      </c>
      <c r="U246" s="4">
        <v>2369</v>
      </c>
      <c r="V246" s="47">
        <v>766140</v>
      </c>
      <c r="W246" s="4">
        <v>241</v>
      </c>
      <c r="X246" s="4">
        <v>17178</v>
      </c>
      <c r="Y246" s="4">
        <v>2311</v>
      </c>
      <c r="Z246" s="4">
        <v>746410</v>
      </c>
      <c r="AA246" s="48">
        <v>1798978</v>
      </c>
    </row>
    <row r="247" spans="1:27" ht="12.5" x14ac:dyDescent="0.25">
      <c r="A247" s="46">
        <v>44274</v>
      </c>
      <c r="B247" s="47">
        <v>17527</v>
      </c>
      <c r="E247" s="4">
        <v>1</v>
      </c>
      <c r="F247" s="4">
        <v>17526</v>
      </c>
      <c r="G247" s="47">
        <v>1003713</v>
      </c>
      <c r="I247" s="4">
        <v>34021</v>
      </c>
      <c r="K247" s="4">
        <v>969692</v>
      </c>
      <c r="L247" s="47">
        <v>5058</v>
      </c>
      <c r="N247" s="4">
        <v>7</v>
      </c>
      <c r="P247" s="4">
        <v>5051</v>
      </c>
      <c r="Q247" s="47">
        <v>7903</v>
      </c>
      <c r="R247" s="4">
        <v>84</v>
      </c>
      <c r="T247" s="4">
        <v>5436</v>
      </c>
      <c r="U247" s="4">
        <v>2383</v>
      </c>
      <c r="V247" s="47">
        <v>768009</v>
      </c>
      <c r="W247" s="4">
        <v>200</v>
      </c>
      <c r="X247" s="4">
        <v>16389</v>
      </c>
      <c r="Y247" s="4">
        <v>2311</v>
      </c>
      <c r="Z247" s="4">
        <v>749109</v>
      </c>
      <c r="AA247" s="48">
        <v>1802210</v>
      </c>
    </row>
    <row r="248" spans="1:27" ht="12.5" x14ac:dyDescent="0.25">
      <c r="A248" s="46">
        <v>44275</v>
      </c>
      <c r="B248" s="47">
        <v>17527</v>
      </c>
      <c r="E248" s="4">
        <v>1</v>
      </c>
      <c r="F248" s="4">
        <v>17526</v>
      </c>
      <c r="G248" s="47">
        <v>1017886</v>
      </c>
      <c r="I248" s="4">
        <v>40476</v>
      </c>
      <c r="K248" s="4">
        <v>977410</v>
      </c>
      <c r="L248" s="47">
        <v>5097</v>
      </c>
      <c r="N248" s="4">
        <v>7</v>
      </c>
      <c r="P248" s="4">
        <v>5090</v>
      </c>
      <c r="Q248" s="47">
        <v>7917</v>
      </c>
      <c r="R248" s="4">
        <v>81</v>
      </c>
      <c r="T248" s="4">
        <v>5436</v>
      </c>
      <c r="U248" s="4">
        <v>2400</v>
      </c>
      <c r="V248" s="47">
        <v>772766</v>
      </c>
      <c r="W248" s="4">
        <v>205</v>
      </c>
      <c r="X248" s="4">
        <v>18291</v>
      </c>
      <c r="Y248" s="4">
        <v>2311</v>
      </c>
      <c r="Z248" s="4">
        <v>751959</v>
      </c>
      <c r="AA248" s="48">
        <v>1821193</v>
      </c>
    </row>
    <row r="249" spans="1:27" ht="12.5" x14ac:dyDescent="0.25">
      <c r="A249" s="46">
        <v>44276</v>
      </c>
      <c r="B249" s="47">
        <v>17527</v>
      </c>
      <c r="E249" s="4">
        <v>1</v>
      </c>
      <c r="F249" s="4">
        <f t="shared" ref="F249:F366" si="0">B249-E249</f>
        <v>17526</v>
      </c>
      <c r="G249" s="47">
        <v>1019291</v>
      </c>
      <c r="I249" s="4">
        <v>759</v>
      </c>
      <c r="K249" s="56">
        <f t="shared" ref="K249:K366" si="1">G249-I249</f>
        <v>1018532</v>
      </c>
      <c r="L249" s="47">
        <v>5117</v>
      </c>
      <c r="N249" s="4">
        <v>1</v>
      </c>
      <c r="P249" s="56">
        <f t="shared" ref="P249:P366" si="2">L249-N249</f>
        <v>5116</v>
      </c>
      <c r="Q249" s="47">
        <v>7930</v>
      </c>
      <c r="R249" s="4">
        <v>3</v>
      </c>
      <c r="T249" s="4">
        <v>5436</v>
      </c>
      <c r="U249" s="56">
        <f t="shared" ref="U249:U366" si="3">Q249-R249-T249</f>
        <v>2491</v>
      </c>
      <c r="V249" s="47">
        <v>774152</v>
      </c>
      <c r="W249" s="4">
        <v>22</v>
      </c>
      <c r="X249" s="4">
        <v>724</v>
      </c>
      <c r="Y249" s="4">
        <v>2311</v>
      </c>
      <c r="Z249" s="56">
        <f t="shared" ref="Z249:Z366" si="4">V249-W249-X249-Y249</f>
        <v>771095</v>
      </c>
      <c r="AA249" s="53">
        <f t="shared" ref="AA249:AA366" si="5">B249+G249+L249+Q249+V249</f>
        <v>1824017</v>
      </c>
    </row>
    <row r="250" spans="1:27" ht="12.5" x14ac:dyDescent="0.25">
      <c r="A250" s="46">
        <v>44277</v>
      </c>
      <c r="B250" s="47">
        <v>17527</v>
      </c>
      <c r="E250" s="4">
        <v>1</v>
      </c>
      <c r="F250" s="4">
        <f t="shared" si="0"/>
        <v>17526</v>
      </c>
      <c r="G250" s="47">
        <v>1034025</v>
      </c>
      <c r="I250" s="4">
        <v>10377</v>
      </c>
      <c r="K250" s="56">
        <f t="shared" si="1"/>
        <v>1023648</v>
      </c>
      <c r="L250" s="47">
        <v>5141</v>
      </c>
      <c r="N250" s="4">
        <v>1</v>
      </c>
      <c r="P250" s="56">
        <f t="shared" si="2"/>
        <v>5140</v>
      </c>
      <c r="Q250" s="47">
        <v>7996</v>
      </c>
      <c r="R250" s="4">
        <v>14</v>
      </c>
      <c r="T250" s="4">
        <v>5480</v>
      </c>
      <c r="U250" s="56">
        <f t="shared" si="3"/>
        <v>2502</v>
      </c>
      <c r="V250" s="47">
        <v>778309</v>
      </c>
      <c r="W250" s="4">
        <v>38</v>
      </c>
      <c r="X250" s="4">
        <v>3831</v>
      </c>
      <c r="Y250" s="4">
        <v>2311</v>
      </c>
      <c r="Z250" s="56">
        <f t="shared" si="4"/>
        <v>772129</v>
      </c>
      <c r="AA250" s="53">
        <f t="shared" si="5"/>
        <v>1842998</v>
      </c>
    </row>
    <row r="251" spans="1:27" ht="12.5" x14ac:dyDescent="0.25">
      <c r="A251" s="46">
        <v>44278</v>
      </c>
      <c r="B251" s="47">
        <v>17529</v>
      </c>
      <c r="E251" s="4">
        <v>1</v>
      </c>
      <c r="F251" s="4">
        <f t="shared" si="0"/>
        <v>17528</v>
      </c>
      <c r="G251" s="47">
        <v>1039836</v>
      </c>
      <c r="I251" s="4">
        <v>13526</v>
      </c>
      <c r="K251" s="56">
        <f t="shared" si="1"/>
        <v>1026310</v>
      </c>
      <c r="L251" s="47">
        <v>5141</v>
      </c>
      <c r="N251" s="4">
        <v>1</v>
      </c>
      <c r="P251" s="56">
        <f t="shared" si="2"/>
        <v>5140</v>
      </c>
      <c r="Q251" s="47">
        <v>7997</v>
      </c>
      <c r="R251" s="4">
        <v>14</v>
      </c>
      <c r="T251" s="4">
        <v>5480</v>
      </c>
      <c r="U251" s="56">
        <f t="shared" si="3"/>
        <v>2503</v>
      </c>
      <c r="V251" s="47">
        <v>780142</v>
      </c>
      <c r="W251" s="4">
        <v>38</v>
      </c>
      <c r="X251" s="4">
        <v>5280</v>
      </c>
      <c r="Y251" s="4">
        <v>2311</v>
      </c>
      <c r="Z251" s="56">
        <f t="shared" si="4"/>
        <v>772513</v>
      </c>
      <c r="AA251" s="53">
        <f t="shared" si="5"/>
        <v>1850645</v>
      </c>
    </row>
    <row r="252" spans="1:27" ht="12.5" x14ac:dyDescent="0.25">
      <c r="A252" s="46">
        <v>44279</v>
      </c>
      <c r="B252" s="47">
        <v>17529</v>
      </c>
      <c r="E252" s="4">
        <v>1</v>
      </c>
      <c r="F252" s="4">
        <f t="shared" si="0"/>
        <v>17528</v>
      </c>
      <c r="G252" s="47">
        <v>1047994</v>
      </c>
      <c r="I252" s="4">
        <v>18546</v>
      </c>
      <c r="K252" s="56">
        <f t="shared" si="1"/>
        <v>1029448</v>
      </c>
      <c r="L252" s="47">
        <v>5182</v>
      </c>
      <c r="N252" s="4">
        <v>2</v>
      </c>
      <c r="P252" s="56">
        <f t="shared" si="2"/>
        <v>5180</v>
      </c>
      <c r="Q252" s="47">
        <v>8054</v>
      </c>
      <c r="R252" s="4">
        <v>16</v>
      </c>
      <c r="T252" s="4">
        <v>5517</v>
      </c>
      <c r="U252" s="56">
        <f t="shared" si="3"/>
        <v>2521</v>
      </c>
      <c r="V252" s="47">
        <v>783708</v>
      </c>
      <c r="W252" s="4">
        <v>56</v>
      </c>
      <c r="X252" s="4">
        <v>7462</v>
      </c>
      <c r="Y252" s="4">
        <v>2311</v>
      </c>
      <c r="Z252" s="56">
        <f t="shared" si="4"/>
        <v>773879</v>
      </c>
      <c r="AA252" s="53">
        <f t="shared" si="5"/>
        <v>1862467</v>
      </c>
    </row>
    <row r="253" spans="1:27" ht="12.5" x14ac:dyDescent="0.25">
      <c r="A253" s="46">
        <v>44280</v>
      </c>
      <c r="B253" s="47">
        <v>17533</v>
      </c>
      <c r="E253" s="4">
        <v>1</v>
      </c>
      <c r="F253" s="4">
        <f t="shared" si="0"/>
        <v>17532</v>
      </c>
      <c r="G253" s="47">
        <v>1056685</v>
      </c>
      <c r="I253" s="4">
        <v>24597</v>
      </c>
      <c r="K253" s="56">
        <f t="shared" si="1"/>
        <v>1032088</v>
      </c>
      <c r="L253" s="47">
        <v>5249</v>
      </c>
      <c r="N253" s="4">
        <v>2</v>
      </c>
      <c r="P253" s="56">
        <f t="shared" si="2"/>
        <v>5247</v>
      </c>
      <c r="Q253" s="47">
        <v>8094</v>
      </c>
      <c r="R253" s="4">
        <v>21</v>
      </c>
      <c r="T253" s="4">
        <v>5543</v>
      </c>
      <c r="U253" s="56">
        <f t="shared" si="3"/>
        <v>2530</v>
      </c>
      <c r="V253" s="47">
        <v>787924</v>
      </c>
      <c r="W253" s="4">
        <v>91</v>
      </c>
      <c r="X253" s="4">
        <v>10327</v>
      </c>
      <c r="Y253" s="4">
        <v>2311</v>
      </c>
      <c r="Z253" s="56">
        <f t="shared" si="4"/>
        <v>775195</v>
      </c>
      <c r="AA253" s="53">
        <f t="shared" si="5"/>
        <v>1875485</v>
      </c>
    </row>
    <row r="254" spans="1:27" ht="12.5" x14ac:dyDescent="0.25">
      <c r="A254" s="46">
        <v>44281</v>
      </c>
      <c r="B254" s="47">
        <v>17537</v>
      </c>
      <c r="E254" s="4">
        <v>1</v>
      </c>
      <c r="F254" s="4">
        <f t="shared" si="0"/>
        <v>17536</v>
      </c>
      <c r="G254" s="47">
        <v>1065846</v>
      </c>
      <c r="I254" s="4">
        <v>30943</v>
      </c>
      <c r="K254" s="56">
        <f t="shared" si="1"/>
        <v>1034903</v>
      </c>
      <c r="L254" s="47">
        <v>5278</v>
      </c>
      <c r="N254" s="4">
        <v>2</v>
      </c>
      <c r="P254" s="56">
        <f t="shared" si="2"/>
        <v>5276</v>
      </c>
      <c r="Q254" s="47">
        <v>8110</v>
      </c>
      <c r="R254" s="4">
        <v>30</v>
      </c>
      <c r="T254" s="4">
        <v>5543</v>
      </c>
      <c r="U254" s="56">
        <f t="shared" si="3"/>
        <v>2537</v>
      </c>
      <c r="V254" s="47">
        <v>791467</v>
      </c>
      <c r="W254" s="4">
        <v>102</v>
      </c>
      <c r="X254" s="4">
        <v>12542</v>
      </c>
      <c r="Y254" s="4">
        <v>2311</v>
      </c>
      <c r="Z254" s="56">
        <f t="shared" si="4"/>
        <v>776512</v>
      </c>
      <c r="AA254" s="53">
        <f t="shared" si="5"/>
        <v>1888238</v>
      </c>
    </row>
    <row r="255" spans="1:27" ht="12.5" x14ac:dyDescent="0.25">
      <c r="A255" s="46">
        <v>44282</v>
      </c>
      <c r="B255" s="47">
        <v>17540</v>
      </c>
      <c r="E255" s="4">
        <v>1</v>
      </c>
      <c r="F255" s="4">
        <f t="shared" si="0"/>
        <v>17539</v>
      </c>
      <c r="G255" s="47">
        <v>1075628</v>
      </c>
      <c r="I255" s="4">
        <v>37354</v>
      </c>
      <c r="K255" s="56">
        <f t="shared" si="1"/>
        <v>1038274</v>
      </c>
      <c r="L255" s="47">
        <v>5309</v>
      </c>
      <c r="N255" s="4">
        <v>3</v>
      </c>
      <c r="P255" s="56">
        <f t="shared" si="2"/>
        <v>5306</v>
      </c>
      <c r="Q255" s="47">
        <v>8182</v>
      </c>
      <c r="R255" s="4">
        <v>36</v>
      </c>
      <c r="T255" s="4">
        <v>5587</v>
      </c>
      <c r="U255" s="56">
        <f t="shared" si="3"/>
        <v>2559</v>
      </c>
      <c r="V255" s="47">
        <v>795425</v>
      </c>
      <c r="W255" s="4">
        <v>119</v>
      </c>
      <c r="X255" s="4">
        <v>15131</v>
      </c>
      <c r="Y255" s="4">
        <v>2311</v>
      </c>
      <c r="Z255" s="56">
        <f t="shared" si="4"/>
        <v>777864</v>
      </c>
      <c r="AA255" s="53">
        <f t="shared" si="5"/>
        <v>1902084</v>
      </c>
    </row>
    <row r="256" spans="1:27" ht="12.5" x14ac:dyDescent="0.25">
      <c r="A256" s="46">
        <v>44283</v>
      </c>
      <c r="B256" s="47">
        <v>17540</v>
      </c>
      <c r="E256" s="4">
        <v>1</v>
      </c>
      <c r="F256" s="4">
        <f t="shared" si="0"/>
        <v>17539</v>
      </c>
      <c r="G256" s="47">
        <v>1085207</v>
      </c>
      <c r="I256" s="4">
        <v>42399</v>
      </c>
      <c r="K256" s="56">
        <f t="shared" si="1"/>
        <v>1042808</v>
      </c>
      <c r="L256" s="47">
        <v>5349</v>
      </c>
      <c r="N256" s="4">
        <v>4</v>
      </c>
      <c r="P256" s="56">
        <f t="shared" si="2"/>
        <v>5345</v>
      </c>
      <c r="Q256" s="47">
        <v>8231</v>
      </c>
      <c r="R256" s="4">
        <v>44</v>
      </c>
      <c r="T256" s="4">
        <v>5620</v>
      </c>
      <c r="U256" s="56">
        <f t="shared" si="3"/>
        <v>2567</v>
      </c>
      <c r="V256" s="47">
        <v>799308</v>
      </c>
      <c r="W256" s="4">
        <v>116</v>
      </c>
      <c r="X256" s="4">
        <v>17039</v>
      </c>
      <c r="Y256" s="4">
        <v>2311</v>
      </c>
      <c r="Z256" s="56">
        <f t="shared" si="4"/>
        <v>779842</v>
      </c>
      <c r="AA256" s="53">
        <f t="shared" si="5"/>
        <v>1915635</v>
      </c>
    </row>
    <row r="257" spans="1:27" ht="12.5" x14ac:dyDescent="0.25">
      <c r="A257" s="46">
        <v>44284</v>
      </c>
      <c r="B257" s="47">
        <v>17540</v>
      </c>
      <c r="E257" s="4">
        <v>1</v>
      </c>
      <c r="F257" s="4">
        <f t="shared" si="0"/>
        <v>17539</v>
      </c>
      <c r="G257" s="47">
        <v>1093878</v>
      </c>
      <c r="I257" s="4">
        <v>46834</v>
      </c>
      <c r="K257" s="56">
        <f t="shared" si="1"/>
        <v>1047044</v>
      </c>
      <c r="L257" s="47">
        <v>5365</v>
      </c>
      <c r="N257" s="4">
        <v>4</v>
      </c>
      <c r="P257" s="56">
        <f t="shared" si="2"/>
        <v>5361</v>
      </c>
      <c r="Q257" s="47">
        <v>8270</v>
      </c>
      <c r="R257" s="4">
        <v>52</v>
      </c>
      <c r="T257" s="4">
        <v>5648</v>
      </c>
      <c r="U257" s="56">
        <f t="shared" si="3"/>
        <v>2570</v>
      </c>
      <c r="V257" s="47">
        <v>801759</v>
      </c>
      <c r="W257" s="4">
        <v>138</v>
      </c>
      <c r="X257" s="4">
        <v>18363</v>
      </c>
      <c r="Y257" s="4">
        <v>2311</v>
      </c>
      <c r="Z257" s="56">
        <f t="shared" si="4"/>
        <v>780947</v>
      </c>
      <c r="AA257" s="53">
        <f t="shared" si="5"/>
        <v>1926812</v>
      </c>
    </row>
    <row r="258" spans="1:27" ht="12.5" x14ac:dyDescent="0.25">
      <c r="A258" s="46">
        <v>44285</v>
      </c>
      <c r="B258" s="47">
        <v>17540</v>
      </c>
      <c r="E258" s="4">
        <v>1</v>
      </c>
      <c r="F258" s="4">
        <f t="shared" si="0"/>
        <v>17539</v>
      </c>
      <c r="G258" s="47">
        <v>1101140</v>
      </c>
      <c r="I258" s="4">
        <v>51032</v>
      </c>
      <c r="K258" s="56">
        <f t="shared" si="1"/>
        <v>1050108</v>
      </c>
      <c r="L258" s="47">
        <v>5365</v>
      </c>
      <c r="N258" s="4">
        <v>4</v>
      </c>
      <c r="P258" s="56">
        <f t="shared" si="2"/>
        <v>5361</v>
      </c>
      <c r="Q258" s="47">
        <v>8320</v>
      </c>
      <c r="R258" s="4">
        <v>52</v>
      </c>
      <c r="T258" s="4">
        <v>5690</v>
      </c>
      <c r="U258" s="56">
        <f t="shared" si="3"/>
        <v>2578</v>
      </c>
      <c r="V258" s="47">
        <v>803856</v>
      </c>
      <c r="W258" s="4">
        <v>144</v>
      </c>
      <c r="X258" s="4">
        <v>19550</v>
      </c>
      <c r="Y258" s="4">
        <v>2311</v>
      </c>
      <c r="Z258" s="56">
        <f t="shared" si="4"/>
        <v>781851</v>
      </c>
      <c r="AA258" s="53">
        <f t="shared" si="5"/>
        <v>1936221</v>
      </c>
    </row>
    <row r="259" spans="1:27" ht="12.5" x14ac:dyDescent="0.25">
      <c r="A259" s="46">
        <v>44286</v>
      </c>
      <c r="B259" s="47">
        <v>17544</v>
      </c>
      <c r="E259" s="4">
        <v>1</v>
      </c>
      <c r="F259" s="4">
        <f t="shared" si="0"/>
        <v>17543</v>
      </c>
      <c r="G259" s="47">
        <v>1105780</v>
      </c>
      <c r="I259" s="4">
        <v>51942</v>
      </c>
      <c r="K259" s="56">
        <f t="shared" si="1"/>
        <v>1053838</v>
      </c>
      <c r="L259" s="47">
        <v>5393</v>
      </c>
      <c r="N259" s="4">
        <v>4</v>
      </c>
      <c r="P259" s="56">
        <f t="shared" si="2"/>
        <v>5389</v>
      </c>
      <c r="Q259" s="47">
        <v>8375</v>
      </c>
      <c r="R259" s="4">
        <v>65</v>
      </c>
      <c r="T259" s="4">
        <v>5728</v>
      </c>
      <c r="U259" s="56">
        <f t="shared" si="3"/>
        <v>2582</v>
      </c>
      <c r="V259" s="47">
        <v>806067</v>
      </c>
      <c r="W259" s="4">
        <v>146</v>
      </c>
      <c r="X259" s="4">
        <v>20005</v>
      </c>
      <c r="Y259" s="4">
        <v>2311</v>
      </c>
      <c r="Z259" s="56">
        <f t="shared" si="4"/>
        <v>783605</v>
      </c>
      <c r="AA259" s="53">
        <f t="shared" si="5"/>
        <v>1943159</v>
      </c>
    </row>
    <row r="260" spans="1:27" ht="12.5" x14ac:dyDescent="0.25">
      <c r="A260" s="46">
        <v>44287</v>
      </c>
      <c r="B260" s="47">
        <v>17545</v>
      </c>
      <c r="E260" s="4">
        <v>1</v>
      </c>
      <c r="F260" s="4">
        <f t="shared" si="0"/>
        <v>17544</v>
      </c>
      <c r="G260" s="47">
        <v>1114093</v>
      </c>
      <c r="I260" s="4">
        <v>53456</v>
      </c>
      <c r="K260" s="56">
        <f t="shared" si="1"/>
        <v>1060637</v>
      </c>
      <c r="L260" s="47">
        <v>5423</v>
      </c>
      <c r="N260" s="4">
        <v>5</v>
      </c>
      <c r="P260" s="56">
        <f t="shared" si="2"/>
        <v>5418</v>
      </c>
      <c r="Q260" s="47">
        <v>8437</v>
      </c>
      <c r="R260" s="4">
        <v>69</v>
      </c>
      <c r="T260" s="4">
        <v>5753</v>
      </c>
      <c r="U260" s="56">
        <f t="shared" si="3"/>
        <v>2615</v>
      </c>
      <c r="V260" s="47">
        <v>809506</v>
      </c>
      <c r="W260" s="4">
        <v>142</v>
      </c>
      <c r="X260" s="4">
        <v>20541</v>
      </c>
      <c r="Y260" s="4">
        <v>2311</v>
      </c>
      <c r="Z260" s="56">
        <f t="shared" si="4"/>
        <v>786512</v>
      </c>
      <c r="AA260" s="53">
        <f t="shared" si="5"/>
        <v>1955004</v>
      </c>
    </row>
    <row r="261" spans="1:27" ht="12.5" x14ac:dyDescent="0.25">
      <c r="A261" s="46">
        <v>44288</v>
      </c>
      <c r="B261" s="47">
        <v>17546</v>
      </c>
      <c r="E261" s="4">
        <v>1</v>
      </c>
      <c r="F261" s="4">
        <f t="shared" si="0"/>
        <v>17545</v>
      </c>
      <c r="G261" s="47">
        <v>1122661</v>
      </c>
      <c r="I261" s="4">
        <v>52397</v>
      </c>
      <c r="K261" s="56">
        <f t="shared" si="1"/>
        <v>1070264</v>
      </c>
      <c r="L261" s="47">
        <v>5434</v>
      </c>
      <c r="N261" s="4">
        <v>4</v>
      </c>
      <c r="P261" s="56">
        <f t="shared" si="2"/>
        <v>5430</v>
      </c>
      <c r="Q261" s="47">
        <v>8478</v>
      </c>
      <c r="R261" s="4">
        <v>61</v>
      </c>
      <c r="T261" s="4">
        <v>5791</v>
      </c>
      <c r="U261" s="56">
        <f t="shared" si="3"/>
        <v>2626</v>
      </c>
      <c r="V261" s="47">
        <v>812358</v>
      </c>
      <c r="W261" s="4">
        <v>152</v>
      </c>
      <c r="X261" s="4">
        <v>19955</v>
      </c>
      <c r="Y261" s="4">
        <v>2311</v>
      </c>
      <c r="Z261" s="56">
        <f t="shared" si="4"/>
        <v>789940</v>
      </c>
      <c r="AA261" s="53">
        <f t="shared" si="5"/>
        <v>1966477</v>
      </c>
    </row>
    <row r="262" spans="1:27" ht="12.5" x14ac:dyDescent="0.25">
      <c r="A262" s="46">
        <v>44289</v>
      </c>
      <c r="B262" s="47">
        <v>17546</v>
      </c>
      <c r="E262" s="4">
        <v>1</v>
      </c>
      <c r="F262" s="4">
        <f t="shared" si="0"/>
        <v>17545</v>
      </c>
      <c r="G262" s="47">
        <v>1129975</v>
      </c>
      <c r="I262" s="4">
        <v>53980</v>
      </c>
      <c r="K262" s="56">
        <f t="shared" si="1"/>
        <v>1075995</v>
      </c>
      <c r="L262" s="47">
        <v>5460</v>
      </c>
      <c r="N262" s="4">
        <v>4</v>
      </c>
      <c r="P262" s="56">
        <f t="shared" si="2"/>
        <v>5456</v>
      </c>
      <c r="Q262" s="47">
        <v>8539</v>
      </c>
      <c r="R262" s="4">
        <v>62</v>
      </c>
      <c r="T262" s="4">
        <v>5832</v>
      </c>
      <c r="U262" s="56">
        <f t="shared" si="3"/>
        <v>2645</v>
      </c>
      <c r="V262" s="47">
        <v>814703</v>
      </c>
      <c r="W262" s="4">
        <v>141</v>
      </c>
      <c r="X262" s="4">
        <v>20203</v>
      </c>
      <c r="Y262" s="4">
        <v>2311</v>
      </c>
      <c r="Z262" s="56">
        <f t="shared" si="4"/>
        <v>792048</v>
      </c>
      <c r="AA262" s="53">
        <f t="shared" si="5"/>
        <v>1976223</v>
      </c>
    </row>
    <row r="263" spans="1:27" ht="12.5" x14ac:dyDescent="0.25">
      <c r="A263" s="46">
        <v>44290</v>
      </c>
      <c r="B263" s="47">
        <v>17548</v>
      </c>
      <c r="E263" s="4">
        <v>1</v>
      </c>
      <c r="F263" s="4">
        <f t="shared" si="0"/>
        <v>17547</v>
      </c>
      <c r="G263" s="47">
        <v>1130134</v>
      </c>
      <c r="I263" s="4">
        <v>50709</v>
      </c>
      <c r="K263" s="56">
        <f t="shared" si="1"/>
        <v>1079425</v>
      </c>
      <c r="L263" s="47">
        <v>5460</v>
      </c>
      <c r="N263" s="4">
        <v>4</v>
      </c>
      <c r="P263" s="56">
        <f t="shared" si="2"/>
        <v>5456</v>
      </c>
      <c r="Q263" s="47">
        <v>8582</v>
      </c>
      <c r="R263" s="4">
        <v>64</v>
      </c>
      <c r="T263" s="4">
        <v>5874</v>
      </c>
      <c r="U263" s="56">
        <f t="shared" si="3"/>
        <v>2644</v>
      </c>
      <c r="V263" s="47">
        <v>814718</v>
      </c>
      <c r="W263" s="4">
        <v>124</v>
      </c>
      <c r="X263" s="4">
        <v>18958</v>
      </c>
      <c r="Y263" s="4">
        <v>2311</v>
      </c>
      <c r="Z263" s="56">
        <f t="shared" si="4"/>
        <v>793325</v>
      </c>
      <c r="AA263" s="53">
        <f t="shared" si="5"/>
        <v>1976442</v>
      </c>
    </row>
    <row r="264" spans="1:27" ht="12.5" x14ac:dyDescent="0.25">
      <c r="A264" s="46">
        <v>44291</v>
      </c>
      <c r="B264" s="47">
        <v>17548</v>
      </c>
      <c r="E264" s="4">
        <v>1</v>
      </c>
      <c r="F264" s="4">
        <f t="shared" si="0"/>
        <v>17547</v>
      </c>
      <c r="G264" s="47">
        <v>1137731</v>
      </c>
      <c r="I264" s="4">
        <v>48987</v>
      </c>
      <c r="K264" s="56">
        <f t="shared" si="1"/>
        <v>1088744</v>
      </c>
      <c r="L264" s="47">
        <v>5483</v>
      </c>
      <c r="N264" s="4">
        <v>3</v>
      </c>
      <c r="P264" s="56">
        <f t="shared" si="2"/>
        <v>5480</v>
      </c>
      <c r="Q264" s="47">
        <v>8638</v>
      </c>
      <c r="R264" s="4">
        <v>69</v>
      </c>
      <c r="T264" s="4">
        <v>5908</v>
      </c>
      <c r="U264" s="56">
        <f t="shared" si="3"/>
        <v>2661</v>
      </c>
      <c r="V264" s="47">
        <v>817254</v>
      </c>
      <c r="W264" s="4">
        <v>113</v>
      </c>
      <c r="X264" s="4">
        <v>18788</v>
      </c>
      <c r="Y264" s="4">
        <v>2311</v>
      </c>
      <c r="Z264" s="56">
        <f t="shared" si="4"/>
        <v>796042</v>
      </c>
      <c r="AA264" s="53">
        <f t="shared" si="5"/>
        <v>1986654</v>
      </c>
    </row>
    <row r="265" spans="1:27" ht="12.5" x14ac:dyDescent="0.25">
      <c r="A265" s="46">
        <v>44292</v>
      </c>
      <c r="B265" s="47">
        <v>17548</v>
      </c>
      <c r="E265" s="4">
        <v>1</v>
      </c>
      <c r="F265" s="4">
        <f t="shared" si="0"/>
        <v>17547</v>
      </c>
      <c r="G265" s="47">
        <v>1140065</v>
      </c>
      <c r="I265" s="4">
        <v>43974</v>
      </c>
      <c r="K265" s="56">
        <f t="shared" si="1"/>
        <v>1096091</v>
      </c>
      <c r="L265" s="47">
        <v>5486</v>
      </c>
      <c r="N265" s="4">
        <v>3</v>
      </c>
      <c r="P265" s="56">
        <f t="shared" si="2"/>
        <v>5483</v>
      </c>
      <c r="Q265" s="47">
        <v>8688</v>
      </c>
      <c r="R265" s="4">
        <v>59</v>
      </c>
      <c r="T265" s="4">
        <v>5956</v>
      </c>
      <c r="U265" s="56">
        <f t="shared" si="3"/>
        <v>2673</v>
      </c>
      <c r="V265" s="47">
        <v>818267</v>
      </c>
      <c r="W265" s="4">
        <v>96</v>
      </c>
      <c r="X265" s="4">
        <v>17420</v>
      </c>
      <c r="Y265" s="4">
        <v>2311</v>
      </c>
      <c r="Z265" s="56">
        <f t="shared" si="4"/>
        <v>798440</v>
      </c>
      <c r="AA265" s="53">
        <f t="shared" si="5"/>
        <v>1990054</v>
      </c>
    </row>
    <row r="266" spans="1:27" ht="12.5" x14ac:dyDescent="0.25">
      <c r="A266" s="46">
        <v>44293</v>
      </c>
      <c r="B266" s="47">
        <v>17549</v>
      </c>
      <c r="E266" s="4">
        <v>1</v>
      </c>
      <c r="F266" s="4">
        <f t="shared" si="0"/>
        <v>17548</v>
      </c>
      <c r="G266" s="47">
        <v>1140492</v>
      </c>
      <c r="I266" s="4">
        <v>37967</v>
      </c>
      <c r="K266" s="56">
        <f t="shared" si="1"/>
        <v>1102525</v>
      </c>
      <c r="L266" s="47">
        <v>5507</v>
      </c>
      <c r="N266" s="4">
        <v>3</v>
      </c>
      <c r="P266" s="56">
        <f t="shared" si="2"/>
        <v>5504</v>
      </c>
      <c r="Q266" s="47">
        <v>8736</v>
      </c>
      <c r="R266" s="4">
        <v>57</v>
      </c>
      <c r="T266" s="4">
        <v>5995</v>
      </c>
      <c r="U266" s="56">
        <f t="shared" si="3"/>
        <v>2684</v>
      </c>
      <c r="V266" s="47">
        <v>819343</v>
      </c>
      <c r="W266" s="4">
        <v>135</v>
      </c>
      <c r="X266" s="4">
        <v>15858</v>
      </c>
      <c r="Y266" s="4">
        <v>2311</v>
      </c>
      <c r="Z266" s="56">
        <f t="shared" si="4"/>
        <v>801039</v>
      </c>
      <c r="AA266" s="53">
        <f t="shared" si="5"/>
        <v>1991627</v>
      </c>
    </row>
    <row r="267" spans="1:27" ht="12.5" x14ac:dyDescent="0.25">
      <c r="A267" s="46">
        <v>44294</v>
      </c>
      <c r="B267" s="47">
        <v>17549</v>
      </c>
      <c r="E267" s="4">
        <v>1</v>
      </c>
      <c r="F267" s="4">
        <f t="shared" si="0"/>
        <v>17548</v>
      </c>
      <c r="G267" s="47">
        <v>1154318</v>
      </c>
      <c r="I267" s="4">
        <v>41851</v>
      </c>
      <c r="K267" s="56">
        <f t="shared" si="1"/>
        <v>1112467</v>
      </c>
      <c r="L267" s="47">
        <v>5515</v>
      </c>
      <c r="N267" s="4">
        <v>2</v>
      </c>
      <c r="P267" s="56">
        <f t="shared" si="2"/>
        <v>5513</v>
      </c>
      <c r="Q267" s="47">
        <v>8796</v>
      </c>
      <c r="R267" s="4">
        <v>57</v>
      </c>
      <c r="T267" s="4">
        <v>6035</v>
      </c>
      <c r="U267" s="56">
        <f t="shared" si="3"/>
        <v>2704</v>
      </c>
      <c r="V267" s="47">
        <v>824298</v>
      </c>
      <c r="W267" s="4">
        <v>112</v>
      </c>
      <c r="X267" s="4">
        <v>17007</v>
      </c>
      <c r="Y267" s="4">
        <v>2311</v>
      </c>
      <c r="Z267" s="56">
        <f t="shared" si="4"/>
        <v>804868</v>
      </c>
      <c r="AA267" s="53">
        <f t="shared" si="5"/>
        <v>2010476</v>
      </c>
    </row>
    <row r="268" spans="1:27" ht="12.5" x14ac:dyDescent="0.25">
      <c r="A268" s="46">
        <v>44295</v>
      </c>
      <c r="B268" s="47">
        <v>17549</v>
      </c>
      <c r="E268" s="4">
        <v>1</v>
      </c>
      <c r="F268" s="4">
        <f t="shared" si="0"/>
        <v>17548</v>
      </c>
      <c r="G268" s="47">
        <v>1161526</v>
      </c>
      <c r="I268" s="4">
        <v>40789</v>
      </c>
      <c r="K268" s="56">
        <f t="shared" si="1"/>
        <v>1120737</v>
      </c>
      <c r="L268" s="47">
        <v>5536</v>
      </c>
      <c r="N268" s="4">
        <v>2</v>
      </c>
      <c r="P268" s="56">
        <f t="shared" si="2"/>
        <v>5534</v>
      </c>
      <c r="Q268" s="47">
        <v>8861</v>
      </c>
      <c r="R268" s="4">
        <v>50</v>
      </c>
      <c r="T268" s="4">
        <v>6082</v>
      </c>
      <c r="U268" s="56">
        <f t="shared" si="3"/>
        <v>2729</v>
      </c>
      <c r="V268" s="47">
        <v>826943</v>
      </c>
      <c r="W268" s="4">
        <v>129</v>
      </c>
      <c r="X268" s="4">
        <v>17181</v>
      </c>
      <c r="Y268" s="4">
        <v>2311</v>
      </c>
      <c r="Z268" s="56">
        <f t="shared" si="4"/>
        <v>807322</v>
      </c>
      <c r="AA268" s="53">
        <f t="shared" si="5"/>
        <v>2020415</v>
      </c>
    </row>
    <row r="269" spans="1:27" ht="12.5" x14ac:dyDescent="0.25">
      <c r="A269" s="46">
        <v>44296</v>
      </c>
      <c r="B269" s="47">
        <v>17549</v>
      </c>
      <c r="E269" s="4">
        <v>1</v>
      </c>
      <c r="F269" s="4">
        <f t="shared" si="0"/>
        <v>17548</v>
      </c>
      <c r="G269" s="47">
        <v>1169200</v>
      </c>
      <c r="I269" s="4">
        <v>41025</v>
      </c>
      <c r="K269" s="56">
        <f t="shared" si="1"/>
        <v>1128175</v>
      </c>
      <c r="L269" s="47">
        <v>5573</v>
      </c>
      <c r="N269" s="4">
        <v>2</v>
      </c>
      <c r="P269" s="56">
        <f t="shared" si="2"/>
        <v>5571</v>
      </c>
      <c r="Q269" s="47">
        <v>8911</v>
      </c>
      <c r="R269" s="4">
        <v>50</v>
      </c>
      <c r="T269" s="4">
        <v>6121</v>
      </c>
      <c r="U269" s="56">
        <f t="shared" si="3"/>
        <v>2740</v>
      </c>
      <c r="V269" s="47">
        <v>829579</v>
      </c>
      <c r="W269" s="4">
        <v>128</v>
      </c>
      <c r="X269" s="4">
        <v>17649</v>
      </c>
      <c r="Y269" s="4">
        <v>2311</v>
      </c>
      <c r="Z269" s="56">
        <f t="shared" si="4"/>
        <v>809491</v>
      </c>
      <c r="AA269" s="53">
        <f t="shared" si="5"/>
        <v>2030812</v>
      </c>
    </row>
    <row r="270" spans="1:27" ht="12.5" x14ac:dyDescent="0.25">
      <c r="A270" s="46">
        <v>44297</v>
      </c>
      <c r="B270" s="47">
        <v>17549</v>
      </c>
      <c r="E270" s="4">
        <v>1</v>
      </c>
      <c r="F270" s="4">
        <f t="shared" si="0"/>
        <v>17548</v>
      </c>
      <c r="G270" s="47">
        <v>1176504</v>
      </c>
      <c r="I270" s="4">
        <v>44270</v>
      </c>
      <c r="K270" s="56">
        <f t="shared" si="1"/>
        <v>1132234</v>
      </c>
      <c r="L270" s="47">
        <v>5581</v>
      </c>
      <c r="N270" s="4">
        <v>3</v>
      </c>
      <c r="P270" s="56">
        <f t="shared" si="2"/>
        <v>5578</v>
      </c>
      <c r="Q270" s="47">
        <v>8969</v>
      </c>
      <c r="R270" s="4">
        <v>54</v>
      </c>
      <c r="T270" s="4">
        <v>6173</v>
      </c>
      <c r="U270" s="56">
        <f t="shared" si="3"/>
        <v>2742</v>
      </c>
      <c r="V270" s="47">
        <v>832647</v>
      </c>
      <c r="W270" s="4">
        <v>114</v>
      </c>
      <c r="X270" s="4">
        <v>19033</v>
      </c>
      <c r="Y270" s="4">
        <v>2311</v>
      </c>
      <c r="Z270" s="56">
        <f t="shared" si="4"/>
        <v>811189</v>
      </c>
      <c r="AA270" s="53">
        <f t="shared" si="5"/>
        <v>2041250</v>
      </c>
    </row>
    <row r="271" spans="1:27" ht="12.5" x14ac:dyDescent="0.25">
      <c r="A271" s="46">
        <v>44298</v>
      </c>
      <c r="B271" s="47">
        <v>17549</v>
      </c>
      <c r="E271" s="4">
        <v>1</v>
      </c>
      <c r="F271" s="4">
        <f t="shared" si="0"/>
        <v>17548</v>
      </c>
      <c r="G271" s="47">
        <v>1181979</v>
      </c>
      <c r="I271" s="4">
        <v>41793</v>
      </c>
      <c r="K271" s="56">
        <f t="shared" si="1"/>
        <v>1140186</v>
      </c>
      <c r="L271" s="47">
        <v>5594</v>
      </c>
      <c r="N271" s="4">
        <v>2</v>
      </c>
      <c r="P271" s="56">
        <f t="shared" si="2"/>
        <v>5592</v>
      </c>
      <c r="Q271" s="47">
        <v>9007</v>
      </c>
      <c r="R271" s="4">
        <v>43</v>
      </c>
      <c r="T271" s="4">
        <v>6208</v>
      </c>
      <c r="U271" s="56">
        <f t="shared" si="3"/>
        <v>2756</v>
      </c>
      <c r="V271" s="47">
        <v>834744</v>
      </c>
      <c r="W271" s="4">
        <v>102</v>
      </c>
      <c r="X271" s="4">
        <v>18223</v>
      </c>
      <c r="Y271" s="4">
        <v>2311</v>
      </c>
      <c r="Z271" s="56">
        <f t="shared" si="4"/>
        <v>814108</v>
      </c>
      <c r="AA271" s="53">
        <f t="shared" si="5"/>
        <v>2048873</v>
      </c>
    </row>
    <row r="272" spans="1:27" ht="12.5" x14ac:dyDescent="0.25">
      <c r="A272" s="46">
        <v>44299</v>
      </c>
      <c r="B272" s="47">
        <v>17549</v>
      </c>
      <c r="E272" s="4">
        <v>1</v>
      </c>
      <c r="F272" s="4">
        <f t="shared" si="0"/>
        <v>17548</v>
      </c>
      <c r="G272" s="47">
        <v>1184497</v>
      </c>
      <c r="I272" s="4">
        <v>39139</v>
      </c>
      <c r="K272" s="56">
        <f t="shared" si="1"/>
        <v>1145358</v>
      </c>
      <c r="L272" s="47">
        <v>5594</v>
      </c>
      <c r="N272" s="4">
        <v>1</v>
      </c>
      <c r="P272" s="56">
        <f t="shared" si="2"/>
        <v>5593</v>
      </c>
      <c r="Q272" s="47">
        <v>9041</v>
      </c>
      <c r="R272" s="4">
        <v>43</v>
      </c>
      <c r="T272" s="4">
        <v>6237</v>
      </c>
      <c r="U272" s="56">
        <f t="shared" si="3"/>
        <v>2761</v>
      </c>
      <c r="V272" s="47">
        <v>835973</v>
      </c>
      <c r="W272" s="4">
        <v>101</v>
      </c>
      <c r="X272" s="4">
        <v>17535</v>
      </c>
      <c r="Y272" s="4">
        <v>2311</v>
      </c>
      <c r="Z272" s="56">
        <f t="shared" si="4"/>
        <v>816026</v>
      </c>
      <c r="AA272" s="53">
        <f t="shared" si="5"/>
        <v>2052654</v>
      </c>
    </row>
    <row r="273" spans="1:27" ht="12.5" x14ac:dyDescent="0.25">
      <c r="A273" s="46">
        <v>44300</v>
      </c>
      <c r="B273" s="47">
        <v>17549</v>
      </c>
      <c r="E273" s="4">
        <v>1</v>
      </c>
      <c r="F273" s="4">
        <f t="shared" si="0"/>
        <v>17548</v>
      </c>
      <c r="G273" s="47">
        <v>1189635</v>
      </c>
      <c r="I273" s="4">
        <v>38124</v>
      </c>
      <c r="K273" s="56">
        <f t="shared" si="1"/>
        <v>1151511</v>
      </c>
      <c r="L273" s="47">
        <v>5628</v>
      </c>
      <c r="N273" s="4">
        <v>1</v>
      </c>
      <c r="P273" s="56">
        <f t="shared" si="2"/>
        <v>5627</v>
      </c>
      <c r="Q273" s="47">
        <v>9095</v>
      </c>
      <c r="R273" s="4">
        <v>42</v>
      </c>
      <c r="T273" s="4">
        <v>6281</v>
      </c>
      <c r="U273" s="56">
        <f t="shared" si="3"/>
        <v>2772</v>
      </c>
      <c r="V273" s="47">
        <v>838821</v>
      </c>
      <c r="W273" s="4">
        <v>122</v>
      </c>
      <c r="X273" s="4">
        <v>16908</v>
      </c>
      <c r="Y273" s="4">
        <v>2311</v>
      </c>
      <c r="Z273" s="56">
        <f t="shared" si="4"/>
        <v>819480</v>
      </c>
      <c r="AA273" s="53">
        <f t="shared" si="5"/>
        <v>2060728</v>
      </c>
    </row>
    <row r="274" spans="1:27" ht="12.5" x14ac:dyDescent="0.25">
      <c r="A274" s="46">
        <v>44301</v>
      </c>
      <c r="B274" s="47">
        <v>17549</v>
      </c>
      <c r="E274" s="4">
        <v>1</v>
      </c>
      <c r="F274" s="4">
        <f t="shared" si="0"/>
        <v>17548</v>
      </c>
      <c r="G274" s="47">
        <v>1196970</v>
      </c>
      <c r="I274" s="4">
        <v>39447</v>
      </c>
      <c r="K274" s="56">
        <f t="shared" si="1"/>
        <v>1157523</v>
      </c>
      <c r="L274" s="47">
        <v>5675</v>
      </c>
      <c r="N274" s="4">
        <v>0</v>
      </c>
      <c r="P274" s="56">
        <f t="shared" si="2"/>
        <v>5675</v>
      </c>
      <c r="Q274" s="47">
        <v>9167</v>
      </c>
      <c r="R274" s="4">
        <v>43</v>
      </c>
      <c r="T274" s="4">
        <v>6329</v>
      </c>
      <c r="U274" s="56">
        <f t="shared" si="3"/>
        <v>2795</v>
      </c>
      <c r="V274" s="47">
        <v>842596</v>
      </c>
      <c r="W274" s="4">
        <v>106</v>
      </c>
      <c r="X274" s="4">
        <v>17401</v>
      </c>
      <c r="Y274" s="4">
        <v>2311</v>
      </c>
      <c r="Z274" s="56">
        <f t="shared" si="4"/>
        <v>822778</v>
      </c>
      <c r="AA274" s="53">
        <f t="shared" si="5"/>
        <v>2071957</v>
      </c>
    </row>
    <row r="275" spans="1:27" ht="12.5" x14ac:dyDescent="0.25">
      <c r="A275" s="46">
        <v>44302</v>
      </c>
      <c r="B275" s="47">
        <v>17549</v>
      </c>
      <c r="E275" s="4">
        <v>1</v>
      </c>
      <c r="F275" s="4">
        <f t="shared" si="0"/>
        <v>17548</v>
      </c>
      <c r="G275" s="47">
        <v>1203820</v>
      </c>
      <c r="I275" s="4">
        <v>41477</v>
      </c>
      <c r="K275" s="56">
        <f t="shared" si="1"/>
        <v>1162343</v>
      </c>
      <c r="L275" s="47">
        <v>5712</v>
      </c>
      <c r="N275" s="4">
        <v>1</v>
      </c>
      <c r="P275" s="56">
        <f t="shared" si="2"/>
        <v>5711</v>
      </c>
      <c r="Q275" s="47">
        <v>9220</v>
      </c>
      <c r="R275" s="4">
        <v>44</v>
      </c>
      <c r="T275" s="4">
        <v>6369</v>
      </c>
      <c r="U275" s="56">
        <f t="shared" si="3"/>
        <v>2807</v>
      </c>
      <c r="V275" s="47">
        <v>846269</v>
      </c>
      <c r="W275" s="4">
        <v>130</v>
      </c>
      <c r="X275" s="4">
        <v>18733</v>
      </c>
      <c r="Y275" s="4">
        <v>2311</v>
      </c>
      <c r="Z275" s="56">
        <f t="shared" si="4"/>
        <v>825095</v>
      </c>
      <c r="AA275" s="53">
        <f t="shared" si="5"/>
        <v>2082570</v>
      </c>
    </row>
    <row r="276" spans="1:27" ht="12.5" x14ac:dyDescent="0.25">
      <c r="A276" s="46">
        <v>44303</v>
      </c>
      <c r="B276" s="47">
        <v>17550</v>
      </c>
      <c r="E276" s="4">
        <v>1</v>
      </c>
      <c r="F276" s="4">
        <f t="shared" si="0"/>
        <v>17549</v>
      </c>
      <c r="G276" s="47">
        <v>1209819</v>
      </c>
      <c r="I276" s="4">
        <v>42240</v>
      </c>
      <c r="K276" s="56">
        <f t="shared" si="1"/>
        <v>1167579</v>
      </c>
      <c r="L276" s="47">
        <v>5729</v>
      </c>
      <c r="N276" s="4">
        <v>1</v>
      </c>
      <c r="P276" s="56">
        <f t="shared" si="2"/>
        <v>5728</v>
      </c>
      <c r="Q276" s="47">
        <v>9270</v>
      </c>
      <c r="R276" s="4">
        <v>48</v>
      </c>
      <c r="T276" s="4">
        <v>6411</v>
      </c>
      <c r="U276" s="56">
        <f t="shared" si="3"/>
        <v>2811</v>
      </c>
      <c r="V276" s="47">
        <v>850186</v>
      </c>
      <c r="W276" s="4">
        <v>120</v>
      </c>
      <c r="X276" s="4">
        <v>19794</v>
      </c>
      <c r="Y276" s="4">
        <v>2311</v>
      </c>
      <c r="Z276" s="56">
        <f t="shared" si="4"/>
        <v>827961</v>
      </c>
      <c r="AA276" s="53">
        <f t="shared" si="5"/>
        <v>2092554</v>
      </c>
    </row>
    <row r="277" spans="1:27" ht="12.5" x14ac:dyDescent="0.25">
      <c r="A277" s="46">
        <v>44304</v>
      </c>
      <c r="B277" s="47">
        <v>17550</v>
      </c>
      <c r="E277" s="4">
        <v>1</v>
      </c>
      <c r="F277" s="4">
        <f t="shared" si="0"/>
        <v>17549</v>
      </c>
      <c r="G277" s="47">
        <v>1216116</v>
      </c>
      <c r="I277" s="4">
        <v>44306</v>
      </c>
      <c r="K277" s="56">
        <f t="shared" si="1"/>
        <v>1171810</v>
      </c>
      <c r="L277" s="47">
        <v>5750</v>
      </c>
      <c r="N277" s="4">
        <v>1</v>
      </c>
      <c r="P277" s="56">
        <f t="shared" si="2"/>
        <v>5749</v>
      </c>
      <c r="Q277" s="47">
        <v>9334</v>
      </c>
      <c r="R277" s="4">
        <v>62</v>
      </c>
      <c r="T277" s="4">
        <v>6446</v>
      </c>
      <c r="U277" s="56">
        <f t="shared" si="3"/>
        <v>2826</v>
      </c>
      <c r="V277" s="47">
        <v>853243</v>
      </c>
      <c r="W277" s="4">
        <v>148</v>
      </c>
      <c r="X277" s="4">
        <v>21007</v>
      </c>
      <c r="Y277" s="4">
        <v>2311</v>
      </c>
      <c r="Z277" s="56">
        <f t="shared" si="4"/>
        <v>829777</v>
      </c>
      <c r="AA277" s="53">
        <f t="shared" si="5"/>
        <v>2101993</v>
      </c>
    </row>
    <row r="278" spans="1:27" ht="12.5" x14ac:dyDescent="0.25">
      <c r="A278" s="46">
        <v>44305</v>
      </c>
      <c r="B278" s="47">
        <v>17550</v>
      </c>
      <c r="E278" s="4">
        <v>1</v>
      </c>
      <c r="F278" s="4">
        <f t="shared" si="0"/>
        <v>17549</v>
      </c>
      <c r="G278" s="47">
        <v>1219315</v>
      </c>
      <c r="I278" s="4">
        <v>40625</v>
      </c>
      <c r="K278" s="56">
        <f t="shared" si="1"/>
        <v>1178690</v>
      </c>
      <c r="L278" s="47">
        <v>7065</v>
      </c>
      <c r="N278" s="4">
        <v>528</v>
      </c>
      <c r="P278" s="56">
        <f t="shared" si="2"/>
        <v>6537</v>
      </c>
      <c r="Q278" s="47">
        <v>9473</v>
      </c>
      <c r="R278" s="4">
        <v>93</v>
      </c>
      <c r="T278" s="4">
        <v>6485</v>
      </c>
      <c r="U278" s="56">
        <f t="shared" si="3"/>
        <v>2895</v>
      </c>
      <c r="V278" s="47">
        <v>855347</v>
      </c>
      <c r="W278" s="4">
        <v>123</v>
      </c>
      <c r="X278" s="4">
        <v>20793</v>
      </c>
      <c r="Y278" s="4">
        <v>2311</v>
      </c>
      <c r="Z278" s="56">
        <f t="shared" si="4"/>
        <v>832120</v>
      </c>
      <c r="AA278" s="53">
        <f t="shared" si="5"/>
        <v>2108750</v>
      </c>
    </row>
    <row r="279" spans="1:27" ht="12.5" x14ac:dyDescent="0.25">
      <c r="A279" s="46">
        <v>44306</v>
      </c>
      <c r="B279" s="47">
        <v>17550</v>
      </c>
      <c r="E279" s="4">
        <v>1</v>
      </c>
      <c r="F279" s="4">
        <f t="shared" si="0"/>
        <v>17549</v>
      </c>
      <c r="G279" s="47">
        <v>1220915</v>
      </c>
      <c r="I279" s="4">
        <v>37341</v>
      </c>
      <c r="K279" s="56">
        <f t="shared" si="1"/>
        <v>1183574</v>
      </c>
      <c r="L279" s="47">
        <v>8501</v>
      </c>
      <c r="N279" s="4">
        <v>1521</v>
      </c>
      <c r="P279" s="56">
        <f t="shared" si="2"/>
        <v>6980</v>
      </c>
      <c r="Q279" s="47">
        <v>9561</v>
      </c>
      <c r="R279" s="4">
        <v>125</v>
      </c>
      <c r="T279" s="4">
        <v>6526</v>
      </c>
      <c r="U279" s="56">
        <f t="shared" si="3"/>
        <v>2910</v>
      </c>
      <c r="V279" s="47">
        <v>856439</v>
      </c>
      <c r="W279" s="4">
        <v>113</v>
      </c>
      <c r="X279" s="4">
        <v>18959</v>
      </c>
      <c r="Y279" s="4">
        <v>2311</v>
      </c>
      <c r="Z279" s="56">
        <f t="shared" si="4"/>
        <v>835056</v>
      </c>
      <c r="AA279" s="53">
        <f t="shared" si="5"/>
        <v>2112966</v>
      </c>
    </row>
    <row r="280" spans="1:27" ht="12.5" x14ac:dyDescent="0.25">
      <c r="A280" s="46">
        <v>44307</v>
      </c>
      <c r="B280" s="47">
        <v>17552</v>
      </c>
      <c r="E280" s="4">
        <v>1</v>
      </c>
      <c r="F280" s="4">
        <f t="shared" si="0"/>
        <v>17551</v>
      </c>
      <c r="G280" s="47">
        <v>1224929</v>
      </c>
      <c r="I280" s="4">
        <v>36034</v>
      </c>
      <c r="K280" s="56">
        <f t="shared" si="1"/>
        <v>1188895</v>
      </c>
      <c r="L280" s="47">
        <v>9879</v>
      </c>
      <c r="N280" s="4">
        <v>2334</v>
      </c>
      <c r="P280" s="56">
        <f t="shared" si="2"/>
        <v>7545</v>
      </c>
      <c r="Q280" s="47">
        <v>9651</v>
      </c>
      <c r="R280" s="4">
        <v>145</v>
      </c>
      <c r="T280" s="4">
        <v>6576</v>
      </c>
      <c r="U280" s="56">
        <f t="shared" si="3"/>
        <v>2930</v>
      </c>
      <c r="V280" s="47">
        <v>859418</v>
      </c>
      <c r="W280" s="4">
        <v>160</v>
      </c>
      <c r="X280" s="4">
        <v>19418</v>
      </c>
      <c r="Y280" s="4">
        <v>2311</v>
      </c>
      <c r="Z280" s="56">
        <f t="shared" si="4"/>
        <v>837529</v>
      </c>
      <c r="AA280" s="53">
        <f t="shared" si="5"/>
        <v>2121429</v>
      </c>
    </row>
    <row r="281" spans="1:27" ht="12.5" x14ac:dyDescent="0.25">
      <c r="A281" s="46">
        <v>44308</v>
      </c>
      <c r="B281" s="47">
        <v>17552</v>
      </c>
      <c r="E281" s="4">
        <v>1</v>
      </c>
      <c r="F281" s="4">
        <f t="shared" si="0"/>
        <v>17551</v>
      </c>
      <c r="G281" s="47">
        <v>1229256</v>
      </c>
      <c r="I281" s="4">
        <v>33817</v>
      </c>
      <c r="K281" s="56">
        <f t="shared" si="1"/>
        <v>1195439</v>
      </c>
      <c r="L281" s="47">
        <v>10851</v>
      </c>
      <c r="N281" s="4">
        <v>2789</v>
      </c>
      <c r="P281" s="56">
        <f t="shared" si="2"/>
        <v>8062</v>
      </c>
      <c r="Q281" s="47">
        <v>9809</v>
      </c>
      <c r="R281" s="4">
        <v>249</v>
      </c>
      <c r="T281" s="4">
        <v>6616</v>
      </c>
      <c r="U281" s="56">
        <f t="shared" si="3"/>
        <v>2944</v>
      </c>
      <c r="V281" s="47">
        <v>863196</v>
      </c>
      <c r="W281" s="4">
        <v>215</v>
      </c>
      <c r="X281" s="4">
        <v>21032</v>
      </c>
      <c r="Y281" s="4">
        <v>2311</v>
      </c>
      <c r="Z281" s="56">
        <f t="shared" si="4"/>
        <v>839638</v>
      </c>
      <c r="AA281" s="53">
        <f t="shared" si="5"/>
        <v>2130664</v>
      </c>
    </row>
    <row r="282" spans="1:27" ht="12.5" x14ac:dyDescent="0.25">
      <c r="A282" s="46">
        <v>44309</v>
      </c>
      <c r="B282" s="47">
        <v>17552</v>
      </c>
      <c r="E282" s="4">
        <v>1</v>
      </c>
      <c r="F282" s="4">
        <f t="shared" si="0"/>
        <v>17551</v>
      </c>
      <c r="G282" s="47">
        <v>1234161</v>
      </c>
      <c r="I282" s="4">
        <v>33295</v>
      </c>
      <c r="K282" s="56">
        <f t="shared" si="1"/>
        <v>1200866</v>
      </c>
      <c r="L282" s="47">
        <v>12388</v>
      </c>
      <c r="N282" s="4">
        <v>2987</v>
      </c>
      <c r="P282" s="56">
        <f t="shared" si="2"/>
        <v>9401</v>
      </c>
      <c r="Q282" s="47">
        <v>9903</v>
      </c>
      <c r="R282" s="4">
        <v>291</v>
      </c>
      <c r="T282" s="4">
        <v>6661</v>
      </c>
      <c r="U282" s="56">
        <f t="shared" si="3"/>
        <v>2951</v>
      </c>
      <c r="V282" s="47">
        <v>866565</v>
      </c>
      <c r="W282" s="4">
        <v>219</v>
      </c>
      <c r="X282" s="4">
        <v>21069</v>
      </c>
      <c r="Y282" s="4">
        <v>2311</v>
      </c>
      <c r="Z282" s="56">
        <f t="shared" si="4"/>
        <v>842966</v>
      </c>
      <c r="AA282" s="53">
        <f t="shared" si="5"/>
        <v>2140569</v>
      </c>
    </row>
    <row r="283" spans="1:27" ht="12.5" x14ac:dyDescent="0.25">
      <c r="A283" s="46">
        <v>44310</v>
      </c>
      <c r="B283" s="47">
        <v>17553</v>
      </c>
      <c r="E283" s="4">
        <v>1</v>
      </c>
      <c r="F283" s="4">
        <f t="shared" si="0"/>
        <v>17552</v>
      </c>
      <c r="G283" s="47">
        <v>1238342</v>
      </c>
      <c r="I283" s="4">
        <v>33814</v>
      </c>
      <c r="K283" s="56">
        <f t="shared" si="1"/>
        <v>1204528</v>
      </c>
      <c r="L283" s="47">
        <v>14976</v>
      </c>
      <c r="N283" s="4">
        <v>3413</v>
      </c>
      <c r="P283" s="56">
        <f t="shared" si="2"/>
        <v>11563</v>
      </c>
      <c r="Q283" s="47">
        <v>10058</v>
      </c>
      <c r="R283" s="4">
        <v>380</v>
      </c>
      <c r="T283" s="4">
        <v>6711</v>
      </c>
      <c r="U283" s="56">
        <f t="shared" si="3"/>
        <v>2967</v>
      </c>
      <c r="V283" s="47">
        <v>869792</v>
      </c>
      <c r="W283" s="4">
        <v>217</v>
      </c>
      <c r="X283" s="4">
        <v>22082</v>
      </c>
      <c r="Y283" s="4">
        <v>2311</v>
      </c>
      <c r="Z283" s="56">
        <f t="shared" si="4"/>
        <v>845182</v>
      </c>
      <c r="AA283" s="53">
        <f t="shared" si="5"/>
        <v>2150721</v>
      </c>
    </row>
    <row r="284" spans="1:27" ht="12.5" x14ac:dyDescent="0.25">
      <c r="A284" s="46">
        <v>44311</v>
      </c>
      <c r="B284" s="47">
        <v>17553</v>
      </c>
      <c r="E284" s="4">
        <v>1</v>
      </c>
      <c r="F284" s="4">
        <f t="shared" si="0"/>
        <v>17552</v>
      </c>
      <c r="G284" s="47">
        <v>1242294</v>
      </c>
      <c r="I284" s="4">
        <v>34884</v>
      </c>
      <c r="K284" s="56">
        <f t="shared" si="1"/>
        <v>1207410</v>
      </c>
      <c r="L284" s="47">
        <v>16112</v>
      </c>
      <c r="N284" s="4">
        <v>3743</v>
      </c>
      <c r="P284" s="56">
        <f t="shared" si="2"/>
        <v>12369</v>
      </c>
      <c r="Q284" s="47">
        <v>10287</v>
      </c>
      <c r="R284" s="4">
        <v>457</v>
      </c>
      <c r="T284" s="4">
        <v>6750</v>
      </c>
      <c r="U284" s="56">
        <f t="shared" si="3"/>
        <v>3080</v>
      </c>
      <c r="V284" s="47">
        <v>872333</v>
      </c>
      <c r="W284" s="4">
        <v>217</v>
      </c>
      <c r="X284" s="4">
        <v>22899</v>
      </c>
      <c r="Y284" s="4">
        <v>2311</v>
      </c>
      <c r="Z284" s="56">
        <f t="shared" si="4"/>
        <v>846906</v>
      </c>
      <c r="AA284" s="53">
        <f t="shared" si="5"/>
        <v>2158579</v>
      </c>
    </row>
    <row r="285" spans="1:27" ht="12.5" x14ac:dyDescent="0.25">
      <c r="A285" s="46">
        <v>44312</v>
      </c>
      <c r="B285" s="47">
        <v>17553</v>
      </c>
      <c r="E285" s="4">
        <v>1</v>
      </c>
      <c r="F285" s="4">
        <f t="shared" si="0"/>
        <v>17552</v>
      </c>
      <c r="G285" s="47">
        <v>1244590</v>
      </c>
      <c r="I285" s="4">
        <v>32194</v>
      </c>
      <c r="K285" s="56">
        <f t="shared" si="1"/>
        <v>1212396</v>
      </c>
      <c r="L285" s="47">
        <v>17124</v>
      </c>
      <c r="N285" s="4">
        <v>4014</v>
      </c>
      <c r="P285" s="56">
        <f t="shared" si="2"/>
        <v>13110</v>
      </c>
      <c r="Q285" s="47">
        <v>10379</v>
      </c>
      <c r="R285" s="4">
        <v>504</v>
      </c>
      <c r="T285" s="4">
        <v>6781</v>
      </c>
      <c r="U285" s="56">
        <f t="shared" si="3"/>
        <v>3094</v>
      </c>
      <c r="V285" s="47">
        <v>874269</v>
      </c>
      <c r="W285" s="4">
        <v>209</v>
      </c>
      <c r="X285" s="4">
        <v>20923</v>
      </c>
      <c r="Y285" s="4">
        <v>2311</v>
      </c>
      <c r="Z285" s="56">
        <f t="shared" si="4"/>
        <v>850826</v>
      </c>
      <c r="AA285" s="53">
        <f t="shared" si="5"/>
        <v>2163915</v>
      </c>
    </row>
    <row r="286" spans="1:27" ht="12.5" x14ac:dyDescent="0.25">
      <c r="A286" s="46">
        <v>44313</v>
      </c>
      <c r="B286" s="47">
        <v>17553</v>
      </c>
      <c r="E286" s="4">
        <v>1</v>
      </c>
      <c r="F286" s="4">
        <f t="shared" si="0"/>
        <v>17552</v>
      </c>
      <c r="G286" s="47">
        <v>1246417</v>
      </c>
      <c r="I286" s="4">
        <v>30487</v>
      </c>
      <c r="K286" s="56">
        <f t="shared" si="1"/>
        <v>1215930</v>
      </c>
      <c r="L286" s="47">
        <v>18052</v>
      </c>
      <c r="N286" s="4">
        <v>4505</v>
      </c>
      <c r="P286" s="56">
        <f t="shared" si="2"/>
        <v>13547</v>
      </c>
      <c r="Q286" s="47">
        <v>10427</v>
      </c>
      <c r="R286" s="4">
        <v>505</v>
      </c>
      <c r="T286" s="4">
        <v>6819</v>
      </c>
      <c r="U286" s="56">
        <f t="shared" si="3"/>
        <v>3103</v>
      </c>
      <c r="V286" s="47">
        <v>875817</v>
      </c>
      <c r="W286" s="4">
        <v>190</v>
      </c>
      <c r="X286" s="4">
        <v>20399</v>
      </c>
      <c r="Y286" s="4">
        <v>2311</v>
      </c>
      <c r="Z286" s="56">
        <f t="shared" si="4"/>
        <v>852917</v>
      </c>
      <c r="AA286" s="53">
        <f t="shared" si="5"/>
        <v>2168266</v>
      </c>
    </row>
    <row r="287" spans="1:27" ht="12.5" x14ac:dyDescent="0.25">
      <c r="A287" s="46">
        <v>44314</v>
      </c>
      <c r="B287" s="47">
        <v>17553</v>
      </c>
      <c r="E287" s="4">
        <v>1</v>
      </c>
      <c r="F287" s="4">
        <f t="shared" si="0"/>
        <v>17552</v>
      </c>
      <c r="G287" s="47">
        <v>1249417</v>
      </c>
      <c r="I287" s="4">
        <v>28762</v>
      </c>
      <c r="K287" s="56">
        <f t="shared" si="1"/>
        <v>1220655</v>
      </c>
      <c r="L287" s="47">
        <v>19375</v>
      </c>
      <c r="N287" s="4">
        <v>4700</v>
      </c>
      <c r="P287" s="56">
        <f t="shared" si="2"/>
        <v>14675</v>
      </c>
      <c r="Q287" s="47">
        <v>10503</v>
      </c>
      <c r="R287" s="4">
        <v>506</v>
      </c>
      <c r="T287" s="4">
        <v>6858</v>
      </c>
      <c r="U287" s="56">
        <f t="shared" si="3"/>
        <v>3139</v>
      </c>
      <c r="V287" s="47">
        <v>879203</v>
      </c>
      <c r="W287" s="4">
        <v>208</v>
      </c>
      <c r="X287" s="4">
        <v>20949</v>
      </c>
      <c r="Y287" s="4">
        <v>2311</v>
      </c>
      <c r="Z287" s="56">
        <f t="shared" si="4"/>
        <v>855735</v>
      </c>
      <c r="AA287" s="53">
        <f t="shared" si="5"/>
        <v>2176051</v>
      </c>
    </row>
    <row r="288" spans="1:27" ht="12.5" x14ac:dyDescent="0.25">
      <c r="A288" s="46">
        <v>44315</v>
      </c>
      <c r="B288" s="47">
        <v>17553</v>
      </c>
      <c r="E288" s="4">
        <v>1</v>
      </c>
      <c r="F288" s="4">
        <f t="shared" si="0"/>
        <v>17552</v>
      </c>
      <c r="G288" s="47">
        <v>1253302</v>
      </c>
      <c r="I288" s="4">
        <v>28473</v>
      </c>
      <c r="K288" s="56">
        <f t="shared" si="1"/>
        <v>1224829</v>
      </c>
      <c r="L288" s="47">
        <v>20993</v>
      </c>
      <c r="N288" s="4">
        <v>5733</v>
      </c>
      <c r="P288" s="56">
        <f t="shared" si="2"/>
        <v>15260</v>
      </c>
      <c r="Q288" s="47">
        <v>10660</v>
      </c>
      <c r="R288" s="4">
        <v>570</v>
      </c>
      <c r="T288" s="4">
        <v>6909</v>
      </c>
      <c r="U288" s="56">
        <f t="shared" si="3"/>
        <v>3181</v>
      </c>
      <c r="V288" s="47">
        <v>882265</v>
      </c>
      <c r="W288" s="4">
        <v>208</v>
      </c>
      <c r="X288" s="4">
        <v>21073</v>
      </c>
      <c r="Y288" s="4">
        <v>2311</v>
      </c>
      <c r="Z288" s="56">
        <f t="shared" si="4"/>
        <v>858673</v>
      </c>
      <c r="AA288" s="53">
        <f t="shared" si="5"/>
        <v>2184773</v>
      </c>
    </row>
    <row r="289" spans="1:27" ht="12.5" x14ac:dyDescent="0.25">
      <c r="A289" s="46">
        <v>44316</v>
      </c>
      <c r="B289" s="47">
        <v>17553</v>
      </c>
      <c r="E289" s="4">
        <v>1</v>
      </c>
      <c r="F289" s="4">
        <f t="shared" si="0"/>
        <v>17552</v>
      </c>
      <c r="G289" s="47">
        <v>1258215</v>
      </c>
      <c r="I289" s="4">
        <v>29442</v>
      </c>
      <c r="K289" s="56">
        <f t="shared" si="1"/>
        <v>1228773</v>
      </c>
      <c r="L289" s="47">
        <v>22555</v>
      </c>
      <c r="N289" s="4">
        <v>5636</v>
      </c>
      <c r="P289" s="56">
        <f t="shared" si="2"/>
        <v>16919</v>
      </c>
      <c r="Q289" s="47">
        <v>10790</v>
      </c>
      <c r="R289" s="4">
        <v>571</v>
      </c>
      <c r="T289" s="4">
        <v>6948</v>
      </c>
      <c r="U289" s="56">
        <f t="shared" si="3"/>
        <v>3271</v>
      </c>
      <c r="V289" s="47">
        <v>887079</v>
      </c>
      <c r="W289" s="4">
        <v>189</v>
      </c>
      <c r="X289" s="4">
        <v>23042</v>
      </c>
      <c r="Y289" s="4">
        <v>2311</v>
      </c>
      <c r="Z289" s="56">
        <f t="shared" si="4"/>
        <v>861537</v>
      </c>
      <c r="AA289" s="53">
        <f t="shared" si="5"/>
        <v>2196192</v>
      </c>
    </row>
    <row r="290" spans="1:27" ht="12.5" x14ac:dyDescent="0.25">
      <c r="A290" s="46">
        <v>44317</v>
      </c>
      <c r="B290" s="47">
        <v>17565</v>
      </c>
      <c r="E290" s="4">
        <v>1</v>
      </c>
      <c r="F290" s="4">
        <f t="shared" si="0"/>
        <v>17564</v>
      </c>
      <c r="G290" s="47">
        <v>1262727</v>
      </c>
      <c r="I290" s="4">
        <v>30515</v>
      </c>
      <c r="K290" s="56">
        <f t="shared" si="1"/>
        <v>1232212</v>
      </c>
      <c r="L290" s="47">
        <v>24235</v>
      </c>
      <c r="N290" s="4">
        <v>4847</v>
      </c>
      <c r="P290" s="56">
        <f t="shared" si="2"/>
        <v>19388</v>
      </c>
      <c r="Q290" s="47">
        <v>10882</v>
      </c>
      <c r="R290" s="4">
        <v>574</v>
      </c>
      <c r="T290" s="4">
        <v>6984</v>
      </c>
      <c r="U290" s="56">
        <f t="shared" si="3"/>
        <v>3324</v>
      </c>
      <c r="V290" s="47">
        <v>892776</v>
      </c>
      <c r="W290" s="4">
        <v>182</v>
      </c>
      <c r="X290" s="4">
        <v>26234</v>
      </c>
      <c r="Y290" s="4">
        <v>2311</v>
      </c>
      <c r="Z290" s="56">
        <f t="shared" si="4"/>
        <v>864049</v>
      </c>
      <c r="AA290" s="53">
        <f t="shared" si="5"/>
        <v>2208185</v>
      </c>
    </row>
    <row r="291" spans="1:27" ht="12.5" x14ac:dyDescent="0.25">
      <c r="A291" s="46">
        <v>44318</v>
      </c>
      <c r="B291" s="47">
        <v>17587</v>
      </c>
      <c r="E291" s="4">
        <v>1</v>
      </c>
      <c r="F291" s="4">
        <f t="shared" si="0"/>
        <v>17586</v>
      </c>
      <c r="G291" s="47">
        <v>1267976</v>
      </c>
      <c r="I291" s="4">
        <v>33103</v>
      </c>
      <c r="K291" s="56">
        <f t="shared" si="1"/>
        <v>1234873</v>
      </c>
      <c r="L291" s="47">
        <v>26703</v>
      </c>
      <c r="N291" s="4">
        <v>5033</v>
      </c>
      <c r="P291" s="56">
        <f t="shared" si="2"/>
        <v>21670</v>
      </c>
      <c r="Q291" s="47">
        <v>10997</v>
      </c>
      <c r="R291" s="4">
        <v>615</v>
      </c>
      <c r="T291" s="4">
        <v>7030</v>
      </c>
      <c r="U291" s="56">
        <f t="shared" si="3"/>
        <v>3352</v>
      </c>
      <c r="V291" s="47">
        <v>898113</v>
      </c>
      <c r="W291" s="4">
        <v>183</v>
      </c>
      <c r="X291" s="4">
        <v>28494</v>
      </c>
      <c r="Y291" s="4">
        <v>2311</v>
      </c>
      <c r="Z291" s="56">
        <f t="shared" si="4"/>
        <v>867125</v>
      </c>
      <c r="AA291" s="53">
        <f t="shared" si="5"/>
        <v>2221376</v>
      </c>
    </row>
    <row r="292" spans="1:27" ht="12.5" x14ac:dyDescent="0.25">
      <c r="A292" s="46">
        <v>44319</v>
      </c>
      <c r="B292" s="47">
        <v>17637</v>
      </c>
      <c r="E292" s="4">
        <v>1</v>
      </c>
      <c r="F292" s="4">
        <f t="shared" si="0"/>
        <v>17636</v>
      </c>
      <c r="G292" s="47">
        <v>1271002</v>
      </c>
      <c r="I292" s="4">
        <v>34980</v>
      </c>
      <c r="K292" s="56">
        <f t="shared" si="1"/>
        <v>1236022</v>
      </c>
      <c r="L292" s="47">
        <v>27369</v>
      </c>
      <c r="N292" s="4">
        <v>5364</v>
      </c>
      <c r="P292" s="56">
        <f t="shared" si="2"/>
        <v>22005</v>
      </c>
      <c r="Q292" s="47">
        <v>11162</v>
      </c>
      <c r="R292" s="4">
        <v>649</v>
      </c>
      <c r="T292" s="4">
        <v>7061</v>
      </c>
      <c r="U292" s="56">
        <f t="shared" si="3"/>
        <v>3452</v>
      </c>
      <c r="V292" s="47">
        <v>901763</v>
      </c>
      <c r="W292" s="4">
        <v>191</v>
      </c>
      <c r="X292" s="4">
        <v>30319</v>
      </c>
      <c r="Y292" s="4">
        <v>2311</v>
      </c>
      <c r="Z292" s="56">
        <f t="shared" si="4"/>
        <v>868942</v>
      </c>
      <c r="AA292" s="53">
        <f t="shared" si="5"/>
        <v>2228933</v>
      </c>
    </row>
    <row r="293" spans="1:27" ht="12.5" x14ac:dyDescent="0.25">
      <c r="A293" s="46">
        <v>44320</v>
      </c>
      <c r="B293" s="47">
        <v>17637</v>
      </c>
      <c r="E293" s="4">
        <v>1</v>
      </c>
      <c r="F293" s="4">
        <f t="shared" si="0"/>
        <v>17636</v>
      </c>
      <c r="G293" s="47">
        <v>1271828</v>
      </c>
      <c r="I293" s="4">
        <v>27406</v>
      </c>
      <c r="K293" s="56">
        <f t="shared" si="1"/>
        <v>1244422</v>
      </c>
      <c r="L293" s="47">
        <v>27857</v>
      </c>
      <c r="N293" s="4">
        <v>4097</v>
      </c>
      <c r="P293" s="56">
        <f t="shared" si="2"/>
        <v>23760</v>
      </c>
      <c r="Q293" s="47">
        <v>11235</v>
      </c>
      <c r="R293" s="4">
        <v>504</v>
      </c>
      <c r="T293" s="4">
        <v>7096</v>
      </c>
      <c r="U293" s="56">
        <f t="shared" si="3"/>
        <v>3635</v>
      </c>
      <c r="V293" s="47">
        <v>907008</v>
      </c>
      <c r="W293" s="4">
        <v>132</v>
      </c>
      <c r="X293" s="4">
        <v>29008</v>
      </c>
      <c r="Y293" s="4">
        <v>2311</v>
      </c>
      <c r="Z293" s="56">
        <f t="shared" si="4"/>
        <v>875557</v>
      </c>
      <c r="AA293" s="53">
        <f t="shared" si="5"/>
        <v>2235565</v>
      </c>
    </row>
    <row r="294" spans="1:27" ht="12.5" x14ac:dyDescent="0.25">
      <c r="A294" s="46">
        <v>44321</v>
      </c>
      <c r="B294" s="47">
        <v>17734</v>
      </c>
      <c r="E294" s="4">
        <v>1</v>
      </c>
      <c r="F294" s="4">
        <f t="shared" si="0"/>
        <v>17733</v>
      </c>
      <c r="G294" s="47">
        <v>1276941</v>
      </c>
      <c r="I294" s="4">
        <v>27541</v>
      </c>
      <c r="K294" s="56">
        <f t="shared" si="1"/>
        <v>1249400</v>
      </c>
      <c r="L294" s="47">
        <v>29038</v>
      </c>
      <c r="N294" s="4">
        <v>4498</v>
      </c>
      <c r="P294" s="56">
        <f t="shared" si="2"/>
        <v>24540</v>
      </c>
      <c r="Q294" s="47">
        <v>11309</v>
      </c>
      <c r="R294" s="4">
        <v>463</v>
      </c>
      <c r="T294" s="4">
        <v>7121</v>
      </c>
      <c r="U294" s="56">
        <f t="shared" si="3"/>
        <v>3725</v>
      </c>
      <c r="V294" s="47">
        <v>910749</v>
      </c>
      <c r="W294" s="4">
        <v>126</v>
      </c>
      <c r="X294" s="4">
        <v>29604</v>
      </c>
      <c r="Y294" s="4">
        <v>2311</v>
      </c>
      <c r="Z294" s="56">
        <f t="shared" si="4"/>
        <v>878708</v>
      </c>
      <c r="AA294" s="53">
        <f t="shared" si="5"/>
        <v>2245771</v>
      </c>
    </row>
    <row r="295" spans="1:27" ht="12.5" x14ac:dyDescent="0.25">
      <c r="A295" s="46">
        <v>44322</v>
      </c>
      <c r="B295" s="47">
        <v>17841</v>
      </c>
      <c r="E295" s="4">
        <v>1</v>
      </c>
      <c r="F295" s="4">
        <f t="shared" si="0"/>
        <v>17840</v>
      </c>
      <c r="G295" s="47">
        <v>1282187</v>
      </c>
      <c r="I295" s="4">
        <v>28353</v>
      </c>
      <c r="K295" s="56">
        <f t="shared" si="1"/>
        <v>1253834</v>
      </c>
      <c r="L295" s="47">
        <v>30354</v>
      </c>
      <c r="N295" s="4">
        <v>4678</v>
      </c>
      <c r="P295" s="56">
        <f t="shared" si="2"/>
        <v>25676</v>
      </c>
      <c r="Q295" s="47">
        <v>11507</v>
      </c>
      <c r="R295" s="4">
        <v>517</v>
      </c>
      <c r="T295" s="4">
        <v>7171</v>
      </c>
      <c r="U295" s="56">
        <f t="shared" si="3"/>
        <v>3819</v>
      </c>
      <c r="V295" s="47">
        <v>919509</v>
      </c>
      <c r="W295" s="4">
        <v>137</v>
      </c>
      <c r="X295" s="4">
        <v>35932</v>
      </c>
      <c r="Y295" s="4">
        <v>2311</v>
      </c>
      <c r="Z295" s="56">
        <f t="shared" si="4"/>
        <v>881129</v>
      </c>
      <c r="AA295" s="53">
        <f t="shared" si="5"/>
        <v>2261398</v>
      </c>
    </row>
    <row r="296" spans="1:27" ht="12.5" x14ac:dyDescent="0.25">
      <c r="A296" s="46">
        <v>44323</v>
      </c>
      <c r="B296" s="47">
        <v>17953</v>
      </c>
      <c r="E296" s="4">
        <v>1</v>
      </c>
      <c r="F296" s="4">
        <f t="shared" si="0"/>
        <v>17952</v>
      </c>
      <c r="G296" s="47">
        <v>1287163</v>
      </c>
      <c r="I296" s="4">
        <v>29051</v>
      </c>
      <c r="K296" s="56">
        <f t="shared" si="1"/>
        <v>1258112</v>
      </c>
      <c r="L296" s="47">
        <v>31991</v>
      </c>
      <c r="N296" s="4">
        <v>4565</v>
      </c>
      <c r="P296" s="56">
        <f t="shared" si="2"/>
        <v>27426</v>
      </c>
      <c r="Q296" s="47">
        <v>11617</v>
      </c>
      <c r="R296" s="4">
        <v>512</v>
      </c>
      <c r="T296" s="4">
        <v>7204</v>
      </c>
      <c r="U296" s="56">
        <f t="shared" si="3"/>
        <v>3901</v>
      </c>
      <c r="V296" s="47">
        <v>924960</v>
      </c>
      <c r="W296" s="4">
        <v>139</v>
      </c>
      <c r="X296" s="4">
        <v>38322</v>
      </c>
      <c r="Y296" s="4">
        <v>2311</v>
      </c>
      <c r="Z296" s="56">
        <f t="shared" si="4"/>
        <v>884188</v>
      </c>
      <c r="AA296" s="53">
        <f t="shared" si="5"/>
        <v>2273684</v>
      </c>
    </row>
    <row r="297" spans="1:27" ht="12.5" x14ac:dyDescent="0.25">
      <c r="A297" s="46">
        <v>44324</v>
      </c>
      <c r="B297" s="47">
        <v>18018</v>
      </c>
      <c r="E297" s="4">
        <v>1</v>
      </c>
      <c r="F297" s="4">
        <f t="shared" si="0"/>
        <v>18017</v>
      </c>
      <c r="G297" s="47">
        <v>1292845</v>
      </c>
      <c r="I297" s="4">
        <v>30735</v>
      </c>
      <c r="K297" s="56">
        <f t="shared" si="1"/>
        <v>1262110</v>
      </c>
      <c r="L297" s="47">
        <v>33559</v>
      </c>
      <c r="N297" s="4">
        <v>5284</v>
      </c>
      <c r="P297" s="56">
        <f t="shared" si="2"/>
        <v>28275</v>
      </c>
      <c r="Q297" s="47">
        <v>11738</v>
      </c>
      <c r="R297" s="4">
        <v>546</v>
      </c>
      <c r="T297" s="4">
        <v>7236</v>
      </c>
      <c r="U297" s="56">
        <f t="shared" si="3"/>
        <v>3956</v>
      </c>
      <c r="V297" s="47">
        <v>930386</v>
      </c>
      <c r="W297" s="4">
        <v>129</v>
      </c>
      <c r="X297" s="4">
        <v>39625</v>
      </c>
      <c r="Y297" s="4">
        <v>2311</v>
      </c>
      <c r="Z297" s="56">
        <f t="shared" si="4"/>
        <v>888321</v>
      </c>
      <c r="AA297" s="53">
        <f t="shared" si="5"/>
        <v>2286546</v>
      </c>
    </row>
    <row r="298" spans="1:27" ht="12.5" x14ac:dyDescent="0.25">
      <c r="A298" s="46">
        <v>44325</v>
      </c>
      <c r="B298" s="47">
        <v>18185</v>
      </c>
      <c r="E298" s="4">
        <v>1</v>
      </c>
      <c r="F298" s="4">
        <f t="shared" si="0"/>
        <v>18184</v>
      </c>
      <c r="G298" s="47">
        <v>1297552</v>
      </c>
      <c r="I298" s="4">
        <v>32624</v>
      </c>
      <c r="K298" s="56">
        <f t="shared" si="1"/>
        <v>1264928</v>
      </c>
      <c r="L298" s="47">
        <v>35387</v>
      </c>
      <c r="N298" s="4">
        <v>6294</v>
      </c>
      <c r="P298" s="56">
        <f t="shared" si="2"/>
        <v>29093</v>
      </c>
      <c r="Q298" s="47">
        <v>11881</v>
      </c>
      <c r="R298" s="4">
        <v>635</v>
      </c>
      <c r="T298" s="4">
        <v>7271</v>
      </c>
      <c r="U298" s="56">
        <f t="shared" si="3"/>
        <v>3975</v>
      </c>
      <c r="V298" s="47">
        <v>935992</v>
      </c>
      <c r="W298" s="4">
        <v>132</v>
      </c>
      <c r="X298" s="4">
        <v>42240</v>
      </c>
      <c r="Y298" s="4">
        <v>2311</v>
      </c>
      <c r="Z298" s="56">
        <f t="shared" si="4"/>
        <v>891309</v>
      </c>
      <c r="AA298" s="53">
        <f t="shared" si="5"/>
        <v>2298997</v>
      </c>
    </row>
    <row r="299" spans="1:27" ht="12.5" x14ac:dyDescent="0.25">
      <c r="A299" s="46">
        <v>44326</v>
      </c>
      <c r="B299" s="47">
        <v>18342</v>
      </c>
      <c r="E299" s="4">
        <v>1</v>
      </c>
      <c r="F299" s="4">
        <f t="shared" si="0"/>
        <v>18341</v>
      </c>
      <c r="G299" s="47">
        <v>1300786</v>
      </c>
      <c r="I299" s="4">
        <v>31040</v>
      </c>
      <c r="K299" s="56">
        <f t="shared" si="1"/>
        <v>1269746</v>
      </c>
      <c r="L299" s="47">
        <v>37598</v>
      </c>
      <c r="N299" s="4">
        <v>6379</v>
      </c>
      <c r="P299" s="56">
        <f t="shared" si="2"/>
        <v>31219</v>
      </c>
      <c r="Q299" s="47">
        <v>11995</v>
      </c>
      <c r="R299" s="4">
        <v>598</v>
      </c>
      <c r="T299" s="4">
        <v>7300</v>
      </c>
      <c r="U299" s="56">
        <f t="shared" si="3"/>
        <v>4097</v>
      </c>
      <c r="V299" s="47">
        <v>939454</v>
      </c>
      <c r="W299" s="4">
        <v>120</v>
      </c>
      <c r="X299" s="4">
        <v>41603</v>
      </c>
      <c r="Y299" s="4">
        <v>2311</v>
      </c>
      <c r="Z299" s="56">
        <f t="shared" si="4"/>
        <v>895420</v>
      </c>
      <c r="AA299" s="53">
        <f t="shared" si="5"/>
        <v>2308175</v>
      </c>
    </row>
    <row r="300" spans="1:27" ht="12.5" x14ac:dyDescent="0.25">
      <c r="A300" s="46">
        <v>44327</v>
      </c>
      <c r="B300" s="47">
        <v>18342</v>
      </c>
      <c r="E300" s="4">
        <v>1</v>
      </c>
      <c r="F300" s="4">
        <f t="shared" si="0"/>
        <v>18341</v>
      </c>
      <c r="G300" s="47">
        <v>1302465</v>
      </c>
      <c r="I300" s="4">
        <v>28806</v>
      </c>
      <c r="K300" s="56">
        <f t="shared" si="1"/>
        <v>1273659</v>
      </c>
      <c r="L300" s="47">
        <v>38231</v>
      </c>
      <c r="N300" s="4">
        <v>6763</v>
      </c>
      <c r="P300" s="56">
        <f t="shared" si="2"/>
        <v>31468</v>
      </c>
      <c r="Q300" s="47">
        <v>12037</v>
      </c>
      <c r="R300" s="4">
        <v>538</v>
      </c>
      <c r="T300" s="4">
        <v>7326</v>
      </c>
      <c r="U300" s="56">
        <f t="shared" si="3"/>
        <v>4173</v>
      </c>
      <c r="V300" s="47">
        <v>942438</v>
      </c>
      <c r="W300" s="4">
        <v>104</v>
      </c>
      <c r="X300" s="4">
        <v>40450</v>
      </c>
      <c r="Y300" s="4">
        <v>2311</v>
      </c>
      <c r="Z300" s="56">
        <f t="shared" si="4"/>
        <v>899573</v>
      </c>
      <c r="AA300" s="53">
        <f t="shared" si="5"/>
        <v>2313513</v>
      </c>
    </row>
    <row r="301" spans="1:27" ht="12.5" x14ac:dyDescent="0.25">
      <c r="A301" s="46">
        <v>44328</v>
      </c>
      <c r="B301" s="47">
        <v>18448</v>
      </c>
      <c r="E301" s="4">
        <v>1</v>
      </c>
      <c r="F301" s="4">
        <f t="shared" si="0"/>
        <v>18447</v>
      </c>
      <c r="G301" s="47">
        <v>1306356</v>
      </c>
      <c r="I301" s="4">
        <v>27642</v>
      </c>
      <c r="K301" s="56">
        <f t="shared" si="1"/>
        <v>1278714</v>
      </c>
      <c r="L301" s="47">
        <v>38766</v>
      </c>
      <c r="N301" s="4">
        <v>6619</v>
      </c>
      <c r="P301" s="56">
        <f t="shared" si="2"/>
        <v>32147</v>
      </c>
      <c r="Q301" s="47">
        <v>12156</v>
      </c>
      <c r="R301" s="4">
        <v>522</v>
      </c>
      <c r="T301" s="4">
        <v>7376</v>
      </c>
      <c r="U301" s="56">
        <f t="shared" si="3"/>
        <v>4258</v>
      </c>
      <c r="V301" s="47">
        <v>947854</v>
      </c>
      <c r="W301" s="4">
        <v>114</v>
      </c>
      <c r="X301" s="4">
        <v>41721</v>
      </c>
      <c r="Y301" s="4">
        <v>2311</v>
      </c>
      <c r="Z301" s="56">
        <f t="shared" si="4"/>
        <v>903708</v>
      </c>
      <c r="AA301" s="53">
        <f t="shared" si="5"/>
        <v>2323580</v>
      </c>
    </row>
    <row r="302" spans="1:27" ht="12.5" x14ac:dyDescent="0.25">
      <c r="A302" s="46">
        <v>44329</v>
      </c>
      <c r="B302" s="47">
        <v>18590</v>
      </c>
      <c r="E302" s="4">
        <v>1</v>
      </c>
      <c r="F302" s="4">
        <f t="shared" si="0"/>
        <v>18589</v>
      </c>
      <c r="G302" s="47">
        <v>1311304</v>
      </c>
      <c r="I302" s="4">
        <v>27882</v>
      </c>
      <c r="K302" s="56">
        <f t="shared" si="1"/>
        <v>1283422</v>
      </c>
      <c r="L302" s="47">
        <v>39551</v>
      </c>
      <c r="N302" s="4">
        <v>6849</v>
      </c>
      <c r="P302" s="56">
        <f t="shared" si="2"/>
        <v>32702</v>
      </c>
      <c r="Q302" s="47">
        <v>12265</v>
      </c>
      <c r="R302" s="4">
        <v>506</v>
      </c>
      <c r="T302" s="4">
        <v>7411</v>
      </c>
      <c r="U302" s="56">
        <f t="shared" si="3"/>
        <v>4348</v>
      </c>
      <c r="V302" s="47">
        <v>952480</v>
      </c>
      <c r="W302" s="4">
        <v>122</v>
      </c>
      <c r="X302" s="4">
        <v>40433</v>
      </c>
      <c r="Y302" s="4">
        <v>2311</v>
      </c>
      <c r="Z302" s="56">
        <f t="shared" si="4"/>
        <v>909614</v>
      </c>
      <c r="AA302" s="53">
        <f t="shared" si="5"/>
        <v>2334190</v>
      </c>
    </row>
    <row r="303" spans="1:27" ht="12.5" x14ac:dyDescent="0.25">
      <c r="A303" s="46">
        <v>44330</v>
      </c>
      <c r="B303" s="47">
        <v>18644</v>
      </c>
      <c r="E303" s="4">
        <v>1</v>
      </c>
      <c r="F303" s="4">
        <f t="shared" si="0"/>
        <v>18643</v>
      </c>
      <c r="G303" s="47">
        <v>1314478</v>
      </c>
      <c r="I303" s="4">
        <v>26295</v>
      </c>
      <c r="K303" s="56">
        <f t="shared" si="1"/>
        <v>1288183</v>
      </c>
      <c r="L303" s="47">
        <v>40243</v>
      </c>
      <c r="N303" s="4">
        <v>7053</v>
      </c>
      <c r="P303" s="56">
        <f t="shared" si="2"/>
        <v>33190</v>
      </c>
      <c r="Q303" s="47">
        <v>12396</v>
      </c>
      <c r="R303" s="4">
        <v>489</v>
      </c>
      <c r="T303" s="4">
        <v>7456</v>
      </c>
      <c r="U303" s="56">
        <f t="shared" si="3"/>
        <v>4451</v>
      </c>
      <c r="V303" s="47">
        <v>955698</v>
      </c>
      <c r="W303" s="4">
        <v>119</v>
      </c>
      <c r="X303" s="4">
        <v>37120</v>
      </c>
      <c r="Y303" s="4">
        <v>2311</v>
      </c>
      <c r="Z303" s="56">
        <f t="shared" si="4"/>
        <v>916148</v>
      </c>
      <c r="AA303" s="53">
        <f t="shared" si="5"/>
        <v>2341459</v>
      </c>
    </row>
    <row r="304" spans="1:27" ht="12.5" x14ac:dyDescent="0.25">
      <c r="A304" s="46">
        <v>44331</v>
      </c>
      <c r="B304" s="47">
        <v>18684</v>
      </c>
      <c r="E304" s="4">
        <v>1</v>
      </c>
      <c r="F304" s="4">
        <f t="shared" si="0"/>
        <v>18683</v>
      </c>
      <c r="G304" s="47">
        <v>1315050</v>
      </c>
      <c r="I304" s="4">
        <v>25200</v>
      </c>
      <c r="K304" s="56">
        <f t="shared" si="1"/>
        <v>1289850</v>
      </c>
      <c r="L304" s="47">
        <v>40715</v>
      </c>
      <c r="N304" s="4">
        <v>7116</v>
      </c>
      <c r="P304" s="56">
        <f t="shared" si="2"/>
        <v>33599</v>
      </c>
      <c r="Q304" s="47">
        <v>12466</v>
      </c>
      <c r="R304" s="4">
        <v>488</v>
      </c>
      <c r="T304" s="4">
        <v>7501</v>
      </c>
      <c r="U304" s="56">
        <f t="shared" si="3"/>
        <v>4477</v>
      </c>
      <c r="V304" s="47">
        <v>956528</v>
      </c>
      <c r="W304" s="4">
        <v>113</v>
      </c>
      <c r="X304" s="4">
        <v>35438</v>
      </c>
      <c r="Y304" s="4">
        <v>2311</v>
      </c>
      <c r="Z304" s="56">
        <f t="shared" si="4"/>
        <v>918666</v>
      </c>
      <c r="AA304" s="53">
        <f t="shared" si="5"/>
        <v>2343443</v>
      </c>
    </row>
    <row r="305" spans="1:27" ht="12.5" x14ac:dyDescent="0.25">
      <c r="A305" s="46">
        <v>44332</v>
      </c>
      <c r="B305" s="47">
        <v>18716</v>
      </c>
      <c r="E305" s="4">
        <v>1</v>
      </c>
      <c r="F305" s="4">
        <f t="shared" si="0"/>
        <v>18715</v>
      </c>
      <c r="G305" s="47">
        <v>1315714</v>
      </c>
      <c r="I305" s="4">
        <v>24253</v>
      </c>
      <c r="K305" s="56">
        <f t="shared" si="1"/>
        <v>1291461</v>
      </c>
      <c r="L305" s="47">
        <v>41314</v>
      </c>
      <c r="N305" s="4">
        <v>6328</v>
      </c>
      <c r="P305" s="56">
        <f t="shared" si="2"/>
        <v>34986</v>
      </c>
      <c r="Q305" s="47">
        <v>12515</v>
      </c>
      <c r="R305" s="4">
        <v>482</v>
      </c>
      <c r="T305" s="4">
        <v>7538</v>
      </c>
      <c r="U305" s="56">
        <f t="shared" si="3"/>
        <v>4495</v>
      </c>
      <c r="V305" s="47">
        <v>957983</v>
      </c>
      <c r="W305" s="4">
        <v>104</v>
      </c>
      <c r="X305" s="4">
        <v>33489</v>
      </c>
      <c r="Y305" s="4">
        <v>2311</v>
      </c>
      <c r="Z305" s="56">
        <f t="shared" si="4"/>
        <v>922079</v>
      </c>
      <c r="AA305" s="53">
        <f t="shared" si="5"/>
        <v>2346242</v>
      </c>
    </row>
    <row r="306" spans="1:27" ht="12.5" x14ac:dyDescent="0.25">
      <c r="A306" s="46">
        <v>44333</v>
      </c>
      <c r="B306" s="47">
        <v>18819</v>
      </c>
      <c r="E306" s="4">
        <v>1</v>
      </c>
      <c r="F306" s="4">
        <f t="shared" si="0"/>
        <v>18818</v>
      </c>
      <c r="G306" s="47">
        <v>1317795</v>
      </c>
      <c r="I306" s="4">
        <v>21762</v>
      </c>
      <c r="K306" s="56">
        <f t="shared" si="1"/>
        <v>1296033</v>
      </c>
      <c r="L306" s="47">
        <v>41893</v>
      </c>
      <c r="N306" s="4">
        <v>5954</v>
      </c>
      <c r="P306" s="56">
        <f t="shared" si="2"/>
        <v>35939</v>
      </c>
      <c r="Q306" s="47">
        <v>12580</v>
      </c>
      <c r="R306" s="4">
        <v>428</v>
      </c>
      <c r="T306" s="4">
        <v>7569</v>
      </c>
      <c r="U306" s="56">
        <f t="shared" si="3"/>
        <v>4583</v>
      </c>
      <c r="V306" s="47">
        <v>960591</v>
      </c>
      <c r="W306" s="4">
        <v>101</v>
      </c>
      <c r="X306" s="4">
        <v>30332</v>
      </c>
      <c r="Y306" s="4">
        <v>2311</v>
      </c>
      <c r="Z306" s="56">
        <f t="shared" si="4"/>
        <v>927847</v>
      </c>
      <c r="AA306" s="53">
        <f t="shared" si="5"/>
        <v>2351678</v>
      </c>
    </row>
    <row r="307" spans="1:27" ht="12.5" x14ac:dyDescent="0.25">
      <c r="A307" s="46">
        <v>44334</v>
      </c>
      <c r="B307" s="47">
        <v>18820</v>
      </c>
      <c r="E307" s="4">
        <v>1</v>
      </c>
      <c r="F307" s="4">
        <f t="shared" si="0"/>
        <v>18819</v>
      </c>
      <c r="G307" s="47">
        <v>1319558</v>
      </c>
      <c r="I307" s="4">
        <v>19159</v>
      </c>
      <c r="K307" s="56">
        <f t="shared" si="1"/>
        <v>1300399</v>
      </c>
      <c r="L307" s="47">
        <v>42376</v>
      </c>
      <c r="N307" s="4">
        <v>5274</v>
      </c>
      <c r="P307" s="56">
        <f t="shared" si="2"/>
        <v>37102</v>
      </c>
      <c r="Q307" s="47">
        <v>12632</v>
      </c>
      <c r="R307" s="4">
        <v>374</v>
      </c>
      <c r="T307" s="4">
        <v>7601</v>
      </c>
      <c r="U307" s="56">
        <f t="shared" si="3"/>
        <v>4657</v>
      </c>
      <c r="V307" s="47">
        <v>962684</v>
      </c>
      <c r="W307" s="4">
        <v>97</v>
      </c>
      <c r="X307" s="4">
        <v>26894</v>
      </c>
      <c r="Y307" s="4">
        <v>2311</v>
      </c>
      <c r="Z307" s="56">
        <f t="shared" si="4"/>
        <v>933382</v>
      </c>
      <c r="AA307" s="53">
        <f t="shared" si="5"/>
        <v>2356070</v>
      </c>
    </row>
    <row r="308" spans="1:27" ht="12.5" x14ac:dyDescent="0.25">
      <c r="A308" s="46">
        <v>44335</v>
      </c>
      <c r="B308" s="47">
        <v>18926</v>
      </c>
      <c r="E308" s="4">
        <v>1</v>
      </c>
      <c r="F308" s="4">
        <f t="shared" si="0"/>
        <v>18925</v>
      </c>
      <c r="G308" s="47">
        <v>1323540</v>
      </c>
      <c r="I308" s="4">
        <v>18894</v>
      </c>
      <c r="K308" s="56">
        <f t="shared" si="1"/>
        <v>1304646</v>
      </c>
      <c r="L308" s="47">
        <v>42970</v>
      </c>
      <c r="N308" s="4">
        <v>4788</v>
      </c>
      <c r="P308" s="56">
        <f t="shared" si="2"/>
        <v>38182</v>
      </c>
      <c r="Q308" s="47">
        <v>12689</v>
      </c>
      <c r="R308" s="4">
        <v>300</v>
      </c>
      <c r="T308" s="4">
        <v>7635</v>
      </c>
      <c r="U308" s="56">
        <f t="shared" si="3"/>
        <v>4754</v>
      </c>
      <c r="V308" s="47">
        <v>969716</v>
      </c>
      <c r="W308" s="4">
        <v>134</v>
      </c>
      <c r="X308" s="4">
        <v>27811</v>
      </c>
      <c r="Y308" s="4">
        <v>2311</v>
      </c>
      <c r="Z308" s="56">
        <f t="shared" si="4"/>
        <v>939460</v>
      </c>
      <c r="AA308" s="53">
        <f t="shared" si="5"/>
        <v>2367841</v>
      </c>
    </row>
    <row r="309" spans="1:27" ht="12.5" x14ac:dyDescent="0.25">
      <c r="A309" s="46">
        <v>44336</v>
      </c>
      <c r="B309" s="47">
        <v>19044</v>
      </c>
      <c r="E309" s="4">
        <v>1</v>
      </c>
      <c r="F309" s="4">
        <f t="shared" si="0"/>
        <v>19043</v>
      </c>
      <c r="G309" s="47">
        <v>1328590</v>
      </c>
      <c r="I309" s="4">
        <v>20005</v>
      </c>
      <c r="K309" s="56">
        <f t="shared" si="1"/>
        <v>1308585</v>
      </c>
      <c r="L309" s="47">
        <v>44024</v>
      </c>
      <c r="N309" s="4">
        <v>5313</v>
      </c>
      <c r="P309" s="56">
        <f t="shared" si="2"/>
        <v>38711</v>
      </c>
      <c r="Q309" s="47">
        <v>12796</v>
      </c>
      <c r="R309" s="4">
        <v>292</v>
      </c>
      <c r="T309" s="4">
        <v>7677</v>
      </c>
      <c r="U309" s="56">
        <f t="shared" si="3"/>
        <v>4827</v>
      </c>
      <c r="V309" s="47">
        <v>976755</v>
      </c>
      <c r="W309" s="4">
        <v>131</v>
      </c>
      <c r="X309" s="4">
        <v>30257</v>
      </c>
      <c r="Y309" s="4">
        <v>2311</v>
      </c>
      <c r="Z309" s="56">
        <f t="shared" si="4"/>
        <v>944056</v>
      </c>
      <c r="AA309" s="53">
        <f t="shared" si="5"/>
        <v>2381209</v>
      </c>
    </row>
    <row r="310" spans="1:27" ht="12.5" x14ac:dyDescent="0.25">
      <c r="A310" s="46">
        <v>44337</v>
      </c>
      <c r="B310" s="47">
        <v>19103</v>
      </c>
      <c r="E310" s="4">
        <v>1</v>
      </c>
      <c r="F310" s="4">
        <f t="shared" si="0"/>
        <v>19102</v>
      </c>
      <c r="G310" s="47">
        <v>1333824</v>
      </c>
      <c r="I310" s="4">
        <v>21275</v>
      </c>
      <c r="K310" s="56">
        <f t="shared" si="1"/>
        <v>1312549</v>
      </c>
      <c r="L310" s="47">
        <v>45000</v>
      </c>
      <c r="N310" s="4">
        <v>4528</v>
      </c>
      <c r="P310" s="56">
        <f t="shared" si="2"/>
        <v>40472</v>
      </c>
      <c r="Q310" s="47">
        <v>12964</v>
      </c>
      <c r="R310" s="4">
        <v>333</v>
      </c>
      <c r="T310" s="4">
        <v>7725</v>
      </c>
      <c r="U310" s="56">
        <f t="shared" si="3"/>
        <v>4906</v>
      </c>
      <c r="V310" s="47">
        <v>983749</v>
      </c>
      <c r="W310" s="4">
        <v>138</v>
      </c>
      <c r="X310" s="4">
        <v>33023</v>
      </c>
      <c r="Y310" s="4">
        <v>2311</v>
      </c>
      <c r="Z310" s="56">
        <f t="shared" si="4"/>
        <v>948277</v>
      </c>
      <c r="AA310" s="53">
        <f t="shared" si="5"/>
        <v>2394640</v>
      </c>
    </row>
    <row r="311" spans="1:27" ht="12.5" x14ac:dyDescent="0.25">
      <c r="A311" s="46">
        <v>44338</v>
      </c>
      <c r="B311" s="47">
        <v>19103</v>
      </c>
      <c r="E311" s="4">
        <v>1</v>
      </c>
      <c r="F311" s="4">
        <f t="shared" si="0"/>
        <v>19102</v>
      </c>
      <c r="G311" s="47">
        <v>1340210</v>
      </c>
      <c r="I311" s="4">
        <v>24631</v>
      </c>
      <c r="K311" s="56">
        <f t="shared" si="1"/>
        <v>1315579</v>
      </c>
      <c r="L311" s="47">
        <v>46478</v>
      </c>
      <c r="N311" s="4">
        <v>4702</v>
      </c>
      <c r="P311" s="56">
        <f t="shared" si="2"/>
        <v>41776</v>
      </c>
      <c r="Q311" s="47">
        <v>13100</v>
      </c>
      <c r="R311" s="4">
        <v>395</v>
      </c>
      <c r="T311" s="4">
        <v>7774</v>
      </c>
      <c r="U311" s="56">
        <f t="shared" si="3"/>
        <v>4931</v>
      </c>
      <c r="V311" s="47">
        <v>991840</v>
      </c>
      <c r="W311" s="4">
        <v>139</v>
      </c>
      <c r="X311" s="4">
        <v>38363</v>
      </c>
      <c r="Y311" s="4">
        <v>2311</v>
      </c>
      <c r="Z311" s="56">
        <f t="shared" si="4"/>
        <v>951027</v>
      </c>
      <c r="AA311" s="53">
        <f t="shared" si="5"/>
        <v>2410731</v>
      </c>
    </row>
    <row r="312" spans="1:27" ht="12.5" x14ac:dyDescent="0.25">
      <c r="A312" s="46">
        <v>44339</v>
      </c>
      <c r="B312" s="47">
        <v>19103</v>
      </c>
      <c r="E312" s="4">
        <v>1</v>
      </c>
      <c r="F312" s="4">
        <f t="shared" si="0"/>
        <v>19102</v>
      </c>
      <c r="G312" s="47">
        <v>1346243</v>
      </c>
      <c r="I312" s="4">
        <v>28689</v>
      </c>
      <c r="K312" s="56">
        <f t="shared" si="1"/>
        <v>1317554</v>
      </c>
      <c r="L312" s="47">
        <v>48611</v>
      </c>
      <c r="N312" s="4">
        <v>5419</v>
      </c>
      <c r="P312" s="56">
        <f t="shared" si="2"/>
        <v>43192</v>
      </c>
      <c r="Q312" s="47">
        <v>13240</v>
      </c>
      <c r="R312" s="4">
        <v>478</v>
      </c>
      <c r="T312" s="4">
        <v>7818</v>
      </c>
      <c r="U312" s="56">
        <f t="shared" si="3"/>
        <v>4944</v>
      </c>
      <c r="V312" s="47">
        <v>1000574</v>
      </c>
      <c r="W312" s="4">
        <v>166</v>
      </c>
      <c r="X312" s="4">
        <v>44695</v>
      </c>
      <c r="Y312" s="4">
        <v>2311</v>
      </c>
      <c r="Z312" s="56">
        <f t="shared" si="4"/>
        <v>953402</v>
      </c>
      <c r="AA312" s="53">
        <f t="shared" si="5"/>
        <v>2427771</v>
      </c>
    </row>
    <row r="313" spans="1:27" ht="12.5" x14ac:dyDescent="0.25">
      <c r="A313" s="46">
        <v>44340</v>
      </c>
      <c r="B313" s="47">
        <v>19146</v>
      </c>
      <c r="E313" s="4">
        <v>1</v>
      </c>
      <c r="F313" s="4">
        <f t="shared" si="0"/>
        <v>19145</v>
      </c>
      <c r="G313" s="47">
        <v>1351496</v>
      </c>
      <c r="I313" s="4">
        <v>30213</v>
      </c>
      <c r="K313" s="56">
        <f t="shared" si="1"/>
        <v>1321283</v>
      </c>
      <c r="L313" s="47">
        <v>49644</v>
      </c>
      <c r="N313" s="4">
        <v>5808</v>
      </c>
      <c r="P313" s="56">
        <f t="shared" si="2"/>
        <v>43836</v>
      </c>
      <c r="Q313" s="47">
        <v>13315</v>
      </c>
      <c r="R313" s="4">
        <v>472</v>
      </c>
      <c r="T313" s="4">
        <v>7860</v>
      </c>
      <c r="U313" s="56">
        <f t="shared" si="3"/>
        <v>4983</v>
      </c>
      <c r="V313" s="47">
        <v>1004907</v>
      </c>
      <c r="W313" s="4">
        <v>165</v>
      </c>
      <c r="X313" s="4">
        <v>42854</v>
      </c>
      <c r="Y313" s="4">
        <v>2311</v>
      </c>
      <c r="Z313" s="56">
        <f t="shared" si="4"/>
        <v>959577</v>
      </c>
      <c r="AA313" s="53">
        <f t="shared" si="5"/>
        <v>2438508</v>
      </c>
    </row>
    <row r="314" spans="1:27" ht="12.5" x14ac:dyDescent="0.25">
      <c r="A314" s="46">
        <v>44341</v>
      </c>
      <c r="B314" s="47">
        <v>19154</v>
      </c>
      <c r="E314" s="4">
        <v>1</v>
      </c>
      <c r="F314" s="4">
        <f t="shared" si="0"/>
        <v>19153</v>
      </c>
      <c r="G314" s="47">
        <v>1354306</v>
      </c>
      <c r="I314" s="4">
        <v>29821</v>
      </c>
      <c r="K314" s="56">
        <f t="shared" si="1"/>
        <v>1324485</v>
      </c>
      <c r="L314" s="47">
        <v>51040</v>
      </c>
      <c r="N314" s="4">
        <v>6432</v>
      </c>
      <c r="P314" s="56">
        <f t="shared" si="2"/>
        <v>44608</v>
      </c>
      <c r="Q314" s="47">
        <v>13376</v>
      </c>
      <c r="R314" s="4">
        <v>454</v>
      </c>
      <c r="T314" s="4">
        <v>7898</v>
      </c>
      <c r="U314" s="56">
        <f t="shared" si="3"/>
        <v>5024</v>
      </c>
      <c r="V314" s="47">
        <v>1008244</v>
      </c>
      <c r="W314" s="4">
        <v>150</v>
      </c>
      <c r="X314" s="4">
        <v>43148</v>
      </c>
      <c r="Y314" s="4">
        <v>2311</v>
      </c>
      <c r="Z314" s="56">
        <f t="shared" si="4"/>
        <v>962635</v>
      </c>
      <c r="AA314" s="53">
        <f t="shared" si="5"/>
        <v>2446120</v>
      </c>
    </row>
    <row r="315" spans="1:27" ht="12.5" x14ac:dyDescent="0.25">
      <c r="A315" s="46">
        <v>44342</v>
      </c>
      <c r="B315" s="47">
        <v>19161</v>
      </c>
      <c r="E315" s="4">
        <v>1</v>
      </c>
      <c r="F315" s="4">
        <f t="shared" si="0"/>
        <v>19160</v>
      </c>
      <c r="G315" s="47">
        <v>1359653</v>
      </c>
      <c r="I315" s="4">
        <v>33236</v>
      </c>
      <c r="K315" s="56">
        <f t="shared" si="1"/>
        <v>1326417</v>
      </c>
      <c r="L315" s="47">
        <v>52023</v>
      </c>
      <c r="N315" s="4">
        <v>6265</v>
      </c>
      <c r="P315" s="56">
        <f t="shared" si="2"/>
        <v>45758</v>
      </c>
      <c r="Q315" s="47">
        <v>13455</v>
      </c>
      <c r="R315" s="4">
        <v>445</v>
      </c>
      <c r="T315" s="4">
        <v>7939</v>
      </c>
      <c r="U315" s="56">
        <f t="shared" si="3"/>
        <v>5071</v>
      </c>
      <c r="V315" s="47">
        <v>1016385</v>
      </c>
      <c r="W315" s="4">
        <v>172</v>
      </c>
      <c r="X315" s="4">
        <v>49553</v>
      </c>
      <c r="Y315" s="4">
        <v>2311</v>
      </c>
      <c r="Z315" s="56">
        <f t="shared" si="4"/>
        <v>964349</v>
      </c>
      <c r="AA315" s="53">
        <f t="shared" si="5"/>
        <v>2460677</v>
      </c>
    </row>
    <row r="316" spans="1:27" ht="12.5" x14ac:dyDescent="0.25">
      <c r="A316" s="46">
        <v>44343</v>
      </c>
      <c r="B316" s="47">
        <v>19163</v>
      </c>
      <c r="E316" s="4">
        <v>1</v>
      </c>
      <c r="F316" s="4">
        <f t="shared" si="0"/>
        <v>19162</v>
      </c>
      <c r="G316" s="47">
        <v>1365259</v>
      </c>
      <c r="I316" s="4">
        <v>37845</v>
      </c>
      <c r="K316" s="56">
        <f t="shared" si="1"/>
        <v>1327414</v>
      </c>
      <c r="L316" s="47">
        <v>53245</v>
      </c>
      <c r="N316" s="4">
        <v>7070</v>
      </c>
      <c r="P316" s="56">
        <f t="shared" si="2"/>
        <v>46175</v>
      </c>
      <c r="Q316" s="47">
        <v>13583</v>
      </c>
      <c r="R316" s="4">
        <v>497</v>
      </c>
      <c r="T316" s="4">
        <v>7978</v>
      </c>
      <c r="U316" s="56">
        <f t="shared" si="3"/>
        <v>5108</v>
      </c>
      <c r="V316" s="47">
        <v>1023312</v>
      </c>
      <c r="W316" s="4">
        <v>180</v>
      </c>
      <c r="X316" s="4">
        <v>55196</v>
      </c>
      <c r="Y316" s="4">
        <v>2311</v>
      </c>
      <c r="Z316" s="56">
        <f t="shared" si="4"/>
        <v>965625</v>
      </c>
      <c r="AA316" s="53">
        <f t="shared" si="5"/>
        <v>2474562</v>
      </c>
    </row>
    <row r="317" spans="1:27" ht="12.5" x14ac:dyDescent="0.25">
      <c r="A317" s="46">
        <v>44344</v>
      </c>
      <c r="B317" s="47">
        <v>19187</v>
      </c>
      <c r="E317" s="4">
        <v>1</v>
      </c>
      <c r="F317" s="4">
        <f t="shared" si="0"/>
        <v>19186</v>
      </c>
      <c r="G317" s="47">
        <v>1369163</v>
      </c>
      <c r="I317" s="4">
        <v>40493</v>
      </c>
      <c r="K317" s="56">
        <f t="shared" si="1"/>
        <v>1328670</v>
      </c>
      <c r="L317" s="47">
        <v>54008</v>
      </c>
      <c r="N317" s="4">
        <v>7393</v>
      </c>
      <c r="P317" s="56">
        <f t="shared" si="2"/>
        <v>46615</v>
      </c>
      <c r="Q317" s="47">
        <v>13666</v>
      </c>
      <c r="R317" s="4">
        <v>521</v>
      </c>
      <c r="T317" s="4">
        <v>8015</v>
      </c>
      <c r="U317" s="56">
        <f t="shared" si="3"/>
        <v>5130</v>
      </c>
      <c r="V317" s="47">
        <v>1025573</v>
      </c>
      <c r="W317" s="4">
        <v>180</v>
      </c>
      <c r="X317" s="4">
        <v>56158</v>
      </c>
      <c r="Y317" s="4">
        <v>2311</v>
      </c>
      <c r="Z317" s="56">
        <f t="shared" si="4"/>
        <v>966924</v>
      </c>
      <c r="AA317" s="53">
        <f t="shared" si="5"/>
        <v>2481597</v>
      </c>
    </row>
    <row r="318" spans="1:27" ht="12.5" x14ac:dyDescent="0.25">
      <c r="A318" s="46">
        <v>44345</v>
      </c>
      <c r="B318" s="47">
        <v>19251</v>
      </c>
      <c r="E318" s="4">
        <v>1</v>
      </c>
      <c r="F318" s="4">
        <f t="shared" si="0"/>
        <v>19250</v>
      </c>
      <c r="G318" s="47">
        <v>1374781</v>
      </c>
      <c r="I318" s="4">
        <v>43063</v>
      </c>
      <c r="K318" s="56">
        <f t="shared" si="1"/>
        <v>1331718</v>
      </c>
      <c r="L318" s="47">
        <v>55011</v>
      </c>
      <c r="N318" s="4">
        <v>7716</v>
      </c>
      <c r="P318" s="56">
        <f t="shared" si="2"/>
        <v>47295</v>
      </c>
      <c r="Q318" s="47">
        <v>13784</v>
      </c>
      <c r="R318" s="4">
        <v>545</v>
      </c>
      <c r="T318" s="4">
        <v>8058</v>
      </c>
      <c r="U318" s="56">
        <f t="shared" si="3"/>
        <v>5181</v>
      </c>
      <c r="V318" s="47">
        <v>1033609</v>
      </c>
      <c r="W318" s="4">
        <v>185</v>
      </c>
      <c r="X318" s="4">
        <v>61440</v>
      </c>
      <c r="Y318" s="4">
        <v>2311</v>
      </c>
      <c r="Z318" s="56">
        <f t="shared" si="4"/>
        <v>969673</v>
      </c>
      <c r="AA318" s="53">
        <f t="shared" si="5"/>
        <v>2496436</v>
      </c>
    </row>
    <row r="319" spans="1:27" ht="12.5" x14ac:dyDescent="0.25">
      <c r="A319" s="46">
        <v>44346</v>
      </c>
      <c r="B319" s="47">
        <v>19280</v>
      </c>
      <c r="E319" s="4">
        <v>1</v>
      </c>
      <c r="F319" s="4">
        <f t="shared" si="0"/>
        <v>19279</v>
      </c>
      <c r="G319" s="47">
        <v>1381155</v>
      </c>
      <c r="I319" s="4">
        <v>5289</v>
      </c>
      <c r="K319" s="56">
        <f t="shared" si="1"/>
        <v>1375866</v>
      </c>
      <c r="L319" s="47">
        <v>56933</v>
      </c>
      <c r="N319" s="4">
        <v>1658</v>
      </c>
      <c r="P319" s="56">
        <f t="shared" si="2"/>
        <v>55275</v>
      </c>
      <c r="Q319" s="47">
        <v>13894</v>
      </c>
      <c r="R319" s="4">
        <v>53</v>
      </c>
      <c r="T319" s="4">
        <v>8099</v>
      </c>
      <c r="U319" s="56">
        <f t="shared" si="3"/>
        <v>5742</v>
      </c>
      <c r="V319" s="47">
        <v>1040764</v>
      </c>
      <c r="W319" s="4">
        <v>17</v>
      </c>
      <c r="X319" s="4">
        <v>6473</v>
      </c>
      <c r="Y319" s="4">
        <v>2311</v>
      </c>
      <c r="Z319" s="56">
        <f t="shared" si="4"/>
        <v>1031963</v>
      </c>
      <c r="AA319" s="53">
        <f t="shared" si="5"/>
        <v>2512026</v>
      </c>
    </row>
    <row r="320" spans="1:27" ht="12.5" x14ac:dyDescent="0.25">
      <c r="A320" s="46">
        <v>44347</v>
      </c>
      <c r="B320" s="47">
        <v>19283</v>
      </c>
      <c r="E320" s="4">
        <v>1</v>
      </c>
      <c r="F320" s="4">
        <f t="shared" si="0"/>
        <v>19282</v>
      </c>
      <c r="G320" s="47">
        <v>1388562</v>
      </c>
      <c r="I320" s="4">
        <v>10891</v>
      </c>
      <c r="K320" s="56">
        <f t="shared" si="1"/>
        <v>1377671</v>
      </c>
      <c r="L320" s="47">
        <v>58242</v>
      </c>
      <c r="N320" s="4">
        <v>2720</v>
      </c>
      <c r="P320" s="56">
        <f t="shared" si="2"/>
        <v>55522</v>
      </c>
      <c r="Q320" s="47">
        <v>14020</v>
      </c>
      <c r="R320" s="4">
        <v>127</v>
      </c>
      <c r="T320" s="4">
        <v>8137</v>
      </c>
      <c r="U320" s="56">
        <f t="shared" si="3"/>
        <v>5756</v>
      </c>
      <c r="V320" s="47">
        <v>1046118</v>
      </c>
      <c r="W320" s="4">
        <v>29</v>
      </c>
      <c r="X320" s="4">
        <v>11232</v>
      </c>
      <c r="Y320" s="4">
        <v>2311</v>
      </c>
      <c r="Z320" s="56">
        <f t="shared" si="4"/>
        <v>1032546</v>
      </c>
      <c r="AA320" s="53">
        <f t="shared" si="5"/>
        <v>2526225</v>
      </c>
    </row>
    <row r="321" spans="1:27" ht="12.5" x14ac:dyDescent="0.25">
      <c r="A321" s="46">
        <v>44348</v>
      </c>
      <c r="B321" s="47">
        <v>19312</v>
      </c>
      <c r="E321" s="4">
        <v>1</v>
      </c>
      <c r="F321" s="4">
        <f t="shared" si="0"/>
        <v>19311</v>
      </c>
      <c r="G321" s="47">
        <v>1392600</v>
      </c>
      <c r="I321" s="4">
        <v>13669</v>
      </c>
      <c r="K321" s="56">
        <f t="shared" si="1"/>
        <v>1378931</v>
      </c>
      <c r="L321" s="47">
        <v>59115</v>
      </c>
      <c r="N321" s="4">
        <v>3141</v>
      </c>
      <c r="P321" s="56">
        <f t="shared" si="2"/>
        <v>55974</v>
      </c>
      <c r="Q321" s="47">
        <v>14086</v>
      </c>
      <c r="R321" s="4">
        <v>153</v>
      </c>
      <c r="T321" s="4">
        <v>8173</v>
      </c>
      <c r="U321" s="56">
        <f t="shared" si="3"/>
        <v>5760</v>
      </c>
      <c r="V321" s="47">
        <v>1049554</v>
      </c>
      <c r="W321" s="4">
        <v>34</v>
      </c>
      <c r="X321" s="4">
        <v>14278</v>
      </c>
      <c r="Y321" s="4">
        <v>2311</v>
      </c>
      <c r="Z321" s="56">
        <f t="shared" si="4"/>
        <v>1032931</v>
      </c>
      <c r="AA321" s="53">
        <f t="shared" si="5"/>
        <v>2534667</v>
      </c>
    </row>
    <row r="322" spans="1:27" ht="12.5" x14ac:dyDescent="0.25">
      <c r="A322" s="46">
        <v>44349</v>
      </c>
      <c r="B322" s="47">
        <v>19322</v>
      </c>
      <c r="E322" s="4">
        <v>1</v>
      </c>
      <c r="F322" s="4">
        <f t="shared" si="0"/>
        <v>19321</v>
      </c>
      <c r="G322" s="47">
        <v>1398550</v>
      </c>
      <c r="I322" s="4">
        <v>18442</v>
      </c>
      <c r="K322" s="56">
        <f t="shared" si="1"/>
        <v>1380108</v>
      </c>
      <c r="L322" s="47">
        <v>60001</v>
      </c>
      <c r="N322" s="4">
        <v>3901</v>
      </c>
      <c r="P322" s="56">
        <f t="shared" si="2"/>
        <v>56100</v>
      </c>
      <c r="Q322" s="47">
        <v>14178</v>
      </c>
      <c r="R322" s="4">
        <v>173</v>
      </c>
      <c r="T322" s="4">
        <v>8214</v>
      </c>
      <c r="U322" s="56">
        <f t="shared" si="3"/>
        <v>5791</v>
      </c>
      <c r="V322" s="47">
        <v>1056184</v>
      </c>
      <c r="W322" s="4">
        <v>47</v>
      </c>
      <c r="X322" s="4">
        <v>20385</v>
      </c>
      <c r="Y322" s="4">
        <v>2311</v>
      </c>
      <c r="Z322" s="56">
        <f t="shared" si="4"/>
        <v>1033441</v>
      </c>
      <c r="AA322" s="53">
        <f t="shared" si="5"/>
        <v>2548235</v>
      </c>
    </row>
    <row r="323" spans="1:27" ht="12.5" x14ac:dyDescent="0.25">
      <c r="A323" s="46">
        <v>44350</v>
      </c>
      <c r="B323" s="47">
        <v>19334</v>
      </c>
      <c r="E323" s="4">
        <v>1</v>
      </c>
      <c r="F323" s="4">
        <f t="shared" si="0"/>
        <v>19333</v>
      </c>
      <c r="G323" s="47">
        <v>1402176</v>
      </c>
      <c r="I323" s="4">
        <v>21337</v>
      </c>
      <c r="K323" s="56">
        <f t="shared" si="1"/>
        <v>1380839</v>
      </c>
      <c r="L323" s="47">
        <v>60878</v>
      </c>
      <c r="N323" s="4">
        <v>4668</v>
      </c>
      <c r="P323" s="56">
        <f t="shared" si="2"/>
        <v>56210</v>
      </c>
      <c r="Q323" s="47">
        <v>14262</v>
      </c>
      <c r="R323" s="4">
        <v>215</v>
      </c>
      <c r="T323" s="4">
        <v>8246</v>
      </c>
      <c r="U323" s="56">
        <f t="shared" si="3"/>
        <v>5801</v>
      </c>
      <c r="V323" s="47">
        <v>1060223</v>
      </c>
      <c r="W323" s="4">
        <v>49</v>
      </c>
      <c r="X323" s="4">
        <v>24026</v>
      </c>
      <c r="Y323" s="4">
        <v>2311</v>
      </c>
      <c r="Z323" s="56">
        <f t="shared" si="4"/>
        <v>1033837</v>
      </c>
      <c r="AA323" s="53">
        <f t="shared" si="5"/>
        <v>2556873</v>
      </c>
    </row>
    <row r="324" spans="1:27" ht="12.5" x14ac:dyDescent="0.25">
      <c r="A324" s="46">
        <v>44351</v>
      </c>
      <c r="B324" s="47">
        <v>19383</v>
      </c>
      <c r="E324" s="4">
        <v>1</v>
      </c>
      <c r="F324" s="4">
        <f t="shared" si="0"/>
        <v>19382</v>
      </c>
      <c r="G324" s="47">
        <v>1408224</v>
      </c>
      <c r="I324" s="4">
        <v>26795</v>
      </c>
      <c r="K324" s="56">
        <f t="shared" si="1"/>
        <v>1381429</v>
      </c>
      <c r="L324" s="47">
        <v>61631</v>
      </c>
      <c r="N324" s="4">
        <v>5078</v>
      </c>
      <c r="P324" s="56">
        <f t="shared" si="2"/>
        <v>56553</v>
      </c>
      <c r="Q324" s="47">
        <v>14343</v>
      </c>
      <c r="R324" s="4">
        <v>258</v>
      </c>
      <c r="T324" s="4">
        <v>8283</v>
      </c>
      <c r="U324" s="56">
        <f t="shared" si="3"/>
        <v>5802</v>
      </c>
      <c r="V324" s="47">
        <v>1067664</v>
      </c>
      <c r="W324" s="4">
        <v>69</v>
      </c>
      <c r="X324" s="4">
        <v>30628</v>
      </c>
      <c r="Y324" s="4">
        <v>2311</v>
      </c>
      <c r="Z324" s="56">
        <f t="shared" si="4"/>
        <v>1034656</v>
      </c>
      <c r="AA324" s="53">
        <f t="shared" si="5"/>
        <v>2571245</v>
      </c>
    </row>
    <row r="325" spans="1:27" ht="12.5" x14ac:dyDescent="0.25">
      <c r="A325" s="46">
        <v>44352</v>
      </c>
      <c r="B325" s="47">
        <v>19435</v>
      </c>
      <c r="E325" s="4">
        <v>1</v>
      </c>
      <c r="F325" s="4">
        <f t="shared" si="0"/>
        <v>19434</v>
      </c>
      <c r="G325" s="47">
        <v>1417507</v>
      </c>
      <c r="I325" s="4">
        <v>35272</v>
      </c>
      <c r="K325" s="56">
        <f t="shared" si="1"/>
        <v>1382235</v>
      </c>
      <c r="L325" s="47">
        <v>62341</v>
      </c>
      <c r="N325" s="4">
        <v>5645</v>
      </c>
      <c r="P325" s="56">
        <f t="shared" si="2"/>
        <v>56696</v>
      </c>
      <c r="Q325" s="47">
        <v>14509</v>
      </c>
      <c r="R325" s="4">
        <v>384</v>
      </c>
      <c r="T325" s="4">
        <v>8322</v>
      </c>
      <c r="U325" s="56">
        <f t="shared" si="3"/>
        <v>5803</v>
      </c>
      <c r="V325" s="47">
        <v>1073132</v>
      </c>
      <c r="W325" s="4">
        <v>92</v>
      </c>
      <c r="X325" s="4">
        <v>35252</v>
      </c>
      <c r="Y325" s="4">
        <v>2311</v>
      </c>
      <c r="Z325" s="56">
        <f t="shared" si="4"/>
        <v>1035477</v>
      </c>
      <c r="AA325" s="53">
        <f t="shared" si="5"/>
        <v>2586924</v>
      </c>
    </row>
    <row r="326" spans="1:27" ht="12.5" x14ac:dyDescent="0.25">
      <c r="A326" s="46">
        <v>44353</v>
      </c>
      <c r="B326" s="47">
        <v>19447</v>
      </c>
      <c r="E326" s="4">
        <v>1</v>
      </c>
      <c r="F326" s="4">
        <f t="shared" si="0"/>
        <v>19446</v>
      </c>
      <c r="G326" s="47">
        <v>1423505</v>
      </c>
      <c r="I326" s="4">
        <v>40417</v>
      </c>
      <c r="K326" s="56">
        <f t="shared" si="1"/>
        <v>1383088</v>
      </c>
      <c r="L326" s="47">
        <v>63677</v>
      </c>
      <c r="N326" s="4">
        <v>6872</v>
      </c>
      <c r="P326" s="56">
        <f t="shared" si="2"/>
        <v>56805</v>
      </c>
      <c r="Q326" s="47">
        <v>14629</v>
      </c>
      <c r="R326" s="4">
        <v>448</v>
      </c>
      <c r="T326" s="4">
        <v>8363</v>
      </c>
      <c r="U326" s="56">
        <f t="shared" si="3"/>
        <v>5818</v>
      </c>
      <c r="V326" s="47">
        <v>1079610</v>
      </c>
      <c r="W326" s="4">
        <v>103</v>
      </c>
      <c r="X326" s="4">
        <v>40665</v>
      </c>
      <c r="Y326" s="4">
        <v>2311</v>
      </c>
      <c r="Z326" s="56">
        <f t="shared" si="4"/>
        <v>1036531</v>
      </c>
      <c r="AA326" s="53">
        <f t="shared" si="5"/>
        <v>2600868</v>
      </c>
    </row>
    <row r="327" spans="1:27" ht="12.5" x14ac:dyDescent="0.25">
      <c r="A327" s="46">
        <v>44354</v>
      </c>
      <c r="B327" s="47">
        <v>19461</v>
      </c>
      <c r="E327" s="4">
        <v>1</v>
      </c>
      <c r="F327" s="4">
        <f t="shared" si="0"/>
        <v>19460</v>
      </c>
      <c r="G327" s="47">
        <v>1428099</v>
      </c>
      <c r="I327" s="4">
        <v>43584</v>
      </c>
      <c r="K327" s="56">
        <f t="shared" si="1"/>
        <v>1384515</v>
      </c>
      <c r="L327" s="47">
        <v>64435</v>
      </c>
      <c r="N327" s="4">
        <v>7551</v>
      </c>
      <c r="P327" s="56">
        <f t="shared" si="2"/>
        <v>56884</v>
      </c>
      <c r="Q327" s="47">
        <v>14726</v>
      </c>
      <c r="R327" s="4">
        <v>508</v>
      </c>
      <c r="T327" s="4">
        <v>8398</v>
      </c>
      <c r="U327" s="56">
        <f t="shared" si="3"/>
        <v>5820</v>
      </c>
      <c r="V327" s="47">
        <v>1083622</v>
      </c>
      <c r="W327" s="4">
        <v>105</v>
      </c>
      <c r="X327" s="4">
        <v>43929</v>
      </c>
      <c r="Y327" s="4">
        <v>2311</v>
      </c>
      <c r="Z327" s="56">
        <f t="shared" si="4"/>
        <v>1037277</v>
      </c>
      <c r="AA327" s="53">
        <f t="shared" si="5"/>
        <v>2610343</v>
      </c>
    </row>
    <row r="328" spans="1:27" ht="12.5" x14ac:dyDescent="0.25">
      <c r="A328" s="46">
        <v>44355</v>
      </c>
      <c r="B328" s="47">
        <v>19469</v>
      </c>
      <c r="E328" s="4">
        <v>1</v>
      </c>
      <c r="F328" s="4">
        <f t="shared" si="0"/>
        <v>19468</v>
      </c>
      <c r="G328" s="47">
        <v>1431713</v>
      </c>
      <c r="I328" s="4">
        <v>46016</v>
      </c>
      <c r="K328" s="56">
        <f t="shared" si="1"/>
        <v>1385697</v>
      </c>
      <c r="L328" s="47">
        <v>64973</v>
      </c>
      <c r="N328" s="4">
        <v>7913</v>
      </c>
      <c r="P328" s="56">
        <f t="shared" si="2"/>
        <v>57060</v>
      </c>
      <c r="Q328" s="47">
        <v>14829</v>
      </c>
      <c r="R328" s="4">
        <v>556</v>
      </c>
      <c r="T328" s="4">
        <v>8439</v>
      </c>
      <c r="U328" s="56">
        <f t="shared" si="3"/>
        <v>5834</v>
      </c>
      <c r="V328" s="47">
        <v>1086930</v>
      </c>
      <c r="W328" s="4">
        <v>106</v>
      </c>
      <c r="X328" s="4">
        <v>46068</v>
      </c>
      <c r="Y328" s="4">
        <v>2311</v>
      </c>
      <c r="Z328" s="56">
        <f t="shared" si="4"/>
        <v>1038445</v>
      </c>
      <c r="AA328" s="53">
        <f t="shared" si="5"/>
        <v>2617914</v>
      </c>
    </row>
    <row r="329" spans="1:27" ht="12.5" x14ac:dyDescent="0.25">
      <c r="A329" s="46">
        <v>44356</v>
      </c>
      <c r="B329" s="47">
        <v>19501</v>
      </c>
      <c r="E329" s="4">
        <v>1</v>
      </c>
      <c r="F329" s="4">
        <f t="shared" si="0"/>
        <v>19500</v>
      </c>
      <c r="G329" s="47">
        <v>1436923</v>
      </c>
      <c r="I329" s="4">
        <v>49463</v>
      </c>
      <c r="K329" s="56">
        <f t="shared" si="1"/>
        <v>1387460</v>
      </c>
      <c r="L329" s="47">
        <v>65371</v>
      </c>
      <c r="N329" s="4">
        <v>7937</v>
      </c>
      <c r="P329" s="56">
        <f t="shared" si="2"/>
        <v>57434</v>
      </c>
      <c r="Q329" s="47">
        <v>14888</v>
      </c>
      <c r="R329" s="4">
        <v>568</v>
      </c>
      <c r="T329" s="4">
        <v>8477</v>
      </c>
      <c r="U329" s="56">
        <f t="shared" si="3"/>
        <v>5843</v>
      </c>
      <c r="V329" s="47">
        <v>1092282</v>
      </c>
      <c r="W329" s="4">
        <v>117</v>
      </c>
      <c r="X329" s="4">
        <v>50406</v>
      </c>
      <c r="Y329" s="4">
        <v>2311</v>
      </c>
      <c r="Z329" s="56">
        <f t="shared" si="4"/>
        <v>1039448</v>
      </c>
      <c r="AA329" s="53">
        <f t="shared" si="5"/>
        <v>2628965</v>
      </c>
    </row>
    <row r="330" spans="1:27" ht="12.5" x14ac:dyDescent="0.25">
      <c r="A330" s="46">
        <v>44357</v>
      </c>
      <c r="B330" s="47">
        <v>19552</v>
      </c>
      <c r="E330" s="4">
        <v>1</v>
      </c>
      <c r="F330" s="4">
        <f t="shared" si="0"/>
        <v>19551</v>
      </c>
      <c r="G330" s="47">
        <v>1443755</v>
      </c>
      <c r="I330" s="4">
        <v>50893</v>
      </c>
      <c r="K330" s="56">
        <f t="shared" si="1"/>
        <v>1392862</v>
      </c>
      <c r="L330" s="47">
        <v>65873</v>
      </c>
      <c r="N330" s="4">
        <v>6833</v>
      </c>
      <c r="P330" s="56">
        <f t="shared" si="2"/>
        <v>59040</v>
      </c>
      <c r="Q330" s="47">
        <v>15027</v>
      </c>
      <c r="R330" s="4">
        <v>607</v>
      </c>
      <c r="T330" s="4">
        <v>8516</v>
      </c>
      <c r="U330" s="56">
        <f t="shared" si="3"/>
        <v>5904</v>
      </c>
      <c r="V330" s="47">
        <v>1098226</v>
      </c>
      <c r="W330" s="4">
        <v>121</v>
      </c>
      <c r="X330" s="4">
        <v>53410</v>
      </c>
      <c r="Y330" s="4">
        <v>2311</v>
      </c>
      <c r="Z330" s="56">
        <f t="shared" si="4"/>
        <v>1042384</v>
      </c>
      <c r="AA330" s="53">
        <f t="shared" si="5"/>
        <v>2642433</v>
      </c>
    </row>
    <row r="331" spans="1:27" ht="12.5" x14ac:dyDescent="0.25">
      <c r="A331" s="46">
        <v>44358</v>
      </c>
      <c r="B331" s="47">
        <v>19595</v>
      </c>
      <c r="E331" s="4">
        <v>1</v>
      </c>
      <c r="F331" s="4">
        <f t="shared" si="0"/>
        <v>19594</v>
      </c>
      <c r="G331" s="47">
        <v>1451548</v>
      </c>
      <c r="I331" s="4">
        <v>52315</v>
      </c>
      <c r="K331" s="56">
        <f t="shared" si="1"/>
        <v>1399233</v>
      </c>
      <c r="L331" s="47">
        <v>67299</v>
      </c>
      <c r="N331" s="4">
        <v>7154</v>
      </c>
      <c r="P331" s="56">
        <f t="shared" si="2"/>
        <v>60145</v>
      </c>
      <c r="Q331" s="47">
        <v>15181</v>
      </c>
      <c r="R331" s="4">
        <v>625</v>
      </c>
      <c r="T331" s="4">
        <v>8558</v>
      </c>
      <c r="U331" s="56">
        <f t="shared" si="3"/>
        <v>5998</v>
      </c>
      <c r="V331" s="47">
        <v>1105177</v>
      </c>
      <c r="W331" s="4">
        <v>114</v>
      </c>
      <c r="X331" s="4">
        <v>53624</v>
      </c>
      <c r="Y331" s="4">
        <v>2311</v>
      </c>
      <c r="Z331" s="56">
        <f t="shared" si="4"/>
        <v>1049128</v>
      </c>
      <c r="AA331" s="53">
        <f t="shared" si="5"/>
        <v>2658800</v>
      </c>
    </row>
    <row r="332" spans="1:27" ht="12.5" x14ac:dyDescent="0.25">
      <c r="A332" s="46">
        <v>44359</v>
      </c>
      <c r="B332" s="47">
        <v>19645</v>
      </c>
      <c r="E332" s="4">
        <v>1</v>
      </c>
      <c r="F332" s="4">
        <f t="shared" si="0"/>
        <v>19644</v>
      </c>
      <c r="G332" s="47">
        <v>1458933</v>
      </c>
      <c r="I332" s="4">
        <v>54713</v>
      </c>
      <c r="K332" s="56">
        <f t="shared" si="1"/>
        <v>1404220</v>
      </c>
      <c r="L332" s="47">
        <v>68515</v>
      </c>
      <c r="N332" s="4">
        <v>7818</v>
      </c>
      <c r="P332" s="56">
        <f t="shared" si="2"/>
        <v>60697</v>
      </c>
      <c r="Q332" s="47">
        <v>15319</v>
      </c>
      <c r="R332" s="4">
        <v>660</v>
      </c>
      <c r="T332" s="4">
        <v>8602</v>
      </c>
      <c r="U332" s="56">
        <f t="shared" si="3"/>
        <v>6057</v>
      </c>
      <c r="V332" s="47">
        <v>1111539</v>
      </c>
      <c r="W332" s="4">
        <v>119</v>
      </c>
      <c r="X332" s="4">
        <v>55662</v>
      </c>
      <c r="Y332" s="4">
        <v>2311</v>
      </c>
      <c r="Z332" s="56">
        <f t="shared" si="4"/>
        <v>1053447</v>
      </c>
      <c r="AA332" s="53">
        <f t="shared" si="5"/>
        <v>2673951</v>
      </c>
    </row>
    <row r="333" spans="1:27" ht="12.5" x14ac:dyDescent="0.25">
      <c r="A333" s="46">
        <v>44360</v>
      </c>
      <c r="B333" s="47">
        <v>19681</v>
      </c>
      <c r="E333" s="4">
        <v>1</v>
      </c>
      <c r="F333" s="4">
        <f t="shared" si="0"/>
        <v>19680</v>
      </c>
      <c r="G333" s="47">
        <v>1466125</v>
      </c>
      <c r="I333" s="4">
        <v>59313</v>
      </c>
      <c r="K333" s="56">
        <f t="shared" si="1"/>
        <v>1406812</v>
      </c>
      <c r="L333" s="47">
        <v>68997</v>
      </c>
      <c r="N333" s="4">
        <v>7732</v>
      </c>
      <c r="P333" s="56">
        <f t="shared" si="2"/>
        <v>61265</v>
      </c>
      <c r="Q333" s="47">
        <v>15491</v>
      </c>
      <c r="R333" s="4">
        <v>779</v>
      </c>
      <c r="T333" s="4">
        <v>8647</v>
      </c>
      <c r="U333" s="56">
        <f t="shared" si="3"/>
        <v>6065</v>
      </c>
      <c r="V333" s="47">
        <v>1117151</v>
      </c>
      <c r="W333" s="4">
        <v>134</v>
      </c>
      <c r="X333" s="4">
        <v>57374</v>
      </c>
      <c r="Y333" s="4">
        <v>2311</v>
      </c>
      <c r="Z333" s="56">
        <f t="shared" si="4"/>
        <v>1057332</v>
      </c>
      <c r="AA333" s="53">
        <f t="shared" si="5"/>
        <v>2687445</v>
      </c>
    </row>
    <row r="334" spans="1:27" ht="12.5" x14ac:dyDescent="0.25">
      <c r="A334" s="46">
        <v>44361</v>
      </c>
      <c r="B334" s="47">
        <v>19708</v>
      </c>
      <c r="E334" s="4">
        <v>1</v>
      </c>
      <c r="F334" s="4">
        <f t="shared" si="0"/>
        <v>19707</v>
      </c>
      <c r="G334" s="47">
        <v>1472671</v>
      </c>
      <c r="I334" s="4">
        <v>58514</v>
      </c>
      <c r="K334" s="56">
        <f t="shared" si="1"/>
        <v>1414157</v>
      </c>
      <c r="L334" s="47">
        <v>69645</v>
      </c>
      <c r="N334" s="4">
        <v>7682</v>
      </c>
      <c r="P334" s="56">
        <f t="shared" si="2"/>
        <v>61963</v>
      </c>
      <c r="Q334" s="47">
        <v>15608</v>
      </c>
      <c r="R334" s="4">
        <v>792</v>
      </c>
      <c r="T334" s="4">
        <v>8687</v>
      </c>
      <c r="U334" s="56">
        <f t="shared" si="3"/>
        <v>6129</v>
      </c>
      <c r="V334" s="47">
        <v>1120869</v>
      </c>
      <c r="W334" s="4">
        <v>131</v>
      </c>
      <c r="X334" s="4">
        <v>54310</v>
      </c>
      <c r="Y334" s="4">
        <v>2311</v>
      </c>
      <c r="Z334" s="56">
        <f t="shared" si="4"/>
        <v>1064117</v>
      </c>
      <c r="AA334" s="53">
        <f t="shared" si="5"/>
        <v>2698501</v>
      </c>
    </row>
    <row r="335" spans="1:27" ht="12.5" x14ac:dyDescent="0.25">
      <c r="A335" s="46">
        <v>44362</v>
      </c>
      <c r="B335" s="47">
        <v>19717</v>
      </c>
      <c r="E335" s="4">
        <v>1</v>
      </c>
      <c r="F335" s="4">
        <f t="shared" si="0"/>
        <v>19716</v>
      </c>
      <c r="G335" s="47">
        <v>1475758</v>
      </c>
      <c r="I335" s="4">
        <v>58259</v>
      </c>
      <c r="K335" s="56">
        <f t="shared" si="1"/>
        <v>1417499</v>
      </c>
      <c r="L335" s="47">
        <v>69932</v>
      </c>
      <c r="N335" s="4">
        <v>7575</v>
      </c>
      <c r="P335" s="56">
        <f t="shared" si="2"/>
        <v>62357</v>
      </c>
      <c r="Q335" s="47">
        <v>15675</v>
      </c>
      <c r="R335" s="4">
        <v>789</v>
      </c>
      <c r="T335" s="4">
        <v>8724</v>
      </c>
      <c r="U335" s="56">
        <f t="shared" si="3"/>
        <v>6162</v>
      </c>
      <c r="V335" s="47">
        <v>1123960</v>
      </c>
      <c r="W335" s="4">
        <v>124</v>
      </c>
      <c r="X335" s="4">
        <v>54842</v>
      </c>
      <c r="Y335" s="4">
        <v>2311</v>
      </c>
      <c r="Z335" s="56">
        <f t="shared" si="4"/>
        <v>1066683</v>
      </c>
      <c r="AA335" s="53">
        <f t="shared" si="5"/>
        <v>2705042</v>
      </c>
    </row>
    <row r="336" spans="1:27" ht="12.5" x14ac:dyDescent="0.25">
      <c r="A336" s="46">
        <v>44363</v>
      </c>
      <c r="B336" s="47">
        <v>19745</v>
      </c>
      <c r="E336" s="4">
        <v>1</v>
      </c>
      <c r="F336" s="4">
        <f t="shared" si="0"/>
        <v>19744</v>
      </c>
      <c r="G336" s="47">
        <v>1480368</v>
      </c>
      <c r="I336" s="4">
        <v>55456</v>
      </c>
      <c r="K336" s="56">
        <f t="shared" si="1"/>
        <v>1424912</v>
      </c>
      <c r="L336" s="47">
        <v>70755</v>
      </c>
      <c r="N336" s="4">
        <v>7300</v>
      </c>
      <c r="P336" s="56">
        <f t="shared" si="2"/>
        <v>63455</v>
      </c>
      <c r="Q336" s="47">
        <v>15812</v>
      </c>
      <c r="R336" s="4">
        <v>769</v>
      </c>
      <c r="T336" s="4">
        <v>8775</v>
      </c>
      <c r="U336" s="56">
        <f t="shared" si="3"/>
        <v>6268</v>
      </c>
      <c r="V336" s="47">
        <v>1128672</v>
      </c>
      <c r="W336" s="4">
        <v>129</v>
      </c>
      <c r="X336" s="4">
        <v>53930</v>
      </c>
      <c r="Y336" s="4">
        <v>2311</v>
      </c>
      <c r="Z336" s="56">
        <f t="shared" si="4"/>
        <v>1072302</v>
      </c>
      <c r="AA336" s="53">
        <f t="shared" si="5"/>
        <v>2715352</v>
      </c>
    </row>
    <row r="337" spans="1:27" ht="12.5" x14ac:dyDescent="0.25">
      <c r="A337" s="46">
        <v>44364</v>
      </c>
      <c r="B337" s="47">
        <v>19796</v>
      </c>
      <c r="E337" s="4">
        <v>1</v>
      </c>
      <c r="F337" s="4">
        <f t="shared" si="0"/>
        <v>19795</v>
      </c>
      <c r="G337" s="47">
        <v>1487515</v>
      </c>
      <c r="I337" s="4">
        <v>56368</v>
      </c>
      <c r="K337" s="56">
        <f t="shared" si="1"/>
        <v>1431147</v>
      </c>
      <c r="L337" s="47">
        <v>71208</v>
      </c>
      <c r="N337" s="4">
        <v>6830</v>
      </c>
      <c r="P337" s="56">
        <f t="shared" si="2"/>
        <v>64378</v>
      </c>
      <c r="Q337" s="47">
        <v>15996</v>
      </c>
      <c r="R337" s="4">
        <v>769</v>
      </c>
      <c r="T337" s="4">
        <v>8839</v>
      </c>
      <c r="U337" s="56">
        <f t="shared" si="3"/>
        <v>6388</v>
      </c>
      <c r="V337" s="47">
        <v>1134662</v>
      </c>
      <c r="W337" s="4">
        <v>134</v>
      </c>
      <c r="X337" s="4">
        <v>54108</v>
      </c>
      <c r="Y337" s="4">
        <v>2311</v>
      </c>
      <c r="Z337" s="56">
        <f t="shared" si="4"/>
        <v>1078109</v>
      </c>
      <c r="AA337" s="53">
        <f t="shared" si="5"/>
        <v>2729177</v>
      </c>
    </row>
    <row r="338" spans="1:27" ht="12.5" x14ac:dyDescent="0.25">
      <c r="A338" s="46">
        <v>44365</v>
      </c>
      <c r="B338" s="47">
        <v>19822</v>
      </c>
      <c r="E338" s="4">
        <v>1</v>
      </c>
      <c r="F338" s="4">
        <f t="shared" si="0"/>
        <v>19821</v>
      </c>
      <c r="G338" s="47">
        <v>1491069</v>
      </c>
      <c r="I338" s="4">
        <v>54720</v>
      </c>
      <c r="K338" s="56">
        <f t="shared" si="1"/>
        <v>1436349</v>
      </c>
      <c r="L338" s="47">
        <v>71692</v>
      </c>
      <c r="N338" s="4">
        <v>6447</v>
      </c>
      <c r="P338" s="56">
        <f t="shared" si="2"/>
        <v>65245</v>
      </c>
      <c r="Q338" s="47">
        <v>16224</v>
      </c>
      <c r="R338" s="4">
        <v>798</v>
      </c>
      <c r="T338" s="4">
        <v>8945</v>
      </c>
      <c r="U338" s="56">
        <f t="shared" si="3"/>
        <v>6481</v>
      </c>
      <c r="V338" s="47">
        <v>1146535</v>
      </c>
      <c r="W338" s="4">
        <v>130</v>
      </c>
      <c r="X338" s="4">
        <v>60255</v>
      </c>
      <c r="Y338" s="4">
        <v>2311</v>
      </c>
      <c r="Z338" s="56">
        <f t="shared" si="4"/>
        <v>1083839</v>
      </c>
      <c r="AA338" s="53">
        <f t="shared" si="5"/>
        <v>2745342</v>
      </c>
    </row>
    <row r="339" spans="1:27" ht="12.5" x14ac:dyDescent="0.25">
      <c r="A339" s="46">
        <v>44366</v>
      </c>
      <c r="B339" s="47">
        <v>19883</v>
      </c>
      <c r="E339" s="4">
        <v>1</v>
      </c>
      <c r="F339" s="4">
        <f t="shared" si="0"/>
        <v>19882</v>
      </c>
      <c r="G339" s="47">
        <v>1499013</v>
      </c>
      <c r="I339" s="4">
        <v>58119</v>
      </c>
      <c r="K339" s="56">
        <f t="shared" si="1"/>
        <v>1440894</v>
      </c>
      <c r="L339" s="47">
        <v>72830</v>
      </c>
      <c r="N339" s="4">
        <v>6786</v>
      </c>
      <c r="P339" s="56">
        <f t="shared" si="2"/>
        <v>66044</v>
      </c>
      <c r="Q339" s="47">
        <v>16515</v>
      </c>
      <c r="R339" s="4">
        <v>928</v>
      </c>
      <c r="T339" s="4">
        <v>9063</v>
      </c>
      <c r="U339" s="56">
        <f t="shared" si="3"/>
        <v>6524</v>
      </c>
      <c r="V339" s="47">
        <v>1153512</v>
      </c>
      <c r="W339" s="4">
        <v>134</v>
      </c>
      <c r="X339" s="4">
        <v>62969</v>
      </c>
      <c r="Y339" s="4">
        <v>2311</v>
      </c>
      <c r="Z339" s="56">
        <f t="shared" si="4"/>
        <v>1088098</v>
      </c>
      <c r="AA339" s="53">
        <f t="shared" si="5"/>
        <v>2761753</v>
      </c>
    </row>
    <row r="340" spans="1:27" ht="12.5" x14ac:dyDescent="0.25">
      <c r="A340" s="46">
        <v>44367</v>
      </c>
      <c r="B340" s="47">
        <v>19942</v>
      </c>
      <c r="E340" s="4">
        <v>1</v>
      </c>
      <c r="F340" s="4">
        <f t="shared" si="0"/>
        <v>19941</v>
      </c>
      <c r="G340" s="47">
        <v>1507557</v>
      </c>
      <c r="I340" s="4">
        <v>64070</v>
      </c>
      <c r="K340" s="56">
        <f t="shared" si="1"/>
        <v>1443487</v>
      </c>
      <c r="L340" s="47">
        <v>73234</v>
      </c>
      <c r="N340" s="4">
        <v>6950</v>
      </c>
      <c r="P340" s="56">
        <f t="shared" si="2"/>
        <v>66284</v>
      </c>
      <c r="Q340" s="47">
        <v>16770</v>
      </c>
      <c r="R340" s="4">
        <v>1013</v>
      </c>
      <c r="T340" s="4">
        <v>9187</v>
      </c>
      <c r="U340" s="56">
        <f t="shared" si="3"/>
        <v>6570</v>
      </c>
      <c r="V340" s="47">
        <v>1160691</v>
      </c>
      <c r="W340" s="4">
        <v>134</v>
      </c>
      <c r="X340" s="4">
        <v>65788</v>
      </c>
      <c r="Y340" s="4">
        <v>2311</v>
      </c>
      <c r="Z340" s="56">
        <f t="shared" si="4"/>
        <v>1092458</v>
      </c>
      <c r="AA340" s="53">
        <f t="shared" si="5"/>
        <v>2778194</v>
      </c>
    </row>
    <row r="341" spans="1:27" ht="12.5" x14ac:dyDescent="0.25">
      <c r="A341" s="46">
        <v>44368</v>
      </c>
      <c r="B341" s="47">
        <v>19982</v>
      </c>
      <c r="E341" s="4">
        <v>1</v>
      </c>
      <c r="F341" s="4">
        <f t="shared" si="0"/>
        <v>19981</v>
      </c>
      <c r="G341" s="47">
        <v>1514935</v>
      </c>
      <c r="I341" s="4">
        <v>64023</v>
      </c>
      <c r="K341" s="56">
        <f t="shared" si="1"/>
        <v>1450912</v>
      </c>
      <c r="L341" s="47">
        <v>73686</v>
      </c>
      <c r="N341" s="4">
        <v>6909</v>
      </c>
      <c r="P341" s="56">
        <f t="shared" si="2"/>
        <v>66777</v>
      </c>
      <c r="Q341" s="47">
        <v>17012</v>
      </c>
      <c r="R341" s="4">
        <v>1024</v>
      </c>
      <c r="T341" s="4">
        <v>9324</v>
      </c>
      <c r="U341" s="56">
        <f t="shared" si="3"/>
        <v>6664</v>
      </c>
      <c r="V341" s="47">
        <v>1166521</v>
      </c>
      <c r="W341" s="4">
        <v>128</v>
      </c>
      <c r="X341" s="4">
        <v>65416</v>
      </c>
      <c r="Y341" s="4">
        <v>2311</v>
      </c>
      <c r="Z341" s="56">
        <f t="shared" si="4"/>
        <v>1098666</v>
      </c>
      <c r="AA341" s="53">
        <f t="shared" si="5"/>
        <v>2792136</v>
      </c>
    </row>
    <row r="342" spans="1:27" ht="12.5" x14ac:dyDescent="0.25">
      <c r="A342" s="46">
        <v>44369</v>
      </c>
      <c r="B342" s="47">
        <v>19989</v>
      </c>
      <c r="E342" s="4">
        <v>1</v>
      </c>
      <c r="F342" s="4">
        <f t="shared" si="0"/>
        <v>19988</v>
      </c>
      <c r="G342" s="47">
        <v>1520601</v>
      </c>
      <c r="I342" s="4">
        <v>63015</v>
      </c>
      <c r="K342" s="56">
        <f t="shared" si="1"/>
        <v>1457586</v>
      </c>
      <c r="L342" s="47">
        <v>74780</v>
      </c>
      <c r="N342" s="4">
        <v>7221</v>
      </c>
      <c r="P342" s="56">
        <f t="shared" si="2"/>
        <v>67559</v>
      </c>
      <c r="Q342" s="47">
        <v>17297</v>
      </c>
      <c r="R342" s="4">
        <v>1081</v>
      </c>
      <c r="T342" s="4">
        <v>9473</v>
      </c>
      <c r="U342" s="56">
        <f t="shared" si="3"/>
        <v>6743</v>
      </c>
      <c r="V342" s="47">
        <v>1169800</v>
      </c>
      <c r="W342" s="4">
        <v>111</v>
      </c>
      <c r="X342" s="4">
        <v>63025</v>
      </c>
      <c r="Y342" s="4">
        <v>2311</v>
      </c>
      <c r="Z342" s="56">
        <f t="shared" si="4"/>
        <v>1104353</v>
      </c>
      <c r="AA342" s="53">
        <f t="shared" si="5"/>
        <v>2802467</v>
      </c>
    </row>
    <row r="343" spans="1:27" ht="12.5" x14ac:dyDescent="0.25">
      <c r="A343" s="46">
        <v>44370</v>
      </c>
      <c r="B343" s="47">
        <v>20024</v>
      </c>
      <c r="E343" s="4">
        <v>1</v>
      </c>
      <c r="F343" s="4">
        <f t="shared" si="0"/>
        <v>20023</v>
      </c>
      <c r="G343" s="47">
        <v>1526400</v>
      </c>
      <c r="I343" s="4">
        <v>62010</v>
      </c>
      <c r="K343" s="56">
        <f t="shared" si="1"/>
        <v>1464390</v>
      </c>
      <c r="L343" s="47">
        <v>75075</v>
      </c>
      <c r="N343" s="4">
        <v>6336</v>
      </c>
      <c r="P343" s="56">
        <f t="shared" si="2"/>
        <v>68739</v>
      </c>
      <c r="Q343" s="47">
        <v>17565</v>
      </c>
      <c r="R343" s="4">
        <v>1108</v>
      </c>
      <c r="T343" s="4">
        <v>9626</v>
      </c>
      <c r="U343" s="56">
        <f t="shared" si="3"/>
        <v>6831</v>
      </c>
      <c r="V343" s="47">
        <v>1176070</v>
      </c>
      <c r="W343" s="4">
        <v>113</v>
      </c>
      <c r="X343" s="4">
        <v>63917</v>
      </c>
      <c r="Y343" s="4">
        <v>2311</v>
      </c>
      <c r="Z343" s="56">
        <f t="shared" si="4"/>
        <v>1109729</v>
      </c>
      <c r="AA343" s="53">
        <f t="shared" si="5"/>
        <v>2815134</v>
      </c>
    </row>
    <row r="344" spans="1:27" ht="12.5" x14ac:dyDescent="0.25">
      <c r="A344" s="46">
        <v>44371</v>
      </c>
      <c r="B344" s="47">
        <v>20087</v>
      </c>
      <c r="E344" s="4">
        <v>1</v>
      </c>
      <c r="F344" s="4">
        <f t="shared" si="0"/>
        <v>20086</v>
      </c>
      <c r="G344" s="47">
        <v>1534799</v>
      </c>
      <c r="I344" s="4">
        <v>64101</v>
      </c>
      <c r="K344" s="56">
        <f t="shared" si="1"/>
        <v>1470698</v>
      </c>
      <c r="L344" s="47">
        <v>75527</v>
      </c>
      <c r="N344" s="4">
        <v>6220</v>
      </c>
      <c r="P344" s="56">
        <f t="shared" si="2"/>
        <v>69307</v>
      </c>
      <c r="Q344" s="47">
        <v>17875</v>
      </c>
      <c r="R344" s="4">
        <v>1170</v>
      </c>
      <c r="T344" s="4">
        <v>9782</v>
      </c>
      <c r="U344" s="56">
        <f t="shared" si="3"/>
        <v>6923</v>
      </c>
      <c r="V344" s="47">
        <v>1182092</v>
      </c>
      <c r="W344" s="4">
        <v>112</v>
      </c>
      <c r="X344" s="4">
        <v>63502</v>
      </c>
      <c r="Y344" s="4">
        <v>2311</v>
      </c>
      <c r="Z344" s="56">
        <f t="shared" si="4"/>
        <v>1116167</v>
      </c>
      <c r="AA344" s="53">
        <f t="shared" si="5"/>
        <v>2830380</v>
      </c>
    </row>
    <row r="345" spans="1:27" ht="12.5" x14ac:dyDescent="0.25">
      <c r="A345" s="46">
        <v>44372</v>
      </c>
      <c r="B345" s="47">
        <v>20139</v>
      </c>
      <c r="E345" s="4">
        <v>1</v>
      </c>
      <c r="F345" s="4">
        <f t="shared" si="0"/>
        <v>20138</v>
      </c>
      <c r="G345" s="47">
        <v>1542366</v>
      </c>
      <c r="I345" s="4">
        <v>64803</v>
      </c>
      <c r="K345" s="56">
        <f t="shared" si="1"/>
        <v>1477563</v>
      </c>
      <c r="L345" s="47">
        <v>75402</v>
      </c>
      <c r="N345" s="4">
        <v>5522</v>
      </c>
      <c r="P345" s="56">
        <f t="shared" si="2"/>
        <v>69880</v>
      </c>
      <c r="Q345" s="47">
        <v>18204</v>
      </c>
      <c r="R345" s="4">
        <v>1203</v>
      </c>
      <c r="T345" s="4">
        <v>9948</v>
      </c>
      <c r="U345" s="56">
        <f t="shared" si="3"/>
        <v>7053</v>
      </c>
      <c r="V345" s="47">
        <v>1188110</v>
      </c>
      <c r="W345" s="4">
        <v>89</v>
      </c>
      <c r="X345" s="4">
        <v>63047</v>
      </c>
      <c r="Y345" s="4">
        <v>2311</v>
      </c>
      <c r="Z345" s="56">
        <f t="shared" si="4"/>
        <v>1122663</v>
      </c>
      <c r="AA345" s="53">
        <f t="shared" si="5"/>
        <v>2844221</v>
      </c>
    </row>
    <row r="346" spans="1:27" ht="12.5" x14ac:dyDescent="0.25">
      <c r="A346" s="46">
        <v>44373</v>
      </c>
      <c r="B346" s="47">
        <v>20225</v>
      </c>
      <c r="E346" s="4">
        <v>1</v>
      </c>
      <c r="F346" s="4">
        <f t="shared" si="0"/>
        <v>20224</v>
      </c>
      <c r="G346" s="47">
        <v>1550959</v>
      </c>
      <c r="I346" s="4">
        <v>69054</v>
      </c>
      <c r="K346" s="56">
        <f t="shared" si="1"/>
        <v>1481905</v>
      </c>
      <c r="L346" s="47">
        <v>76136</v>
      </c>
      <c r="N346" s="4">
        <v>5724</v>
      </c>
      <c r="P346" s="56">
        <f t="shared" si="2"/>
        <v>70412</v>
      </c>
      <c r="Q346" s="47">
        <v>18557</v>
      </c>
      <c r="R346" s="4">
        <v>1317</v>
      </c>
      <c r="T346" s="4">
        <v>10121</v>
      </c>
      <c r="U346" s="56">
        <f t="shared" si="3"/>
        <v>7119</v>
      </c>
      <c r="V346" s="47">
        <v>1193895</v>
      </c>
      <c r="W346" s="4">
        <v>92</v>
      </c>
      <c r="X346" s="4">
        <v>64924</v>
      </c>
      <c r="Y346" s="4">
        <v>2311</v>
      </c>
      <c r="Z346" s="56">
        <f t="shared" si="4"/>
        <v>1126568</v>
      </c>
      <c r="AA346" s="53">
        <f t="shared" si="5"/>
        <v>2859772</v>
      </c>
    </row>
    <row r="347" spans="1:27" ht="12.5" x14ac:dyDescent="0.25">
      <c r="A347" s="46">
        <v>44374</v>
      </c>
      <c r="B347" s="47">
        <v>20274</v>
      </c>
      <c r="E347" s="4">
        <v>1</v>
      </c>
      <c r="F347" s="4">
        <f t="shared" si="0"/>
        <v>20273</v>
      </c>
      <c r="G347" s="47">
        <v>1558687</v>
      </c>
      <c r="I347" s="4">
        <v>74079</v>
      </c>
      <c r="K347" s="56">
        <f t="shared" si="1"/>
        <v>1484608</v>
      </c>
      <c r="L347" s="47">
        <v>76838</v>
      </c>
      <c r="N347" s="4">
        <v>5747</v>
      </c>
      <c r="P347" s="56">
        <f t="shared" si="2"/>
        <v>71091</v>
      </c>
      <c r="Q347" s="47">
        <v>18940</v>
      </c>
      <c r="R347" s="4">
        <v>1508</v>
      </c>
      <c r="T347" s="4">
        <v>10279</v>
      </c>
      <c r="U347" s="56">
        <f t="shared" si="3"/>
        <v>7153</v>
      </c>
      <c r="V347" s="47">
        <v>1200183</v>
      </c>
      <c r="W347" s="4">
        <v>101</v>
      </c>
      <c r="X347" s="4">
        <v>66967</v>
      </c>
      <c r="Y347" s="4">
        <v>2311</v>
      </c>
      <c r="Z347" s="56">
        <f t="shared" si="4"/>
        <v>1130804</v>
      </c>
      <c r="AA347" s="53">
        <f t="shared" si="5"/>
        <v>2874922</v>
      </c>
    </row>
    <row r="348" spans="1:27" ht="12.5" x14ac:dyDescent="0.25">
      <c r="A348" s="46">
        <v>44375</v>
      </c>
      <c r="B348" s="47">
        <v>20316</v>
      </c>
      <c r="E348" s="4">
        <v>1</v>
      </c>
      <c r="F348" s="4">
        <f t="shared" si="0"/>
        <v>20315</v>
      </c>
      <c r="G348" s="47">
        <v>1566239</v>
      </c>
      <c r="I348" s="4">
        <v>73645</v>
      </c>
      <c r="K348" s="56">
        <f t="shared" si="1"/>
        <v>1492594</v>
      </c>
      <c r="L348" s="47">
        <v>77259</v>
      </c>
      <c r="N348" s="4">
        <v>5624</v>
      </c>
      <c r="P348" s="56">
        <f t="shared" si="2"/>
        <v>71635</v>
      </c>
      <c r="Q348" s="47">
        <v>19171</v>
      </c>
      <c r="R348" s="4">
        <v>1496</v>
      </c>
      <c r="T348" s="4">
        <v>10413</v>
      </c>
      <c r="U348" s="56">
        <f t="shared" si="3"/>
        <v>7262</v>
      </c>
      <c r="V348" s="47">
        <v>1205217</v>
      </c>
      <c r="W348" s="4">
        <v>77</v>
      </c>
      <c r="X348" s="4">
        <v>65511</v>
      </c>
      <c r="Y348" s="4">
        <v>2311</v>
      </c>
      <c r="Z348" s="56">
        <f t="shared" si="4"/>
        <v>1137318</v>
      </c>
      <c r="AA348" s="53">
        <f t="shared" si="5"/>
        <v>2888202</v>
      </c>
    </row>
    <row r="349" spans="1:27" ht="12.5" x14ac:dyDescent="0.25">
      <c r="A349" s="46">
        <v>44376</v>
      </c>
      <c r="B349" s="47">
        <v>20342</v>
      </c>
      <c r="E349" s="4">
        <v>1</v>
      </c>
      <c r="F349" s="4">
        <f t="shared" si="0"/>
        <v>20341</v>
      </c>
      <c r="G349" s="47">
        <v>1571314</v>
      </c>
      <c r="I349" s="4">
        <v>73560</v>
      </c>
      <c r="K349" s="56">
        <f t="shared" si="1"/>
        <v>1497754</v>
      </c>
      <c r="L349" s="47">
        <v>77759</v>
      </c>
      <c r="N349" s="4">
        <v>5754</v>
      </c>
      <c r="P349" s="56">
        <f t="shared" si="2"/>
        <v>72005</v>
      </c>
      <c r="Q349" s="47">
        <v>19361</v>
      </c>
      <c r="R349" s="4">
        <v>1470</v>
      </c>
      <c r="T349" s="4">
        <v>10538</v>
      </c>
      <c r="U349" s="56">
        <f t="shared" si="3"/>
        <v>7353</v>
      </c>
      <c r="V349" s="47">
        <v>1208719</v>
      </c>
      <c r="W349" s="4">
        <v>76</v>
      </c>
      <c r="X349" s="4">
        <v>61994</v>
      </c>
      <c r="Y349" s="4">
        <v>2311</v>
      </c>
      <c r="Z349" s="56">
        <f t="shared" si="4"/>
        <v>1144338</v>
      </c>
      <c r="AA349" s="53">
        <f t="shared" si="5"/>
        <v>2897495</v>
      </c>
    </row>
    <row r="350" spans="1:27" ht="12.5" x14ac:dyDescent="0.25">
      <c r="A350" s="46">
        <v>44377</v>
      </c>
      <c r="B350" s="47">
        <v>20362</v>
      </c>
      <c r="E350" s="4">
        <v>1</v>
      </c>
      <c r="F350" s="4">
        <f t="shared" si="0"/>
        <v>20361</v>
      </c>
      <c r="G350" s="47">
        <v>1579706</v>
      </c>
      <c r="I350" s="4">
        <v>73427</v>
      </c>
      <c r="K350" s="56">
        <f t="shared" si="1"/>
        <v>1506279</v>
      </c>
      <c r="L350" s="47">
        <v>78174</v>
      </c>
      <c r="N350" s="4">
        <v>5648</v>
      </c>
      <c r="P350" s="56">
        <f t="shared" si="2"/>
        <v>72526</v>
      </c>
      <c r="Q350" s="47">
        <v>19640</v>
      </c>
      <c r="R350" s="4">
        <v>1461</v>
      </c>
      <c r="T350" s="4">
        <v>10664</v>
      </c>
      <c r="U350" s="56">
        <f t="shared" si="3"/>
        <v>7515</v>
      </c>
      <c r="V350" s="47">
        <v>1216217</v>
      </c>
      <c r="W350" s="4">
        <v>70</v>
      </c>
      <c r="X350" s="4">
        <v>61650</v>
      </c>
      <c r="Y350" s="4">
        <v>2311</v>
      </c>
      <c r="Z350" s="56">
        <f t="shared" si="4"/>
        <v>1152186</v>
      </c>
      <c r="AA350" s="53">
        <f t="shared" si="5"/>
        <v>2914099</v>
      </c>
    </row>
    <row r="351" spans="1:27" ht="12.5" x14ac:dyDescent="0.25">
      <c r="A351" s="46">
        <v>44378</v>
      </c>
      <c r="B351" s="47">
        <v>20425</v>
      </c>
      <c r="E351" s="4">
        <v>1</v>
      </c>
      <c r="F351" s="4">
        <f t="shared" si="0"/>
        <v>20424</v>
      </c>
      <c r="G351" s="47">
        <v>1586375</v>
      </c>
      <c r="I351" s="4">
        <v>71253</v>
      </c>
      <c r="K351" s="56">
        <f t="shared" si="1"/>
        <v>1515122</v>
      </c>
      <c r="L351" s="47">
        <v>78575</v>
      </c>
      <c r="N351" s="4">
        <v>5561</v>
      </c>
      <c r="P351" s="56">
        <f t="shared" si="2"/>
        <v>73014</v>
      </c>
      <c r="Q351" s="47">
        <v>20120</v>
      </c>
      <c r="R351" s="4">
        <v>1665</v>
      </c>
      <c r="T351" s="4">
        <v>10795</v>
      </c>
      <c r="U351" s="56">
        <f t="shared" si="3"/>
        <v>7660</v>
      </c>
      <c r="V351" s="47">
        <v>1222273</v>
      </c>
      <c r="W351" s="4">
        <v>64</v>
      </c>
      <c r="X351" s="4">
        <v>60943</v>
      </c>
      <c r="Y351" s="4">
        <v>2311</v>
      </c>
      <c r="Z351" s="56">
        <f t="shared" si="4"/>
        <v>1158955</v>
      </c>
      <c r="AA351" s="53">
        <f t="shared" si="5"/>
        <v>2927768</v>
      </c>
    </row>
    <row r="352" spans="1:27" ht="12.5" x14ac:dyDescent="0.25">
      <c r="A352" s="46">
        <v>44379</v>
      </c>
      <c r="B352" s="47">
        <v>20448</v>
      </c>
      <c r="E352" s="4">
        <v>1</v>
      </c>
      <c r="F352" s="4">
        <f t="shared" si="0"/>
        <v>20447</v>
      </c>
      <c r="G352" s="47">
        <v>1593945</v>
      </c>
      <c r="I352" s="4">
        <v>69337</v>
      </c>
      <c r="K352" s="56">
        <f t="shared" si="1"/>
        <v>1524608</v>
      </c>
      <c r="L352" s="47">
        <v>78906</v>
      </c>
      <c r="N352" s="4">
        <v>5517</v>
      </c>
      <c r="P352" s="56">
        <f t="shared" si="2"/>
        <v>73389</v>
      </c>
      <c r="Q352" s="47">
        <v>20365</v>
      </c>
      <c r="R352" s="4">
        <v>1592</v>
      </c>
      <c r="T352" s="4">
        <v>10932</v>
      </c>
      <c r="U352" s="56">
        <f t="shared" si="3"/>
        <v>7841</v>
      </c>
      <c r="V352" s="47">
        <v>1228545</v>
      </c>
      <c r="W352" s="4">
        <v>58</v>
      </c>
      <c r="X352" s="4">
        <v>60188</v>
      </c>
      <c r="Y352" s="4">
        <v>2311</v>
      </c>
      <c r="Z352" s="56">
        <f t="shared" si="4"/>
        <v>1165988</v>
      </c>
      <c r="AA352" s="53">
        <f t="shared" si="5"/>
        <v>2942209</v>
      </c>
    </row>
    <row r="353" spans="1:27" ht="12.5" x14ac:dyDescent="0.25">
      <c r="A353" s="46">
        <v>44380</v>
      </c>
      <c r="B353" s="47">
        <v>20486</v>
      </c>
      <c r="E353" s="4">
        <v>1</v>
      </c>
      <c r="F353" s="4">
        <f t="shared" si="0"/>
        <v>20485</v>
      </c>
      <c r="G353" s="47">
        <v>1600570</v>
      </c>
      <c r="I353" s="4">
        <v>71477</v>
      </c>
      <c r="K353" s="56">
        <f t="shared" si="1"/>
        <v>1529093</v>
      </c>
      <c r="L353" s="47">
        <v>79531</v>
      </c>
      <c r="N353" s="4">
        <v>5014</v>
      </c>
      <c r="P353" s="56">
        <f t="shared" si="2"/>
        <v>74517</v>
      </c>
      <c r="Q353" s="47">
        <v>20671</v>
      </c>
      <c r="R353" s="4">
        <v>1644</v>
      </c>
      <c r="T353" s="4">
        <v>11069</v>
      </c>
      <c r="U353" s="56">
        <f t="shared" si="3"/>
        <v>7958</v>
      </c>
      <c r="V353" s="47">
        <v>1233587</v>
      </c>
      <c r="W353" s="4">
        <v>48</v>
      </c>
      <c r="X353" s="4">
        <v>61254</v>
      </c>
      <c r="Y353" s="4">
        <v>2311</v>
      </c>
      <c r="Z353" s="56">
        <f t="shared" si="4"/>
        <v>1169974</v>
      </c>
      <c r="AA353" s="53">
        <f t="shared" si="5"/>
        <v>2954845</v>
      </c>
    </row>
    <row r="354" spans="1:27" ht="12.5" x14ac:dyDescent="0.25">
      <c r="A354" s="46">
        <v>44381</v>
      </c>
      <c r="B354" s="47">
        <v>20600</v>
      </c>
      <c r="E354" s="4">
        <v>1</v>
      </c>
      <c r="F354" s="4">
        <f t="shared" si="0"/>
        <v>20599</v>
      </c>
      <c r="G354" s="47">
        <v>1608824</v>
      </c>
      <c r="I354" s="4">
        <v>7861</v>
      </c>
      <c r="K354" s="56">
        <f t="shared" si="1"/>
        <v>1600963</v>
      </c>
      <c r="L354" s="47">
        <v>79795</v>
      </c>
      <c r="N354" s="4">
        <v>251</v>
      </c>
      <c r="P354" s="56">
        <f t="shared" si="2"/>
        <v>79544</v>
      </c>
      <c r="Q354" s="47">
        <v>20959</v>
      </c>
      <c r="R354" s="4">
        <v>109</v>
      </c>
      <c r="T354" s="4">
        <v>11212</v>
      </c>
      <c r="U354" s="56">
        <f t="shared" si="3"/>
        <v>9638</v>
      </c>
      <c r="V354" s="47">
        <v>1239583</v>
      </c>
      <c r="W354" s="4">
        <v>26</v>
      </c>
      <c r="X354" s="4">
        <v>5545</v>
      </c>
      <c r="Y354" s="4">
        <v>2311</v>
      </c>
      <c r="Z354" s="56">
        <f t="shared" si="4"/>
        <v>1231701</v>
      </c>
      <c r="AA354" s="53">
        <f t="shared" si="5"/>
        <v>2969761</v>
      </c>
    </row>
    <row r="355" spans="1:27" ht="12.5" x14ac:dyDescent="0.25">
      <c r="A355" s="46">
        <v>44382</v>
      </c>
      <c r="B355" s="47">
        <v>20605</v>
      </c>
      <c r="E355" s="4">
        <v>1</v>
      </c>
      <c r="F355" s="4">
        <f t="shared" si="0"/>
        <v>20604</v>
      </c>
      <c r="G355" s="47">
        <v>1618403</v>
      </c>
      <c r="I355" s="4">
        <v>17063</v>
      </c>
      <c r="K355" s="56">
        <f t="shared" si="1"/>
        <v>1601340</v>
      </c>
      <c r="L355" s="47">
        <v>80807</v>
      </c>
      <c r="N355" s="4">
        <v>1218</v>
      </c>
      <c r="P355" s="56">
        <f t="shared" si="2"/>
        <v>79589</v>
      </c>
      <c r="Q355" s="47">
        <v>21223</v>
      </c>
      <c r="R355" s="4">
        <v>243</v>
      </c>
      <c r="T355" s="4">
        <v>11340</v>
      </c>
      <c r="U355" s="56">
        <f t="shared" si="3"/>
        <v>9640</v>
      </c>
      <c r="V355" s="47">
        <v>1245713</v>
      </c>
      <c r="W355" s="4">
        <v>33</v>
      </c>
      <c r="X355" s="4">
        <v>11004</v>
      </c>
      <c r="Y355" s="4">
        <v>2311</v>
      </c>
      <c r="Z355" s="56">
        <f t="shared" si="4"/>
        <v>1232365</v>
      </c>
      <c r="AA355" s="53">
        <f t="shared" si="5"/>
        <v>2986751</v>
      </c>
    </row>
    <row r="356" spans="1:27" ht="12.5" x14ac:dyDescent="0.25">
      <c r="A356" s="46">
        <v>44383</v>
      </c>
      <c r="B356" s="47">
        <v>20606</v>
      </c>
      <c r="E356" s="4">
        <v>1</v>
      </c>
      <c r="F356" s="4">
        <f t="shared" si="0"/>
        <v>20605</v>
      </c>
      <c r="G356" s="47">
        <v>1625205</v>
      </c>
      <c r="I356" s="4">
        <v>22966</v>
      </c>
      <c r="K356" s="56">
        <f t="shared" si="1"/>
        <v>1602239</v>
      </c>
      <c r="L356" s="47">
        <v>82091</v>
      </c>
      <c r="N356" s="4">
        <v>2503</v>
      </c>
      <c r="P356" s="56">
        <f t="shared" si="2"/>
        <v>79588</v>
      </c>
      <c r="Q356" s="47">
        <v>21437</v>
      </c>
      <c r="R356" s="4">
        <v>326</v>
      </c>
      <c r="T356" s="4">
        <v>11470</v>
      </c>
      <c r="U356" s="56">
        <f t="shared" si="3"/>
        <v>9641</v>
      </c>
      <c r="V356" s="47">
        <v>1251034</v>
      </c>
      <c r="W356" s="4">
        <v>33</v>
      </c>
      <c r="X356" s="4">
        <v>16000</v>
      </c>
      <c r="Y356" s="4">
        <v>2311</v>
      </c>
      <c r="Z356" s="56">
        <f t="shared" si="4"/>
        <v>1232690</v>
      </c>
      <c r="AA356" s="53">
        <f t="shared" si="5"/>
        <v>3000373</v>
      </c>
    </row>
    <row r="357" spans="1:27" ht="12.5" x14ac:dyDescent="0.25">
      <c r="A357" s="46">
        <v>44384</v>
      </c>
      <c r="B357" s="47">
        <v>20690</v>
      </c>
      <c r="E357" s="4">
        <v>1</v>
      </c>
      <c r="F357" s="4">
        <f t="shared" si="0"/>
        <v>20689</v>
      </c>
      <c r="G357" s="47">
        <v>1637968</v>
      </c>
      <c r="I357" s="4">
        <v>33455</v>
      </c>
      <c r="K357" s="56">
        <f t="shared" si="1"/>
        <v>1604513</v>
      </c>
      <c r="L357" s="47">
        <v>84009</v>
      </c>
      <c r="N357" s="4">
        <v>4338</v>
      </c>
      <c r="P357" s="56">
        <f t="shared" si="2"/>
        <v>79671</v>
      </c>
      <c r="Q357" s="47">
        <v>21652</v>
      </c>
      <c r="R357" s="4">
        <v>388</v>
      </c>
      <c r="T357" s="4">
        <v>11600</v>
      </c>
      <c r="U357" s="56">
        <f t="shared" si="3"/>
        <v>9664</v>
      </c>
      <c r="V357" s="47">
        <v>1258538</v>
      </c>
      <c r="W357" s="4">
        <v>45</v>
      </c>
      <c r="X357" s="4">
        <v>22353</v>
      </c>
      <c r="Y357" s="4">
        <v>2311</v>
      </c>
      <c r="Z357" s="56">
        <f t="shared" si="4"/>
        <v>1233829</v>
      </c>
      <c r="AA357" s="53">
        <f t="shared" si="5"/>
        <v>3022857</v>
      </c>
    </row>
    <row r="358" spans="1:27" ht="12.5" x14ac:dyDescent="0.25">
      <c r="A358" s="46">
        <v>44385</v>
      </c>
      <c r="B358" s="47">
        <v>20806</v>
      </c>
      <c r="E358" s="4">
        <v>1</v>
      </c>
      <c r="F358" s="4">
        <f t="shared" si="0"/>
        <v>20805</v>
      </c>
      <c r="G358" s="47">
        <v>1641507</v>
      </c>
      <c r="I358" s="4">
        <v>35693</v>
      </c>
      <c r="K358" s="56">
        <f t="shared" si="1"/>
        <v>1605814</v>
      </c>
      <c r="L358" s="47">
        <v>87100</v>
      </c>
      <c r="N358" s="4">
        <v>7025</v>
      </c>
      <c r="P358" s="56">
        <f t="shared" si="2"/>
        <v>80075</v>
      </c>
      <c r="Q358" s="47">
        <v>21839</v>
      </c>
      <c r="R358" s="4">
        <v>420</v>
      </c>
      <c r="T358" s="4">
        <v>11741</v>
      </c>
      <c r="U358" s="56">
        <f t="shared" si="3"/>
        <v>9678</v>
      </c>
      <c r="V358" s="47">
        <v>1276628</v>
      </c>
      <c r="W358" s="4">
        <v>57</v>
      </c>
      <c r="X358" s="4">
        <v>37915</v>
      </c>
      <c r="Y358" s="4">
        <v>2311</v>
      </c>
      <c r="Z358" s="56">
        <f t="shared" si="4"/>
        <v>1236345</v>
      </c>
      <c r="AA358" s="53">
        <f t="shared" si="5"/>
        <v>3047880</v>
      </c>
    </row>
    <row r="359" spans="1:27" ht="12.5" x14ac:dyDescent="0.25">
      <c r="A359" s="46">
        <v>44386</v>
      </c>
      <c r="B359" s="47">
        <v>20846</v>
      </c>
      <c r="E359" s="4">
        <v>1</v>
      </c>
      <c r="F359" s="4">
        <f t="shared" si="0"/>
        <v>20845</v>
      </c>
      <c r="G359" s="47">
        <v>1645215</v>
      </c>
      <c r="I359" s="4">
        <v>38165</v>
      </c>
      <c r="K359" s="56">
        <f t="shared" si="1"/>
        <v>1607050</v>
      </c>
      <c r="L359" s="47">
        <v>90235</v>
      </c>
      <c r="N359" s="4">
        <v>10000</v>
      </c>
      <c r="P359" s="56">
        <f t="shared" si="2"/>
        <v>80235</v>
      </c>
      <c r="Q359" s="47">
        <v>21997</v>
      </c>
      <c r="R359" s="4">
        <v>432</v>
      </c>
      <c r="T359" s="4">
        <v>11884</v>
      </c>
      <c r="U359" s="56">
        <f t="shared" si="3"/>
        <v>9681</v>
      </c>
      <c r="V359" s="47">
        <v>1295048</v>
      </c>
      <c r="W359" s="4">
        <v>54</v>
      </c>
      <c r="X359" s="4">
        <v>53581</v>
      </c>
      <c r="Y359" s="4">
        <v>2311</v>
      </c>
      <c r="Z359" s="56">
        <f t="shared" si="4"/>
        <v>1239102</v>
      </c>
      <c r="AA359" s="53">
        <f t="shared" si="5"/>
        <v>3073341</v>
      </c>
    </row>
    <row r="360" spans="1:27" ht="12.5" x14ac:dyDescent="0.25">
      <c r="A360" s="46">
        <v>44387</v>
      </c>
      <c r="B360" s="47">
        <v>20930</v>
      </c>
      <c r="E360" s="4">
        <v>1</v>
      </c>
      <c r="F360" s="4">
        <f t="shared" si="0"/>
        <v>20929</v>
      </c>
      <c r="G360" s="47">
        <v>1649483</v>
      </c>
      <c r="I360" s="4">
        <v>41325</v>
      </c>
      <c r="K360" s="56">
        <f t="shared" si="1"/>
        <v>1608158</v>
      </c>
      <c r="L360" s="47">
        <v>93030</v>
      </c>
      <c r="N360" s="4">
        <v>12691</v>
      </c>
      <c r="P360" s="56">
        <f t="shared" si="2"/>
        <v>80339</v>
      </c>
      <c r="Q360" s="47">
        <v>22166</v>
      </c>
      <c r="R360" s="4">
        <v>435</v>
      </c>
      <c r="T360" s="4">
        <v>12041</v>
      </c>
      <c r="U360" s="56">
        <f t="shared" si="3"/>
        <v>9690</v>
      </c>
      <c r="V360" s="47">
        <v>1314453</v>
      </c>
      <c r="W360" s="4">
        <v>47</v>
      </c>
      <c r="X360" s="4">
        <v>69516</v>
      </c>
      <c r="Y360" s="4">
        <v>2311</v>
      </c>
      <c r="Z360" s="56">
        <f t="shared" si="4"/>
        <v>1242579</v>
      </c>
      <c r="AA360" s="53">
        <f t="shared" si="5"/>
        <v>3100062</v>
      </c>
    </row>
    <row r="361" spans="1:27" ht="12.5" x14ac:dyDescent="0.25">
      <c r="A361" s="46">
        <v>44388</v>
      </c>
      <c r="B361" s="47">
        <v>20975</v>
      </c>
      <c r="E361" s="4">
        <v>1</v>
      </c>
      <c r="F361" s="4">
        <f t="shared" si="0"/>
        <v>20974</v>
      </c>
      <c r="G361" s="47">
        <v>1653606</v>
      </c>
      <c r="I361" s="4">
        <v>44503</v>
      </c>
      <c r="K361" s="56">
        <f t="shared" si="1"/>
        <v>1609103</v>
      </c>
      <c r="L361" s="47">
        <v>96959</v>
      </c>
      <c r="N361" s="4">
        <v>16207</v>
      </c>
      <c r="P361" s="56">
        <f t="shared" si="2"/>
        <v>80752</v>
      </c>
      <c r="Q361" s="47">
        <v>22328</v>
      </c>
      <c r="R361" s="4">
        <v>439</v>
      </c>
      <c r="T361" s="4">
        <v>12197</v>
      </c>
      <c r="U361" s="56">
        <f t="shared" si="3"/>
        <v>9692</v>
      </c>
      <c r="V361" s="47">
        <v>1334996</v>
      </c>
      <c r="W361" s="4">
        <v>48</v>
      </c>
      <c r="X361" s="4">
        <v>87236</v>
      </c>
      <c r="Y361" s="4">
        <v>2311</v>
      </c>
      <c r="Z361" s="56">
        <f t="shared" si="4"/>
        <v>1245401</v>
      </c>
      <c r="AA361" s="53">
        <f t="shared" si="5"/>
        <v>3128864</v>
      </c>
    </row>
    <row r="362" spans="1:27" ht="12.5" x14ac:dyDescent="0.25">
      <c r="A362" s="46">
        <v>44389</v>
      </c>
      <c r="B362" s="47">
        <v>21039</v>
      </c>
      <c r="E362" s="4">
        <v>1</v>
      </c>
      <c r="F362" s="4">
        <f t="shared" si="0"/>
        <v>21038</v>
      </c>
      <c r="G362" s="47">
        <v>1657184</v>
      </c>
      <c r="I362" s="4">
        <v>45777</v>
      </c>
      <c r="K362" s="56">
        <f t="shared" si="1"/>
        <v>1611407</v>
      </c>
      <c r="L362" s="47">
        <v>100451</v>
      </c>
      <c r="N362" s="4">
        <v>19166</v>
      </c>
      <c r="P362" s="56">
        <f t="shared" si="2"/>
        <v>81285</v>
      </c>
      <c r="Q362" s="47">
        <v>22497</v>
      </c>
      <c r="R362" s="4">
        <v>444</v>
      </c>
      <c r="T362" s="4">
        <v>12349</v>
      </c>
      <c r="U362" s="56">
        <f t="shared" si="3"/>
        <v>9704</v>
      </c>
      <c r="V362" s="47">
        <v>1351128</v>
      </c>
      <c r="W362" s="4">
        <v>49</v>
      </c>
      <c r="X362" s="4">
        <v>98349</v>
      </c>
      <c r="Y362" s="4">
        <v>2311</v>
      </c>
      <c r="Z362" s="56">
        <f t="shared" si="4"/>
        <v>1250419</v>
      </c>
      <c r="AA362" s="53">
        <f t="shared" si="5"/>
        <v>3152299</v>
      </c>
    </row>
    <row r="363" spans="1:27" ht="12.5" x14ac:dyDescent="0.25">
      <c r="A363" s="46">
        <v>44390</v>
      </c>
      <c r="B363" s="47">
        <v>21076</v>
      </c>
      <c r="E363" s="4">
        <v>1</v>
      </c>
      <c r="F363" s="4">
        <f t="shared" si="0"/>
        <v>21075</v>
      </c>
      <c r="G363" s="47">
        <v>1659466</v>
      </c>
      <c r="I363" s="4">
        <v>44458</v>
      </c>
      <c r="K363" s="56">
        <f t="shared" si="1"/>
        <v>1615008</v>
      </c>
      <c r="L363" s="47">
        <v>103499</v>
      </c>
      <c r="N363" s="4">
        <v>21396</v>
      </c>
      <c r="P363" s="56">
        <f t="shared" si="2"/>
        <v>82103</v>
      </c>
      <c r="Q363" s="47">
        <v>22660</v>
      </c>
      <c r="R363" s="4">
        <v>415</v>
      </c>
      <c r="T363" s="4">
        <v>12502</v>
      </c>
      <c r="U363" s="56">
        <f t="shared" si="3"/>
        <v>9743</v>
      </c>
      <c r="V363" s="47">
        <v>1365557</v>
      </c>
      <c r="W363" s="4">
        <v>49</v>
      </c>
      <c r="X363" s="4">
        <v>107592</v>
      </c>
      <c r="Y363" s="4">
        <v>2311</v>
      </c>
      <c r="Z363" s="56">
        <f t="shared" si="4"/>
        <v>1255605</v>
      </c>
      <c r="AA363" s="53">
        <f t="shared" si="5"/>
        <v>3172258</v>
      </c>
    </row>
    <row r="364" spans="1:27" ht="12.5" x14ac:dyDescent="0.25">
      <c r="A364" s="46">
        <v>44391</v>
      </c>
      <c r="B364" s="47">
        <v>21089</v>
      </c>
      <c r="E364" s="4">
        <v>1</v>
      </c>
      <c r="F364" s="4">
        <f t="shared" si="0"/>
        <v>21088</v>
      </c>
      <c r="G364" s="47">
        <v>1661088</v>
      </c>
      <c r="I364" s="4">
        <v>41023</v>
      </c>
      <c r="K364" s="56">
        <f t="shared" si="1"/>
        <v>1620065</v>
      </c>
      <c r="L364" s="47">
        <v>106530</v>
      </c>
      <c r="N364" s="4">
        <v>23472</v>
      </c>
      <c r="P364" s="56">
        <f t="shared" si="2"/>
        <v>83058</v>
      </c>
      <c r="Q364" s="47">
        <v>22834</v>
      </c>
      <c r="R364" s="4">
        <v>383</v>
      </c>
      <c r="T364" s="4">
        <v>12656</v>
      </c>
      <c r="U364" s="56">
        <f t="shared" si="3"/>
        <v>9795</v>
      </c>
      <c r="V364" s="47">
        <v>1387780</v>
      </c>
      <c r="W364" s="4">
        <v>48</v>
      </c>
      <c r="X364" s="4">
        <v>123662</v>
      </c>
      <c r="Y364" s="4">
        <v>2311</v>
      </c>
      <c r="Z364" s="56">
        <f t="shared" si="4"/>
        <v>1261759</v>
      </c>
      <c r="AA364" s="53">
        <f t="shared" si="5"/>
        <v>3199321</v>
      </c>
    </row>
    <row r="365" spans="1:27" ht="12.5" x14ac:dyDescent="0.25">
      <c r="A365" s="46">
        <v>44392</v>
      </c>
      <c r="B365" s="47">
        <v>21176</v>
      </c>
      <c r="E365" s="4">
        <v>1</v>
      </c>
      <c r="F365" s="4">
        <f t="shared" si="0"/>
        <v>21175</v>
      </c>
      <c r="G365" s="47">
        <v>1664853</v>
      </c>
      <c r="I365" s="4">
        <v>37159</v>
      </c>
      <c r="K365" s="56">
        <f t="shared" si="1"/>
        <v>1627694</v>
      </c>
      <c r="L365" s="47">
        <v>111246</v>
      </c>
      <c r="N365" s="4">
        <v>27318</v>
      </c>
      <c r="P365" s="56">
        <f t="shared" si="2"/>
        <v>83928</v>
      </c>
      <c r="Q365" s="47">
        <v>23016</v>
      </c>
      <c r="R365" s="4">
        <v>294</v>
      </c>
      <c r="T365" s="4">
        <v>12812</v>
      </c>
      <c r="U365" s="56">
        <f t="shared" si="3"/>
        <v>9910</v>
      </c>
      <c r="V365" s="47">
        <v>1414376</v>
      </c>
      <c r="W365" s="4">
        <v>53</v>
      </c>
      <c r="X365" s="4">
        <v>140982</v>
      </c>
      <c r="Y365" s="4">
        <v>2311</v>
      </c>
      <c r="Z365" s="56">
        <f t="shared" si="4"/>
        <v>1271030</v>
      </c>
      <c r="AA365" s="53">
        <f t="shared" si="5"/>
        <v>3234667</v>
      </c>
    </row>
    <row r="366" spans="1:27" ht="12.5" x14ac:dyDescent="0.25">
      <c r="A366" s="46">
        <v>44393</v>
      </c>
      <c r="B366" s="47">
        <v>21255</v>
      </c>
      <c r="E366" s="4">
        <v>1</v>
      </c>
      <c r="F366" s="4">
        <f t="shared" si="0"/>
        <v>21254</v>
      </c>
      <c r="G366" s="47">
        <v>1668802</v>
      </c>
      <c r="I366" s="4">
        <v>31431</v>
      </c>
      <c r="K366" s="56">
        <f t="shared" si="1"/>
        <v>1637371</v>
      </c>
      <c r="L366" s="47">
        <v>114914</v>
      </c>
      <c r="N366" s="4">
        <v>29173</v>
      </c>
      <c r="P366" s="56">
        <f t="shared" si="2"/>
        <v>85741</v>
      </c>
      <c r="Q366" s="47">
        <v>23188</v>
      </c>
      <c r="R366" s="4">
        <v>198</v>
      </c>
      <c r="T366" s="4">
        <v>12973</v>
      </c>
      <c r="U366" s="56">
        <f t="shared" si="3"/>
        <v>10017</v>
      </c>
      <c r="V366" s="47">
        <v>1438226</v>
      </c>
      <c r="W366" s="4">
        <v>45</v>
      </c>
      <c r="X366" s="4">
        <v>152640</v>
      </c>
      <c r="Y366" s="4">
        <v>2311</v>
      </c>
      <c r="Z366" s="56">
        <f t="shared" si="4"/>
        <v>1283230</v>
      </c>
      <c r="AA366" s="53">
        <f t="shared" si="5"/>
        <v>3266385</v>
      </c>
    </row>
    <row r="367" spans="1:27" ht="12.5" x14ac:dyDescent="0.25">
      <c r="B367" s="57"/>
      <c r="G367" s="57"/>
      <c r="L367" s="57"/>
      <c r="Q367" s="57"/>
      <c r="V367" s="57"/>
      <c r="AA367" s="53"/>
    </row>
    <row r="368" spans="1:27" ht="12.5" x14ac:dyDescent="0.25">
      <c r="B368" s="57"/>
      <c r="G368" s="57"/>
      <c r="L368" s="57"/>
      <c r="Q368" s="57"/>
      <c r="V368" s="57"/>
      <c r="AA368" s="53"/>
    </row>
    <row r="369" spans="2:27" ht="12.5" x14ac:dyDescent="0.25">
      <c r="B369" s="57"/>
      <c r="G369" s="57"/>
      <c r="L369" s="57"/>
      <c r="Q369" s="57"/>
      <c r="V369" s="57"/>
      <c r="AA369" s="53"/>
    </row>
    <row r="370" spans="2:27" ht="12.5" x14ac:dyDescent="0.25">
      <c r="B370" s="57"/>
      <c r="G370" s="57"/>
      <c r="L370" s="57"/>
      <c r="Q370" s="57"/>
      <c r="V370" s="57"/>
      <c r="AA370" s="53"/>
    </row>
    <row r="371" spans="2:27" ht="12.5" x14ac:dyDescent="0.25">
      <c r="B371" s="57"/>
      <c r="G371" s="57"/>
      <c r="L371" s="57"/>
      <c r="Q371" s="57"/>
      <c r="V371" s="57"/>
      <c r="AA371" s="53"/>
    </row>
    <row r="372" spans="2:27" ht="12.5" x14ac:dyDescent="0.25">
      <c r="B372" s="57"/>
      <c r="G372" s="57"/>
      <c r="L372" s="57"/>
      <c r="Q372" s="57"/>
      <c r="V372" s="57"/>
      <c r="AA372" s="53"/>
    </row>
    <row r="373" spans="2:27" ht="12.5" x14ac:dyDescent="0.25">
      <c r="B373" s="57"/>
      <c r="G373" s="57"/>
      <c r="L373" s="57"/>
      <c r="Q373" s="57"/>
      <c r="V373" s="57"/>
      <c r="AA373" s="53"/>
    </row>
    <row r="374" spans="2:27" ht="12.5" x14ac:dyDescent="0.25">
      <c r="B374" s="57"/>
      <c r="G374" s="57"/>
      <c r="L374" s="57"/>
      <c r="Q374" s="57"/>
      <c r="V374" s="57"/>
      <c r="AA374" s="53"/>
    </row>
    <row r="375" spans="2:27" ht="12.5" x14ac:dyDescent="0.25">
      <c r="B375" s="57"/>
      <c r="G375" s="57"/>
      <c r="L375" s="57"/>
      <c r="Q375" s="57"/>
      <c r="V375" s="57"/>
      <c r="AA375" s="53"/>
    </row>
    <row r="376" spans="2:27" ht="12.5" x14ac:dyDescent="0.25">
      <c r="B376" s="57"/>
      <c r="G376" s="57"/>
      <c r="L376" s="57"/>
      <c r="Q376" s="57"/>
      <c r="V376" s="57"/>
      <c r="AA376" s="53"/>
    </row>
    <row r="377" spans="2:27" ht="12.5" x14ac:dyDescent="0.25">
      <c r="B377" s="57"/>
      <c r="G377" s="57"/>
      <c r="L377" s="57"/>
      <c r="Q377" s="57"/>
      <c r="V377" s="57"/>
      <c r="AA377" s="53"/>
    </row>
    <row r="378" spans="2:27" ht="12.5" x14ac:dyDescent="0.25">
      <c r="B378" s="57"/>
      <c r="G378" s="57"/>
      <c r="L378" s="57"/>
      <c r="Q378" s="57"/>
      <c r="V378" s="57"/>
      <c r="AA378" s="53"/>
    </row>
    <row r="379" spans="2:27" ht="12.5" x14ac:dyDescent="0.25">
      <c r="B379" s="57"/>
      <c r="G379" s="57"/>
      <c r="L379" s="57"/>
      <c r="Q379" s="57"/>
      <c r="V379" s="57"/>
      <c r="AA379" s="53"/>
    </row>
    <row r="380" spans="2:27" ht="12.5" x14ac:dyDescent="0.25">
      <c r="B380" s="57"/>
      <c r="G380" s="57"/>
      <c r="L380" s="57"/>
      <c r="Q380" s="57"/>
      <c r="V380" s="57"/>
      <c r="AA380" s="53"/>
    </row>
    <row r="381" spans="2:27" ht="12.5" x14ac:dyDescent="0.25">
      <c r="B381" s="57"/>
      <c r="G381" s="57"/>
      <c r="L381" s="57"/>
      <c r="Q381" s="57"/>
      <c r="V381" s="57"/>
      <c r="AA381" s="53"/>
    </row>
    <row r="382" spans="2:27" ht="12.5" x14ac:dyDescent="0.25">
      <c r="B382" s="57"/>
      <c r="G382" s="57"/>
      <c r="L382" s="57"/>
      <c r="Q382" s="57"/>
      <c r="V382" s="57"/>
      <c r="AA382" s="53"/>
    </row>
    <row r="383" spans="2:27" ht="12.5" x14ac:dyDescent="0.25">
      <c r="B383" s="57"/>
      <c r="G383" s="57"/>
      <c r="L383" s="57"/>
      <c r="Q383" s="57"/>
      <c r="V383" s="57"/>
      <c r="AA383" s="53"/>
    </row>
    <row r="384" spans="2:27" ht="12.5" x14ac:dyDescent="0.25">
      <c r="B384" s="57"/>
      <c r="G384" s="57"/>
      <c r="L384" s="57"/>
      <c r="Q384" s="57"/>
      <c r="V384" s="57"/>
      <c r="AA384" s="53"/>
    </row>
    <row r="385" spans="2:27" ht="12.5" x14ac:dyDescent="0.25">
      <c r="B385" s="57"/>
      <c r="G385" s="57"/>
      <c r="L385" s="57"/>
      <c r="Q385" s="57"/>
      <c r="V385" s="57"/>
      <c r="AA385" s="53"/>
    </row>
    <row r="386" spans="2:27" ht="12.5" x14ac:dyDescent="0.25">
      <c r="B386" s="57"/>
      <c r="G386" s="57"/>
      <c r="L386" s="57"/>
      <c r="Q386" s="57"/>
      <c r="V386" s="57"/>
      <c r="AA386" s="53"/>
    </row>
    <row r="387" spans="2:27" ht="12.5" x14ac:dyDescent="0.25">
      <c r="B387" s="57"/>
      <c r="G387" s="57"/>
      <c r="L387" s="57"/>
      <c r="Q387" s="57"/>
      <c r="V387" s="57"/>
      <c r="AA387" s="53"/>
    </row>
    <row r="388" spans="2:27" ht="12.5" x14ac:dyDescent="0.25">
      <c r="B388" s="57"/>
      <c r="G388" s="57"/>
      <c r="L388" s="57"/>
      <c r="Q388" s="57"/>
      <c r="V388" s="57"/>
      <c r="AA388" s="53"/>
    </row>
    <row r="389" spans="2:27" ht="12.5" x14ac:dyDescent="0.25">
      <c r="B389" s="57"/>
      <c r="G389" s="57"/>
      <c r="L389" s="57"/>
      <c r="Q389" s="57"/>
      <c r="V389" s="57"/>
      <c r="AA389" s="53"/>
    </row>
    <row r="390" spans="2:27" ht="12.5" x14ac:dyDescent="0.25">
      <c r="B390" s="57"/>
      <c r="G390" s="57"/>
      <c r="L390" s="57"/>
      <c r="Q390" s="57"/>
      <c r="V390" s="57"/>
      <c r="AA390" s="53"/>
    </row>
    <row r="391" spans="2:27" ht="12.5" x14ac:dyDescent="0.25">
      <c r="B391" s="57"/>
      <c r="G391" s="57"/>
      <c r="L391" s="57"/>
      <c r="Q391" s="57"/>
      <c r="V391" s="57"/>
      <c r="AA391" s="53"/>
    </row>
    <row r="392" spans="2:27" ht="12.5" x14ac:dyDescent="0.25">
      <c r="B392" s="57"/>
      <c r="G392" s="57"/>
      <c r="L392" s="57"/>
      <c r="Q392" s="57"/>
      <c r="V392" s="57"/>
      <c r="AA392" s="53"/>
    </row>
    <row r="393" spans="2:27" ht="12.5" x14ac:dyDescent="0.25">
      <c r="B393" s="57"/>
      <c r="G393" s="57"/>
      <c r="L393" s="57"/>
      <c r="Q393" s="57"/>
      <c r="V393" s="57"/>
      <c r="AA393" s="53"/>
    </row>
    <row r="394" spans="2:27" ht="12.5" x14ac:dyDescent="0.25">
      <c r="B394" s="57"/>
      <c r="G394" s="57"/>
      <c r="L394" s="57"/>
      <c r="Q394" s="57"/>
      <c r="V394" s="57"/>
      <c r="AA394" s="53"/>
    </row>
    <row r="395" spans="2:27" ht="12.5" x14ac:dyDescent="0.25">
      <c r="B395" s="57"/>
      <c r="G395" s="57"/>
      <c r="L395" s="57"/>
      <c r="Q395" s="57"/>
      <c r="V395" s="57"/>
      <c r="AA395" s="53"/>
    </row>
    <row r="396" spans="2:27" ht="12.5" x14ac:dyDescent="0.25">
      <c r="B396" s="57"/>
      <c r="G396" s="57"/>
      <c r="L396" s="57"/>
      <c r="Q396" s="57"/>
      <c r="V396" s="57"/>
      <c r="AA396" s="53"/>
    </row>
    <row r="397" spans="2:27" ht="12.5" x14ac:dyDescent="0.25">
      <c r="B397" s="57"/>
      <c r="G397" s="57"/>
      <c r="L397" s="57"/>
      <c r="Q397" s="57"/>
      <c r="V397" s="57"/>
      <c r="AA397" s="53"/>
    </row>
    <row r="398" spans="2:27" ht="12.5" x14ac:dyDescent="0.25">
      <c r="B398" s="57"/>
      <c r="G398" s="57"/>
      <c r="L398" s="57"/>
      <c r="Q398" s="57"/>
      <c r="V398" s="57"/>
      <c r="AA398" s="53"/>
    </row>
    <row r="399" spans="2:27" ht="12.5" x14ac:dyDescent="0.25">
      <c r="B399" s="57"/>
      <c r="G399" s="57"/>
      <c r="L399" s="57"/>
      <c r="Q399" s="57"/>
      <c r="V399" s="57"/>
      <c r="AA399" s="53"/>
    </row>
    <row r="400" spans="2:27" ht="12.5" x14ac:dyDescent="0.25">
      <c r="B400" s="57"/>
      <c r="G400" s="57"/>
      <c r="L400" s="57"/>
      <c r="Q400" s="57"/>
      <c r="V400" s="57"/>
      <c r="AA400" s="53"/>
    </row>
    <row r="401" spans="2:27" ht="12.5" x14ac:dyDescent="0.25">
      <c r="B401" s="57"/>
      <c r="G401" s="57"/>
      <c r="L401" s="57"/>
      <c r="Q401" s="57"/>
      <c r="V401" s="57"/>
      <c r="AA401" s="53"/>
    </row>
    <row r="402" spans="2:27" ht="12.5" x14ac:dyDescent="0.25">
      <c r="B402" s="57"/>
      <c r="G402" s="57"/>
      <c r="L402" s="57"/>
      <c r="Q402" s="57"/>
      <c r="V402" s="57"/>
      <c r="AA402" s="53"/>
    </row>
    <row r="403" spans="2:27" ht="12.5" x14ac:dyDescent="0.25">
      <c r="B403" s="57"/>
      <c r="G403" s="57"/>
      <c r="L403" s="57"/>
      <c r="Q403" s="57"/>
      <c r="V403" s="57"/>
      <c r="AA403" s="53"/>
    </row>
    <row r="404" spans="2:27" ht="12.5" x14ac:dyDescent="0.25">
      <c r="B404" s="57"/>
      <c r="G404" s="57"/>
      <c r="L404" s="57"/>
      <c r="Q404" s="57"/>
      <c r="V404" s="57"/>
      <c r="AA404" s="53"/>
    </row>
    <row r="405" spans="2:27" ht="12.5" x14ac:dyDescent="0.25">
      <c r="B405" s="57"/>
      <c r="G405" s="57"/>
      <c r="L405" s="57"/>
      <c r="Q405" s="57"/>
      <c r="V405" s="57"/>
      <c r="AA405" s="53"/>
    </row>
    <row r="406" spans="2:27" ht="12.5" x14ac:dyDescent="0.25">
      <c r="B406" s="57"/>
      <c r="G406" s="57"/>
      <c r="L406" s="57"/>
      <c r="Q406" s="57"/>
      <c r="V406" s="57"/>
      <c r="AA406" s="53"/>
    </row>
    <row r="407" spans="2:27" ht="12.5" x14ac:dyDescent="0.25">
      <c r="B407" s="57"/>
      <c r="G407" s="57"/>
      <c r="L407" s="57"/>
      <c r="Q407" s="57"/>
      <c r="V407" s="57"/>
      <c r="AA407" s="53"/>
    </row>
    <row r="408" spans="2:27" ht="12.5" x14ac:dyDescent="0.25">
      <c r="B408" s="57"/>
      <c r="G408" s="57"/>
      <c r="L408" s="57"/>
      <c r="Q408" s="57"/>
      <c r="V408" s="57"/>
      <c r="AA408" s="53"/>
    </row>
    <row r="409" spans="2:27" ht="12.5" x14ac:dyDescent="0.25">
      <c r="B409" s="57"/>
      <c r="G409" s="57"/>
      <c r="L409" s="57"/>
      <c r="Q409" s="57"/>
      <c r="V409" s="57"/>
      <c r="AA409" s="53"/>
    </row>
    <row r="410" spans="2:27" ht="12.5" x14ac:dyDescent="0.25">
      <c r="B410" s="57"/>
      <c r="G410" s="57"/>
      <c r="L410" s="57"/>
      <c r="Q410" s="57"/>
      <c r="V410" s="57"/>
      <c r="AA410" s="53"/>
    </row>
    <row r="411" spans="2:27" ht="12.5" x14ac:dyDescent="0.25">
      <c r="B411" s="57"/>
      <c r="G411" s="57"/>
      <c r="L411" s="57"/>
      <c r="Q411" s="57"/>
      <c r="V411" s="57"/>
      <c r="AA411" s="53"/>
    </row>
    <row r="412" spans="2:27" ht="12.5" x14ac:dyDescent="0.25">
      <c r="B412" s="57"/>
      <c r="G412" s="57"/>
      <c r="L412" s="57"/>
      <c r="Q412" s="57"/>
      <c r="V412" s="57"/>
      <c r="AA412" s="53"/>
    </row>
    <row r="413" spans="2:27" ht="12.5" x14ac:dyDescent="0.25">
      <c r="B413" s="57"/>
      <c r="G413" s="57"/>
      <c r="L413" s="57"/>
      <c r="Q413" s="57"/>
      <c r="V413" s="57"/>
      <c r="AA413" s="53"/>
    </row>
    <row r="414" spans="2:27" ht="12.5" x14ac:dyDescent="0.25">
      <c r="B414" s="57"/>
      <c r="G414" s="57"/>
      <c r="L414" s="57"/>
      <c r="Q414" s="57"/>
      <c r="V414" s="57"/>
      <c r="AA414" s="53"/>
    </row>
    <row r="415" spans="2:27" ht="12.5" x14ac:dyDescent="0.25">
      <c r="B415" s="57"/>
      <c r="G415" s="57"/>
      <c r="L415" s="57"/>
      <c r="Q415" s="57"/>
      <c r="V415" s="57"/>
      <c r="AA415" s="53"/>
    </row>
    <row r="416" spans="2:27" ht="12.5" x14ac:dyDescent="0.25">
      <c r="B416" s="57"/>
      <c r="G416" s="57"/>
      <c r="L416" s="57"/>
      <c r="Q416" s="57"/>
      <c r="V416" s="57"/>
      <c r="AA416" s="53"/>
    </row>
    <row r="417" spans="2:27" ht="12.5" x14ac:dyDescent="0.25">
      <c r="B417" s="57"/>
      <c r="G417" s="57"/>
      <c r="L417" s="57"/>
      <c r="Q417" s="57"/>
      <c r="V417" s="57"/>
      <c r="AA417" s="53"/>
    </row>
    <row r="418" spans="2:27" ht="12.5" x14ac:dyDescent="0.25">
      <c r="B418" s="57"/>
      <c r="G418" s="57"/>
      <c r="L418" s="57"/>
      <c r="Q418" s="57"/>
      <c r="V418" s="57"/>
      <c r="AA418" s="53"/>
    </row>
    <row r="419" spans="2:27" ht="12.5" x14ac:dyDescent="0.25">
      <c r="B419" s="57"/>
      <c r="G419" s="57"/>
      <c r="L419" s="57"/>
      <c r="Q419" s="57"/>
      <c r="V419" s="57"/>
      <c r="AA419" s="53"/>
    </row>
    <row r="420" spans="2:27" ht="12.5" x14ac:dyDescent="0.25">
      <c r="B420" s="57"/>
      <c r="G420" s="57"/>
      <c r="L420" s="57"/>
      <c r="Q420" s="57"/>
      <c r="V420" s="57"/>
      <c r="AA420" s="53"/>
    </row>
    <row r="421" spans="2:27" ht="12.5" x14ac:dyDescent="0.25">
      <c r="B421" s="57"/>
      <c r="G421" s="57"/>
      <c r="L421" s="57"/>
      <c r="Q421" s="57"/>
      <c r="V421" s="57"/>
      <c r="AA421" s="53"/>
    </row>
    <row r="422" spans="2:27" ht="12.5" x14ac:dyDescent="0.25">
      <c r="B422" s="57"/>
      <c r="G422" s="57"/>
      <c r="L422" s="57"/>
      <c r="Q422" s="57"/>
      <c r="V422" s="57"/>
      <c r="AA422" s="53"/>
    </row>
    <row r="423" spans="2:27" ht="12.5" x14ac:dyDescent="0.25">
      <c r="B423" s="57"/>
      <c r="G423" s="57"/>
      <c r="L423" s="57"/>
      <c r="Q423" s="57"/>
      <c r="V423" s="57"/>
      <c r="AA423" s="53"/>
    </row>
    <row r="424" spans="2:27" ht="12.5" x14ac:dyDescent="0.25">
      <c r="B424" s="57"/>
      <c r="G424" s="57"/>
      <c r="L424" s="57"/>
      <c r="Q424" s="57"/>
      <c r="V424" s="57"/>
      <c r="AA424" s="53"/>
    </row>
    <row r="425" spans="2:27" ht="12.5" x14ac:dyDescent="0.25">
      <c r="B425" s="57"/>
      <c r="G425" s="57"/>
      <c r="L425" s="57"/>
      <c r="Q425" s="57"/>
      <c r="V425" s="57"/>
      <c r="AA425" s="53"/>
    </row>
    <row r="426" spans="2:27" ht="12.5" x14ac:dyDescent="0.25">
      <c r="B426" s="57"/>
      <c r="G426" s="57"/>
      <c r="L426" s="57"/>
      <c r="Q426" s="57"/>
      <c r="V426" s="57"/>
      <c r="AA426" s="53"/>
    </row>
    <row r="427" spans="2:27" ht="12.5" x14ac:dyDescent="0.25">
      <c r="B427" s="57"/>
      <c r="G427" s="57"/>
      <c r="L427" s="57"/>
      <c r="Q427" s="57"/>
      <c r="V427" s="57"/>
      <c r="AA427" s="53"/>
    </row>
    <row r="428" spans="2:27" ht="12.5" x14ac:dyDescent="0.25">
      <c r="B428" s="57"/>
      <c r="G428" s="57"/>
      <c r="L428" s="57"/>
      <c r="Q428" s="57"/>
      <c r="V428" s="57"/>
      <c r="AA428" s="53"/>
    </row>
    <row r="429" spans="2:27" ht="12.5" x14ac:dyDescent="0.25">
      <c r="B429" s="57"/>
      <c r="G429" s="57"/>
      <c r="L429" s="57"/>
      <c r="Q429" s="57"/>
      <c r="V429" s="57"/>
      <c r="AA429" s="53"/>
    </row>
    <row r="430" spans="2:27" ht="12.5" x14ac:dyDescent="0.25">
      <c r="B430" s="57"/>
      <c r="G430" s="57"/>
      <c r="L430" s="57"/>
      <c r="Q430" s="57"/>
      <c r="V430" s="57"/>
      <c r="AA430" s="53"/>
    </row>
    <row r="431" spans="2:27" ht="12.5" x14ac:dyDescent="0.25">
      <c r="B431" s="57"/>
      <c r="G431" s="57"/>
      <c r="L431" s="57"/>
      <c r="Q431" s="57"/>
      <c r="V431" s="57"/>
      <c r="AA431" s="53"/>
    </row>
    <row r="432" spans="2:27" ht="12.5" x14ac:dyDescent="0.25">
      <c r="B432" s="57"/>
      <c r="G432" s="57"/>
      <c r="L432" s="57"/>
      <c r="Q432" s="57"/>
      <c r="V432" s="57"/>
      <c r="AA432" s="53"/>
    </row>
    <row r="433" spans="2:27" ht="12.5" x14ac:dyDescent="0.25">
      <c r="B433" s="57"/>
      <c r="G433" s="57"/>
      <c r="L433" s="57"/>
      <c r="Q433" s="57"/>
      <c r="V433" s="57"/>
      <c r="AA433" s="53"/>
    </row>
    <row r="434" spans="2:27" ht="12.5" x14ac:dyDescent="0.25">
      <c r="B434" s="57"/>
      <c r="G434" s="57"/>
      <c r="L434" s="57"/>
      <c r="Q434" s="57"/>
      <c r="V434" s="57"/>
      <c r="AA434" s="53"/>
    </row>
    <row r="435" spans="2:27" ht="12.5" x14ac:dyDescent="0.25">
      <c r="B435" s="57"/>
      <c r="G435" s="57"/>
      <c r="L435" s="57"/>
      <c r="Q435" s="57"/>
      <c r="V435" s="57"/>
      <c r="AA435" s="53"/>
    </row>
    <row r="436" spans="2:27" ht="12.5" x14ac:dyDescent="0.25">
      <c r="B436" s="57"/>
      <c r="G436" s="57"/>
      <c r="L436" s="57"/>
      <c r="Q436" s="57"/>
      <c r="V436" s="57"/>
      <c r="AA436" s="53"/>
    </row>
    <row r="437" spans="2:27" ht="12.5" x14ac:dyDescent="0.25">
      <c r="B437" s="57"/>
      <c r="G437" s="57"/>
      <c r="L437" s="57"/>
      <c r="Q437" s="57"/>
      <c r="V437" s="57"/>
      <c r="AA437" s="53"/>
    </row>
    <row r="438" spans="2:27" ht="12.5" x14ac:dyDescent="0.25">
      <c r="B438" s="57"/>
      <c r="G438" s="57"/>
      <c r="L438" s="57"/>
      <c r="Q438" s="57"/>
      <c r="V438" s="57"/>
      <c r="AA438" s="53"/>
    </row>
    <row r="439" spans="2:27" ht="12.5" x14ac:dyDescent="0.25">
      <c r="B439" s="57"/>
      <c r="G439" s="57"/>
      <c r="L439" s="57"/>
      <c r="Q439" s="57"/>
      <c r="V439" s="57"/>
      <c r="AA439" s="53"/>
    </row>
    <row r="440" spans="2:27" ht="12.5" x14ac:dyDescent="0.25">
      <c r="B440" s="57"/>
      <c r="G440" s="57"/>
      <c r="L440" s="57"/>
      <c r="Q440" s="57"/>
      <c r="V440" s="57"/>
      <c r="AA440" s="53"/>
    </row>
    <row r="441" spans="2:27" ht="12.5" x14ac:dyDescent="0.25">
      <c r="B441" s="57"/>
      <c r="G441" s="57"/>
      <c r="L441" s="57"/>
      <c r="Q441" s="57"/>
      <c r="V441" s="57"/>
      <c r="AA441" s="53"/>
    </row>
    <row r="442" spans="2:27" ht="12.5" x14ac:dyDescent="0.25">
      <c r="B442" s="57"/>
      <c r="G442" s="57"/>
      <c r="L442" s="57"/>
      <c r="Q442" s="57"/>
      <c r="V442" s="57"/>
      <c r="AA442" s="53"/>
    </row>
    <row r="443" spans="2:27" ht="12.5" x14ac:dyDescent="0.25">
      <c r="B443" s="57"/>
      <c r="G443" s="57"/>
      <c r="L443" s="57"/>
      <c r="Q443" s="57"/>
      <c r="V443" s="57"/>
      <c r="AA443" s="53"/>
    </row>
    <row r="444" spans="2:27" ht="12.5" x14ac:dyDescent="0.25">
      <c r="B444" s="57"/>
      <c r="G444" s="57"/>
      <c r="L444" s="57"/>
      <c r="Q444" s="57"/>
      <c r="V444" s="57"/>
      <c r="AA444" s="53"/>
    </row>
    <row r="445" spans="2:27" ht="12.5" x14ac:dyDescent="0.25">
      <c r="B445" s="57"/>
      <c r="G445" s="57"/>
      <c r="L445" s="57"/>
      <c r="Q445" s="57"/>
      <c r="V445" s="57"/>
      <c r="AA445" s="53"/>
    </row>
    <row r="446" spans="2:27" ht="12.5" x14ac:dyDescent="0.25">
      <c r="B446" s="57"/>
      <c r="G446" s="57"/>
      <c r="L446" s="57"/>
      <c r="Q446" s="57"/>
      <c r="V446" s="57"/>
      <c r="AA446" s="53"/>
    </row>
    <row r="447" spans="2:27" ht="12.5" x14ac:dyDescent="0.25">
      <c r="B447" s="57"/>
      <c r="G447" s="57"/>
      <c r="L447" s="57"/>
      <c r="Q447" s="57"/>
      <c r="V447" s="57"/>
      <c r="AA447" s="53"/>
    </row>
    <row r="448" spans="2:27" ht="12.5" x14ac:dyDescent="0.25">
      <c r="B448" s="57"/>
      <c r="G448" s="57"/>
      <c r="L448" s="57"/>
      <c r="Q448" s="57"/>
      <c r="V448" s="57"/>
      <c r="AA448" s="53"/>
    </row>
    <row r="449" spans="2:27" ht="12.5" x14ac:dyDescent="0.25">
      <c r="B449" s="57"/>
      <c r="G449" s="57"/>
      <c r="L449" s="57"/>
      <c r="Q449" s="57"/>
      <c r="V449" s="57"/>
      <c r="AA449" s="53"/>
    </row>
    <row r="450" spans="2:27" ht="12.5" x14ac:dyDescent="0.25">
      <c r="B450" s="57"/>
      <c r="G450" s="57"/>
      <c r="L450" s="57"/>
      <c r="Q450" s="57"/>
      <c r="V450" s="57"/>
      <c r="AA450" s="53"/>
    </row>
    <row r="451" spans="2:27" ht="12.5" x14ac:dyDescent="0.25">
      <c r="B451" s="57"/>
      <c r="G451" s="57"/>
      <c r="L451" s="57"/>
      <c r="Q451" s="57"/>
      <c r="V451" s="57"/>
      <c r="AA451" s="53"/>
    </row>
    <row r="452" spans="2:27" ht="12.5" x14ac:dyDescent="0.25">
      <c r="B452" s="57"/>
      <c r="G452" s="57"/>
      <c r="L452" s="57"/>
      <c r="Q452" s="57"/>
      <c r="V452" s="57"/>
      <c r="AA452" s="53"/>
    </row>
    <row r="453" spans="2:27" ht="12.5" x14ac:dyDescent="0.25">
      <c r="B453" s="57"/>
      <c r="G453" s="57"/>
      <c r="L453" s="57"/>
      <c r="Q453" s="57"/>
      <c r="V453" s="57"/>
      <c r="AA453" s="53"/>
    </row>
    <row r="454" spans="2:27" ht="12.5" x14ac:dyDescent="0.25">
      <c r="B454" s="57"/>
      <c r="G454" s="57"/>
      <c r="L454" s="57"/>
      <c r="Q454" s="57"/>
      <c r="V454" s="57"/>
      <c r="AA454" s="53"/>
    </row>
    <row r="455" spans="2:27" ht="12.5" x14ac:dyDescent="0.25">
      <c r="B455" s="57"/>
      <c r="G455" s="57"/>
      <c r="L455" s="57"/>
      <c r="Q455" s="57"/>
      <c r="V455" s="57"/>
      <c r="AA455" s="53"/>
    </row>
    <row r="456" spans="2:27" ht="12.5" x14ac:dyDescent="0.25">
      <c r="B456" s="57"/>
      <c r="G456" s="57"/>
      <c r="L456" s="57"/>
      <c r="Q456" s="57"/>
      <c r="V456" s="57"/>
      <c r="AA456" s="53"/>
    </row>
    <row r="457" spans="2:27" ht="12.5" x14ac:dyDescent="0.25">
      <c r="B457" s="57"/>
      <c r="G457" s="57"/>
      <c r="L457" s="57"/>
      <c r="Q457" s="57"/>
      <c r="V457" s="57"/>
      <c r="AA457" s="53"/>
    </row>
    <row r="458" spans="2:27" ht="12.5" x14ac:dyDescent="0.25">
      <c r="B458" s="57"/>
      <c r="G458" s="57"/>
      <c r="L458" s="57"/>
      <c r="Q458" s="57"/>
      <c r="V458" s="57"/>
      <c r="AA458" s="53"/>
    </row>
    <row r="459" spans="2:27" ht="12.5" x14ac:dyDescent="0.25">
      <c r="B459" s="57"/>
      <c r="G459" s="57"/>
      <c r="L459" s="57"/>
      <c r="Q459" s="57"/>
      <c r="V459" s="57"/>
      <c r="AA459" s="53"/>
    </row>
    <row r="460" spans="2:27" ht="12.5" x14ac:dyDescent="0.25">
      <c r="B460" s="57"/>
      <c r="G460" s="57"/>
      <c r="L460" s="57"/>
      <c r="Q460" s="57"/>
      <c r="V460" s="57"/>
      <c r="AA460" s="53"/>
    </row>
    <row r="461" spans="2:27" ht="12.5" x14ac:dyDescent="0.25">
      <c r="B461" s="57"/>
      <c r="G461" s="57"/>
      <c r="L461" s="57"/>
      <c r="Q461" s="57"/>
      <c r="V461" s="57"/>
      <c r="AA461" s="53"/>
    </row>
    <row r="462" spans="2:27" ht="12.5" x14ac:dyDescent="0.25">
      <c r="B462" s="57"/>
      <c r="G462" s="57"/>
      <c r="L462" s="57"/>
      <c r="Q462" s="57"/>
      <c r="V462" s="57"/>
      <c r="AA462" s="53"/>
    </row>
    <row r="463" spans="2:27" ht="12.5" x14ac:dyDescent="0.25">
      <c r="B463" s="57"/>
      <c r="G463" s="57"/>
      <c r="L463" s="57"/>
      <c r="Q463" s="57"/>
      <c r="V463" s="57"/>
      <c r="AA463" s="53"/>
    </row>
    <row r="464" spans="2:27" ht="12.5" x14ac:dyDescent="0.25">
      <c r="B464" s="57"/>
      <c r="G464" s="57"/>
      <c r="L464" s="57"/>
      <c r="Q464" s="57"/>
      <c r="V464" s="57"/>
      <c r="AA464" s="53"/>
    </row>
    <row r="465" spans="2:27" ht="12.5" x14ac:dyDescent="0.25">
      <c r="B465" s="57"/>
      <c r="G465" s="57"/>
      <c r="L465" s="57"/>
      <c r="Q465" s="57"/>
      <c r="V465" s="57"/>
      <c r="AA465" s="53"/>
    </row>
    <row r="466" spans="2:27" ht="12.5" x14ac:dyDescent="0.25">
      <c r="B466" s="57"/>
      <c r="G466" s="57"/>
      <c r="L466" s="57"/>
      <c r="Q466" s="57"/>
      <c r="V466" s="57"/>
      <c r="AA466" s="53"/>
    </row>
    <row r="467" spans="2:27" ht="12.5" x14ac:dyDescent="0.25">
      <c r="B467" s="57"/>
      <c r="G467" s="57"/>
      <c r="L467" s="57"/>
      <c r="Q467" s="57"/>
      <c r="V467" s="57"/>
      <c r="AA467" s="53"/>
    </row>
    <row r="468" spans="2:27" ht="12.5" x14ac:dyDescent="0.25">
      <c r="B468" s="57"/>
      <c r="G468" s="57"/>
      <c r="L468" s="57"/>
      <c r="Q468" s="57"/>
      <c r="V468" s="57"/>
      <c r="AA468" s="53"/>
    </row>
    <row r="469" spans="2:27" ht="12.5" x14ac:dyDescent="0.25">
      <c r="B469" s="57"/>
      <c r="G469" s="57"/>
      <c r="L469" s="57"/>
      <c r="Q469" s="57"/>
      <c r="V469" s="57"/>
      <c r="AA469" s="53"/>
    </row>
    <row r="470" spans="2:27" ht="12.5" x14ac:dyDescent="0.25">
      <c r="B470" s="57"/>
      <c r="G470" s="57"/>
      <c r="L470" s="57"/>
      <c r="Q470" s="57"/>
      <c r="V470" s="57"/>
      <c r="AA470" s="53"/>
    </row>
    <row r="471" spans="2:27" ht="12.5" x14ac:dyDescent="0.25">
      <c r="B471" s="57"/>
      <c r="G471" s="57"/>
      <c r="L471" s="57"/>
      <c r="Q471" s="57"/>
      <c r="V471" s="57"/>
      <c r="AA471" s="53"/>
    </row>
    <row r="472" spans="2:27" ht="12.5" x14ac:dyDescent="0.25">
      <c r="B472" s="57"/>
      <c r="G472" s="57"/>
      <c r="L472" s="57"/>
      <c r="Q472" s="57"/>
      <c r="V472" s="57"/>
      <c r="AA472" s="53"/>
    </row>
    <row r="473" spans="2:27" ht="12.5" x14ac:dyDescent="0.25">
      <c r="B473" s="57"/>
      <c r="G473" s="57"/>
      <c r="L473" s="57"/>
      <c r="Q473" s="57"/>
      <c r="V473" s="57"/>
      <c r="AA473" s="53"/>
    </row>
    <row r="474" spans="2:27" ht="12.5" x14ac:dyDescent="0.25">
      <c r="B474" s="57"/>
      <c r="G474" s="57"/>
      <c r="L474" s="57"/>
      <c r="Q474" s="57"/>
      <c r="V474" s="57"/>
      <c r="AA474" s="53"/>
    </row>
    <row r="475" spans="2:27" ht="12.5" x14ac:dyDescent="0.25">
      <c r="B475" s="57"/>
      <c r="G475" s="57"/>
      <c r="L475" s="57"/>
      <c r="Q475" s="57"/>
      <c r="V475" s="57"/>
      <c r="AA475" s="53"/>
    </row>
    <row r="476" spans="2:27" ht="12.5" x14ac:dyDescent="0.25">
      <c r="B476" s="57"/>
      <c r="G476" s="57"/>
      <c r="L476" s="57"/>
      <c r="Q476" s="57"/>
      <c r="V476" s="57"/>
      <c r="AA476" s="53"/>
    </row>
    <row r="477" spans="2:27" ht="12.5" x14ac:dyDescent="0.25">
      <c r="B477" s="57"/>
      <c r="G477" s="57"/>
      <c r="L477" s="57"/>
      <c r="Q477" s="57"/>
      <c r="V477" s="57"/>
      <c r="AA477" s="53"/>
    </row>
    <row r="478" spans="2:27" ht="12.5" x14ac:dyDescent="0.25">
      <c r="B478" s="57"/>
      <c r="G478" s="57"/>
      <c r="L478" s="57"/>
      <c r="Q478" s="57"/>
      <c r="V478" s="57"/>
      <c r="AA478" s="53"/>
    </row>
    <row r="479" spans="2:27" ht="12.5" x14ac:dyDescent="0.25">
      <c r="B479" s="57"/>
      <c r="G479" s="57"/>
      <c r="L479" s="57"/>
      <c r="Q479" s="57"/>
      <c r="V479" s="57"/>
      <c r="AA479" s="53"/>
    </row>
    <row r="480" spans="2:27" ht="12.5" x14ac:dyDescent="0.25">
      <c r="B480" s="57"/>
      <c r="G480" s="57"/>
      <c r="L480" s="57"/>
      <c r="Q480" s="57"/>
      <c r="V480" s="57"/>
      <c r="AA480" s="53"/>
    </row>
    <row r="481" spans="2:27" ht="12.5" x14ac:dyDescent="0.25">
      <c r="B481" s="57"/>
      <c r="G481" s="57"/>
      <c r="L481" s="57"/>
      <c r="Q481" s="57"/>
      <c r="V481" s="57"/>
      <c r="AA481" s="53"/>
    </row>
    <row r="482" spans="2:27" ht="12.5" x14ac:dyDescent="0.25">
      <c r="B482" s="57"/>
      <c r="G482" s="57"/>
      <c r="L482" s="57"/>
      <c r="Q482" s="57"/>
      <c r="V482" s="57"/>
      <c r="AA482" s="53"/>
    </row>
    <row r="483" spans="2:27" ht="12.5" x14ac:dyDescent="0.25">
      <c r="B483" s="57"/>
      <c r="G483" s="57"/>
      <c r="L483" s="57"/>
      <c r="Q483" s="57"/>
      <c r="V483" s="57"/>
      <c r="AA483" s="53"/>
    </row>
    <row r="484" spans="2:27" ht="12.5" x14ac:dyDescent="0.25">
      <c r="B484" s="57"/>
      <c r="G484" s="57"/>
      <c r="L484" s="57"/>
      <c r="Q484" s="57"/>
      <c r="V484" s="57"/>
      <c r="AA484" s="53"/>
    </row>
    <row r="485" spans="2:27" ht="12.5" x14ac:dyDescent="0.25">
      <c r="B485" s="57"/>
      <c r="G485" s="57"/>
      <c r="L485" s="57"/>
      <c r="Q485" s="57"/>
      <c r="V485" s="57"/>
      <c r="AA485" s="53"/>
    </row>
    <row r="486" spans="2:27" ht="12.5" x14ac:dyDescent="0.25">
      <c r="B486" s="57"/>
      <c r="G486" s="57"/>
      <c r="L486" s="57"/>
      <c r="Q486" s="57"/>
      <c r="V486" s="57"/>
      <c r="AA486" s="53"/>
    </row>
    <row r="487" spans="2:27" ht="12.5" x14ac:dyDescent="0.25">
      <c r="B487" s="57"/>
      <c r="G487" s="57"/>
      <c r="L487" s="57"/>
      <c r="Q487" s="57"/>
      <c r="V487" s="57"/>
      <c r="AA487" s="53"/>
    </row>
    <row r="488" spans="2:27" ht="12.5" x14ac:dyDescent="0.25">
      <c r="B488" s="57"/>
      <c r="G488" s="57"/>
      <c r="L488" s="57"/>
      <c r="Q488" s="57"/>
      <c r="V488" s="57"/>
      <c r="AA488" s="53"/>
    </row>
    <row r="489" spans="2:27" ht="12.5" x14ac:dyDescent="0.25">
      <c r="B489" s="57"/>
      <c r="G489" s="57"/>
      <c r="L489" s="57"/>
      <c r="Q489" s="57"/>
      <c r="V489" s="57"/>
      <c r="AA489" s="53"/>
    </row>
    <row r="490" spans="2:27" ht="12.5" x14ac:dyDescent="0.25">
      <c r="B490" s="57"/>
      <c r="G490" s="57"/>
      <c r="L490" s="57"/>
      <c r="Q490" s="57"/>
      <c r="V490" s="57"/>
      <c r="AA490" s="53"/>
    </row>
    <row r="491" spans="2:27" ht="12.5" x14ac:dyDescent="0.25">
      <c r="B491" s="57"/>
      <c r="G491" s="57"/>
      <c r="L491" s="57"/>
      <c r="Q491" s="57"/>
      <c r="V491" s="57"/>
      <c r="AA491" s="53"/>
    </row>
    <row r="492" spans="2:27" ht="12.5" x14ac:dyDescent="0.25">
      <c r="B492" s="57"/>
      <c r="G492" s="57"/>
      <c r="L492" s="57"/>
      <c r="Q492" s="57"/>
      <c r="V492" s="57"/>
      <c r="AA492" s="53"/>
    </row>
    <row r="493" spans="2:27" ht="12.5" x14ac:dyDescent="0.25">
      <c r="B493" s="57"/>
      <c r="G493" s="57"/>
      <c r="L493" s="57"/>
      <c r="Q493" s="57"/>
      <c r="V493" s="57"/>
      <c r="AA493" s="53"/>
    </row>
    <row r="494" spans="2:27" ht="12.5" x14ac:dyDescent="0.25">
      <c r="B494" s="57"/>
      <c r="G494" s="57"/>
      <c r="L494" s="57"/>
      <c r="Q494" s="57"/>
      <c r="V494" s="57"/>
      <c r="AA494" s="53"/>
    </row>
    <row r="495" spans="2:27" ht="12.5" x14ac:dyDescent="0.25">
      <c r="B495" s="57"/>
      <c r="G495" s="57"/>
      <c r="L495" s="57"/>
      <c r="Q495" s="57"/>
      <c r="V495" s="57"/>
      <c r="AA495" s="53"/>
    </row>
    <row r="496" spans="2:27" ht="12.5" x14ac:dyDescent="0.25">
      <c r="B496" s="57"/>
      <c r="G496" s="57"/>
      <c r="L496" s="57"/>
      <c r="Q496" s="57"/>
      <c r="V496" s="57"/>
      <c r="AA496" s="53"/>
    </row>
    <row r="497" spans="2:27" ht="12.5" x14ac:dyDescent="0.25">
      <c r="B497" s="57"/>
      <c r="G497" s="57"/>
      <c r="L497" s="57"/>
      <c r="Q497" s="57"/>
      <c r="V497" s="57"/>
      <c r="AA497" s="53"/>
    </row>
    <row r="498" spans="2:27" ht="12.5" x14ac:dyDescent="0.25">
      <c r="B498" s="57"/>
      <c r="G498" s="57"/>
      <c r="L498" s="57"/>
      <c r="Q498" s="57"/>
      <c r="V498" s="57"/>
      <c r="AA498" s="53"/>
    </row>
    <row r="499" spans="2:27" ht="12.5" x14ac:dyDescent="0.25">
      <c r="B499" s="57"/>
      <c r="G499" s="57"/>
      <c r="L499" s="57"/>
      <c r="Q499" s="57"/>
      <c r="V499" s="57"/>
      <c r="AA499" s="53"/>
    </row>
    <row r="500" spans="2:27" ht="12.5" x14ac:dyDescent="0.25">
      <c r="B500" s="57"/>
      <c r="G500" s="57"/>
      <c r="L500" s="57"/>
      <c r="Q500" s="57"/>
      <c r="V500" s="57"/>
      <c r="AA500" s="53"/>
    </row>
    <row r="501" spans="2:27" ht="12.5" x14ac:dyDescent="0.25">
      <c r="B501" s="57"/>
      <c r="G501" s="57"/>
      <c r="L501" s="57"/>
      <c r="Q501" s="57"/>
      <c r="V501" s="57"/>
      <c r="AA501" s="53"/>
    </row>
    <row r="502" spans="2:27" ht="12.5" x14ac:dyDescent="0.25">
      <c r="B502" s="57"/>
      <c r="G502" s="57"/>
      <c r="L502" s="57"/>
      <c r="Q502" s="57"/>
      <c r="V502" s="57"/>
      <c r="AA502" s="53"/>
    </row>
    <row r="503" spans="2:27" ht="12.5" x14ac:dyDescent="0.25">
      <c r="B503" s="57"/>
      <c r="G503" s="57"/>
      <c r="L503" s="57"/>
      <c r="Q503" s="57"/>
      <c r="V503" s="57"/>
      <c r="AA503" s="53"/>
    </row>
    <row r="504" spans="2:27" ht="12.5" x14ac:dyDescent="0.25">
      <c r="B504" s="57"/>
      <c r="G504" s="57"/>
      <c r="L504" s="57"/>
      <c r="Q504" s="57"/>
      <c r="V504" s="57"/>
      <c r="AA504" s="53"/>
    </row>
    <row r="505" spans="2:27" ht="12.5" x14ac:dyDescent="0.25">
      <c r="B505" s="57"/>
      <c r="G505" s="57"/>
      <c r="L505" s="57"/>
      <c r="Q505" s="57"/>
      <c r="V505" s="57"/>
      <c r="AA505" s="53"/>
    </row>
    <row r="506" spans="2:27" ht="12.5" x14ac:dyDescent="0.25">
      <c r="B506" s="57"/>
      <c r="G506" s="57"/>
      <c r="L506" s="57"/>
      <c r="Q506" s="57"/>
      <c r="V506" s="57"/>
      <c r="AA506" s="53"/>
    </row>
    <row r="507" spans="2:27" ht="12.5" x14ac:dyDescent="0.25">
      <c r="B507" s="57"/>
      <c r="G507" s="57"/>
      <c r="L507" s="57"/>
      <c r="Q507" s="57"/>
      <c r="V507" s="57"/>
      <c r="AA507" s="53"/>
    </row>
    <row r="508" spans="2:27" ht="12.5" x14ac:dyDescent="0.25">
      <c r="B508" s="57"/>
      <c r="G508" s="57"/>
      <c r="L508" s="57"/>
      <c r="Q508" s="57"/>
      <c r="V508" s="57"/>
      <c r="AA508" s="53"/>
    </row>
    <row r="509" spans="2:27" ht="12.5" x14ac:dyDescent="0.25">
      <c r="B509" s="57"/>
      <c r="G509" s="57"/>
      <c r="L509" s="57"/>
      <c r="Q509" s="57"/>
      <c r="V509" s="57"/>
      <c r="AA509" s="53"/>
    </row>
    <row r="510" spans="2:27" ht="12.5" x14ac:dyDescent="0.25">
      <c r="B510" s="57"/>
      <c r="G510" s="57"/>
      <c r="L510" s="57"/>
      <c r="Q510" s="57"/>
      <c r="V510" s="57"/>
      <c r="AA510" s="53"/>
    </row>
    <row r="511" spans="2:27" ht="12.5" x14ac:dyDescent="0.25">
      <c r="B511" s="57"/>
      <c r="G511" s="57"/>
      <c r="L511" s="57"/>
      <c r="Q511" s="57"/>
      <c r="V511" s="57"/>
      <c r="AA511" s="53"/>
    </row>
    <row r="512" spans="2:27" ht="12.5" x14ac:dyDescent="0.25">
      <c r="B512" s="57"/>
      <c r="G512" s="57"/>
      <c r="L512" s="57"/>
      <c r="Q512" s="57"/>
      <c r="V512" s="57"/>
      <c r="AA512" s="53"/>
    </row>
    <row r="513" spans="2:27" ht="12.5" x14ac:dyDescent="0.25">
      <c r="B513" s="57"/>
      <c r="G513" s="57"/>
      <c r="L513" s="57"/>
      <c r="Q513" s="57"/>
      <c r="V513" s="57"/>
      <c r="AA513" s="53"/>
    </row>
    <row r="514" spans="2:27" ht="12.5" x14ac:dyDescent="0.25">
      <c r="B514" s="57"/>
      <c r="G514" s="57"/>
      <c r="L514" s="57"/>
      <c r="Q514" s="57"/>
      <c r="V514" s="57"/>
      <c r="AA514" s="53"/>
    </row>
    <row r="515" spans="2:27" ht="12.5" x14ac:dyDescent="0.25">
      <c r="B515" s="57"/>
      <c r="G515" s="57"/>
      <c r="L515" s="57"/>
      <c r="Q515" s="57"/>
      <c r="V515" s="57"/>
      <c r="AA515" s="53"/>
    </row>
    <row r="516" spans="2:27" ht="12.5" x14ac:dyDescent="0.25">
      <c r="B516" s="57"/>
      <c r="G516" s="57"/>
      <c r="L516" s="57"/>
      <c r="Q516" s="57"/>
      <c r="V516" s="57"/>
      <c r="AA516" s="53"/>
    </row>
    <row r="517" spans="2:27" ht="12.5" x14ac:dyDescent="0.25">
      <c r="B517" s="57"/>
      <c r="G517" s="57"/>
      <c r="L517" s="57"/>
      <c r="Q517" s="57"/>
      <c r="V517" s="57"/>
      <c r="AA517" s="53"/>
    </row>
    <row r="518" spans="2:27" ht="12.5" x14ac:dyDescent="0.25">
      <c r="B518" s="57"/>
      <c r="G518" s="57"/>
      <c r="L518" s="57"/>
      <c r="Q518" s="57"/>
      <c r="V518" s="57"/>
      <c r="AA518" s="53"/>
    </row>
    <row r="519" spans="2:27" ht="12.5" x14ac:dyDescent="0.25">
      <c r="B519" s="57"/>
      <c r="G519" s="57"/>
      <c r="L519" s="57"/>
      <c r="Q519" s="57"/>
      <c r="V519" s="57"/>
      <c r="AA519" s="53"/>
    </row>
    <row r="520" spans="2:27" ht="12.5" x14ac:dyDescent="0.25">
      <c r="B520" s="57"/>
      <c r="G520" s="57"/>
      <c r="L520" s="57"/>
      <c r="Q520" s="57"/>
      <c r="V520" s="57"/>
      <c r="AA520" s="53"/>
    </row>
    <row r="521" spans="2:27" ht="12.5" x14ac:dyDescent="0.25">
      <c r="B521" s="57"/>
      <c r="G521" s="57"/>
      <c r="L521" s="57"/>
      <c r="Q521" s="57"/>
      <c r="V521" s="57"/>
      <c r="AA521" s="53"/>
    </row>
    <row r="522" spans="2:27" ht="12.5" x14ac:dyDescent="0.25">
      <c r="B522" s="57"/>
      <c r="G522" s="57"/>
      <c r="L522" s="57"/>
      <c r="Q522" s="57"/>
      <c r="V522" s="57"/>
      <c r="AA522" s="53"/>
    </row>
    <row r="523" spans="2:27" ht="12.5" x14ac:dyDescent="0.25">
      <c r="B523" s="57"/>
      <c r="G523" s="57"/>
      <c r="L523" s="57"/>
      <c r="Q523" s="57"/>
      <c r="V523" s="57"/>
      <c r="AA523" s="53"/>
    </row>
    <row r="524" spans="2:27" ht="12.5" x14ac:dyDescent="0.25">
      <c r="B524" s="57"/>
      <c r="G524" s="57"/>
      <c r="L524" s="57"/>
      <c r="Q524" s="57"/>
      <c r="V524" s="57"/>
      <c r="AA524" s="53"/>
    </row>
    <row r="525" spans="2:27" ht="12.5" x14ac:dyDescent="0.25">
      <c r="B525" s="57"/>
      <c r="G525" s="57"/>
      <c r="L525" s="57"/>
      <c r="Q525" s="57"/>
      <c r="V525" s="57"/>
      <c r="AA525" s="53"/>
    </row>
    <row r="526" spans="2:27" ht="12.5" x14ac:dyDescent="0.25">
      <c r="B526" s="57"/>
      <c r="G526" s="57"/>
      <c r="L526" s="57"/>
      <c r="Q526" s="57"/>
      <c r="V526" s="57"/>
      <c r="AA526" s="53"/>
    </row>
    <row r="527" spans="2:27" ht="12.5" x14ac:dyDescent="0.25">
      <c r="B527" s="57"/>
      <c r="G527" s="57"/>
      <c r="L527" s="57"/>
      <c r="Q527" s="57"/>
      <c r="V527" s="57"/>
      <c r="AA527" s="53"/>
    </row>
    <row r="528" spans="2:27" ht="12.5" x14ac:dyDescent="0.25">
      <c r="B528" s="57"/>
      <c r="G528" s="57"/>
      <c r="L528" s="57"/>
      <c r="Q528" s="57"/>
      <c r="V528" s="57"/>
      <c r="AA528" s="53"/>
    </row>
    <row r="529" spans="2:27" ht="12.5" x14ac:dyDescent="0.25">
      <c r="B529" s="57"/>
      <c r="G529" s="57"/>
      <c r="L529" s="57"/>
      <c r="Q529" s="57"/>
      <c r="V529" s="57"/>
      <c r="AA529" s="53"/>
    </row>
    <row r="530" spans="2:27" ht="12.5" x14ac:dyDescent="0.25">
      <c r="B530" s="57"/>
      <c r="G530" s="57"/>
      <c r="L530" s="57"/>
      <c r="Q530" s="57"/>
      <c r="V530" s="57"/>
      <c r="AA530" s="53"/>
    </row>
    <row r="531" spans="2:27" ht="12.5" x14ac:dyDescent="0.25">
      <c r="B531" s="57"/>
      <c r="G531" s="57"/>
      <c r="L531" s="57"/>
      <c r="Q531" s="57"/>
      <c r="V531" s="57"/>
      <c r="AA531" s="53"/>
    </row>
    <row r="532" spans="2:27" ht="12.5" x14ac:dyDescent="0.25">
      <c r="B532" s="57"/>
      <c r="G532" s="57"/>
      <c r="L532" s="57"/>
      <c r="Q532" s="57"/>
      <c r="V532" s="57"/>
      <c r="AA532" s="53"/>
    </row>
    <row r="533" spans="2:27" ht="12.5" x14ac:dyDescent="0.25">
      <c r="B533" s="57"/>
      <c r="G533" s="57"/>
      <c r="L533" s="57"/>
      <c r="Q533" s="57"/>
      <c r="V533" s="57"/>
      <c r="AA533" s="53"/>
    </row>
    <row r="534" spans="2:27" ht="12.5" x14ac:dyDescent="0.25">
      <c r="B534" s="57"/>
      <c r="G534" s="57"/>
      <c r="L534" s="57"/>
      <c r="Q534" s="57"/>
      <c r="V534" s="57"/>
      <c r="AA534" s="53"/>
    </row>
    <row r="535" spans="2:27" ht="12.5" x14ac:dyDescent="0.25">
      <c r="B535" s="57"/>
      <c r="G535" s="57"/>
      <c r="L535" s="57"/>
      <c r="Q535" s="57"/>
      <c r="V535" s="57"/>
      <c r="AA535" s="53"/>
    </row>
    <row r="536" spans="2:27" ht="12.5" x14ac:dyDescent="0.25">
      <c r="B536" s="57"/>
      <c r="G536" s="57"/>
      <c r="L536" s="57"/>
      <c r="Q536" s="57"/>
      <c r="V536" s="57"/>
      <c r="AA536" s="53"/>
    </row>
    <row r="537" spans="2:27" ht="12.5" x14ac:dyDescent="0.25">
      <c r="B537" s="57"/>
      <c r="G537" s="57"/>
      <c r="L537" s="57"/>
      <c r="Q537" s="57"/>
      <c r="V537" s="57"/>
      <c r="AA537" s="53"/>
    </row>
    <row r="538" spans="2:27" ht="12.5" x14ac:dyDescent="0.25">
      <c r="B538" s="57"/>
      <c r="G538" s="57"/>
      <c r="L538" s="57"/>
      <c r="Q538" s="57"/>
      <c r="V538" s="57"/>
      <c r="AA538" s="53"/>
    </row>
    <row r="539" spans="2:27" ht="12.5" x14ac:dyDescent="0.25">
      <c r="B539" s="57"/>
      <c r="G539" s="57"/>
      <c r="L539" s="57"/>
      <c r="Q539" s="57"/>
      <c r="V539" s="57"/>
      <c r="AA539" s="53"/>
    </row>
    <row r="540" spans="2:27" ht="12.5" x14ac:dyDescent="0.25">
      <c r="B540" s="57"/>
      <c r="G540" s="57"/>
      <c r="L540" s="57"/>
      <c r="Q540" s="57"/>
      <c r="V540" s="57"/>
      <c r="AA540" s="53"/>
    </row>
    <row r="541" spans="2:27" ht="12.5" x14ac:dyDescent="0.25">
      <c r="B541" s="57"/>
      <c r="G541" s="57"/>
      <c r="L541" s="57"/>
      <c r="Q541" s="57"/>
      <c r="V541" s="57"/>
      <c r="AA541" s="53"/>
    </row>
    <row r="542" spans="2:27" ht="12.5" x14ac:dyDescent="0.25">
      <c r="B542" s="57"/>
      <c r="G542" s="57"/>
      <c r="L542" s="57"/>
      <c r="Q542" s="57"/>
      <c r="V542" s="57"/>
      <c r="AA542" s="53"/>
    </row>
    <row r="543" spans="2:27" ht="12.5" x14ac:dyDescent="0.25">
      <c r="B543" s="57"/>
      <c r="G543" s="57"/>
      <c r="L543" s="57"/>
      <c r="Q543" s="57"/>
      <c r="V543" s="57"/>
      <c r="AA543" s="53"/>
    </row>
    <row r="544" spans="2:27" ht="12.5" x14ac:dyDescent="0.25">
      <c r="B544" s="57"/>
      <c r="G544" s="57"/>
      <c r="L544" s="57"/>
      <c r="Q544" s="57"/>
      <c r="V544" s="57"/>
      <c r="AA544" s="53"/>
    </row>
    <row r="545" spans="2:27" ht="12.5" x14ac:dyDescent="0.25">
      <c r="B545" s="57"/>
      <c r="G545" s="57"/>
      <c r="L545" s="57"/>
      <c r="Q545" s="57"/>
      <c r="V545" s="57"/>
      <c r="AA545" s="53"/>
    </row>
    <row r="546" spans="2:27" ht="12.5" x14ac:dyDescent="0.25">
      <c r="B546" s="57"/>
      <c r="G546" s="57"/>
      <c r="L546" s="57"/>
      <c r="Q546" s="57"/>
      <c r="V546" s="57"/>
      <c r="AA546" s="53"/>
    </row>
    <row r="547" spans="2:27" ht="12.5" x14ac:dyDescent="0.25">
      <c r="B547" s="57"/>
      <c r="G547" s="57"/>
      <c r="L547" s="57"/>
      <c r="Q547" s="57"/>
      <c r="V547" s="57"/>
      <c r="AA547" s="53"/>
    </row>
    <row r="548" spans="2:27" ht="12.5" x14ac:dyDescent="0.25">
      <c r="B548" s="57"/>
      <c r="G548" s="57"/>
      <c r="L548" s="57"/>
      <c r="Q548" s="57"/>
      <c r="V548" s="57"/>
      <c r="AA548" s="53"/>
    </row>
    <row r="549" spans="2:27" ht="12.5" x14ac:dyDescent="0.25">
      <c r="B549" s="57"/>
      <c r="G549" s="57"/>
      <c r="L549" s="57"/>
      <c r="Q549" s="57"/>
      <c r="V549" s="57"/>
      <c r="AA549" s="53"/>
    </row>
    <row r="550" spans="2:27" ht="12.5" x14ac:dyDescent="0.25">
      <c r="B550" s="57"/>
      <c r="G550" s="57"/>
      <c r="L550" s="57"/>
      <c r="Q550" s="57"/>
      <c r="V550" s="57"/>
      <c r="AA550" s="53"/>
    </row>
    <row r="551" spans="2:27" ht="12.5" x14ac:dyDescent="0.25">
      <c r="B551" s="57"/>
      <c r="G551" s="57"/>
      <c r="L551" s="57"/>
      <c r="Q551" s="57"/>
      <c r="V551" s="57"/>
      <c r="AA551" s="53"/>
    </row>
    <row r="552" spans="2:27" ht="12.5" x14ac:dyDescent="0.25">
      <c r="B552" s="57"/>
      <c r="G552" s="57"/>
      <c r="L552" s="57"/>
      <c r="Q552" s="57"/>
      <c r="V552" s="57"/>
      <c r="AA552" s="53"/>
    </row>
    <row r="553" spans="2:27" ht="12.5" x14ac:dyDescent="0.25">
      <c r="B553" s="57"/>
      <c r="G553" s="57"/>
      <c r="L553" s="57"/>
      <c r="Q553" s="57"/>
      <c r="V553" s="57"/>
      <c r="AA553" s="53"/>
    </row>
    <row r="554" spans="2:27" ht="12.5" x14ac:dyDescent="0.25">
      <c r="B554" s="57"/>
      <c r="G554" s="57"/>
      <c r="L554" s="57"/>
      <c r="Q554" s="57"/>
      <c r="V554" s="57"/>
      <c r="AA554" s="53"/>
    </row>
    <row r="555" spans="2:27" ht="12.5" x14ac:dyDescent="0.25">
      <c r="B555" s="57"/>
      <c r="G555" s="57"/>
      <c r="L555" s="57"/>
      <c r="Q555" s="57"/>
      <c r="V555" s="57"/>
      <c r="AA555" s="53"/>
    </row>
    <row r="556" spans="2:27" ht="12.5" x14ac:dyDescent="0.25">
      <c r="B556" s="57"/>
      <c r="G556" s="57"/>
      <c r="L556" s="57"/>
      <c r="Q556" s="57"/>
      <c r="V556" s="57"/>
      <c r="AA556" s="53"/>
    </row>
    <row r="557" spans="2:27" ht="12.5" x14ac:dyDescent="0.25">
      <c r="B557" s="57"/>
      <c r="G557" s="57"/>
      <c r="L557" s="57"/>
      <c r="Q557" s="57"/>
      <c r="V557" s="57"/>
      <c r="AA557" s="53"/>
    </row>
    <row r="558" spans="2:27" ht="12.5" x14ac:dyDescent="0.25">
      <c r="B558" s="57"/>
      <c r="G558" s="57"/>
      <c r="L558" s="57"/>
      <c r="Q558" s="57"/>
      <c r="V558" s="57"/>
      <c r="AA558" s="53"/>
    </row>
    <row r="559" spans="2:27" ht="12.5" x14ac:dyDescent="0.25">
      <c r="B559" s="57"/>
      <c r="G559" s="57"/>
      <c r="L559" s="57"/>
      <c r="Q559" s="57"/>
      <c r="V559" s="57"/>
      <c r="AA559" s="53"/>
    </row>
    <row r="560" spans="2:27" ht="12.5" x14ac:dyDescent="0.25">
      <c r="B560" s="57"/>
      <c r="G560" s="57"/>
      <c r="L560" s="57"/>
      <c r="Q560" s="57"/>
      <c r="V560" s="57"/>
      <c r="AA560" s="53"/>
    </row>
    <row r="561" spans="2:27" ht="12.5" x14ac:dyDescent="0.25">
      <c r="B561" s="57"/>
      <c r="G561" s="57"/>
      <c r="L561" s="57"/>
      <c r="Q561" s="57"/>
      <c r="V561" s="57"/>
      <c r="AA561" s="53"/>
    </row>
    <row r="562" spans="2:27" ht="12.5" x14ac:dyDescent="0.25">
      <c r="B562" s="57"/>
      <c r="G562" s="57"/>
      <c r="L562" s="57"/>
      <c r="Q562" s="57"/>
      <c r="V562" s="57"/>
      <c r="AA562" s="53"/>
    </row>
    <row r="563" spans="2:27" ht="12.5" x14ac:dyDescent="0.25">
      <c r="B563" s="57"/>
      <c r="G563" s="57"/>
      <c r="L563" s="57"/>
      <c r="Q563" s="57"/>
      <c r="V563" s="57"/>
      <c r="AA563" s="53"/>
    </row>
    <row r="564" spans="2:27" ht="12.5" x14ac:dyDescent="0.25">
      <c r="B564" s="57"/>
      <c r="G564" s="57"/>
      <c r="L564" s="57"/>
      <c r="Q564" s="57"/>
      <c r="V564" s="57"/>
      <c r="AA564" s="53"/>
    </row>
    <row r="565" spans="2:27" ht="12.5" x14ac:dyDescent="0.25">
      <c r="B565" s="57"/>
      <c r="G565" s="57"/>
      <c r="L565" s="57"/>
      <c r="Q565" s="57"/>
      <c r="V565" s="57"/>
      <c r="AA565" s="53"/>
    </row>
    <row r="566" spans="2:27" ht="12.5" x14ac:dyDescent="0.25">
      <c r="B566" s="57"/>
      <c r="G566" s="57"/>
      <c r="L566" s="57"/>
      <c r="Q566" s="57"/>
      <c r="V566" s="57"/>
      <c r="AA566" s="53"/>
    </row>
    <row r="567" spans="2:27" ht="12.5" x14ac:dyDescent="0.25">
      <c r="B567" s="57"/>
      <c r="G567" s="57"/>
      <c r="L567" s="57"/>
      <c r="Q567" s="57"/>
      <c r="V567" s="57"/>
      <c r="AA567" s="53"/>
    </row>
    <row r="568" spans="2:27" ht="12.5" x14ac:dyDescent="0.25">
      <c r="B568" s="57"/>
      <c r="G568" s="57"/>
      <c r="L568" s="57"/>
      <c r="Q568" s="57"/>
      <c r="V568" s="57"/>
      <c r="AA568" s="53"/>
    </row>
    <row r="569" spans="2:27" ht="12.5" x14ac:dyDescent="0.25">
      <c r="B569" s="57"/>
      <c r="G569" s="57"/>
      <c r="L569" s="57"/>
      <c r="Q569" s="57"/>
      <c r="V569" s="57"/>
      <c r="AA569" s="53"/>
    </row>
    <row r="570" spans="2:27" ht="12.5" x14ac:dyDescent="0.25">
      <c r="B570" s="57"/>
      <c r="G570" s="57"/>
      <c r="L570" s="57"/>
      <c r="Q570" s="57"/>
      <c r="V570" s="57"/>
      <c r="AA570" s="53"/>
    </row>
    <row r="571" spans="2:27" ht="12.5" x14ac:dyDescent="0.25">
      <c r="B571" s="57"/>
      <c r="G571" s="57"/>
      <c r="L571" s="57"/>
      <c r="Q571" s="57"/>
      <c r="V571" s="57"/>
      <c r="AA571" s="53"/>
    </row>
    <row r="572" spans="2:27" ht="12.5" x14ac:dyDescent="0.25">
      <c r="B572" s="57"/>
      <c r="G572" s="57"/>
      <c r="L572" s="57"/>
      <c r="Q572" s="57"/>
      <c r="V572" s="57"/>
      <c r="AA572" s="53"/>
    </row>
    <row r="573" spans="2:27" ht="12.5" x14ac:dyDescent="0.25">
      <c r="B573" s="57"/>
      <c r="G573" s="57"/>
      <c r="L573" s="57"/>
      <c r="Q573" s="57"/>
      <c r="V573" s="57"/>
      <c r="AA573" s="53"/>
    </row>
    <row r="574" spans="2:27" ht="12.5" x14ac:dyDescent="0.25">
      <c r="B574" s="57"/>
      <c r="G574" s="57"/>
      <c r="L574" s="57"/>
      <c r="Q574" s="57"/>
      <c r="V574" s="57"/>
      <c r="AA574" s="53"/>
    </row>
    <row r="575" spans="2:27" ht="12.5" x14ac:dyDescent="0.25">
      <c r="B575" s="57"/>
      <c r="G575" s="57"/>
      <c r="L575" s="57"/>
      <c r="Q575" s="57"/>
      <c r="V575" s="57"/>
      <c r="AA575" s="53"/>
    </row>
    <row r="576" spans="2:27" ht="12.5" x14ac:dyDescent="0.25">
      <c r="B576" s="57"/>
      <c r="G576" s="57"/>
      <c r="L576" s="57"/>
      <c r="Q576" s="57"/>
      <c r="V576" s="57"/>
      <c r="AA576" s="53"/>
    </row>
    <row r="577" spans="2:27" ht="12.5" x14ac:dyDescent="0.25">
      <c r="B577" s="57"/>
      <c r="G577" s="57"/>
      <c r="L577" s="57"/>
      <c r="Q577" s="57"/>
      <c r="V577" s="57"/>
      <c r="AA577" s="53"/>
    </row>
    <row r="578" spans="2:27" ht="12.5" x14ac:dyDescent="0.25">
      <c r="B578" s="57"/>
      <c r="G578" s="57"/>
      <c r="L578" s="57"/>
      <c r="Q578" s="57"/>
      <c r="V578" s="57"/>
      <c r="AA578" s="53"/>
    </row>
    <row r="579" spans="2:27" ht="12.5" x14ac:dyDescent="0.25">
      <c r="B579" s="57"/>
      <c r="G579" s="57"/>
      <c r="L579" s="57"/>
      <c r="Q579" s="57"/>
      <c r="V579" s="57"/>
      <c r="AA579" s="53"/>
    </row>
    <row r="580" spans="2:27" ht="12.5" x14ac:dyDescent="0.25">
      <c r="B580" s="57"/>
      <c r="G580" s="57"/>
      <c r="L580" s="57"/>
      <c r="Q580" s="57"/>
      <c r="V580" s="57"/>
      <c r="AA580" s="53"/>
    </row>
    <row r="581" spans="2:27" ht="12.5" x14ac:dyDescent="0.25">
      <c r="B581" s="57"/>
      <c r="G581" s="57"/>
      <c r="L581" s="57"/>
      <c r="Q581" s="57"/>
      <c r="V581" s="57"/>
      <c r="AA581" s="53"/>
    </row>
    <row r="582" spans="2:27" ht="12.5" x14ac:dyDescent="0.25">
      <c r="B582" s="57"/>
      <c r="G582" s="57"/>
      <c r="L582" s="57"/>
      <c r="Q582" s="57"/>
      <c r="V582" s="57"/>
      <c r="AA582" s="53"/>
    </row>
    <row r="583" spans="2:27" ht="12.5" x14ac:dyDescent="0.25">
      <c r="B583" s="57"/>
      <c r="G583" s="57"/>
      <c r="L583" s="57"/>
      <c r="Q583" s="57"/>
      <c r="V583" s="57"/>
      <c r="AA583" s="53"/>
    </row>
    <row r="584" spans="2:27" ht="12.5" x14ac:dyDescent="0.25">
      <c r="B584" s="57"/>
      <c r="G584" s="57"/>
      <c r="L584" s="57"/>
      <c r="Q584" s="57"/>
      <c r="V584" s="57"/>
      <c r="AA584" s="53"/>
    </row>
    <row r="585" spans="2:27" ht="12.5" x14ac:dyDescent="0.25">
      <c r="B585" s="57"/>
      <c r="G585" s="57"/>
      <c r="L585" s="57"/>
      <c r="Q585" s="57"/>
      <c r="V585" s="57"/>
      <c r="AA585" s="53"/>
    </row>
    <row r="586" spans="2:27" ht="12.5" x14ac:dyDescent="0.25">
      <c r="B586" s="57"/>
      <c r="G586" s="57"/>
      <c r="L586" s="57"/>
      <c r="Q586" s="57"/>
      <c r="V586" s="57"/>
      <c r="AA586" s="53"/>
    </row>
    <row r="587" spans="2:27" ht="12.5" x14ac:dyDescent="0.25">
      <c r="B587" s="57"/>
      <c r="G587" s="57"/>
      <c r="L587" s="57"/>
      <c r="Q587" s="57"/>
      <c r="V587" s="57"/>
      <c r="AA587" s="53"/>
    </row>
    <row r="588" spans="2:27" ht="12.5" x14ac:dyDescent="0.25">
      <c r="B588" s="57"/>
      <c r="G588" s="57"/>
      <c r="L588" s="57"/>
      <c r="Q588" s="57"/>
      <c r="V588" s="57"/>
      <c r="AA588" s="53"/>
    </row>
    <row r="589" spans="2:27" ht="12.5" x14ac:dyDescent="0.25">
      <c r="B589" s="57"/>
      <c r="G589" s="57"/>
      <c r="L589" s="57"/>
      <c r="Q589" s="57"/>
      <c r="V589" s="57"/>
      <c r="AA589" s="53"/>
    </row>
    <row r="590" spans="2:27" ht="12.5" x14ac:dyDescent="0.25">
      <c r="B590" s="57"/>
      <c r="G590" s="57"/>
      <c r="L590" s="57"/>
      <c r="Q590" s="57"/>
      <c r="V590" s="57"/>
      <c r="AA590" s="53"/>
    </row>
    <row r="591" spans="2:27" ht="12.5" x14ac:dyDescent="0.25">
      <c r="B591" s="57"/>
      <c r="G591" s="57"/>
      <c r="L591" s="57"/>
      <c r="Q591" s="57"/>
      <c r="V591" s="57"/>
      <c r="AA591" s="53"/>
    </row>
    <row r="592" spans="2:27" ht="12.5" x14ac:dyDescent="0.25">
      <c r="B592" s="57"/>
      <c r="G592" s="57"/>
      <c r="L592" s="57"/>
      <c r="Q592" s="57"/>
      <c r="V592" s="57"/>
      <c r="AA592" s="53"/>
    </row>
    <row r="593" spans="2:27" ht="12.5" x14ac:dyDescent="0.25">
      <c r="B593" s="57"/>
      <c r="G593" s="57"/>
      <c r="L593" s="57"/>
      <c r="Q593" s="57"/>
      <c r="V593" s="57"/>
      <c r="AA593" s="53"/>
    </row>
    <row r="594" spans="2:27" ht="12.5" x14ac:dyDescent="0.25">
      <c r="B594" s="57"/>
      <c r="G594" s="57"/>
      <c r="L594" s="57"/>
      <c r="Q594" s="57"/>
      <c r="V594" s="57"/>
      <c r="AA594" s="53"/>
    </row>
    <row r="595" spans="2:27" ht="12.5" x14ac:dyDescent="0.25">
      <c r="B595" s="57"/>
      <c r="G595" s="57"/>
      <c r="L595" s="57"/>
      <c r="Q595" s="57"/>
      <c r="V595" s="57"/>
      <c r="AA595" s="53"/>
    </row>
    <row r="596" spans="2:27" ht="12.5" x14ac:dyDescent="0.25">
      <c r="B596" s="57"/>
      <c r="G596" s="57"/>
      <c r="L596" s="57"/>
      <c r="Q596" s="57"/>
      <c r="V596" s="57"/>
      <c r="AA596" s="53"/>
    </row>
    <row r="597" spans="2:27" ht="12.5" x14ac:dyDescent="0.25">
      <c r="B597" s="57"/>
      <c r="G597" s="57"/>
      <c r="L597" s="57"/>
      <c r="Q597" s="57"/>
      <c r="V597" s="57"/>
      <c r="AA597" s="53"/>
    </row>
    <row r="598" spans="2:27" ht="12.5" x14ac:dyDescent="0.25">
      <c r="B598" s="57"/>
      <c r="G598" s="57"/>
      <c r="L598" s="57"/>
      <c r="Q598" s="57"/>
      <c r="V598" s="57"/>
      <c r="AA598" s="53"/>
    </row>
    <row r="599" spans="2:27" ht="12.5" x14ac:dyDescent="0.25">
      <c r="B599" s="57"/>
      <c r="G599" s="57"/>
      <c r="L599" s="57"/>
      <c r="Q599" s="57"/>
      <c r="V599" s="57"/>
      <c r="AA599" s="53"/>
    </row>
    <row r="600" spans="2:27" ht="12.5" x14ac:dyDescent="0.25">
      <c r="B600" s="57"/>
      <c r="G600" s="57"/>
      <c r="L600" s="57"/>
      <c r="Q600" s="57"/>
      <c r="V600" s="57"/>
      <c r="AA600" s="53"/>
    </row>
    <row r="601" spans="2:27" ht="12.5" x14ac:dyDescent="0.25">
      <c r="B601" s="57"/>
      <c r="G601" s="57"/>
      <c r="L601" s="57"/>
      <c r="Q601" s="57"/>
      <c r="V601" s="57"/>
      <c r="AA601" s="53"/>
    </row>
    <row r="602" spans="2:27" ht="12.5" x14ac:dyDescent="0.25">
      <c r="B602" s="57"/>
      <c r="G602" s="57"/>
      <c r="L602" s="57"/>
      <c r="Q602" s="57"/>
      <c r="V602" s="57"/>
      <c r="AA602" s="53"/>
    </row>
    <row r="603" spans="2:27" ht="12.5" x14ac:dyDescent="0.25">
      <c r="B603" s="57"/>
      <c r="G603" s="57"/>
      <c r="L603" s="57"/>
      <c r="Q603" s="57"/>
      <c r="V603" s="57"/>
      <c r="AA603" s="53"/>
    </row>
    <row r="604" spans="2:27" ht="12.5" x14ac:dyDescent="0.25">
      <c r="B604" s="57"/>
      <c r="G604" s="57"/>
      <c r="L604" s="57"/>
      <c r="Q604" s="57"/>
      <c r="V604" s="57"/>
      <c r="AA604" s="53"/>
    </row>
    <row r="605" spans="2:27" ht="12.5" x14ac:dyDescent="0.25">
      <c r="B605" s="57"/>
      <c r="G605" s="57"/>
      <c r="L605" s="57"/>
      <c r="Q605" s="57"/>
      <c r="V605" s="57"/>
      <c r="AA605" s="53"/>
    </row>
    <row r="606" spans="2:27" ht="12.5" x14ac:dyDescent="0.25">
      <c r="B606" s="57"/>
      <c r="G606" s="57"/>
      <c r="L606" s="57"/>
      <c r="Q606" s="57"/>
      <c r="V606" s="57"/>
      <c r="AA606" s="53"/>
    </row>
    <row r="607" spans="2:27" ht="12.5" x14ac:dyDescent="0.25">
      <c r="B607" s="57"/>
      <c r="G607" s="57"/>
      <c r="L607" s="57"/>
      <c r="Q607" s="57"/>
      <c r="V607" s="57"/>
      <c r="AA607" s="53"/>
    </row>
    <row r="608" spans="2:27" ht="12.5" x14ac:dyDescent="0.25">
      <c r="B608" s="57"/>
      <c r="G608" s="57"/>
      <c r="L608" s="57"/>
      <c r="Q608" s="57"/>
      <c r="V608" s="57"/>
      <c r="AA608" s="53"/>
    </row>
    <row r="609" spans="2:27" ht="12.5" x14ac:dyDescent="0.25">
      <c r="B609" s="57"/>
      <c r="G609" s="57"/>
      <c r="L609" s="57"/>
      <c r="Q609" s="57"/>
      <c r="V609" s="57"/>
      <c r="AA609" s="53"/>
    </row>
    <row r="610" spans="2:27" ht="12.5" x14ac:dyDescent="0.25">
      <c r="B610" s="57"/>
      <c r="G610" s="57"/>
      <c r="L610" s="57"/>
      <c r="Q610" s="57"/>
      <c r="V610" s="57"/>
      <c r="AA610" s="53"/>
    </row>
    <row r="611" spans="2:27" ht="12.5" x14ac:dyDescent="0.25">
      <c r="B611" s="57"/>
      <c r="G611" s="57"/>
      <c r="L611" s="57"/>
      <c r="Q611" s="57"/>
      <c r="V611" s="57"/>
      <c r="AA611" s="53"/>
    </row>
    <row r="612" spans="2:27" ht="12.5" x14ac:dyDescent="0.25">
      <c r="B612" s="57"/>
      <c r="G612" s="57"/>
      <c r="L612" s="57"/>
      <c r="Q612" s="57"/>
      <c r="V612" s="57"/>
      <c r="AA612" s="53"/>
    </row>
    <row r="613" spans="2:27" ht="12.5" x14ac:dyDescent="0.25">
      <c r="B613" s="57"/>
      <c r="G613" s="57"/>
      <c r="L613" s="57"/>
      <c r="Q613" s="57"/>
      <c r="V613" s="57"/>
      <c r="AA613" s="53"/>
    </row>
    <row r="614" spans="2:27" ht="12.5" x14ac:dyDescent="0.25">
      <c r="B614" s="57"/>
      <c r="G614" s="57"/>
      <c r="L614" s="57"/>
      <c r="Q614" s="57"/>
      <c r="V614" s="57"/>
      <c r="AA614" s="53"/>
    </row>
    <row r="615" spans="2:27" ht="12.5" x14ac:dyDescent="0.25">
      <c r="B615" s="57"/>
      <c r="G615" s="57"/>
      <c r="L615" s="57"/>
      <c r="Q615" s="57"/>
      <c r="V615" s="57"/>
      <c r="AA615" s="53"/>
    </row>
    <row r="616" spans="2:27" ht="12.5" x14ac:dyDescent="0.25">
      <c r="B616" s="57"/>
      <c r="G616" s="57"/>
      <c r="L616" s="57"/>
      <c r="Q616" s="57"/>
      <c r="V616" s="57"/>
      <c r="AA616" s="53"/>
    </row>
    <row r="617" spans="2:27" ht="12.5" x14ac:dyDescent="0.25">
      <c r="B617" s="57"/>
      <c r="G617" s="57"/>
      <c r="L617" s="57"/>
      <c r="Q617" s="57"/>
      <c r="V617" s="57"/>
      <c r="AA617" s="53"/>
    </row>
    <row r="618" spans="2:27" ht="12.5" x14ac:dyDescent="0.25">
      <c r="B618" s="57"/>
      <c r="G618" s="57"/>
      <c r="L618" s="57"/>
      <c r="Q618" s="57"/>
      <c r="V618" s="57"/>
      <c r="AA618" s="53"/>
    </row>
    <row r="619" spans="2:27" ht="12.5" x14ac:dyDescent="0.25">
      <c r="B619" s="57"/>
      <c r="G619" s="57"/>
      <c r="L619" s="57"/>
      <c r="Q619" s="57"/>
      <c r="V619" s="57"/>
      <c r="AA619" s="53"/>
    </row>
    <row r="620" spans="2:27" ht="12.5" x14ac:dyDescent="0.25">
      <c r="B620" s="57"/>
      <c r="G620" s="57"/>
      <c r="L620" s="57"/>
      <c r="Q620" s="57"/>
      <c r="V620" s="57"/>
      <c r="AA620" s="53"/>
    </row>
    <row r="621" spans="2:27" ht="12.5" x14ac:dyDescent="0.25">
      <c r="B621" s="57"/>
      <c r="G621" s="57"/>
      <c r="L621" s="57"/>
      <c r="Q621" s="57"/>
      <c r="V621" s="57"/>
      <c r="AA621" s="53"/>
    </row>
    <row r="622" spans="2:27" ht="12.5" x14ac:dyDescent="0.25">
      <c r="B622" s="57"/>
      <c r="G622" s="57"/>
      <c r="L622" s="57"/>
      <c r="Q622" s="57"/>
      <c r="V622" s="57"/>
      <c r="AA622" s="53"/>
    </row>
    <row r="623" spans="2:27" ht="12.5" x14ac:dyDescent="0.25">
      <c r="B623" s="57"/>
      <c r="G623" s="57"/>
      <c r="L623" s="57"/>
      <c r="Q623" s="57"/>
      <c r="V623" s="57"/>
      <c r="AA623" s="53"/>
    </row>
    <row r="624" spans="2:27" ht="12.5" x14ac:dyDescent="0.25">
      <c r="B624" s="57"/>
      <c r="G624" s="57"/>
      <c r="L624" s="57"/>
      <c r="Q624" s="57"/>
      <c r="V624" s="57"/>
      <c r="AA624" s="53"/>
    </row>
    <row r="625" spans="2:27" ht="12.5" x14ac:dyDescent="0.25">
      <c r="B625" s="57"/>
      <c r="G625" s="57"/>
      <c r="L625" s="57"/>
      <c r="Q625" s="57"/>
      <c r="V625" s="57"/>
      <c r="AA625" s="53"/>
    </row>
    <row r="626" spans="2:27" ht="12.5" x14ac:dyDescent="0.25">
      <c r="B626" s="57"/>
      <c r="G626" s="57"/>
      <c r="L626" s="57"/>
      <c r="Q626" s="57"/>
      <c r="V626" s="57"/>
      <c r="AA626" s="53"/>
    </row>
    <row r="627" spans="2:27" ht="12.5" x14ac:dyDescent="0.25">
      <c r="B627" s="57"/>
      <c r="G627" s="57"/>
      <c r="L627" s="57"/>
      <c r="Q627" s="57"/>
      <c r="V627" s="57"/>
      <c r="AA627" s="53"/>
    </row>
    <row r="628" spans="2:27" ht="12.5" x14ac:dyDescent="0.25">
      <c r="B628" s="57"/>
      <c r="G628" s="57"/>
      <c r="L628" s="57"/>
      <c r="Q628" s="57"/>
      <c r="V628" s="57"/>
      <c r="AA628" s="53"/>
    </row>
    <row r="629" spans="2:27" ht="12.5" x14ac:dyDescent="0.25">
      <c r="B629" s="57"/>
      <c r="G629" s="57"/>
      <c r="L629" s="57"/>
      <c r="Q629" s="57"/>
      <c r="V629" s="57"/>
      <c r="AA629" s="53"/>
    </row>
    <row r="630" spans="2:27" ht="12.5" x14ac:dyDescent="0.25">
      <c r="B630" s="57"/>
      <c r="G630" s="57"/>
      <c r="L630" s="57"/>
      <c r="Q630" s="57"/>
      <c r="V630" s="57"/>
      <c r="AA630" s="53"/>
    </row>
    <row r="631" spans="2:27" ht="12.5" x14ac:dyDescent="0.25">
      <c r="B631" s="57"/>
      <c r="G631" s="57"/>
      <c r="L631" s="57"/>
      <c r="Q631" s="57"/>
      <c r="V631" s="57"/>
      <c r="AA631" s="53"/>
    </row>
    <row r="632" spans="2:27" ht="12.5" x14ac:dyDescent="0.25">
      <c r="B632" s="57"/>
      <c r="G632" s="57"/>
      <c r="L632" s="57"/>
      <c r="Q632" s="57"/>
      <c r="V632" s="57"/>
      <c r="AA632" s="53"/>
    </row>
    <row r="633" spans="2:27" ht="12.5" x14ac:dyDescent="0.25">
      <c r="B633" s="57"/>
      <c r="G633" s="57"/>
      <c r="L633" s="57"/>
      <c r="Q633" s="57"/>
      <c r="V633" s="57"/>
      <c r="AA633" s="53"/>
    </row>
    <row r="634" spans="2:27" ht="12.5" x14ac:dyDescent="0.25">
      <c r="B634" s="57"/>
      <c r="G634" s="57"/>
      <c r="L634" s="57"/>
      <c r="Q634" s="57"/>
      <c r="V634" s="57"/>
      <c r="AA634" s="53"/>
    </row>
    <row r="635" spans="2:27" ht="12.5" x14ac:dyDescent="0.25">
      <c r="B635" s="57"/>
      <c r="G635" s="57"/>
      <c r="L635" s="57"/>
      <c r="Q635" s="57"/>
      <c r="V635" s="57"/>
      <c r="AA635" s="53"/>
    </row>
    <row r="636" spans="2:27" ht="12.5" x14ac:dyDescent="0.25">
      <c r="B636" s="57"/>
      <c r="G636" s="57"/>
      <c r="L636" s="57"/>
      <c r="Q636" s="57"/>
      <c r="V636" s="57"/>
      <c r="AA636" s="53"/>
    </row>
    <row r="637" spans="2:27" ht="12.5" x14ac:dyDescent="0.25">
      <c r="B637" s="57"/>
      <c r="G637" s="57"/>
      <c r="L637" s="57"/>
      <c r="Q637" s="57"/>
      <c r="V637" s="57"/>
      <c r="AA637" s="53"/>
    </row>
    <row r="638" spans="2:27" ht="12.5" x14ac:dyDescent="0.25">
      <c r="B638" s="57"/>
      <c r="G638" s="57"/>
      <c r="L638" s="57"/>
      <c r="Q638" s="57"/>
      <c r="V638" s="57"/>
      <c r="AA638" s="53"/>
    </row>
    <row r="639" spans="2:27" ht="12.5" x14ac:dyDescent="0.25">
      <c r="B639" s="57"/>
      <c r="G639" s="57"/>
      <c r="L639" s="57"/>
      <c r="Q639" s="57"/>
      <c r="V639" s="57"/>
      <c r="AA639" s="53"/>
    </row>
    <row r="640" spans="2:27" ht="12.5" x14ac:dyDescent="0.25">
      <c r="B640" s="57"/>
      <c r="G640" s="57"/>
      <c r="L640" s="57"/>
      <c r="Q640" s="57"/>
      <c r="V640" s="57"/>
      <c r="AA640" s="53"/>
    </row>
    <row r="641" spans="2:27" ht="12.5" x14ac:dyDescent="0.25">
      <c r="B641" s="57"/>
      <c r="G641" s="57"/>
      <c r="L641" s="57"/>
      <c r="Q641" s="57"/>
      <c r="V641" s="57"/>
      <c r="AA641" s="53"/>
    </row>
    <row r="642" spans="2:27" ht="12.5" x14ac:dyDescent="0.25">
      <c r="B642" s="57"/>
      <c r="G642" s="57"/>
      <c r="L642" s="57"/>
      <c r="Q642" s="57"/>
      <c r="V642" s="57"/>
      <c r="AA642" s="53"/>
    </row>
    <row r="643" spans="2:27" ht="12.5" x14ac:dyDescent="0.25">
      <c r="B643" s="57"/>
      <c r="G643" s="57"/>
      <c r="L643" s="57"/>
      <c r="Q643" s="57"/>
      <c r="V643" s="57"/>
      <c r="AA643" s="53"/>
    </row>
    <row r="644" spans="2:27" ht="12.5" x14ac:dyDescent="0.25">
      <c r="B644" s="57"/>
      <c r="G644" s="57"/>
      <c r="L644" s="57"/>
      <c r="Q644" s="57"/>
      <c r="V644" s="57"/>
      <c r="AA644" s="53"/>
    </row>
    <row r="645" spans="2:27" ht="12.5" x14ac:dyDescent="0.25">
      <c r="B645" s="57"/>
      <c r="G645" s="57"/>
      <c r="L645" s="57"/>
      <c r="Q645" s="57"/>
      <c r="V645" s="57"/>
      <c r="AA645" s="53"/>
    </row>
    <row r="646" spans="2:27" ht="12.5" x14ac:dyDescent="0.25">
      <c r="B646" s="57"/>
      <c r="G646" s="57"/>
      <c r="L646" s="57"/>
      <c r="Q646" s="57"/>
      <c r="V646" s="57"/>
      <c r="AA646" s="53"/>
    </row>
    <row r="647" spans="2:27" ht="12.5" x14ac:dyDescent="0.25">
      <c r="B647" s="57"/>
      <c r="G647" s="57"/>
      <c r="L647" s="57"/>
      <c r="Q647" s="57"/>
      <c r="V647" s="57"/>
      <c r="AA647" s="53"/>
    </row>
    <row r="648" spans="2:27" ht="12.5" x14ac:dyDescent="0.25">
      <c r="B648" s="57"/>
      <c r="G648" s="57"/>
      <c r="L648" s="57"/>
      <c r="Q648" s="57"/>
      <c r="V648" s="57"/>
      <c r="AA648" s="53"/>
    </row>
    <row r="649" spans="2:27" ht="12.5" x14ac:dyDescent="0.25">
      <c r="B649" s="57"/>
      <c r="G649" s="57"/>
      <c r="L649" s="57"/>
      <c r="Q649" s="57"/>
      <c r="V649" s="57"/>
      <c r="AA649" s="53"/>
    </row>
    <row r="650" spans="2:27" ht="12.5" x14ac:dyDescent="0.25">
      <c r="B650" s="57"/>
      <c r="G650" s="57"/>
      <c r="L650" s="57"/>
      <c r="Q650" s="57"/>
      <c r="V650" s="57"/>
      <c r="AA650" s="53"/>
    </row>
    <row r="651" spans="2:27" ht="12.5" x14ac:dyDescent="0.25">
      <c r="B651" s="57"/>
      <c r="G651" s="57"/>
      <c r="L651" s="57"/>
      <c r="Q651" s="57"/>
      <c r="V651" s="57"/>
      <c r="AA651" s="53"/>
    </row>
    <row r="652" spans="2:27" ht="12.5" x14ac:dyDescent="0.25">
      <c r="B652" s="57"/>
      <c r="G652" s="57"/>
      <c r="L652" s="57"/>
      <c r="Q652" s="57"/>
      <c r="V652" s="57"/>
      <c r="AA652" s="53"/>
    </row>
    <row r="653" spans="2:27" ht="12.5" x14ac:dyDescent="0.25">
      <c r="B653" s="57"/>
      <c r="G653" s="57"/>
      <c r="L653" s="57"/>
      <c r="Q653" s="57"/>
      <c r="V653" s="57"/>
      <c r="AA653" s="53"/>
    </row>
    <row r="654" spans="2:27" ht="12.5" x14ac:dyDescent="0.25">
      <c r="B654" s="57"/>
      <c r="G654" s="57"/>
      <c r="L654" s="57"/>
      <c r="Q654" s="57"/>
      <c r="V654" s="57"/>
      <c r="AA654" s="53"/>
    </row>
    <row r="655" spans="2:27" ht="12.5" x14ac:dyDescent="0.25">
      <c r="B655" s="57"/>
      <c r="G655" s="57"/>
      <c r="L655" s="57"/>
      <c r="Q655" s="57"/>
      <c r="V655" s="57"/>
      <c r="AA655" s="53"/>
    </row>
    <row r="656" spans="2:27" ht="12.5" x14ac:dyDescent="0.25">
      <c r="B656" s="57"/>
      <c r="G656" s="57"/>
      <c r="L656" s="57"/>
      <c r="Q656" s="57"/>
      <c r="V656" s="57"/>
      <c r="AA656" s="53"/>
    </row>
    <row r="657" spans="2:27" ht="12.5" x14ac:dyDescent="0.25">
      <c r="B657" s="57"/>
      <c r="G657" s="57"/>
      <c r="L657" s="57"/>
      <c r="Q657" s="57"/>
      <c r="V657" s="57"/>
      <c r="AA657" s="53"/>
    </row>
    <row r="658" spans="2:27" ht="12.5" x14ac:dyDescent="0.25">
      <c r="B658" s="57"/>
      <c r="G658" s="57"/>
      <c r="L658" s="57"/>
      <c r="Q658" s="57"/>
      <c r="V658" s="57"/>
      <c r="AA658" s="53"/>
    </row>
    <row r="659" spans="2:27" ht="12.5" x14ac:dyDescent="0.25">
      <c r="B659" s="57"/>
      <c r="G659" s="57"/>
      <c r="L659" s="57"/>
      <c r="Q659" s="57"/>
      <c r="V659" s="57"/>
      <c r="AA659" s="53"/>
    </row>
    <row r="660" spans="2:27" ht="12.5" x14ac:dyDescent="0.25">
      <c r="B660" s="57"/>
      <c r="G660" s="57"/>
      <c r="L660" s="57"/>
      <c r="Q660" s="57"/>
      <c r="V660" s="57"/>
      <c r="AA660" s="53"/>
    </row>
    <row r="661" spans="2:27" ht="12.5" x14ac:dyDescent="0.25">
      <c r="B661" s="57"/>
      <c r="G661" s="57"/>
      <c r="L661" s="57"/>
      <c r="Q661" s="57"/>
      <c r="V661" s="57"/>
      <c r="AA661" s="53"/>
    </row>
    <row r="662" spans="2:27" ht="12.5" x14ac:dyDescent="0.25">
      <c r="B662" s="57"/>
      <c r="G662" s="57"/>
      <c r="L662" s="57"/>
      <c r="Q662" s="57"/>
      <c r="V662" s="57"/>
      <c r="AA662" s="53"/>
    </row>
    <row r="663" spans="2:27" ht="12.5" x14ac:dyDescent="0.25">
      <c r="B663" s="57"/>
      <c r="G663" s="57"/>
      <c r="L663" s="57"/>
      <c r="Q663" s="57"/>
      <c r="V663" s="57"/>
      <c r="AA663" s="53"/>
    </row>
    <row r="664" spans="2:27" ht="12.5" x14ac:dyDescent="0.25">
      <c r="B664" s="57"/>
      <c r="G664" s="57"/>
      <c r="L664" s="57"/>
      <c r="Q664" s="57"/>
      <c r="V664" s="57"/>
      <c r="AA664" s="53"/>
    </row>
    <row r="665" spans="2:27" ht="12.5" x14ac:dyDescent="0.25">
      <c r="B665" s="57"/>
      <c r="G665" s="57"/>
      <c r="L665" s="57"/>
      <c r="Q665" s="57"/>
      <c r="V665" s="57"/>
      <c r="AA665" s="53"/>
    </row>
    <row r="666" spans="2:27" ht="12.5" x14ac:dyDescent="0.25">
      <c r="B666" s="57"/>
      <c r="G666" s="57"/>
      <c r="L666" s="57"/>
      <c r="Q666" s="57"/>
      <c r="V666" s="57"/>
      <c r="AA666" s="53"/>
    </row>
    <row r="667" spans="2:27" ht="12.5" x14ac:dyDescent="0.25">
      <c r="B667" s="57"/>
      <c r="G667" s="57"/>
      <c r="L667" s="57"/>
      <c r="Q667" s="57"/>
      <c r="V667" s="57"/>
      <c r="AA667" s="53"/>
    </row>
    <row r="668" spans="2:27" ht="12.5" x14ac:dyDescent="0.25">
      <c r="B668" s="57"/>
      <c r="G668" s="57"/>
      <c r="L668" s="57"/>
      <c r="Q668" s="57"/>
      <c r="V668" s="57"/>
      <c r="AA668" s="53"/>
    </row>
    <row r="669" spans="2:27" ht="12.5" x14ac:dyDescent="0.25">
      <c r="B669" s="57"/>
      <c r="G669" s="57"/>
      <c r="L669" s="57"/>
      <c r="Q669" s="57"/>
      <c r="V669" s="57"/>
      <c r="AA669" s="53"/>
    </row>
    <row r="670" spans="2:27" ht="12.5" x14ac:dyDescent="0.25">
      <c r="B670" s="57"/>
      <c r="G670" s="57"/>
      <c r="L670" s="57"/>
      <c r="Q670" s="57"/>
      <c r="V670" s="57"/>
      <c r="AA670" s="53"/>
    </row>
    <row r="671" spans="2:27" ht="12.5" x14ac:dyDescent="0.25">
      <c r="B671" s="57"/>
      <c r="G671" s="57"/>
      <c r="L671" s="57"/>
      <c r="Q671" s="57"/>
      <c r="V671" s="57"/>
      <c r="AA671" s="53"/>
    </row>
    <row r="672" spans="2:27" ht="12.5" x14ac:dyDescent="0.25">
      <c r="B672" s="57"/>
      <c r="G672" s="57"/>
      <c r="L672" s="57"/>
      <c r="Q672" s="57"/>
      <c r="V672" s="57"/>
      <c r="AA672" s="53"/>
    </row>
    <row r="673" spans="2:27" ht="12.5" x14ac:dyDescent="0.25">
      <c r="B673" s="57"/>
      <c r="G673" s="57"/>
      <c r="L673" s="57"/>
      <c r="Q673" s="57"/>
      <c r="V673" s="57"/>
      <c r="AA673" s="53"/>
    </row>
    <row r="674" spans="2:27" ht="12.5" x14ac:dyDescent="0.25">
      <c r="B674" s="57"/>
      <c r="G674" s="57"/>
      <c r="L674" s="57"/>
      <c r="Q674" s="57"/>
      <c r="V674" s="57"/>
      <c r="AA674" s="53"/>
    </row>
    <row r="675" spans="2:27" ht="12.5" x14ac:dyDescent="0.25">
      <c r="B675" s="57"/>
      <c r="G675" s="57"/>
      <c r="L675" s="57"/>
      <c r="Q675" s="57"/>
      <c r="V675" s="57"/>
      <c r="AA675" s="53"/>
    </row>
    <row r="676" spans="2:27" ht="12.5" x14ac:dyDescent="0.25">
      <c r="B676" s="57"/>
      <c r="G676" s="57"/>
      <c r="L676" s="57"/>
      <c r="Q676" s="57"/>
      <c r="V676" s="57"/>
      <c r="AA676" s="53"/>
    </row>
    <row r="677" spans="2:27" ht="12.5" x14ac:dyDescent="0.25">
      <c r="B677" s="57"/>
      <c r="G677" s="57"/>
      <c r="L677" s="57"/>
      <c r="Q677" s="57"/>
      <c r="V677" s="57"/>
      <c r="AA677" s="53"/>
    </row>
    <row r="678" spans="2:27" ht="12.5" x14ac:dyDescent="0.25">
      <c r="B678" s="57"/>
      <c r="G678" s="57"/>
      <c r="L678" s="57"/>
      <c r="Q678" s="57"/>
      <c r="V678" s="57"/>
      <c r="AA678" s="53"/>
    </row>
    <row r="679" spans="2:27" ht="12.5" x14ac:dyDescent="0.25">
      <c r="B679" s="57"/>
      <c r="G679" s="57"/>
      <c r="L679" s="57"/>
      <c r="Q679" s="57"/>
      <c r="V679" s="57"/>
      <c r="AA679" s="53"/>
    </row>
    <row r="680" spans="2:27" ht="12.5" x14ac:dyDescent="0.25">
      <c r="B680" s="57"/>
      <c r="G680" s="57"/>
      <c r="L680" s="57"/>
      <c r="Q680" s="57"/>
      <c r="V680" s="57"/>
      <c r="AA680" s="53"/>
    </row>
    <row r="681" spans="2:27" ht="12.5" x14ac:dyDescent="0.25">
      <c r="B681" s="57"/>
      <c r="G681" s="57"/>
      <c r="L681" s="57"/>
      <c r="Q681" s="57"/>
      <c r="V681" s="57"/>
      <c r="AA681" s="53"/>
    </row>
    <row r="682" spans="2:27" ht="12.5" x14ac:dyDescent="0.25">
      <c r="B682" s="57"/>
      <c r="G682" s="57"/>
      <c r="L682" s="57"/>
      <c r="Q682" s="57"/>
      <c r="V682" s="57"/>
      <c r="AA682" s="53"/>
    </row>
    <row r="683" spans="2:27" ht="12.5" x14ac:dyDescent="0.25">
      <c r="B683" s="57"/>
      <c r="G683" s="57"/>
      <c r="L683" s="57"/>
      <c r="Q683" s="57"/>
      <c r="V683" s="57"/>
      <c r="AA683" s="53"/>
    </row>
    <row r="684" spans="2:27" ht="12.5" x14ac:dyDescent="0.25">
      <c r="B684" s="57"/>
      <c r="G684" s="57"/>
      <c r="L684" s="57"/>
      <c r="Q684" s="57"/>
      <c r="V684" s="57"/>
      <c r="AA684" s="53"/>
    </row>
    <row r="685" spans="2:27" ht="12.5" x14ac:dyDescent="0.25">
      <c r="B685" s="57"/>
      <c r="G685" s="57"/>
      <c r="L685" s="57"/>
      <c r="Q685" s="57"/>
      <c r="V685" s="57"/>
      <c r="AA685" s="53"/>
    </row>
    <row r="686" spans="2:27" ht="12.5" x14ac:dyDescent="0.25">
      <c r="B686" s="57"/>
      <c r="G686" s="57"/>
      <c r="L686" s="57"/>
      <c r="Q686" s="57"/>
      <c r="V686" s="57"/>
      <c r="AA686" s="53"/>
    </row>
    <row r="687" spans="2:27" ht="12.5" x14ac:dyDescent="0.25">
      <c r="B687" s="57"/>
      <c r="G687" s="57"/>
      <c r="L687" s="57"/>
      <c r="Q687" s="57"/>
      <c r="V687" s="57"/>
      <c r="AA687" s="53"/>
    </row>
    <row r="688" spans="2:27" ht="12.5" x14ac:dyDescent="0.25">
      <c r="B688" s="57"/>
      <c r="G688" s="57"/>
      <c r="L688" s="57"/>
      <c r="Q688" s="57"/>
      <c r="V688" s="57"/>
      <c r="AA688" s="53"/>
    </row>
    <row r="689" spans="2:27" ht="12.5" x14ac:dyDescent="0.25">
      <c r="B689" s="57"/>
      <c r="G689" s="57"/>
      <c r="L689" s="57"/>
      <c r="Q689" s="57"/>
      <c r="V689" s="57"/>
      <c r="AA689" s="53"/>
    </row>
    <row r="690" spans="2:27" ht="12.5" x14ac:dyDescent="0.25">
      <c r="B690" s="57"/>
      <c r="G690" s="57"/>
      <c r="L690" s="57"/>
      <c r="Q690" s="57"/>
      <c r="V690" s="57"/>
      <c r="AA690" s="53"/>
    </row>
    <row r="691" spans="2:27" ht="12.5" x14ac:dyDescent="0.25">
      <c r="B691" s="57"/>
      <c r="G691" s="57"/>
      <c r="L691" s="57"/>
      <c r="Q691" s="57"/>
      <c r="V691" s="57"/>
      <c r="AA691" s="53"/>
    </row>
    <row r="692" spans="2:27" ht="12.5" x14ac:dyDescent="0.25">
      <c r="B692" s="57"/>
      <c r="G692" s="57"/>
      <c r="L692" s="57"/>
      <c r="Q692" s="57"/>
      <c r="V692" s="57"/>
      <c r="AA692" s="53"/>
    </row>
    <row r="693" spans="2:27" ht="12.5" x14ac:dyDescent="0.25">
      <c r="B693" s="57"/>
      <c r="G693" s="57"/>
      <c r="L693" s="57"/>
      <c r="Q693" s="57"/>
      <c r="V693" s="57"/>
      <c r="AA693" s="53"/>
    </row>
    <row r="694" spans="2:27" ht="12.5" x14ac:dyDescent="0.25">
      <c r="B694" s="57"/>
      <c r="G694" s="57"/>
      <c r="L694" s="57"/>
      <c r="Q694" s="57"/>
      <c r="V694" s="57"/>
      <c r="AA694" s="53"/>
    </row>
    <row r="695" spans="2:27" ht="12.5" x14ac:dyDescent="0.25">
      <c r="B695" s="57"/>
      <c r="G695" s="57"/>
      <c r="L695" s="57"/>
      <c r="Q695" s="57"/>
      <c r="V695" s="57"/>
      <c r="AA695" s="53"/>
    </row>
    <row r="696" spans="2:27" ht="12.5" x14ac:dyDescent="0.25">
      <c r="B696" s="57"/>
      <c r="G696" s="57"/>
      <c r="L696" s="57"/>
      <c r="Q696" s="57"/>
      <c r="V696" s="57"/>
      <c r="AA696" s="53"/>
    </row>
    <row r="697" spans="2:27" ht="12.5" x14ac:dyDescent="0.25">
      <c r="B697" s="57"/>
      <c r="G697" s="57"/>
      <c r="L697" s="57"/>
      <c r="Q697" s="57"/>
      <c r="V697" s="57"/>
      <c r="AA697" s="53"/>
    </row>
    <row r="698" spans="2:27" ht="12.5" x14ac:dyDescent="0.25">
      <c r="B698" s="57"/>
      <c r="G698" s="57"/>
      <c r="L698" s="57"/>
      <c r="Q698" s="57"/>
      <c r="V698" s="57"/>
      <c r="AA698" s="53"/>
    </row>
    <row r="699" spans="2:27" ht="12.5" x14ac:dyDescent="0.25">
      <c r="B699" s="57"/>
      <c r="G699" s="57"/>
      <c r="L699" s="57"/>
      <c r="Q699" s="57"/>
      <c r="V699" s="57"/>
      <c r="AA699" s="53"/>
    </row>
    <row r="700" spans="2:27" ht="12.5" x14ac:dyDescent="0.25">
      <c r="B700" s="57"/>
      <c r="G700" s="57"/>
      <c r="L700" s="57"/>
      <c r="Q700" s="57"/>
      <c r="V700" s="57"/>
      <c r="AA700" s="53"/>
    </row>
    <row r="701" spans="2:27" ht="12.5" x14ac:dyDescent="0.25">
      <c r="B701" s="57"/>
      <c r="G701" s="57"/>
      <c r="L701" s="57"/>
      <c r="Q701" s="57"/>
      <c r="V701" s="57"/>
      <c r="AA701" s="53"/>
    </row>
    <row r="702" spans="2:27" ht="12.5" x14ac:dyDescent="0.25">
      <c r="B702" s="57"/>
      <c r="G702" s="57"/>
      <c r="L702" s="57"/>
      <c r="Q702" s="57"/>
      <c r="V702" s="57"/>
      <c r="AA702" s="53"/>
    </row>
    <row r="703" spans="2:27" ht="12.5" x14ac:dyDescent="0.25">
      <c r="B703" s="57"/>
      <c r="G703" s="57"/>
      <c r="L703" s="57"/>
      <c r="Q703" s="57"/>
      <c r="V703" s="57"/>
      <c r="AA703" s="53"/>
    </row>
    <row r="704" spans="2:27" ht="12.5" x14ac:dyDescent="0.25">
      <c r="B704" s="57"/>
      <c r="G704" s="57"/>
      <c r="L704" s="57"/>
      <c r="Q704" s="57"/>
      <c r="V704" s="57"/>
      <c r="AA704" s="53"/>
    </row>
    <row r="705" spans="2:27" ht="12.5" x14ac:dyDescent="0.25">
      <c r="B705" s="57"/>
      <c r="G705" s="57"/>
      <c r="L705" s="57"/>
      <c r="Q705" s="57"/>
      <c r="V705" s="57"/>
      <c r="AA705" s="53"/>
    </row>
    <row r="706" spans="2:27" ht="12.5" x14ac:dyDescent="0.25">
      <c r="B706" s="57"/>
      <c r="G706" s="57"/>
      <c r="L706" s="57"/>
      <c r="Q706" s="57"/>
      <c r="V706" s="57"/>
      <c r="AA706" s="53"/>
    </row>
    <row r="707" spans="2:27" ht="12.5" x14ac:dyDescent="0.25">
      <c r="B707" s="57"/>
      <c r="G707" s="57"/>
      <c r="L707" s="57"/>
      <c r="Q707" s="57"/>
      <c r="V707" s="57"/>
      <c r="AA707" s="53"/>
    </row>
    <row r="708" spans="2:27" ht="12.5" x14ac:dyDescent="0.25">
      <c r="B708" s="57"/>
      <c r="G708" s="57"/>
      <c r="L708" s="57"/>
      <c r="Q708" s="57"/>
      <c r="V708" s="57"/>
      <c r="AA708" s="53"/>
    </row>
    <row r="709" spans="2:27" ht="12.5" x14ac:dyDescent="0.25">
      <c r="B709" s="57"/>
      <c r="G709" s="57"/>
      <c r="L709" s="57"/>
      <c r="Q709" s="57"/>
      <c r="V709" s="57"/>
      <c r="AA709" s="53"/>
    </row>
    <row r="710" spans="2:27" ht="12.5" x14ac:dyDescent="0.25">
      <c r="B710" s="57"/>
      <c r="G710" s="57"/>
      <c r="L710" s="57"/>
      <c r="Q710" s="57"/>
      <c r="V710" s="57"/>
      <c r="AA710" s="53"/>
    </row>
    <row r="711" spans="2:27" ht="12.5" x14ac:dyDescent="0.25">
      <c r="B711" s="57"/>
      <c r="G711" s="57"/>
      <c r="L711" s="57"/>
      <c r="Q711" s="57"/>
      <c r="V711" s="57"/>
      <c r="AA711" s="53"/>
    </row>
    <row r="712" spans="2:27" ht="12.5" x14ac:dyDescent="0.25">
      <c r="B712" s="57"/>
      <c r="G712" s="57"/>
      <c r="L712" s="57"/>
      <c r="Q712" s="57"/>
      <c r="V712" s="57"/>
      <c r="AA712" s="53"/>
    </row>
    <row r="713" spans="2:27" ht="12.5" x14ac:dyDescent="0.25">
      <c r="B713" s="57"/>
      <c r="G713" s="57"/>
      <c r="L713" s="57"/>
      <c r="Q713" s="57"/>
      <c r="V713" s="57"/>
      <c r="AA713" s="53"/>
    </row>
    <row r="714" spans="2:27" ht="12.5" x14ac:dyDescent="0.25">
      <c r="B714" s="57"/>
      <c r="G714" s="57"/>
      <c r="L714" s="57"/>
      <c r="Q714" s="57"/>
      <c r="V714" s="57"/>
      <c r="AA714" s="53"/>
    </row>
    <row r="715" spans="2:27" ht="12.5" x14ac:dyDescent="0.25">
      <c r="B715" s="57"/>
      <c r="G715" s="57"/>
      <c r="L715" s="57"/>
      <c r="Q715" s="57"/>
      <c r="V715" s="57"/>
      <c r="AA715" s="53"/>
    </row>
    <row r="716" spans="2:27" ht="12.5" x14ac:dyDescent="0.25">
      <c r="B716" s="57"/>
      <c r="G716" s="57"/>
      <c r="L716" s="57"/>
      <c r="Q716" s="57"/>
      <c r="V716" s="57"/>
      <c r="AA716" s="53"/>
    </row>
    <row r="717" spans="2:27" ht="12.5" x14ac:dyDescent="0.25">
      <c r="B717" s="57"/>
      <c r="G717" s="57"/>
      <c r="L717" s="57"/>
      <c r="Q717" s="57"/>
      <c r="V717" s="57"/>
      <c r="AA717" s="53"/>
    </row>
    <row r="718" spans="2:27" ht="12.5" x14ac:dyDescent="0.25">
      <c r="B718" s="57"/>
      <c r="G718" s="57"/>
      <c r="L718" s="57"/>
      <c r="Q718" s="57"/>
      <c r="V718" s="57"/>
      <c r="AA718" s="53"/>
    </row>
    <row r="719" spans="2:27" ht="12.5" x14ac:dyDescent="0.25">
      <c r="B719" s="57"/>
      <c r="G719" s="57"/>
      <c r="L719" s="57"/>
      <c r="Q719" s="57"/>
      <c r="V719" s="57"/>
      <c r="AA719" s="53"/>
    </row>
    <row r="720" spans="2:27" ht="12.5" x14ac:dyDescent="0.25">
      <c r="B720" s="57"/>
      <c r="G720" s="57"/>
      <c r="L720" s="57"/>
      <c r="Q720" s="57"/>
      <c r="V720" s="57"/>
      <c r="AA720" s="53"/>
    </row>
    <row r="721" spans="2:27" ht="12.5" x14ac:dyDescent="0.25">
      <c r="B721" s="57"/>
      <c r="G721" s="57"/>
      <c r="L721" s="57"/>
      <c r="Q721" s="57"/>
      <c r="V721" s="57"/>
      <c r="AA721" s="53"/>
    </row>
    <row r="722" spans="2:27" ht="12.5" x14ac:dyDescent="0.25">
      <c r="B722" s="57"/>
      <c r="G722" s="57"/>
      <c r="L722" s="57"/>
      <c r="Q722" s="57"/>
      <c r="V722" s="57"/>
      <c r="AA722" s="53"/>
    </row>
    <row r="723" spans="2:27" ht="12.5" x14ac:dyDescent="0.25">
      <c r="B723" s="57"/>
      <c r="G723" s="57"/>
      <c r="L723" s="57"/>
      <c r="Q723" s="57"/>
      <c r="V723" s="57"/>
      <c r="AA723" s="53"/>
    </row>
    <row r="724" spans="2:27" ht="12.5" x14ac:dyDescent="0.25">
      <c r="B724" s="57"/>
      <c r="G724" s="57"/>
      <c r="L724" s="57"/>
      <c r="Q724" s="57"/>
      <c r="V724" s="57"/>
      <c r="AA724" s="53"/>
    </row>
    <row r="725" spans="2:27" ht="12.5" x14ac:dyDescent="0.25">
      <c r="B725" s="57"/>
      <c r="G725" s="57"/>
      <c r="L725" s="57"/>
      <c r="Q725" s="57"/>
      <c r="V725" s="57"/>
      <c r="AA725" s="53"/>
    </row>
    <row r="726" spans="2:27" ht="12.5" x14ac:dyDescent="0.25">
      <c r="B726" s="57"/>
      <c r="G726" s="57"/>
      <c r="L726" s="57"/>
      <c r="Q726" s="57"/>
      <c r="V726" s="57"/>
      <c r="AA726" s="53"/>
    </row>
    <row r="727" spans="2:27" ht="12.5" x14ac:dyDescent="0.25">
      <c r="B727" s="57"/>
      <c r="G727" s="57"/>
      <c r="L727" s="57"/>
      <c r="Q727" s="57"/>
      <c r="V727" s="57"/>
      <c r="AA727" s="53"/>
    </row>
    <row r="728" spans="2:27" ht="12.5" x14ac:dyDescent="0.25">
      <c r="B728" s="57"/>
      <c r="G728" s="57"/>
      <c r="L728" s="57"/>
      <c r="Q728" s="57"/>
      <c r="V728" s="57"/>
      <c r="AA728" s="53"/>
    </row>
    <row r="729" spans="2:27" ht="12.5" x14ac:dyDescent="0.25">
      <c r="B729" s="57"/>
      <c r="G729" s="57"/>
      <c r="L729" s="57"/>
      <c r="Q729" s="57"/>
      <c r="V729" s="57"/>
      <c r="AA729" s="53"/>
    </row>
    <row r="730" spans="2:27" ht="12.5" x14ac:dyDescent="0.25">
      <c r="B730" s="57"/>
      <c r="G730" s="57"/>
      <c r="L730" s="57"/>
      <c r="Q730" s="57"/>
      <c r="V730" s="57"/>
      <c r="AA730" s="53"/>
    </row>
    <row r="731" spans="2:27" ht="12.5" x14ac:dyDescent="0.25">
      <c r="B731" s="57"/>
      <c r="G731" s="57"/>
      <c r="L731" s="57"/>
      <c r="Q731" s="57"/>
      <c r="V731" s="57"/>
      <c r="AA731" s="53"/>
    </row>
    <row r="732" spans="2:27" ht="12.5" x14ac:dyDescent="0.25">
      <c r="B732" s="57"/>
      <c r="G732" s="57"/>
      <c r="L732" s="57"/>
      <c r="Q732" s="57"/>
      <c r="V732" s="57"/>
      <c r="AA732" s="53"/>
    </row>
    <row r="733" spans="2:27" ht="12.5" x14ac:dyDescent="0.25">
      <c r="B733" s="57"/>
      <c r="G733" s="57"/>
      <c r="L733" s="57"/>
      <c r="Q733" s="57"/>
      <c r="V733" s="57"/>
      <c r="AA733" s="53"/>
    </row>
    <row r="734" spans="2:27" ht="12.5" x14ac:dyDescent="0.25">
      <c r="B734" s="57"/>
      <c r="G734" s="57"/>
      <c r="L734" s="57"/>
      <c r="Q734" s="57"/>
      <c r="V734" s="57"/>
      <c r="AA734" s="53"/>
    </row>
    <row r="735" spans="2:27" ht="12.5" x14ac:dyDescent="0.25">
      <c r="B735" s="57"/>
      <c r="G735" s="57"/>
      <c r="L735" s="57"/>
      <c r="Q735" s="57"/>
      <c r="V735" s="57"/>
      <c r="AA735" s="53"/>
    </row>
    <row r="736" spans="2:27" ht="12.5" x14ac:dyDescent="0.25">
      <c r="B736" s="57"/>
      <c r="G736" s="57"/>
      <c r="L736" s="57"/>
      <c r="Q736" s="57"/>
      <c r="V736" s="57"/>
      <c r="AA736" s="53"/>
    </row>
    <row r="737" spans="2:27" ht="12.5" x14ac:dyDescent="0.25">
      <c r="B737" s="57"/>
      <c r="G737" s="57"/>
      <c r="L737" s="57"/>
      <c r="Q737" s="57"/>
      <c r="V737" s="57"/>
      <c r="AA737" s="53"/>
    </row>
    <row r="738" spans="2:27" ht="12.5" x14ac:dyDescent="0.25">
      <c r="B738" s="57"/>
      <c r="G738" s="57"/>
      <c r="L738" s="57"/>
      <c r="Q738" s="57"/>
      <c r="V738" s="57"/>
      <c r="AA738" s="53"/>
    </row>
    <row r="739" spans="2:27" ht="12.5" x14ac:dyDescent="0.25">
      <c r="B739" s="57"/>
      <c r="G739" s="57"/>
      <c r="L739" s="57"/>
      <c r="Q739" s="57"/>
      <c r="V739" s="57"/>
      <c r="AA739" s="53"/>
    </row>
    <row r="740" spans="2:27" ht="12.5" x14ac:dyDescent="0.25">
      <c r="B740" s="57"/>
      <c r="G740" s="57"/>
      <c r="L740" s="57"/>
      <c r="Q740" s="57"/>
      <c r="V740" s="57"/>
      <c r="AA740" s="53"/>
    </row>
    <row r="741" spans="2:27" ht="12.5" x14ac:dyDescent="0.25">
      <c r="B741" s="57"/>
      <c r="G741" s="57"/>
      <c r="L741" s="57"/>
      <c r="Q741" s="57"/>
      <c r="V741" s="57"/>
      <c r="AA741" s="53"/>
    </row>
    <row r="742" spans="2:27" ht="12.5" x14ac:dyDescent="0.25">
      <c r="B742" s="57"/>
      <c r="G742" s="57"/>
      <c r="L742" s="57"/>
      <c r="Q742" s="57"/>
      <c r="V742" s="57"/>
      <c r="AA742" s="53"/>
    </row>
    <row r="743" spans="2:27" ht="12.5" x14ac:dyDescent="0.25">
      <c r="B743" s="57"/>
      <c r="G743" s="57"/>
      <c r="L743" s="57"/>
      <c r="Q743" s="57"/>
      <c r="V743" s="57"/>
      <c r="AA743" s="53"/>
    </row>
    <row r="744" spans="2:27" ht="12.5" x14ac:dyDescent="0.25">
      <c r="B744" s="57"/>
      <c r="G744" s="57"/>
      <c r="L744" s="57"/>
      <c r="Q744" s="57"/>
      <c r="V744" s="57"/>
      <c r="AA744" s="53"/>
    </row>
    <row r="745" spans="2:27" ht="12.5" x14ac:dyDescent="0.25">
      <c r="B745" s="57"/>
      <c r="G745" s="57"/>
      <c r="L745" s="57"/>
      <c r="Q745" s="57"/>
      <c r="V745" s="57"/>
      <c r="AA745" s="53"/>
    </row>
    <row r="746" spans="2:27" ht="12.5" x14ac:dyDescent="0.25">
      <c r="B746" s="57"/>
      <c r="G746" s="57"/>
      <c r="L746" s="57"/>
      <c r="Q746" s="57"/>
      <c r="V746" s="57"/>
      <c r="AA746" s="53"/>
    </row>
    <row r="747" spans="2:27" ht="12.5" x14ac:dyDescent="0.25">
      <c r="B747" s="57"/>
      <c r="G747" s="57"/>
      <c r="L747" s="57"/>
      <c r="Q747" s="57"/>
      <c r="V747" s="57"/>
      <c r="AA747" s="53"/>
    </row>
    <row r="748" spans="2:27" ht="12.5" x14ac:dyDescent="0.25">
      <c r="B748" s="57"/>
      <c r="G748" s="57"/>
      <c r="L748" s="57"/>
      <c r="Q748" s="57"/>
      <c r="V748" s="57"/>
      <c r="AA748" s="53"/>
    </row>
    <row r="749" spans="2:27" ht="12.5" x14ac:dyDescent="0.25">
      <c r="B749" s="57"/>
      <c r="G749" s="57"/>
      <c r="L749" s="57"/>
      <c r="Q749" s="57"/>
      <c r="V749" s="57"/>
      <c r="AA749" s="53"/>
    </row>
    <row r="750" spans="2:27" ht="12.5" x14ac:dyDescent="0.25">
      <c r="B750" s="57"/>
      <c r="G750" s="57"/>
      <c r="L750" s="57"/>
      <c r="Q750" s="57"/>
      <c r="V750" s="57"/>
      <c r="AA750" s="53"/>
    </row>
    <row r="751" spans="2:27" ht="12.5" x14ac:dyDescent="0.25">
      <c r="B751" s="57"/>
      <c r="G751" s="57"/>
      <c r="L751" s="57"/>
      <c r="Q751" s="57"/>
      <c r="V751" s="57"/>
      <c r="AA751" s="53"/>
    </row>
    <row r="752" spans="2:27" ht="12.5" x14ac:dyDescent="0.25">
      <c r="B752" s="57"/>
      <c r="G752" s="57"/>
      <c r="L752" s="57"/>
      <c r="Q752" s="57"/>
      <c r="V752" s="57"/>
      <c r="AA752" s="53"/>
    </row>
    <row r="753" spans="2:27" ht="12.5" x14ac:dyDescent="0.25">
      <c r="B753" s="57"/>
      <c r="G753" s="57"/>
      <c r="L753" s="57"/>
      <c r="Q753" s="57"/>
      <c r="V753" s="57"/>
      <c r="AA753" s="53"/>
    </row>
    <row r="754" spans="2:27" ht="12.5" x14ac:dyDescent="0.25">
      <c r="B754" s="57"/>
      <c r="G754" s="57"/>
      <c r="L754" s="57"/>
      <c r="Q754" s="57"/>
      <c r="V754" s="57"/>
      <c r="AA754" s="53"/>
    </row>
    <row r="755" spans="2:27" ht="12.5" x14ac:dyDescent="0.25">
      <c r="B755" s="57"/>
      <c r="G755" s="57"/>
      <c r="L755" s="57"/>
      <c r="Q755" s="57"/>
      <c r="V755" s="57"/>
      <c r="AA755" s="53"/>
    </row>
    <row r="756" spans="2:27" ht="12.5" x14ac:dyDescent="0.25">
      <c r="B756" s="57"/>
      <c r="G756" s="57"/>
      <c r="L756" s="57"/>
      <c r="Q756" s="57"/>
      <c r="V756" s="57"/>
      <c r="AA756" s="53"/>
    </row>
    <row r="757" spans="2:27" ht="12.5" x14ac:dyDescent="0.25">
      <c r="B757" s="57"/>
      <c r="G757" s="57"/>
      <c r="L757" s="57"/>
      <c r="Q757" s="57"/>
      <c r="V757" s="57"/>
      <c r="AA757" s="53"/>
    </row>
    <row r="758" spans="2:27" ht="12.5" x14ac:dyDescent="0.25">
      <c r="B758" s="57"/>
      <c r="G758" s="57"/>
      <c r="L758" s="57"/>
      <c r="Q758" s="57"/>
      <c r="V758" s="57"/>
      <c r="AA758" s="53"/>
    </row>
    <row r="759" spans="2:27" ht="12.5" x14ac:dyDescent="0.25">
      <c r="B759" s="57"/>
      <c r="G759" s="57"/>
      <c r="L759" s="57"/>
      <c r="Q759" s="57"/>
      <c r="V759" s="57"/>
      <c r="AA759" s="53"/>
    </row>
    <row r="760" spans="2:27" ht="12.5" x14ac:dyDescent="0.25">
      <c r="B760" s="57"/>
      <c r="G760" s="57"/>
      <c r="L760" s="57"/>
      <c r="Q760" s="57"/>
      <c r="V760" s="57"/>
      <c r="AA760" s="53"/>
    </row>
    <row r="761" spans="2:27" ht="12.5" x14ac:dyDescent="0.25">
      <c r="B761" s="57"/>
      <c r="G761" s="57"/>
      <c r="L761" s="57"/>
      <c r="Q761" s="57"/>
      <c r="V761" s="57"/>
      <c r="AA761" s="53"/>
    </row>
    <row r="762" spans="2:27" ht="12.5" x14ac:dyDescent="0.25">
      <c r="B762" s="57"/>
      <c r="G762" s="57"/>
      <c r="L762" s="57"/>
      <c r="Q762" s="57"/>
      <c r="V762" s="57"/>
      <c r="AA762" s="53"/>
    </row>
    <row r="763" spans="2:27" ht="12.5" x14ac:dyDescent="0.25">
      <c r="B763" s="57"/>
      <c r="G763" s="57"/>
      <c r="L763" s="57"/>
      <c r="Q763" s="57"/>
      <c r="V763" s="57"/>
      <c r="AA763" s="53"/>
    </row>
    <row r="764" spans="2:27" ht="12.5" x14ac:dyDescent="0.25">
      <c r="B764" s="57"/>
      <c r="G764" s="57"/>
      <c r="L764" s="57"/>
      <c r="Q764" s="57"/>
      <c r="V764" s="57"/>
      <c r="AA764" s="53"/>
    </row>
    <row r="765" spans="2:27" ht="12.5" x14ac:dyDescent="0.25">
      <c r="B765" s="57"/>
      <c r="G765" s="57"/>
      <c r="L765" s="57"/>
      <c r="Q765" s="57"/>
      <c r="V765" s="57"/>
      <c r="AA765" s="53"/>
    </row>
    <row r="766" spans="2:27" ht="12.5" x14ac:dyDescent="0.25">
      <c r="B766" s="57"/>
      <c r="G766" s="57"/>
      <c r="L766" s="57"/>
      <c r="Q766" s="57"/>
      <c r="V766" s="57"/>
      <c r="AA766" s="53"/>
    </row>
    <row r="767" spans="2:27" ht="12.5" x14ac:dyDescent="0.25">
      <c r="B767" s="57"/>
      <c r="G767" s="57"/>
      <c r="L767" s="57"/>
      <c r="Q767" s="57"/>
      <c r="V767" s="57"/>
      <c r="AA767" s="53"/>
    </row>
    <row r="768" spans="2:27" ht="12.5" x14ac:dyDescent="0.25">
      <c r="B768" s="57"/>
      <c r="G768" s="57"/>
      <c r="L768" s="57"/>
      <c r="Q768" s="57"/>
      <c r="V768" s="57"/>
      <c r="AA768" s="53"/>
    </row>
    <row r="769" spans="2:27" ht="12.5" x14ac:dyDescent="0.25">
      <c r="B769" s="57"/>
      <c r="G769" s="57"/>
      <c r="L769" s="57"/>
      <c r="Q769" s="57"/>
      <c r="V769" s="57"/>
      <c r="AA769" s="53"/>
    </row>
    <row r="770" spans="2:27" ht="12.5" x14ac:dyDescent="0.25">
      <c r="B770" s="57"/>
      <c r="G770" s="57"/>
      <c r="L770" s="57"/>
      <c r="Q770" s="57"/>
      <c r="V770" s="57"/>
      <c r="AA770" s="53"/>
    </row>
    <row r="771" spans="2:27" ht="12.5" x14ac:dyDescent="0.25">
      <c r="B771" s="57"/>
      <c r="G771" s="57"/>
      <c r="L771" s="57"/>
      <c r="Q771" s="57"/>
      <c r="V771" s="57"/>
      <c r="AA771" s="53"/>
    </row>
    <row r="772" spans="2:27" ht="12.5" x14ac:dyDescent="0.25">
      <c r="B772" s="57"/>
      <c r="G772" s="57"/>
      <c r="L772" s="57"/>
      <c r="Q772" s="57"/>
      <c r="V772" s="57"/>
      <c r="AA772" s="53"/>
    </row>
    <row r="773" spans="2:27" ht="12.5" x14ac:dyDescent="0.25">
      <c r="B773" s="57"/>
      <c r="G773" s="57"/>
      <c r="L773" s="57"/>
      <c r="Q773" s="57"/>
      <c r="V773" s="57"/>
      <c r="AA773" s="53"/>
    </row>
    <row r="774" spans="2:27" ht="12.5" x14ac:dyDescent="0.25">
      <c r="B774" s="57"/>
      <c r="G774" s="57"/>
      <c r="L774" s="57"/>
      <c r="Q774" s="57"/>
      <c r="V774" s="57"/>
      <c r="AA774" s="53"/>
    </row>
    <row r="775" spans="2:27" ht="12.5" x14ac:dyDescent="0.25">
      <c r="B775" s="57"/>
      <c r="G775" s="57"/>
      <c r="L775" s="57"/>
      <c r="Q775" s="57"/>
      <c r="V775" s="57"/>
      <c r="AA775" s="53"/>
    </row>
    <row r="776" spans="2:27" ht="12.5" x14ac:dyDescent="0.25">
      <c r="B776" s="57"/>
      <c r="G776" s="57"/>
      <c r="L776" s="57"/>
      <c r="Q776" s="57"/>
      <c r="V776" s="57"/>
      <c r="AA776" s="53"/>
    </row>
    <row r="777" spans="2:27" ht="12.5" x14ac:dyDescent="0.25">
      <c r="B777" s="57"/>
      <c r="G777" s="57"/>
      <c r="L777" s="57"/>
      <c r="Q777" s="57"/>
      <c r="V777" s="57"/>
      <c r="AA777" s="53"/>
    </row>
    <row r="778" spans="2:27" ht="12.5" x14ac:dyDescent="0.25">
      <c r="B778" s="57"/>
      <c r="G778" s="57"/>
      <c r="L778" s="57"/>
      <c r="Q778" s="57"/>
      <c r="V778" s="57"/>
      <c r="AA778" s="53"/>
    </row>
    <row r="779" spans="2:27" ht="12.5" x14ac:dyDescent="0.25">
      <c r="B779" s="57"/>
      <c r="G779" s="57"/>
      <c r="L779" s="57"/>
      <c r="Q779" s="57"/>
      <c r="V779" s="57"/>
      <c r="AA779" s="53"/>
    </row>
    <row r="780" spans="2:27" ht="12.5" x14ac:dyDescent="0.25">
      <c r="B780" s="57"/>
      <c r="G780" s="57"/>
      <c r="L780" s="57"/>
      <c r="Q780" s="57"/>
      <c r="V780" s="57"/>
      <c r="AA780" s="53"/>
    </row>
    <row r="781" spans="2:27" ht="12.5" x14ac:dyDescent="0.25">
      <c r="B781" s="57"/>
      <c r="G781" s="57"/>
      <c r="L781" s="57"/>
      <c r="Q781" s="57"/>
      <c r="V781" s="57"/>
      <c r="AA781" s="53"/>
    </row>
    <row r="782" spans="2:27" ht="12.5" x14ac:dyDescent="0.25">
      <c r="B782" s="57"/>
      <c r="G782" s="57"/>
      <c r="L782" s="57"/>
      <c r="Q782" s="57"/>
      <c r="V782" s="57"/>
      <c r="AA782" s="53"/>
    </row>
    <row r="783" spans="2:27" ht="12.5" x14ac:dyDescent="0.25">
      <c r="B783" s="57"/>
      <c r="G783" s="57"/>
      <c r="L783" s="57"/>
      <c r="Q783" s="57"/>
      <c r="V783" s="57"/>
      <c r="AA783" s="53"/>
    </row>
    <row r="784" spans="2:27" ht="12.5" x14ac:dyDescent="0.25">
      <c r="B784" s="57"/>
      <c r="G784" s="57"/>
      <c r="L784" s="57"/>
      <c r="Q784" s="57"/>
      <c r="V784" s="57"/>
      <c r="AA784" s="53"/>
    </row>
    <row r="785" spans="2:27" ht="12.5" x14ac:dyDescent="0.25">
      <c r="B785" s="57"/>
      <c r="G785" s="57"/>
      <c r="L785" s="57"/>
      <c r="Q785" s="57"/>
      <c r="V785" s="57"/>
      <c r="AA785" s="53"/>
    </row>
    <row r="786" spans="2:27" ht="12.5" x14ac:dyDescent="0.25">
      <c r="B786" s="57"/>
      <c r="G786" s="57"/>
      <c r="L786" s="57"/>
      <c r="Q786" s="57"/>
      <c r="V786" s="57"/>
      <c r="AA786" s="53"/>
    </row>
    <row r="787" spans="2:27" ht="12.5" x14ac:dyDescent="0.25">
      <c r="B787" s="57"/>
      <c r="G787" s="57"/>
      <c r="L787" s="57"/>
      <c r="Q787" s="57"/>
      <c r="V787" s="57"/>
      <c r="AA787" s="53"/>
    </row>
    <row r="788" spans="2:27" ht="12.5" x14ac:dyDescent="0.25">
      <c r="B788" s="57"/>
      <c r="G788" s="57"/>
      <c r="L788" s="57"/>
      <c r="Q788" s="57"/>
      <c r="V788" s="57"/>
      <c r="AA788" s="53"/>
    </row>
    <row r="789" spans="2:27" ht="12.5" x14ac:dyDescent="0.25">
      <c r="B789" s="57"/>
      <c r="G789" s="57"/>
      <c r="L789" s="57"/>
      <c r="Q789" s="57"/>
      <c r="V789" s="57"/>
      <c r="AA789" s="53"/>
    </row>
    <row r="790" spans="2:27" ht="12.5" x14ac:dyDescent="0.25">
      <c r="B790" s="57"/>
      <c r="G790" s="57"/>
      <c r="L790" s="57"/>
      <c r="Q790" s="57"/>
      <c r="V790" s="57"/>
      <c r="AA790" s="53"/>
    </row>
    <row r="791" spans="2:27" ht="12.5" x14ac:dyDescent="0.25">
      <c r="B791" s="57"/>
      <c r="G791" s="57"/>
      <c r="L791" s="57"/>
      <c r="Q791" s="57"/>
      <c r="V791" s="57"/>
      <c r="AA791" s="53"/>
    </row>
    <row r="792" spans="2:27" ht="12.5" x14ac:dyDescent="0.25">
      <c r="B792" s="57"/>
      <c r="G792" s="57"/>
      <c r="L792" s="57"/>
      <c r="Q792" s="57"/>
      <c r="V792" s="57"/>
      <c r="AA792" s="53"/>
    </row>
    <row r="793" spans="2:27" ht="12.5" x14ac:dyDescent="0.25">
      <c r="B793" s="57"/>
      <c r="G793" s="57"/>
      <c r="L793" s="57"/>
      <c r="Q793" s="57"/>
      <c r="V793" s="57"/>
      <c r="AA793" s="53"/>
    </row>
    <row r="794" spans="2:27" ht="12.5" x14ac:dyDescent="0.25">
      <c r="B794" s="57"/>
      <c r="G794" s="57"/>
      <c r="L794" s="57"/>
      <c r="Q794" s="57"/>
      <c r="V794" s="57"/>
      <c r="AA794" s="53"/>
    </row>
    <row r="795" spans="2:27" ht="12.5" x14ac:dyDescent="0.25">
      <c r="B795" s="57"/>
      <c r="G795" s="57"/>
      <c r="L795" s="57"/>
      <c r="Q795" s="57"/>
      <c r="V795" s="57"/>
      <c r="AA795" s="53"/>
    </row>
    <row r="796" spans="2:27" ht="12.5" x14ac:dyDescent="0.25">
      <c r="B796" s="57"/>
      <c r="G796" s="57"/>
      <c r="L796" s="57"/>
      <c r="Q796" s="57"/>
      <c r="V796" s="57"/>
      <c r="AA796" s="53"/>
    </row>
    <row r="797" spans="2:27" ht="12.5" x14ac:dyDescent="0.25">
      <c r="B797" s="57"/>
      <c r="G797" s="57"/>
      <c r="L797" s="57"/>
      <c r="Q797" s="57"/>
      <c r="V797" s="57"/>
      <c r="AA797" s="53"/>
    </row>
    <row r="798" spans="2:27" ht="12.5" x14ac:dyDescent="0.25">
      <c r="B798" s="57"/>
      <c r="G798" s="57"/>
      <c r="L798" s="57"/>
      <c r="Q798" s="57"/>
      <c r="V798" s="57"/>
      <c r="AA798" s="53"/>
    </row>
    <row r="799" spans="2:27" ht="12.5" x14ac:dyDescent="0.25">
      <c r="B799" s="57"/>
      <c r="G799" s="57"/>
      <c r="L799" s="57"/>
      <c r="Q799" s="57"/>
      <c r="V799" s="57"/>
      <c r="AA799" s="53"/>
    </row>
    <row r="800" spans="2:27" ht="12.5" x14ac:dyDescent="0.25">
      <c r="B800" s="57"/>
      <c r="G800" s="57"/>
      <c r="L800" s="57"/>
      <c r="Q800" s="57"/>
      <c r="V800" s="57"/>
      <c r="AA800" s="53"/>
    </row>
    <row r="801" spans="2:27" ht="12.5" x14ac:dyDescent="0.25">
      <c r="B801" s="57"/>
      <c r="G801" s="57"/>
      <c r="L801" s="57"/>
      <c r="Q801" s="57"/>
      <c r="V801" s="57"/>
      <c r="AA801" s="53"/>
    </row>
    <row r="802" spans="2:27" ht="12.5" x14ac:dyDescent="0.25">
      <c r="B802" s="57"/>
      <c r="G802" s="57"/>
      <c r="L802" s="57"/>
      <c r="Q802" s="57"/>
      <c r="V802" s="57"/>
      <c r="AA802" s="53"/>
    </row>
    <row r="803" spans="2:27" ht="12.5" x14ac:dyDescent="0.25">
      <c r="B803" s="57"/>
      <c r="G803" s="57"/>
      <c r="L803" s="57"/>
      <c r="Q803" s="57"/>
      <c r="V803" s="57"/>
      <c r="AA803" s="53"/>
    </row>
    <row r="804" spans="2:27" ht="12.5" x14ac:dyDescent="0.25">
      <c r="B804" s="57"/>
      <c r="G804" s="57"/>
      <c r="L804" s="57"/>
      <c r="Q804" s="57"/>
      <c r="V804" s="57"/>
      <c r="AA804" s="53"/>
    </row>
    <row r="805" spans="2:27" ht="12.5" x14ac:dyDescent="0.25">
      <c r="B805" s="57"/>
      <c r="G805" s="57"/>
      <c r="L805" s="57"/>
      <c r="Q805" s="57"/>
      <c r="V805" s="57"/>
      <c r="AA805" s="53"/>
    </row>
    <row r="806" spans="2:27" ht="12.5" x14ac:dyDescent="0.25">
      <c r="B806" s="57"/>
      <c r="G806" s="57"/>
      <c r="L806" s="57"/>
      <c r="Q806" s="57"/>
      <c r="V806" s="57"/>
      <c r="AA806" s="53"/>
    </row>
    <row r="807" spans="2:27" ht="12.5" x14ac:dyDescent="0.25">
      <c r="B807" s="57"/>
      <c r="G807" s="57"/>
      <c r="L807" s="57"/>
      <c r="Q807" s="57"/>
      <c r="V807" s="57"/>
      <c r="AA807" s="53"/>
    </row>
    <row r="808" spans="2:27" ht="12.5" x14ac:dyDescent="0.25">
      <c r="B808" s="57"/>
      <c r="G808" s="57"/>
      <c r="L808" s="57"/>
      <c r="Q808" s="57"/>
      <c r="V808" s="57"/>
      <c r="AA808" s="53"/>
    </row>
    <row r="809" spans="2:27" ht="12.5" x14ac:dyDescent="0.25">
      <c r="B809" s="57"/>
      <c r="G809" s="57"/>
      <c r="L809" s="57"/>
      <c r="Q809" s="57"/>
      <c r="V809" s="57"/>
      <c r="AA809" s="53"/>
    </row>
    <row r="810" spans="2:27" ht="12.5" x14ac:dyDescent="0.25">
      <c r="B810" s="57"/>
      <c r="G810" s="57"/>
      <c r="L810" s="57"/>
      <c r="Q810" s="57"/>
      <c r="V810" s="57"/>
      <c r="AA810" s="53"/>
    </row>
    <row r="811" spans="2:27" ht="12.5" x14ac:dyDescent="0.25">
      <c r="B811" s="57"/>
      <c r="G811" s="57"/>
      <c r="L811" s="57"/>
      <c r="Q811" s="57"/>
      <c r="V811" s="57"/>
      <c r="AA811" s="53"/>
    </row>
    <row r="812" spans="2:27" ht="12.5" x14ac:dyDescent="0.25">
      <c r="B812" s="57"/>
      <c r="G812" s="57"/>
      <c r="L812" s="57"/>
      <c r="Q812" s="57"/>
      <c r="V812" s="57"/>
      <c r="AA812" s="53"/>
    </row>
    <row r="813" spans="2:27" ht="12.5" x14ac:dyDescent="0.25">
      <c r="B813" s="57"/>
      <c r="G813" s="57"/>
      <c r="L813" s="57"/>
      <c r="Q813" s="57"/>
      <c r="V813" s="57"/>
      <c r="AA813" s="53"/>
    </row>
    <row r="814" spans="2:27" ht="12.5" x14ac:dyDescent="0.25">
      <c r="B814" s="57"/>
      <c r="G814" s="57"/>
      <c r="L814" s="57"/>
      <c r="Q814" s="57"/>
      <c r="V814" s="57"/>
      <c r="AA814" s="53"/>
    </row>
    <row r="815" spans="2:27" ht="12.5" x14ac:dyDescent="0.25">
      <c r="B815" s="57"/>
      <c r="G815" s="57"/>
      <c r="L815" s="57"/>
      <c r="Q815" s="57"/>
      <c r="V815" s="57"/>
      <c r="AA815" s="53"/>
    </row>
    <row r="816" spans="2:27" ht="12.5" x14ac:dyDescent="0.25">
      <c r="B816" s="57"/>
      <c r="G816" s="57"/>
      <c r="L816" s="57"/>
      <c r="Q816" s="57"/>
      <c r="V816" s="57"/>
      <c r="AA816" s="53"/>
    </row>
    <row r="817" spans="2:27" ht="12.5" x14ac:dyDescent="0.25">
      <c r="B817" s="57"/>
      <c r="G817" s="57"/>
      <c r="L817" s="57"/>
      <c r="Q817" s="57"/>
      <c r="V817" s="57"/>
      <c r="AA817" s="53"/>
    </row>
    <row r="818" spans="2:27" ht="12.5" x14ac:dyDescent="0.25">
      <c r="B818" s="57"/>
      <c r="G818" s="57"/>
      <c r="L818" s="57"/>
      <c r="Q818" s="57"/>
      <c r="V818" s="57"/>
      <c r="AA818" s="53"/>
    </row>
    <row r="819" spans="2:27" ht="12.5" x14ac:dyDescent="0.25">
      <c r="B819" s="57"/>
      <c r="G819" s="57"/>
      <c r="L819" s="57"/>
      <c r="Q819" s="57"/>
      <c r="V819" s="57"/>
      <c r="AA819" s="53"/>
    </row>
    <row r="820" spans="2:27" ht="12.5" x14ac:dyDescent="0.25">
      <c r="B820" s="57"/>
      <c r="G820" s="57"/>
      <c r="L820" s="57"/>
      <c r="Q820" s="57"/>
      <c r="V820" s="57"/>
      <c r="AA820" s="53"/>
    </row>
    <row r="821" spans="2:27" ht="12.5" x14ac:dyDescent="0.25">
      <c r="B821" s="57"/>
      <c r="G821" s="57"/>
      <c r="L821" s="57"/>
      <c r="Q821" s="57"/>
      <c r="V821" s="57"/>
      <c r="AA821" s="53"/>
    </row>
    <row r="822" spans="2:27" ht="12.5" x14ac:dyDescent="0.25">
      <c r="B822" s="57"/>
      <c r="G822" s="57"/>
      <c r="L822" s="57"/>
      <c r="Q822" s="57"/>
      <c r="V822" s="57"/>
      <c r="AA822" s="53"/>
    </row>
    <row r="823" spans="2:27" ht="12.5" x14ac:dyDescent="0.25">
      <c r="B823" s="57"/>
      <c r="G823" s="57"/>
      <c r="L823" s="57"/>
      <c r="Q823" s="57"/>
      <c r="V823" s="57"/>
      <c r="AA823" s="53"/>
    </row>
    <row r="824" spans="2:27" ht="12.5" x14ac:dyDescent="0.25">
      <c r="B824" s="57"/>
      <c r="G824" s="57"/>
      <c r="L824" s="57"/>
      <c r="Q824" s="57"/>
      <c r="V824" s="57"/>
      <c r="AA824" s="53"/>
    </row>
    <row r="825" spans="2:27" ht="12.5" x14ac:dyDescent="0.25">
      <c r="B825" s="57"/>
      <c r="G825" s="57"/>
      <c r="L825" s="57"/>
      <c r="Q825" s="57"/>
      <c r="V825" s="57"/>
      <c r="AA825" s="53"/>
    </row>
    <row r="826" spans="2:27" ht="12.5" x14ac:dyDescent="0.25">
      <c r="B826" s="57"/>
      <c r="G826" s="57"/>
      <c r="L826" s="57"/>
      <c r="Q826" s="57"/>
      <c r="V826" s="57"/>
      <c r="AA826" s="53"/>
    </row>
    <row r="827" spans="2:27" ht="12.5" x14ac:dyDescent="0.25">
      <c r="B827" s="57"/>
      <c r="G827" s="57"/>
      <c r="L827" s="57"/>
      <c r="Q827" s="57"/>
      <c r="V827" s="57"/>
      <c r="AA827" s="53"/>
    </row>
    <row r="828" spans="2:27" ht="12.5" x14ac:dyDescent="0.25">
      <c r="B828" s="57"/>
      <c r="G828" s="57"/>
      <c r="L828" s="57"/>
      <c r="Q828" s="57"/>
      <c r="V828" s="57"/>
      <c r="AA828" s="53"/>
    </row>
    <row r="829" spans="2:27" ht="12.5" x14ac:dyDescent="0.25">
      <c r="B829" s="57"/>
      <c r="G829" s="57"/>
      <c r="L829" s="57"/>
      <c r="Q829" s="57"/>
      <c r="V829" s="57"/>
      <c r="AA829" s="53"/>
    </row>
    <row r="830" spans="2:27" ht="12.5" x14ac:dyDescent="0.25">
      <c r="B830" s="57"/>
      <c r="G830" s="57"/>
      <c r="L830" s="57"/>
      <c r="Q830" s="57"/>
      <c r="V830" s="57"/>
      <c r="AA830" s="53"/>
    </row>
    <row r="831" spans="2:27" ht="12.5" x14ac:dyDescent="0.25">
      <c r="B831" s="57"/>
      <c r="G831" s="57"/>
      <c r="L831" s="57"/>
      <c r="Q831" s="57"/>
      <c r="V831" s="57"/>
      <c r="AA831" s="53"/>
    </row>
    <row r="832" spans="2:27" ht="12.5" x14ac:dyDescent="0.25">
      <c r="B832" s="57"/>
      <c r="G832" s="57"/>
      <c r="L832" s="57"/>
      <c r="Q832" s="57"/>
      <c r="V832" s="57"/>
      <c r="AA832" s="53"/>
    </row>
    <row r="833" spans="2:27" ht="12.5" x14ac:dyDescent="0.25">
      <c r="B833" s="57"/>
      <c r="G833" s="57"/>
      <c r="L833" s="57"/>
      <c r="Q833" s="57"/>
      <c r="V833" s="57"/>
      <c r="AA833" s="53"/>
    </row>
    <row r="834" spans="2:27" ht="12.5" x14ac:dyDescent="0.25">
      <c r="B834" s="57"/>
      <c r="G834" s="57"/>
      <c r="L834" s="57"/>
      <c r="Q834" s="57"/>
      <c r="V834" s="57"/>
      <c r="AA834" s="53"/>
    </row>
    <row r="835" spans="2:27" ht="12.5" x14ac:dyDescent="0.25">
      <c r="B835" s="57"/>
      <c r="G835" s="57"/>
      <c r="L835" s="57"/>
      <c r="Q835" s="57"/>
      <c r="V835" s="57"/>
      <c r="AA835" s="53"/>
    </row>
    <row r="836" spans="2:27" ht="12.5" x14ac:dyDescent="0.25">
      <c r="B836" s="57"/>
      <c r="G836" s="57"/>
      <c r="L836" s="57"/>
      <c r="Q836" s="57"/>
      <c r="V836" s="57"/>
      <c r="AA836" s="53"/>
    </row>
    <row r="837" spans="2:27" ht="12.5" x14ac:dyDescent="0.25">
      <c r="B837" s="57"/>
      <c r="G837" s="57"/>
      <c r="L837" s="57"/>
      <c r="Q837" s="57"/>
      <c r="V837" s="57"/>
      <c r="AA837" s="53"/>
    </row>
    <row r="838" spans="2:27" ht="12.5" x14ac:dyDescent="0.25">
      <c r="B838" s="57"/>
      <c r="G838" s="57"/>
      <c r="L838" s="57"/>
      <c r="Q838" s="57"/>
      <c r="V838" s="57"/>
      <c r="AA838" s="53"/>
    </row>
    <row r="839" spans="2:27" ht="12.5" x14ac:dyDescent="0.25">
      <c r="B839" s="57"/>
      <c r="G839" s="57"/>
      <c r="L839" s="57"/>
      <c r="Q839" s="57"/>
      <c r="V839" s="57"/>
      <c r="AA839" s="53"/>
    </row>
    <row r="840" spans="2:27" ht="12.5" x14ac:dyDescent="0.25">
      <c r="B840" s="57"/>
      <c r="G840" s="57"/>
      <c r="L840" s="57"/>
      <c r="Q840" s="57"/>
      <c r="V840" s="57"/>
      <c r="AA840" s="53"/>
    </row>
    <row r="841" spans="2:27" ht="12.5" x14ac:dyDescent="0.25">
      <c r="B841" s="57"/>
      <c r="G841" s="57"/>
      <c r="L841" s="57"/>
      <c r="Q841" s="57"/>
      <c r="V841" s="57"/>
      <c r="AA841" s="53"/>
    </row>
    <row r="842" spans="2:27" ht="12.5" x14ac:dyDescent="0.25">
      <c r="B842" s="57"/>
      <c r="G842" s="57"/>
      <c r="L842" s="57"/>
      <c r="Q842" s="57"/>
      <c r="V842" s="57"/>
      <c r="AA842" s="53"/>
    </row>
    <row r="843" spans="2:27" ht="12.5" x14ac:dyDescent="0.25">
      <c r="B843" s="57"/>
      <c r="G843" s="57"/>
      <c r="L843" s="57"/>
      <c r="Q843" s="57"/>
      <c r="V843" s="57"/>
      <c r="AA843" s="53"/>
    </row>
    <row r="844" spans="2:27" ht="12.5" x14ac:dyDescent="0.25">
      <c r="B844" s="57"/>
      <c r="G844" s="57"/>
      <c r="L844" s="57"/>
      <c r="Q844" s="57"/>
      <c r="V844" s="57"/>
      <c r="AA844" s="53"/>
    </row>
    <row r="845" spans="2:27" ht="12.5" x14ac:dyDescent="0.25">
      <c r="B845" s="57"/>
      <c r="G845" s="57"/>
      <c r="L845" s="57"/>
      <c r="Q845" s="57"/>
      <c r="V845" s="57"/>
      <c r="AA845" s="53"/>
    </row>
    <row r="846" spans="2:27" ht="12.5" x14ac:dyDescent="0.25">
      <c r="B846" s="57"/>
      <c r="G846" s="57"/>
      <c r="L846" s="57"/>
      <c r="Q846" s="57"/>
      <c r="V846" s="57"/>
      <c r="AA846" s="53"/>
    </row>
    <row r="847" spans="2:27" ht="12.5" x14ac:dyDescent="0.25">
      <c r="B847" s="57"/>
      <c r="G847" s="57"/>
      <c r="L847" s="57"/>
      <c r="Q847" s="57"/>
      <c r="V847" s="57"/>
      <c r="AA847" s="53"/>
    </row>
    <row r="848" spans="2:27" ht="12.5" x14ac:dyDescent="0.25">
      <c r="B848" s="57"/>
      <c r="G848" s="57"/>
      <c r="L848" s="57"/>
      <c r="Q848" s="57"/>
      <c r="V848" s="57"/>
      <c r="AA848" s="53"/>
    </row>
    <row r="849" spans="2:27" ht="12.5" x14ac:dyDescent="0.25">
      <c r="B849" s="57"/>
      <c r="G849" s="57"/>
      <c r="L849" s="57"/>
      <c r="Q849" s="57"/>
      <c r="V849" s="57"/>
      <c r="AA849" s="53"/>
    </row>
    <row r="850" spans="2:27" ht="12.5" x14ac:dyDescent="0.25">
      <c r="B850" s="57"/>
      <c r="G850" s="57"/>
      <c r="L850" s="57"/>
      <c r="Q850" s="57"/>
      <c r="V850" s="57"/>
      <c r="AA850" s="53"/>
    </row>
    <row r="851" spans="2:27" ht="12.5" x14ac:dyDescent="0.25">
      <c r="B851" s="57"/>
      <c r="G851" s="57"/>
      <c r="L851" s="57"/>
      <c r="Q851" s="57"/>
      <c r="V851" s="57"/>
      <c r="AA851" s="53"/>
    </row>
    <row r="852" spans="2:27" ht="12.5" x14ac:dyDescent="0.25">
      <c r="B852" s="57"/>
      <c r="G852" s="57"/>
      <c r="L852" s="57"/>
      <c r="Q852" s="57"/>
      <c r="V852" s="57"/>
      <c r="AA852" s="53"/>
    </row>
    <row r="853" spans="2:27" ht="12.5" x14ac:dyDescent="0.25">
      <c r="B853" s="57"/>
      <c r="G853" s="57"/>
      <c r="L853" s="57"/>
      <c r="Q853" s="57"/>
      <c r="V853" s="57"/>
      <c r="AA853" s="53"/>
    </row>
    <row r="854" spans="2:27" ht="12.5" x14ac:dyDescent="0.25">
      <c r="B854" s="57"/>
      <c r="G854" s="57"/>
      <c r="L854" s="57"/>
      <c r="Q854" s="57"/>
      <c r="V854" s="57"/>
      <c r="AA854" s="53"/>
    </row>
    <row r="855" spans="2:27" ht="12.5" x14ac:dyDescent="0.25">
      <c r="B855" s="57"/>
      <c r="G855" s="57"/>
      <c r="L855" s="57"/>
      <c r="Q855" s="57"/>
      <c r="V855" s="57"/>
      <c r="AA855" s="53"/>
    </row>
    <row r="856" spans="2:27" ht="12.5" x14ac:dyDescent="0.25">
      <c r="B856" s="57"/>
      <c r="G856" s="57"/>
      <c r="L856" s="57"/>
      <c r="Q856" s="57"/>
      <c r="V856" s="57"/>
      <c r="AA856" s="53"/>
    </row>
    <row r="857" spans="2:27" ht="12.5" x14ac:dyDescent="0.25">
      <c r="B857" s="57"/>
      <c r="G857" s="57"/>
      <c r="L857" s="57"/>
      <c r="Q857" s="57"/>
      <c r="V857" s="57"/>
      <c r="AA857" s="53"/>
    </row>
    <row r="858" spans="2:27" ht="12.5" x14ac:dyDescent="0.25">
      <c r="B858" s="57"/>
      <c r="G858" s="57"/>
      <c r="L858" s="57"/>
      <c r="Q858" s="57"/>
      <c r="V858" s="57"/>
      <c r="AA858" s="53"/>
    </row>
    <row r="859" spans="2:27" ht="12.5" x14ac:dyDescent="0.25">
      <c r="B859" s="57"/>
      <c r="G859" s="57"/>
      <c r="L859" s="57"/>
      <c r="Q859" s="57"/>
      <c r="V859" s="57"/>
      <c r="AA859" s="53"/>
    </row>
    <row r="860" spans="2:27" ht="12.5" x14ac:dyDescent="0.25">
      <c r="B860" s="57"/>
      <c r="G860" s="57"/>
      <c r="L860" s="57"/>
      <c r="Q860" s="57"/>
      <c r="V860" s="57"/>
      <c r="AA860" s="53"/>
    </row>
    <row r="861" spans="2:27" ht="12.5" x14ac:dyDescent="0.25">
      <c r="B861" s="57"/>
      <c r="G861" s="57"/>
      <c r="L861" s="57"/>
      <c r="Q861" s="57"/>
      <c r="V861" s="57"/>
      <c r="AA861" s="53"/>
    </row>
    <row r="862" spans="2:27" ht="12.5" x14ac:dyDescent="0.25">
      <c r="B862" s="57"/>
      <c r="G862" s="57"/>
      <c r="L862" s="57"/>
      <c r="Q862" s="57"/>
      <c r="V862" s="57"/>
      <c r="AA862" s="53"/>
    </row>
    <row r="863" spans="2:27" ht="12.5" x14ac:dyDescent="0.25">
      <c r="B863" s="57"/>
      <c r="G863" s="57"/>
      <c r="L863" s="57"/>
      <c r="Q863" s="57"/>
      <c r="V863" s="57"/>
      <c r="AA863" s="53"/>
    </row>
    <row r="864" spans="2:27" ht="12.5" x14ac:dyDescent="0.25">
      <c r="B864" s="57"/>
      <c r="G864" s="57"/>
      <c r="L864" s="57"/>
      <c r="Q864" s="57"/>
      <c r="V864" s="57"/>
      <c r="AA864" s="53"/>
    </row>
    <row r="865" spans="2:27" ht="12.5" x14ac:dyDescent="0.25">
      <c r="B865" s="57"/>
      <c r="G865" s="57"/>
      <c r="L865" s="57"/>
      <c r="Q865" s="57"/>
      <c r="V865" s="57"/>
      <c r="AA865" s="53"/>
    </row>
    <row r="866" spans="2:27" ht="12.5" x14ac:dyDescent="0.25">
      <c r="B866" s="57"/>
      <c r="G866" s="57"/>
      <c r="L866" s="57"/>
      <c r="Q866" s="57"/>
      <c r="V866" s="57"/>
      <c r="AA866" s="53"/>
    </row>
    <row r="867" spans="2:27" ht="12.5" x14ac:dyDescent="0.25">
      <c r="B867" s="57"/>
      <c r="G867" s="57"/>
      <c r="L867" s="57"/>
      <c r="Q867" s="57"/>
      <c r="V867" s="57"/>
      <c r="AA867" s="53"/>
    </row>
    <row r="868" spans="2:27" ht="12.5" x14ac:dyDescent="0.25">
      <c r="B868" s="57"/>
      <c r="G868" s="57"/>
      <c r="L868" s="57"/>
      <c r="Q868" s="57"/>
      <c r="V868" s="57"/>
      <c r="AA868" s="53"/>
    </row>
    <row r="869" spans="2:27" ht="12.5" x14ac:dyDescent="0.25">
      <c r="B869" s="57"/>
      <c r="G869" s="57"/>
      <c r="L869" s="57"/>
      <c r="Q869" s="57"/>
      <c r="V869" s="57"/>
      <c r="AA869" s="53"/>
    </row>
    <row r="870" spans="2:27" ht="12.5" x14ac:dyDescent="0.25">
      <c r="B870" s="57"/>
      <c r="G870" s="57"/>
      <c r="L870" s="57"/>
      <c r="Q870" s="57"/>
      <c r="V870" s="57"/>
      <c r="AA870" s="53"/>
    </row>
    <row r="871" spans="2:27" ht="12.5" x14ac:dyDescent="0.25">
      <c r="B871" s="57"/>
      <c r="G871" s="57"/>
      <c r="L871" s="57"/>
      <c r="Q871" s="57"/>
      <c r="V871" s="57"/>
      <c r="AA871" s="53"/>
    </row>
    <row r="872" spans="2:27" ht="12.5" x14ac:dyDescent="0.25">
      <c r="B872" s="57"/>
      <c r="G872" s="57"/>
      <c r="L872" s="57"/>
      <c r="Q872" s="57"/>
      <c r="V872" s="57"/>
      <c r="AA872" s="53"/>
    </row>
    <row r="873" spans="2:27" ht="12.5" x14ac:dyDescent="0.25">
      <c r="B873" s="57"/>
      <c r="G873" s="57"/>
      <c r="L873" s="57"/>
      <c r="Q873" s="57"/>
      <c r="V873" s="57"/>
      <c r="AA873" s="53"/>
    </row>
    <row r="874" spans="2:27" ht="12.5" x14ac:dyDescent="0.25">
      <c r="B874" s="57"/>
      <c r="G874" s="57"/>
      <c r="L874" s="57"/>
      <c r="Q874" s="57"/>
      <c r="V874" s="57"/>
      <c r="AA874" s="53"/>
    </row>
    <row r="875" spans="2:27" ht="12.5" x14ac:dyDescent="0.25">
      <c r="B875" s="57"/>
      <c r="G875" s="57"/>
      <c r="L875" s="57"/>
      <c r="Q875" s="57"/>
      <c r="V875" s="57"/>
      <c r="AA875" s="53"/>
    </row>
    <row r="876" spans="2:27" ht="12.5" x14ac:dyDescent="0.25">
      <c r="B876" s="57"/>
      <c r="G876" s="57"/>
      <c r="L876" s="57"/>
      <c r="Q876" s="57"/>
      <c r="V876" s="57"/>
      <c r="AA876" s="53"/>
    </row>
    <row r="877" spans="2:27" ht="12.5" x14ac:dyDescent="0.25">
      <c r="B877" s="57"/>
      <c r="G877" s="57"/>
      <c r="L877" s="57"/>
      <c r="Q877" s="57"/>
      <c r="V877" s="57"/>
      <c r="AA877" s="53"/>
    </row>
    <row r="878" spans="2:27" ht="12.5" x14ac:dyDescent="0.25">
      <c r="B878" s="57"/>
      <c r="G878" s="57"/>
      <c r="L878" s="57"/>
      <c r="Q878" s="57"/>
      <c r="V878" s="57"/>
      <c r="AA878" s="53"/>
    </row>
    <row r="879" spans="2:27" ht="12.5" x14ac:dyDescent="0.25">
      <c r="B879" s="57"/>
      <c r="G879" s="57"/>
      <c r="L879" s="57"/>
      <c r="Q879" s="57"/>
      <c r="V879" s="57"/>
      <c r="AA879" s="53"/>
    </row>
    <row r="880" spans="2:27" ht="12.5" x14ac:dyDescent="0.25">
      <c r="B880" s="57"/>
      <c r="G880" s="57"/>
      <c r="L880" s="57"/>
      <c r="Q880" s="57"/>
      <c r="V880" s="57"/>
      <c r="AA880" s="53"/>
    </row>
    <row r="881" spans="2:27" ht="12.5" x14ac:dyDescent="0.25">
      <c r="B881" s="57"/>
      <c r="G881" s="57"/>
      <c r="L881" s="57"/>
      <c r="Q881" s="57"/>
      <c r="V881" s="57"/>
      <c r="AA881" s="53"/>
    </row>
    <row r="882" spans="2:27" ht="12.5" x14ac:dyDescent="0.25">
      <c r="B882" s="57"/>
      <c r="G882" s="57"/>
      <c r="L882" s="57"/>
      <c r="Q882" s="57"/>
      <c r="V882" s="57"/>
      <c r="AA882" s="53"/>
    </row>
    <row r="883" spans="2:27" ht="12.5" x14ac:dyDescent="0.25">
      <c r="B883" s="57"/>
      <c r="G883" s="57"/>
      <c r="L883" s="57"/>
      <c r="Q883" s="57"/>
      <c r="V883" s="57"/>
      <c r="AA883" s="53"/>
    </row>
    <row r="884" spans="2:27" ht="12.5" x14ac:dyDescent="0.25">
      <c r="B884" s="57"/>
      <c r="G884" s="57"/>
      <c r="L884" s="57"/>
      <c r="Q884" s="57"/>
      <c r="V884" s="57"/>
      <c r="AA884" s="53"/>
    </row>
    <row r="885" spans="2:27" ht="12.5" x14ac:dyDescent="0.25">
      <c r="B885" s="57"/>
      <c r="G885" s="57"/>
      <c r="L885" s="57"/>
      <c r="Q885" s="57"/>
      <c r="V885" s="57"/>
      <c r="AA885" s="53"/>
    </row>
    <row r="886" spans="2:27" ht="12.5" x14ac:dyDescent="0.25">
      <c r="B886" s="57"/>
      <c r="G886" s="57"/>
      <c r="L886" s="57"/>
      <c r="Q886" s="57"/>
      <c r="V886" s="57"/>
      <c r="AA886" s="53"/>
    </row>
    <row r="887" spans="2:27" ht="12.5" x14ac:dyDescent="0.25">
      <c r="B887" s="57"/>
      <c r="G887" s="57"/>
      <c r="L887" s="57"/>
      <c r="Q887" s="57"/>
      <c r="V887" s="57"/>
      <c r="AA887" s="53"/>
    </row>
    <row r="888" spans="2:27" ht="12.5" x14ac:dyDescent="0.25">
      <c r="B888" s="57"/>
      <c r="G888" s="57"/>
      <c r="L888" s="57"/>
      <c r="Q888" s="57"/>
      <c r="V888" s="57"/>
      <c r="AA888" s="53"/>
    </row>
    <row r="889" spans="2:27" ht="12.5" x14ac:dyDescent="0.25">
      <c r="B889" s="57"/>
      <c r="G889" s="57"/>
      <c r="L889" s="57"/>
      <c r="Q889" s="57"/>
      <c r="V889" s="57"/>
      <c r="AA889" s="53"/>
    </row>
    <row r="890" spans="2:27" ht="12.5" x14ac:dyDescent="0.25">
      <c r="B890" s="57"/>
      <c r="G890" s="57"/>
      <c r="L890" s="57"/>
      <c r="Q890" s="57"/>
      <c r="V890" s="57"/>
      <c r="AA890" s="53"/>
    </row>
    <row r="891" spans="2:27" ht="12.5" x14ac:dyDescent="0.25">
      <c r="B891" s="57"/>
      <c r="G891" s="57"/>
      <c r="L891" s="57"/>
      <c r="Q891" s="57"/>
      <c r="V891" s="57"/>
      <c r="AA891" s="53"/>
    </row>
    <row r="892" spans="2:27" ht="12.5" x14ac:dyDescent="0.25">
      <c r="B892" s="57"/>
      <c r="G892" s="57"/>
      <c r="L892" s="57"/>
      <c r="Q892" s="57"/>
      <c r="V892" s="57"/>
      <c r="AA892" s="53"/>
    </row>
    <row r="893" spans="2:27" ht="12.5" x14ac:dyDescent="0.25">
      <c r="B893" s="57"/>
      <c r="G893" s="57"/>
      <c r="L893" s="57"/>
      <c r="Q893" s="57"/>
      <c r="V893" s="57"/>
      <c r="AA893" s="53"/>
    </row>
    <row r="894" spans="2:27" ht="12.5" x14ac:dyDescent="0.25">
      <c r="B894" s="57"/>
      <c r="G894" s="57"/>
      <c r="L894" s="57"/>
      <c r="Q894" s="57"/>
      <c r="V894" s="57"/>
      <c r="AA894" s="53"/>
    </row>
    <row r="895" spans="2:27" ht="12.5" x14ac:dyDescent="0.25">
      <c r="B895" s="57"/>
      <c r="G895" s="57"/>
      <c r="L895" s="57"/>
      <c r="Q895" s="57"/>
      <c r="V895" s="57"/>
      <c r="AA895" s="53"/>
    </row>
    <row r="896" spans="2:27" ht="12.5" x14ac:dyDescent="0.25">
      <c r="B896" s="57"/>
      <c r="G896" s="57"/>
      <c r="L896" s="57"/>
      <c r="Q896" s="57"/>
      <c r="V896" s="57"/>
      <c r="AA896" s="53"/>
    </row>
    <row r="897" spans="2:27" ht="12.5" x14ac:dyDescent="0.25">
      <c r="B897" s="57"/>
      <c r="G897" s="57"/>
      <c r="L897" s="57"/>
      <c r="Q897" s="57"/>
      <c r="V897" s="57"/>
      <c r="AA897" s="53"/>
    </row>
    <row r="898" spans="2:27" ht="12.5" x14ac:dyDescent="0.25">
      <c r="B898" s="57"/>
      <c r="G898" s="57"/>
      <c r="L898" s="57"/>
      <c r="Q898" s="57"/>
      <c r="V898" s="57"/>
      <c r="AA898" s="53"/>
    </row>
    <row r="899" spans="2:27" ht="12.5" x14ac:dyDescent="0.25">
      <c r="B899" s="57"/>
      <c r="G899" s="57"/>
      <c r="L899" s="57"/>
      <c r="Q899" s="57"/>
      <c r="V899" s="57"/>
      <c r="AA899" s="53"/>
    </row>
    <row r="900" spans="2:27" ht="12.5" x14ac:dyDescent="0.25">
      <c r="B900" s="57"/>
      <c r="G900" s="57"/>
      <c r="L900" s="57"/>
      <c r="Q900" s="57"/>
      <c r="V900" s="57"/>
      <c r="AA900" s="53"/>
    </row>
    <row r="901" spans="2:27" ht="12.5" x14ac:dyDescent="0.25">
      <c r="B901" s="57"/>
      <c r="G901" s="57"/>
      <c r="L901" s="57"/>
      <c r="Q901" s="57"/>
      <c r="V901" s="57"/>
      <c r="AA901" s="53"/>
    </row>
    <row r="902" spans="2:27" ht="12.5" x14ac:dyDescent="0.25">
      <c r="B902" s="57"/>
      <c r="G902" s="57"/>
      <c r="L902" s="57"/>
      <c r="Q902" s="57"/>
      <c r="V902" s="57"/>
      <c r="AA902" s="53"/>
    </row>
    <row r="903" spans="2:27" ht="12.5" x14ac:dyDescent="0.25">
      <c r="B903" s="57"/>
      <c r="G903" s="57"/>
      <c r="L903" s="57"/>
      <c r="Q903" s="57"/>
      <c r="V903" s="57"/>
      <c r="AA903" s="53"/>
    </row>
    <row r="904" spans="2:27" ht="12.5" x14ac:dyDescent="0.25">
      <c r="B904" s="57"/>
      <c r="G904" s="57"/>
      <c r="L904" s="57"/>
      <c r="Q904" s="57"/>
      <c r="V904" s="57"/>
      <c r="AA904" s="53"/>
    </row>
    <row r="905" spans="2:27" ht="12.5" x14ac:dyDescent="0.25">
      <c r="B905" s="57"/>
      <c r="G905" s="57"/>
      <c r="L905" s="57"/>
      <c r="Q905" s="57"/>
      <c r="V905" s="57"/>
      <c r="AA905" s="53"/>
    </row>
    <row r="906" spans="2:27" ht="12.5" x14ac:dyDescent="0.25">
      <c r="B906" s="57"/>
      <c r="G906" s="57"/>
      <c r="L906" s="57"/>
      <c r="Q906" s="57"/>
      <c r="V906" s="57"/>
      <c r="AA906" s="53"/>
    </row>
    <row r="907" spans="2:27" ht="12.5" x14ac:dyDescent="0.25">
      <c r="B907" s="57"/>
      <c r="G907" s="57"/>
      <c r="L907" s="57"/>
      <c r="Q907" s="57"/>
      <c r="V907" s="57"/>
      <c r="AA907" s="53"/>
    </row>
    <row r="908" spans="2:27" ht="12.5" x14ac:dyDescent="0.25">
      <c r="B908" s="57"/>
      <c r="G908" s="57"/>
      <c r="L908" s="57"/>
      <c r="Q908" s="57"/>
      <c r="V908" s="57"/>
      <c r="AA908" s="53"/>
    </row>
    <row r="909" spans="2:27" ht="12.5" x14ac:dyDescent="0.25">
      <c r="B909" s="57"/>
      <c r="G909" s="57"/>
      <c r="L909" s="57"/>
      <c r="Q909" s="57"/>
      <c r="V909" s="57"/>
      <c r="AA909" s="53"/>
    </row>
    <row r="910" spans="2:27" ht="12.5" x14ac:dyDescent="0.25">
      <c r="B910" s="57"/>
      <c r="G910" s="57"/>
      <c r="L910" s="57"/>
      <c r="Q910" s="57"/>
      <c r="V910" s="57"/>
      <c r="AA910" s="53"/>
    </row>
    <row r="911" spans="2:27" ht="12.5" x14ac:dyDescent="0.25">
      <c r="B911" s="57"/>
      <c r="G911" s="57"/>
      <c r="L911" s="57"/>
      <c r="Q911" s="57"/>
      <c r="V911" s="57"/>
      <c r="AA911" s="53"/>
    </row>
    <row r="912" spans="2:27" ht="12.5" x14ac:dyDescent="0.25">
      <c r="B912" s="57"/>
      <c r="G912" s="57"/>
      <c r="L912" s="57"/>
      <c r="Q912" s="57"/>
      <c r="V912" s="57"/>
      <c r="AA912" s="53"/>
    </row>
    <row r="913" spans="2:27" ht="12.5" x14ac:dyDescent="0.25">
      <c r="B913" s="57"/>
      <c r="G913" s="57"/>
      <c r="L913" s="57"/>
      <c r="Q913" s="57"/>
      <c r="V913" s="57"/>
      <c r="AA913" s="53"/>
    </row>
    <row r="914" spans="2:27" ht="12.5" x14ac:dyDescent="0.25">
      <c r="B914" s="57"/>
      <c r="G914" s="57"/>
      <c r="L914" s="57"/>
      <c r="Q914" s="57"/>
      <c r="V914" s="57"/>
      <c r="AA914" s="53"/>
    </row>
    <row r="915" spans="2:27" ht="12.5" x14ac:dyDescent="0.25">
      <c r="B915" s="57"/>
      <c r="G915" s="57"/>
      <c r="L915" s="57"/>
      <c r="Q915" s="57"/>
      <c r="V915" s="57"/>
      <c r="AA915" s="53"/>
    </row>
    <row r="916" spans="2:27" ht="12.5" x14ac:dyDescent="0.25">
      <c r="B916" s="57"/>
      <c r="G916" s="57"/>
      <c r="L916" s="57"/>
      <c r="Q916" s="57"/>
      <c r="V916" s="57"/>
      <c r="AA916" s="53"/>
    </row>
    <row r="917" spans="2:27" ht="12.5" x14ac:dyDescent="0.25">
      <c r="B917" s="57"/>
      <c r="G917" s="57"/>
      <c r="L917" s="57"/>
      <c r="Q917" s="57"/>
      <c r="V917" s="57"/>
      <c r="AA917" s="53"/>
    </row>
    <row r="918" spans="2:27" ht="12.5" x14ac:dyDescent="0.25">
      <c r="B918" s="57"/>
      <c r="G918" s="57"/>
      <c r="L918" s="57"/>
      <c r="Q918" s="57"/>
      <c r="V918" s="57"/>
      <c r="AA918" s="53"/>
    </row>
    <row r="919" spans="2:27" ht="12.5" x14ac:dyDescent="0.25">
      <c r="B919" s="57"/>
      <c r="G919" s="57"/>
      <c r="L919" s="57"/>
      <c r="Q919" s="57"/>
      <c r="V919" s="57"/>
      <c r="AA919" s="53"/>
    </row>
    <row r="920" spans="2:27" ht="12.5" x14ac:dyDescent="0.25">
      <c r="B920" s="57"/>
      <c r="G920" s="57"/>
      <c r="L920" s="57"/>
      <c r="Q920" s="57"/>
      <c r="V920" s="57"/>
      <c r="AA920" s="53"/>
    </row>
    <row r="921" spans="2:27" ht="12.5" x14ac:dyDescent="0.25">
      <c r="B921" s="57"/>
      <c r="G921" s="57"/>
      <c r="L921" s="57"/>
      <c r="Q921" s="57"/>
      <c r="V921" s="57"/>
      <c r="AA921" s="53"/>
    </row>
    <row r="922" spans="2:27" ht="12.5" x14ac:dyDescent="0.25">
      <c r="B922" s="57"/>
      <c r="G922" s="57"/>
      <c r="L922" s="57"/>
      <c r="Q922" s="57"/>
      <c r="V922" s="57"/>
      <c r="AA922" s="53"/>
    </row>
    <row r="923" spans="2:27" ht="12.5" x14ac:dyDescent="0.25">
      <c r="B923" s="57"/>
      <c r="G923" s="57"/>
      <c r="L923" s="57"/>
      <c r="Q923" s="57"/>
      <c r="V923" s="57"/>
      <c r="AA923" s="53"/>
    </row>
    <row r="924" spans="2:27" ht="12.5" x14ac:dyDescent="0.25">
      <c r="B924" s="57"/>
      <c r="G924" s="57"/>
      <c r="L924" s="57"/>
      <c r="Q924" s="57"/>
      <c r="V924" s="57"/>
      <c r="AA924" s="53"/>
    </row>
    <row r="925" spans="2:27" ht="12.5" x14ac:dyDescent="0.25">
      <c r="B925" s="57"/>
      <c r="G925" s="57"/>
      <c r="L925" s="57"/>
      <c r="Q925" s="57"/>
      <c r="V925" s="57"/>
      <c r="AA925" s="53"/>
    </row>
    <row r="926" spans="2:27" ht="12.5" x14ac:dyDescent="0.25">
      <c r="B926" s="57"/>
      <c r="G926" s="57"/>
      <c r="L926" s="57"/>
      <c r="Q926" s="57"/>
      <c r="V926" s="57"/>
      <c r="AA926" s="53"/>
    </row>
    <row r="927" spans="2:27" ht="12.5" x14ac:dyDescent="0.25">
      <c r="B927" s="57"/>
      <c r="G927" s="57"/>
      <c r="L927" s="57"/>
      <c r="Q927" s="57"/>
      <c r="V927" s="57"/>
      <c r="AA927" s="53"/>
    </row>
    <row r="928" spans="2:27" ht="12.5" x14ac:dyDescent="0.25">
      <c r="B928" s="57"/>
      <c r="G928" s="57"/>
      <c r="L928" s="57"/>
      <c r="Q928" s="57"/>
      <c r="V928" s="57"/>
      <c r="AA928" s="53"/>
    </row>
    <row r="929" spans="2:27" ht="12.5" x14ac:dyDescent="0.25">
      <c r="B929" s="57"/>
      <c r="G929" s="57"/>
      <c r="L929" s="57"/>
      <c r="Q929" s="57"/>
      <c r="V929" s="57"/>
      <c r="AA929" s="53"/>
    </row>
    <row r="930" spans="2:27" ht="12.5" x14ac:dyDescent="0.25">
      <c r="B930" s="57"/>
      <c r="G930" s="57"/>
      <c r="L930" s="57"/>
      <c r="Q930" s="57"/>
      <c r="V930" s="57"/>
      <c r="AA930" s="53"/>
    </row>
    <row r="931" spans="2:27" ht="12.5" x14ac:dyDescent="0.25">
      <c r="B931" s="57"/>
      <c r="G931" s="57"/>
      <c r="L931" s="57"/>
      <c r="Q931" s="57"/>
      <c r="V931" s="57"/>
      <c r="AA931" s="53"/>
    </row>
    <row r="932" spans="2:27" ht="12.5" x14ac:dyDescent="0.25">
      <c r="B932" s="57"/>
      <c r="G932" s="57"/>
      <c r="L932" s="57"/>
      <c r="Q932" s="57"/>
      <c r="V932" s="57"/>
      <c r="AA932" s="53"/>
    </row>
    <row r="933" spans="2:27" ht="12.5" x14ac:dyDescent="0.25">
      <c r="B933" s="57"/>
      <c r="G933" s="57"/>
      <c r="L933" s="57"/>
      <c r="Q933" s="57"/>
      <c r="V933" s="57"/>
      <c r="AA933" s="53"/>
    </row>
    <row r="934" spans="2:27" ht="12.5" x14ac:dyDescent="0.25">
      <c r="B934" s="57"/>
      <c r="G934" s="57"/>
      <c r="L934" s="57"/>
      <c r="Q934" s="57"/>
      <c r="V934" s="57"/>
      <c r="AA934" s="53"/>
    </row>
    <row r="935" spans="2:27" ht="12.5" x14ac:dyDescent="0.25">
      <c r="B935" s="57"/>
      <c r="G935" s="57"/>
      <c r="L935" s="57"/>
      <c r="Q935" s="57"/>
      <c r="V935" s="57"/>
      <c r="AA935" s="53"/>
    </row>
    <row r="936" spans="2:27" ht="12.5" x14ac:dyDescent="0.25">
      <c r="B936" s="57"/>
      <c r="G936" s="57"/>
      <c r="L936" s="57"/>
      <c r="Q936" s="57"/>
      <c r="V936" s="57"/>
      <c r="AA936" s="53"/>
    </row>
    <row r="937" spans="2:27" ht="12.5" x14ac:dyDescent="0.25">
      <c r="B937" s="57"/>
      <c r="G937" s="57"/>
      <c r="L937" s="57"/>
      <c r="Q937" s="57"/>
      <c r="V937" s="57"/>
      <c r="AA937" s="53"/>
    </row>
    <row r="938" spans="2:27" ht="12.5" x14ac:dyDescent="0.25">
      <c r="B938" s="57"/>
      <c r="G938" s="57"/>
      <c r="L938" s="57"/>
      <c r="Q938" s="57"/>
      <c r="V938" s="57"/>
      <c r="AA938" s="53"/>
    </row>
    <row r="939" spans="2:27" ht="12.5" x14ac:dyDescent="0.25">
      <c r="B939" s="57"/>
      <c r="G939" s="57"/>
      <c r="L939" s="57"/>
      <c r="Q939" s="57"/>
      <c r="V939" s="57"/>
      <c r="AA939" s="53"/>
    </row>
    <row r="940" spans="2:27" ht="12.5" x14ac:dyDescent="0.25">
      <c r="B940" s="57"/>
      <c r="G940" s="57"/>
      <c r="L940" s="57"/>
      <c r="Q940" s="57"/>
      <c r="V940" s="57"/>
      <c r="AA940" s="53"/>
    </row>
    <row r="941" spans="2:27" ht="12.5" x14ac:dyDescent="0.25">
      <c r="B941" s="57"/>
      <c r="G941" s="57"/>
      <c r="L941" s="57"/>
      <c r="Q941" s="57"/>
      <c r="V941" s="57"/>
      <c r="AA941" s="53"/>
    </row>
    <row r="942" spans="2:27" ht="12.5" x14ac:dyDescent="0.25">
      <c r="B942" s="57"/>
      <c r="G942" s="57"/>
      <c r="L942" s="57"/>
      <c r="Q942" s="57"/>
      <c r="V942" s="57"/>
      <c r="AA942" s="53"/>
    </row>
    <row r="943" spans="2:27" ht="12.5" x14ac:dyDescent="0.25">
      <c r="B943" s="57"/>
      <c r="G943" s="57"/>
      <c r="L943" s="57"/>
      <c r="Q943" s="57"/>
      <c r="V943" s="57"/>
      <c r="AA943" s="53"/>
    </row>
    <row r="944" spans="2:27" ht="12.5" x14ac:dyDescent="0.25">
      <c r="B944" s="57"/>
      <c r="G944" s="57"/>
      <c r="L944" s="57"/>
      <c r="Q944" s="57"/>
      <c r="V944" s="57"/>
      <c r="AA944" s="53"/>
    </row>
    <row r="945" spans="2:27" ht="12.5" x14ac:dyDescent="0.25">
      <c r="B945" s="57"/>
      <c r="G945" s="57"/>
      <c r="L945" s="57"/>
      <c r="Q945" s="57"/>
      <c r="V945" s="57"/>
      <c r="AA945" s="53"/>
    </row>
    <row r="946" spans="2:27" ht="12.5" x14ac:dyDescent="0.25">
      <c r="B946" s="57"/>
      <c r="G946" s="57"/>
      <c r="L946" s="57"/>
      <c r="Q946" s="57"/>
      <c r="V946" s="57"/>
      <c r="AA946" s="53"/>
    </row>
    <row r="947" spans="2:27" ht="12.5" x14ac:dyDescent="0.25">
      <c r="B947" s="57"/>
      <c r="G947" s="57"/>
      <c r="L947" s="57"/>
      <c r="Q947" s="57"/>
      <c r="V947" s="57"/>
      <c r="AA947" s="53"/>
    </row>
    <row r="948" spans="2:27" ht="12.5" x14ac:dyDescent="0.25">
      <c r="B948" s="57"/>
      <c r="G948" s="57"/>
      <c r="L948" s="57"/>
      <c r="Q948" s="57"/>
      <c r="V948" s="57"/>
      <c r="AA948" s="53"/>
    </row>
    <row r="949" spans="2:27" ht="12.5" x14ac:dyDescent="0.25">
      <c r="B949" s="57"/>
      <c r="G949" s="57"/>
      <c r="L949" s="57"/>
      <c r="Q949" s="57"/>
      <c r="V949" s="57"/>
      <c r="AA949" s="53"/>
    </row>
    <row r="950" spans="2:27" ht="12.5" x14ac:dyDescent="0.25">
      <c r="B950" s="57"/>
      <c r="G950" s="57"/>
      <c r="L950" s="57"/>
      <c r="Q950" s="57"/>
      <c r="V950" s="57"/>
      <c r="AA950" s="53"/>
    </row>
    <row r="951" spans="2:27" ht="12.5" x14ac:dyDescent="0.25">
      <c r="B951" s="57"/>
      <c r="G951" s="57"/>
      <c r="L951" s="57"/>
      <c r="Q951" s="57"/>
      <c r="V951" s="57"/>
      <c r="AA951" s="53"/>
    </row>
    <row r="952" spans="2:27" ht="12.5" x14ac:dyDescent="0.25">
      <c r="B952" s="57"/>
      <c r="G952" s="57"/>
      <c r="L952" s="57"/>
      <c r="Q952" s="57"/>
      <c r="V952" s="57"/>
      <c r="AA952" s="53"/>
    </row>
    <row r="953" spans="2:27" ht="12.5" x14ac:dyDescent="0.25">
      <c r="B953" s="57"/>
      <c r="G953" s="57"/>
      <c r="L953" s="57"/>
      <c r="Q953" s="57"/>
      <c r="V953" s="57"/>
      <c r="AA953" s="53"/>
    </row>
    <row r="954" spans="2:27" ht="12.5" x14ac:dyDescent="0.25">
      <c r="B954" s="57"/>
      <c r="G954" s="57"/>
      <c r="L954" s="57"/>
      <c r="Q954" s="57"/>
      <c r="V954" s="57"/>
      <c r="AA954" s="53"/>
    </row>
    <row r="955" spans="2:27" ht="12.5" x14ac:dyDescent="0.25">
      <c r="B955" s="57"/>
      <c r="G955" s="57"/>
      <c r="L955" s="57"/>
      <c r="Q955" s="57"/>
      <c r="V955" s="57"/>
      <c r="AA955" s="53"/>
    </row>
    <row r="956" spans="2:27" ht="12.5" x14ac:dyDescent="0.25">
      <c r="B956" s="57"/>
      <c r="G956" s="57"/>
      <c r="L956" s="57"/>
      <c r="Q956" s="57"/>
      <c r="V956" s="57"/>
      <c r="AA956" s="53"/>
    </row>
    <row r="957" spans="2:27" ht="12.5" x14ac:dyDescent="0.25">
      <c r="B957" s="57"/>
      <c r="G957" s="57"/>
      <c r="L957" s="57"/>
      <c r="Q957" s="57"/>
      <c r="V957" s="57"/>
      <c r="AA957" s="53"/>
    </row>
    <row r="958" spans="2:27" ht="12.5" x14ac:dyDescent="0.25">
      <c r="B958" s="57"/>
      <c r="G958" s="57"/>
      <c r="L958" s="57"/>
      <c r="Q958" s="57"/>
      <c r="V958" s="57"/>
      <c r="AA958" s="53"/>
    </row>
    <row r="959" spans="2:27" ht="12.5" x14ac:dyDescent="0.25">
      <c r="B959" s="57"/>
      <c r="G959" s="57"/>
      <c r="L959" s="57"/>
      <c r="Q959" s="57"/>
      <c r="V959" s="57"/>
      <c r="AA959" s="53"/>
    </row>
    <row r="960" spans="2:27" ht="12.5" x14ac:dyDescent="0.25">
      <c r="B960" s="57"/>
      <c r="G960" s="57"/>
      <c r="L960" s="57"/>
      <c r="Q960" s="57"/>
      <c r="V960" s="57"/>
      <c r="AA960" s="53"/>
    </row>
    <row r="961" spans="2:27" ht="12.5" x14ac:dyDescent="0.25">
      <c r="B961" s="57"/>
      <c r="G961" s="57"/>
      <c r="L961" s="57"/>
      <c r="Q961" s="57"/>
      <c r="V961" s="57"/>
      <c r="AA961" s="53"/>
    </row>
    <row r="962" spans="2:27" ht="12.5" x14ac:dyDescent="0.25">
      <c r="B962" s="57"/>
      <c r="G962" s="57"/>
      <c r="L962" s="57"/>
      <c r="Q962" s="57"/>
      <c r="V962" s="57"/>
      <c r="AA962" s="53"/>
    </row>
    <row r="963" spans="2:27" ht="12.5" x14ac:dyDescent="0.25">
      <c r="B963" s="57"/>
      <c r="G963" s="57"/>
      <c r="L963" s="57"/>
      <c r="Q963" s="57"/>
      <c r="V963" s="57"/>
      <c r="AA963" s="53"/>
    </row>
    <row r="964" spans="2:27" ht="12.5" x14ac:dyDescent="0.25">
      <c r="B964" s="57"/>
      <c r="G964" s="57"/>
      <c r="L964" s="57"/>
      <c r="Q964" s="57"/>
      <c r="V964" s="57"/>
      <c r="AA964" s="53"/>
    </row>
    <row r="965" spans="2:27" ht="12.5" x14ac:dyDescent="0.25">
      <c r="B965" s="57"/>
      <c r="G965" s="57"/>
      <c r="L965" s="57"/>
      <c r="Q965" s="57"/>
      <c r="V965" s="57"/>
      <c r="AA965" s="53"/>
    </row>
    <row r="966" spans="2:27" ht="12.5" x14ac:dyDescent="0.25">
      <c r="B966" s="57"/>
      <c r="G966" s="57"/>
      <c r="L966" s="57"/>
      <c r="Q966" s="57"/>
      <c r="V966" s="57"/>
      <c r="AA966" s="53"/>
    </row>
    <row r="967" spans="2:27" ht="12.5" x14ac:dyDescent="0.25">
      <c r="B967" s="57"/>
      <c r="G967" s="57"/>
      <c r="L967" s="57"/>
      <c r="Q967" s="57"/>
      <c r="V967" s="57"/>
      <c r="AA967" s="53"/>
    </row>
    <row r="968" spans="2:27" ht="12.5" x14ac:dyDescent="0.25">
      <c r="B968" s="57"/>
      <c r="G968" s="57"/>
      <c r="L968" s="57"/>
      <c r="Q968" s="57"/>
      <c r="V968" s="57"/>
      <c r="AA968" s="53"/>
    </row>
    <row r="969" spans="2:27" ht="12.5" x14ac:dyDescent="0.25">
      <c r="B969" s="57"/>
      <c r="G969" s="57"/>
      <c r="L969" s="57"/>
      <c r="Q969" s="57"/>
      <c r="V969" s="57"/>
      <c r="AA969" s="53"/>
    </row>
    <row r="970" spans="2:27" ht="12.5" x14ac:dyDescent="0.25">
      <c r="B970" s="57"/>
      <c r="G970" s="57"/>
      <c r="L970" s="57"/>
      <c r="Q970" s="57"/>
      <c r="V970" s="57"/>
      <c r="AA970" s="53"/>
    </row>
    <row r="971" spans="2:27" ht="12.5" x14ac:dyDescent="0.25">
      <c r="B971" s="57"/>
      <c r="G971" s="57"/>
      <c r="L971" s="57"/>
      <c r="Q971" s="57"/>
      <c r="V971" s="57"/>
      <c r="AA971" s="53"/>
    </row>
    <row r="972" spans="2:27" ht="12.5" x14ac:dyDescent="0.25">
      <c r="B972" s="57"/>
      <c r="G972" s="57"/>
      <c r="L972" s="57"/>
      <c r="Q972" s="57"/>
      <c r="V972" s="57"/>
      <c r="AA972" s="53"/>
    </row>
    <row r="973" spans="2:27" ht="12.5" x14ac:dyDescent="0.25">
      <c r="B973" s="57"/>
      <c r="G973" s="57"/>
      <c r="L973" s="57"/>
      <c r="Q973" s="57"/>
      <c r="V973" s="57"/>
      <c r="AA973" s="53"/>
    </row>
    <row r="974" spans="2:27" ht="12.5" x14ac:dyDescent="0.25">
      <c r="B974" s="57"/>
      <c r="G974" s="57"/>
      <c r="L974" s="57"/>
      <c r="Q974" s="57"/>
      <c r="V974" s="57"/>
      <c r="AA974" s="53"/>
    </row>
    <row r="975" spans="2:27" ht="12.5" x14ac:dyDescent="0.25">
      <c r="B975" s="57"/>
      <c r="G975" s="57"/>
      <c r="L975" s="57"/>
      <c r="Q975" s="57"/>
      <c r="V975" s="57"/>
      <c r="AA975" s="53"/>
    </row>
    <row r="976" spans="2:27" ht="12.5" x14ac:dyDescent="0.25">
      <c r="B976" s="57"/>
      <c r="G976" s="57"/>
      <c r="L976" s="57"/>
      <c r="Q976" s="57"/>
      <c r="V976" s="57"/>
      <c r="AA976" s="53"/>
    </row>
    <row r="977" spans="2:27" ht="12.5" x14ac:dyDescent="0.25">
      <c r="B977" s="57"/>
      <c r="G977" s="57"/>
      <c r="L977" s="57"/>
      <c r="Q977" s="57"/>
      <c r="V977" s="57"/>
      <c r="AA977" s="53"/>
    </row>
    <row r="978" spans="2:27" ht="12.5" x14ac:dyDescent="0.25">
      <c r="B978" s="57"/>
      <c r="G978" s="57"/>
      <c r="L978" s="57"/>
      <c r="Q978" s="57"/>
      <c r="V978" s="57"/>
      <c r="AA978" s="53"/>
    </row>
    <row r="979" spans="2:27" ht="12.5" x14ac:dyDescent="0.25">
      <c r="B979" s="57"/>
      <c r="G979" s="57"/>
      <c r="L979" s="57"/>
      <c r="Q979" s="57"/>
      <c r="V979" s="57"/>
      <c r="AA979" s="53"/>
    </row>
    <row r="980" spans="2:27" ht="12.5" x14ac:dyDescent="0.25">
      <c r="B980" s="57"/>
      <c r="G980" s="57"/>
      <c r="L980" s="57"/>
      <c r="Q980" s="57"/>
      <c r="V980" s="57"/>
      <c r="AA980" s="53"/>
    </row>
    <row r="981" spans="2:27" ht="12.5" x14ac:dyDescent="0.25">
      <c r="B981" s="57"/>
      <c r="G981" s="57"/>
      <c r="L981" s="57"/>
      <c r="Q981" s="57"/>
      <c r="V981" s="57"/>
      <c r="AA981" s="53"/>
    </row>
    <row r="982" spans="2:27" ht="12.5" x14ac:dyDescent="0.25">
      <c r="B982" s="57"/>
      <c r="G982" s="57"/>
      <c r="L982" s="57"/>
      <c r="Q982" s="57"/>
      <c r="V982" s="57"/>
      <c r="AA982" s="53"/>
    </row>
    <row r="983" spans="2:27" ht="12.5" x14ac:dyDescent="0.25">
      <c r="B983" s="57"/>
      <c r="G983" s="57"/>
      <c r="L983" s="57"/>
      <c r="Q983" s="57"/>
      <c r="V983" s="57"/>
      <c r="AA983" s="53"/>
    </row>
    <row r="984" spans="2:27" ht="12.5" x14ac:dyDescent="0.25">
      <c r="B984" s="57"/>
      <c r="G984" s="57"/>
      <c r="L984" s="57"/>
      <c r="Q984" s="57"/>
      <c r="V984" s="57"/>
      <c r="AA984" s="53"/>
    </row>
    <row r="985" spans="2:27" ht="12.5" x14ac:dyDescent="0.25">
      <c r="B985" s="57"/>
      <c r="G985" s="57"/>
      <c r="L985" s="57"/>
      <c r="Q985" s="57"/>
      <c r="V985" s="57"/>
      <c r="AA985" s="53"/>
    </row>
    <row r="986" spans="2:27" ht="12.5" x14ac:dyDescent="0.25">
      <c r="B986" s="57"/>
      <c r="G986" s="57"/>
      <c r="L986" s="57"/>
      <c r="Q986" s="57"/>
      <c r="V986" s="57"/>
      <c r="AA986" s="53"/>
    </row>
    <row r="987" spans="2:27" ht="12.5" x14ac:dyDescent="0.25">
      <c r="B987" s="57"/>
      <c r="G987" s="57"/>
      <c r="L987" s="57"/>
      <c r="Q987" s="57"/>
      <c r="V987" s="57"/>
      <c r="AA987" s="53"/>
    </row>
    <row r="988" spans="2:27" ht="12.5" x14ac:dyDescent="0.25">
      <c r="B988" s="57"/>
      <c r="G988" s="57"/>
      <c r="L988" s="57"/>
      <c r="Q988" s="57"/>
      <c r="V988" s="57"/>
      <c r="AA988" s="53"/>
    </row>
    <row r="989" spans="2:27" ht="12.5" x14ac:dyDescent="0.25">
      <c r="B989" s="57"/>
      <c r="G989" s="57"/>
      <c r="L989" s="57"/>
      <c r="Q989" s="57"/>
      <c r="V989" s="57"/>
      <c r="AA989" s="53"/>
    </row>
    <row r="990" spans="2:27" ht="12.5" x14ac:dyDescent="0.25">
      <c r="B990" s="57"/>
      <c r="G990" s="57"/>
      <c r="L990" s="57"/>
      <c r="Q990" s="57"/>
      <c r="V990" s="57"/>
      <c r="AA990" s="53"/>
    </row>
    <row r="991" spans="2:27" ht="12.5" x14ac:dyDescent="0.25">
      <c r="B991" s="57"/>
      <c r="G991" s="57"/>
      <c r="L991" s="57"/>
      <c r="Q991" s="57"/>
      <c r="V991" s="57"/>
      <c r="AA991" s="53"/>
    </row>
    <row r="992" spans="2:27" ht="12.5" x14ac:dyDescent="0.25">
      <c r="B992" s="57"/>
      <c r="G992" s="57"/>
      <c r="L992" s="57"/>
      <c r="Q992" s="57"/>
      <c r="V992" s="57"/>
      <c r="AA992" s="53"/>
    </row>
    <row r="993" spans="2:27" ht="12.5" x14ac:dyDescent="0.25">
      <c r="B993" s="57"/>
      <c r="G993" s="57"/>
      <c r="L993" s="57"/>
      <c r="Q993" s="57"/>
      <c r="V993" s="57"/>
      <c r="AA993" s="53"/>
    </row>
    <row r="994" spans="2:27" ht="12.5" x14ac:dyDescent="0.25">
      <c r="B994" s="57"/>
      <c r="G994" s="57"/>
      <c r="L994" s="57"/>
      <c r="Q994" s="57"/>
      <c r="V994" s="57"/>
      <c r="AA994" s="53"/>
    </row>
    <row r="995" spans="2:27" ht="12.5" x14ac:dyDescent="0.25">
      <c r="B995" s="57"/>
      <c r="G995" s="57"/>
      <c r="L995" s="57"/>
      <c r="Q995" s="57"/>
      <c r="V995" s="57"/>
      <c r="AA995" s="53"/>
    </row>
    <row r="996" spans="2:27" ht="12.5" x14ac:dyDescent="0.25">
      <c r="B996" s="57"/>
      <c r="G996" s="57"/>
      <c r="L996" s="57"/>
      <c r="Q996" s="57"/>
      <c r="V996" s="57"/>
      <c r="AA996" s="53"/>
    </row>
    <row r="997" spans="2:27" ht="12.5" x14ac:dyDescent="0.25">
      <c r="B997" s="57"/>
      <c r="G997" s="57"/>
      <c r="L997" s="57"/>
      <c r="Q997" s="57"/>
      <c r="V997" s="57"/>
      <c r="AA997" s="53"/>
    </row>
    <row r="998" spans="2:27" ht="12.5" x14ac:dyDescent="0.25">
      <c r="B998" s="57"/>
      <c r="G998" s="57"/>
      <c r="L998" s="57"/>
      <c r="Q998" s="57"/>
      <c r="V998" s="57"/>
      <c r="AA998" s="53"/>
    </row>
    <row r="999" spans="2:27" ht="12.5" x14ac:dyDescent="0.25">
      <c r="B999" s="57"/>
      <c r="G999" s="57"/>
      <c r="L999" s="57"/>
      <c r="Q999" s="57"/>
      <c r="V999" s="57"/>
      <c r="AA999" s="53"/>
    </row>
    <row r="1000" spans="2:27" ht="12.5" x14ac:dyDescent="0.25">
      <c r="B1000" s="57"/>
      <c r="G1000" s="57"/>
      <c r="L1000" s="57"/>
      <c r="Q1000" s="57"/>
      <c r="V1000" s="57"/>
      <c r="AA1000" s="5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992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7.7265625" customWidth="1"/>
  </cols>
  <sheetData>
    <row r="1" spans="1:8" ht="13" x14ac:dyDescent="0.3">
      <c r="A1" s="58" t="s">
        <v>63</v>
      </c>
      <c r="B1" s="58" t="s">
        <v>0</v>
      </c>
      <c r="C1" s="58" t="s">
        <v>64</v>
      </c>
      <c r="D1" s="58" t="s">
        <v>65</v>
      </c>
      <c r="E1" s="58" t="s">
        <v>66</v>
      </c>
      <c r="F1" s="59" t="s">
        <v>67</v>
      </c>
      <c r="H1" s="60" t="s">
        <v>68</v>
      </c>
    </row>
    <row r="2" spans="1:8" ht="12.5" x14ac:dyDescent="0.25">
      <c r="A2" s="61">
        <v>1</v>
      </c>
      <c r="B2" s="62">
        <v>43917</v>
      </c>
      <c r="C2" s="61">
        <v>124</v>
      </c>
      <c r="D2" s="61">
        <v>10839</v>
      </c>
      <c r="E2" s="61">
        <f t="shared" ref="E2:E478" si="0">C2+D2</f>
        <v>10963</v>
      </c>
      <c r="F2" s="63">
        <f t="shared" ref="F2:F478" si="1">C2/E2</f>
        <v>1.131077259874122E-2</v>
      </c>
      <c r="H2" s="60" t="s">
        <v>69</v>
      </c>
    </row>
    <row r="3" spans="1:8" ht="12.5" x14ac:dyDescent="0.25">
      <c r="A3" s="61">
        <v>2</v>
      </c>
      <c r="B3" s="62">
        <v>43918</v>
      </c>
      <c r="C3" s="61">
        <v>149</v>
      </c>
      <c r="D3" s="61">
        <v>11858</v>
      </c>
      <c r="E3" s="61">
        <f t="shared" si="0"/>
        <v>12007</v>
      </c>
      <c r="F3" s="63">
        <f t="shared" si="1"/>
        <v>1.2409427833763639E-2</v>
      </c>
    </row>
    <row r="4" spans="1:8" ht="12.5" x14ac:dyDescent="0.25">
      <c r="A4" s="61">
        <v>3</v>
      </c>
      <c r="B4" s="62">
        <v>43919</v>
      </c>
      <c r="C4" s="61">
        <v>206</v>
      </c>
      <c r="D4" s="61">
        <v>14808</v>
      </c>
      <c r="E4" s="61">
        <f t="shared" si="0"/>
        <v>15014</v>
      </c>
      <c r="F4" s="63">
        <f t="shared" si="1"/>
        <v>1.3720527507659518E-2</v>
      </c>
    </row>
    <row r="5" spans="1:8" ht="12.5" x14ac:dyDescent="0.25">
      <c r="A5" s="61">
        <v>4</v>
      </c>
      <c r="B5" s="62">
        <v>43920</v>
      </c>
      <c r="C5" s="61">
        <v>290</v>
      </c>
      <c r="D5" s="61">
        <v>17619</v>
      </c>
      <c r="E5" s="61">
        <f t="shared" si="0"/>
        <v>17909</v>
      </c>
      <c r="F5" s="63">
        <f t="shared" si="1"/>
        <v>1.6192975598860907E-2</v>
      </c>
    </row>
    <row r="6" spans="1:8" ht="12.5" x14ac:dyDescent="0.25">
      <c r="A6" s="61">
        <v>5</v>
      </c>
      <c r="B6" s="62">
        <v>43921</v>
      </c>
      <c r="C6" s="61">
        <v>307</v>
      </c>
      <c r="D6" s="61">
        <v>18242</v>
      </c>
      <c r="E6" s="61">
        <f t="shared" si="0"/>
        <v>18549</v>
      </c>
      <c r="F6" s="63">
        <f t="shared" si="1"/>
        <v>1.6550757453231979E-2</v>
      </c>
    </row>
    <row r="7" spans="1:8" ht="12.5" x14ac:dyDescent="0.25">
      <c r="A7" s="61">
        <v>6</v>
      </c>
      <c r="B7" s="62">
        <v>43922</v>
      </c>
      <c r="C7" s="61">
        <v>360</v>
      </c>
      <c r="D7" s="61">
        <v>19190</v>
      </c>
      <c r="E7" s="61">
        <f t="shared" si="0"/>
        <v>19550</v>
      </c>
      <c r="F7" s="63">
        <f t="shared" si="1"/>
        <v>1.8414322250639385E-2</v>
      </c>
    </row>
    <row r="8" spans="1:8" ht="12.5" x14ac:dyDescent="0.25">
      <c r="A8" s="61">
        <v>7</v>
      </c>
      <c r="B8" s="62">
        <v>43923</v>
      </c>
      <c r="C8" s="61">
        <v>442</v>
      </c>
      <c r="D8" s="61">
        <v>20460</v>
      </c>
      <c r="E8" s="61">
        <f t="shared" si="0"/>
        <v>20902</v>
      </c>
      <c r="F8" s="63">
        <f t="shared" si="1"/>
        <v>2.1146301789302459E-2</v>
      </c>
    </row>
    <row r="9" spans="1:8" ht="12.5" x14ac:dyDescent="0.25">
      <c r="A9" s="61">
        <v>8</v>
      </c>
      <c r="B9" s="62">
        <v>43924</v>
      </c>
      <c r="C9" s="61">
        <v>541</v>
      </c>
      <c r="D9" s="61">
        <v>21962</v>
      </c>
      <c r="E9" s="61">
        <f t="shared" si="0"/>
        <v>22503</v>
      </c>
      <c r="F9" s="63">
        <f t="shared" si="1"/>
        <v>2.4041238945918322E-2</v>
      </c>
    </row>
    <row r="10" spans="1:8" ht="12.5" x14ac:dyDescent="0.25">
      <c r="A10" s="61">
        <v>9</v>
      </c>
      <c r="B10" s="62">
        <v>43925</v>
      </c>
      <c r="C10" s="61">
        <v>583</v>
      </c>
      <c r="D10" s="61">
        <v>23072</v>
      </c>
      <c r="E10" s="61">
        <f t="shared" si="0"/>
        <v>23655</v>
      </c>
      <c r="F10" s="63">
        <f t="shared" si="1"/>
        <v>2.4645952229972522E-2</v>
      </c>
    </row>
    <row r="11" spans="1:8" ht="12.5" x14ac:dyDescent="0.25">
      <c r="A11" s="61">
        <v>10</v>
      </c>
      <c r="B11" s="62">
        <v>43926</v>
      </c>
      <c r="C11" s="61">
        <v>589</v>
      </c>
      <c r="D11" s="61">
        <v>23426</v>
      </c>
      <c r="E11" s="61">
        <f t="shared" si="0"/>
        <v>24015</v>
      </c>
      <c r="F11" s="63">
        <f t="shared" si="1"/>
        <v>2.4526337705600667E-2</v>
      </c>
    </row>
    <row r="12" spans="1:8" ht="12.5" x14ac:dyDescent="0.25">
      <c r="A12" s="61">
        <v>11</v>
      </c>
      <c r="B12" s="62">
        <v>43927</v>
      </c>
      <c r="C12" s="61">
        <v>718</v>
      </c>
      <c r="D12" s="61">
        <v>25234</v>
      </c>
      <c r="E12" s="61">
        <f t="shared" si="0"/>
        <v>25952</v>
      </c>
      <c r="F12" s="63">
        <f t="shared" si="1"/>
        <v>2.7666461159062884E-2</v>
      </c>
    </row>
    <row r="13" spans="1:8" ht="12.5" x14ac:dyDescent="0.25">
      <c r="A13" s="61">
        <v>12</v>
      </c>
      <c r="B13" s="62">
        <v>43928</v>
      </c>
      <c r="C13" s="61">
        <v>829</v>
      </c>
      <c r="D13" s="61">
        <v>26867</v>
      </c>
      <c r="E13" s="61">
        <f t="shared" si="0"/>
        <v>27696</v>
      </c>
      <c r="F13" s="63">
        <f t="shared" si="1"/>
        <v>2.9932120161756209E-2</v>
      </c>
    </row>
    <row r="14" spans="1:8" ht="12.5" x14ac:dyDescent="0.25">
      <c r="A14" s="61">
        <v>13</v>
      </c>
      <c r="B14" s="62">
        <v>43929</v>
      </c>
      <c r="C14" s="61">
        <v>949</v>
      </c>
      <c r="D14" s="61">
        <v>29853</v>
      </c>
      <c r="E14" s="61">
        <f t="shared" si="0"/>
        <v>30802</v>
      </c>
      <c r="F14" s="63">
        <f t="shared" si="1"/>
        <v>3.0809687682618013E-2</v>
      </c>
    </row>
    <row r="15" spans="1:8" ht="12.5" x14ac:dyDescent="0.25">
      <c r="A15" s="61">
        <v>14</v>
      </c>
      <c r="B15" s="62">
        <v>43930</v>
      </c>
      <c r="C15" s="61">
        <v>1027</v>
      </c>
      <c r="D15" s="61">
        <v>34056</v>
      </c>
      <c r="E15" s="61">
        <f t="shared" si="0"/>
        <v>35083</v>
      </c>
      <c r="F15" s="63">
        <f t="shared" si="1"/>
        <v>2.92734372773138E-2</v>
      </c>
    </row>
    <row r="16" spans="1:8" ht="12.5" x14ac:dyDescent="0.25">
      <c r="A16" s="61">
        <v>15</v>
      </c>
      <c r="B16" s="62">
        <v>43931</v>
      </c>
      <c r="C16" s="61">
        <v>1065</v>
      </c>
      <c r="D16" s="61">
        <v>34704</v>
      </c>
      <c r="E16" s="61">
        <f t="shared" si="0"/>
        <v>35769</v>
      </c>
      <c r="F16" s="63">
        <f t="shared" si="1"/>
        <v>2.9774385641197686E-2</v>
      </c>
    </row>
    <row r="17" spans="1:6" ht="12.5" x14ac:dyDescent="0.25">
      <c r="A17" s="61">
        <v>16</v>
      </c>
      <c r="B17" s="62">
        <v>43932</v>
      </c>
      <c r="C17" s="61">
        <v>1148</v>
      </c>
      <c r="D17" s="61">
        <v>35245</v>
      </c>
      <c r="E17" s="61">
        <f t="shared" si="0"/>
        <v>36393</v>
      </c>
      <c r="F17" s="63">
        <f t="shared" si="1"/>
        <v>3.1544527793806502E-2</v>
      </c>
    </row>
    <row r="18" spans="1:6" ht="12.5" x14ac:dyDescent="0.25">
      <c r="A18" s="61">
        <v>17</v>
      </c>
      <c r="B18" s="62">
        <v>43933</v>
      </c>
      <c r="C18" s="61">
        <v>1203</v>
      </c>
      <c r="D18" s="61">
        <v>35760</v>
      </c>
      <c r="E18" s="61">
        <f t="shared" si="0"/>
        <v>36963</v>
      </c>
      <c r="F18" s="63">
        <f t="shared" si="1"/>
        <v>3.2546059573086601E-2</v>
      </c>
    </row>
    <row r="19" spans="1:6" ht="12.5" x14ac:dyDescent="0.25">
      <c r="A19" s="61">
        <v>18</v>
      </c>
      <c r="B19" s="62">
        <v>43934</v>
      </c>
      <c r="C19" s="61">
        <v>1314</v>
      </c>
      <c r="D19" s="61">
        <v>37560</v>
      </c>
      <c r="E19" s="61">
        <f t="shared" si="0"/>
        <v>38874</v>
      </c>
      <c r="F19" s="63">
        <f t="shared" si="1"/>
        <v>3.380151257910171E-2</v>
      </c>
    </row>
    <row r="20" spans="1:6" ht="12.5" x14ac:dyDescent="0.25">
      <c r="A20" s="61">
        <v>19</v>
      </c>
      <c r="B20" s="62">
        <v>43935</v>
      </c>
      <c r="C20" s="61">
        <v>1395</v>
      </c>
      <c r="D20" s="61">
        <v>39317</v>
      </c>
      <c r="E20" s="61">
        <f t="shared" si="0"/>
        <v>40712</v>
      </c>
      <c r="F20" s="63">
        <f t="shared" si="1"/>
        <v>3.4265081548437805E-2</v>
      </c>
    </row>
    <row r="21" spans="1:6" ht="12.5" x14ac:dyDescent="0.25">
      <c r="A21" s="61">
        <v>20</v>
      </c>
      <c r="B21" s="62">
        <v>43936</v>
      </c>
      <c r="C21" s="61">
        <v>1603</v>
      </c>
      <c r="D21" s="61">
        <v>43624</v>
      </c>
      <c r="E21" s="61">
        <f t="shared" si="0"/>
        <v>45227</v>
      </c>
      <c r="F21" s="63">
        <f t="shared" si="1"/>
        <v>3.5443429809626996E-2</v>
      </c>
    </row>
    <row r="22" spans="1:6" ht="12.5" x14ac:dyDescent="0.25">
      <c r="A22" s="61">
        <v>21</v>
      </c>
      <c r="B22" s="62">
        <v>43937</v>
      </c>
      <c r="C22" s="61">
        <v>1791</v>
      </c>
      <c r="D22" s="61">
        <v>45797</v>
      </c>
      <c r="E22" s="61">
        <f t="shared" si="0"/>
        <v>47588</v>
      </c>
      <c r="F22" s="63">
        <f t="shared" si="1"/>
        <v>3.7635538371017907E-2</v>
      </c>
    </row>
    <row r="23" spans="1:6" ht="12.5" x14ac:dyDescent="0.25">
      <c r="A23" s="61">
        <v>22</v>
      </c>
      <c r="B23" s="62">
        <v>43938</v>
      </c>
      <c r="C23" s="61">
        <v>2129</v>
      </c>
      <c r="D23" s="61">
        <v>53863</v>
      </c>
      <c r="E23" s="61">
        <f t="shared" si="0"/>
        <v>55992</v>
      </c>
      <c r="F23" s="63">
        <f t="shared" si="1"/>
        <v>3.8023289041291611E-2</v>
      </c>
    </row>
    <row r="24" spans="1:6" ht="12.5" x14ac:dyDescent="0.25">
      <c r="A24" s="61">
        <v>23</v>
      </c>
      <c r="B24" s="62">
        <v>43939</v>
      </c>
      <c r="C24" s="61">
        <v>2265</v>
      </c>
      <c r="D24" s="61">
        <v>56352</v>
      </c>
      <c r="E24" s="61">
        <f t="shared" si="0"/>
        <v>58617</v>
      </c>
      <c r="F24" s="63">
        <f t="shared" si="1"/>
        <v>3.8640667383182351E-2</v>
      </c>
    </row>
    <row r="25" spans="1:6" ht="12.5" x14ac:dyDescent="0.25">
      <c r="A25" s="61">
        <v>24</v>
      </c>
      <c r="B25" s="62">
        <v>43940</v>
      </c>
      <c r="C25" s="61">
        <v>2313</v>
      </c>
      <c r="D25" s="61">
        <v>56409</v>
      </c>
      <c r="E25" s="61">
        <f t="shared" si="0"/>
        <v>58722</v>
      </c>
      <c r="F25" s="63">
        <f t="shared" si="1"/>
        <v>3.9388985388781037E-2</v>
      </c>
    </row>
    <row r="26" spans="1:6" ht="12.5" x14ac:dyDescent="0.25">
      <c r="A26" s="61">
        <v>25</v>
      </c>
      <c r="B26" s="62">
        <v>43941</v>
      </c>
      <c r="C26" s="61">
        <v>2248</v>
      </c>
      <c r="D26" s="61">
        <v>59852</v>
      </c>
      <c r="E26" s="61">
        <f t="shared" si="0"/>
        <v>62100</v>
      </c>
      <c r="F26" s="63">
        <f t="shared" si="1"/>
        <v>3.6199677938808371E-2</v>
      </c>
    </row>
    <row r="27" spans="1:6" ht="12.5" x14ac:dyDescent="0.25">
      <c r="A27" s="61">
        <v>26</v>
      </c>
      <c r="B27" s="62">
        <v>43942</v>
      </c>
      <c r="C27" s="61">
        <v>2365</v>
      </c>
      <c r="D27" s="61">
        <v>61181</v>
      </c>
      <c r="E27" s="61">
        <f t="shared" si="0"/>
        <v>63546</v>
      </c>
      <c r="F27" s="63">
        <f t="shared" si="1"/>
        <v>3.7217134044629091E-2</v>
      </c>
    </row>
    <row r="28" spans="1:6" ht="12.5" x14ac:dyDescent="0.25">
      <c r="A28" s="61">
        <v>27</v>
      </c>
      <c r="B28" s="62">
        <v>43943</v>
      </c>
      <c r="C28" s="61">
        <v>2687</v>
      </c>
      <c r="D28" s="61">
        <v>66669</v>
      </c>
      <c r="E28" s="61">
        <f t="shared" si="0"/>
        <v>69356</v>
      </c>
      <c r="F28" s="63">
        <f t="shared" si="1"/>
        <v>3.8742141992041061E-2</v>
      </c>
    </row>
    <row r="29" spans="1:6" ht="12.5" x14ac:dyDescent="0.25">
      <c r="A29" s="61">
        <v>28</v>
      </c>
      <c r="B29" s="62">
        <v>43944</v>
      </c>
      <c r="C29" s="61">
        <v>2842</v>
      </c>
      <c r="D29" s="61">
        <v>67986</v>
      </c>
      <c r="E29" s="61">
        <f t="shared" si="0"/>
        <v>70828</v>
      </c>
      <c r="F29" s="63">
        <f t="shared" si="1"/>
        <v>4.0125374145818037E-2</v>
      </c>
    </row>
    <row r="30" spans="1:6" ht="12.5" x14ac:dyDescent="0.25">
      <c r="A30" s="61">
        <v>29</v>
      </c>
      <c r="B30" s="62">
        <v>43945</v>
      </c>
      <c r="C30" s="61">
        <v>2849</v>
      </c>
      <c r="D30" s="61">
        <v>69121</v>
      </c>
      <c r="E30" s="61">
        <f t="shared" si="0"/>
        <v>71970</v>
      </c>
      <c r="F30" s="63">
        <f t="shared" si="1"/>
        <v>3.9585938585521743E-2</v>
      </c>
    </row>
    <row r="31" spans="1:6" ht="12.5" x14ac:dyDescent="0.25">
      <c r="A31" s="61">
        <v>30</v>
      </c>
      <c r="B31" s="62">
        <v>43946</v>
      </c>
      <c r="C31" s="61">
        <v>2879</v>
      </c>
      <c r="D31" s="61">
        <v>69536</v>
      </c>
      <c r="E31" s="61">
        <f t="shared" si="0"/>
        <v>72415</v>
      </c>
      <c r="F31" s="63">
        <f t="shared" si="1"/>
        <v>3.9756956431678522E-2</v>
      </c>
    </row>
    <row r="32" spans="1:6" ht="12.5" x14ac:dyDescent="0.25">
      <c r="A32" s="61">
        <v>31</v>
      </c>
      <c r="B32" s="62">
        <v>43947</v>
      </c>
      <c r="C32" s="61">
        <v>2881</v>
      </c>
      <c r="D32" s="61">
        <v>69737</v>
      </c>
      <c r="E32" s="61">
        <f t="shared" si="0"/>
        <v>72618</v>
      </c>
      <c r="F32" s="63">
        <f t="shared" si="1"/>
        <v>3.9673359222231405E-2</v>
      </c>
    </row>
    <row r="33" spans="1:6" ht="12.5" x14ac:dyDescent="0.25">
      <c r="A33" s="61">
        <v>32</v>
      </c>
      <c r="B33" s="62">
        <v>43948</v>
      </c>
      <c r="C33" s="61">
        <v>2954</v>
      </c>
      <c r="D33" s="61">
        <v>71831</v>
      </c>
      <c r="E33" s="61">
        <f t="shared" si="0"/>
        <v>74785</v>
      </c>
      <c r="F33" s="63">
        <f t="shared" si="1"/>
        <v>3.9499899712509196E-2</v>
      </c>
    </row>
    <row r="34" spans="1:6" ht="12.5" x14ac:dyDescent="0.25">
      <c r="A34" s="61">
        <v>33</v>
      </c>
      <c r="B34" s="62">
        <v>43949</v>
      </c>
      <c r="C34" s="61">
        <v>2954</v>
      </c>
      <c r="D34" s="61">
        <v>73993</v>
      </c>
      <c r="E34" s="61">
        <f t="shared" si="0"/>
        <v>76947</v>
      </c>
      <c r="F34" s="63">
        <f t="shared" si="1"/>
        <v>3.8390060691125057E-2</v>
      </c>
    </row>
    <row r="35" spans="1:6" ht="12.5" x14ac:dyDescent="0.25">
      <c r="A35" s="61">
        <v>34</v>
      </c>
      <c r="B35" s="62">
        <v>43950</v>
      </c>
      <c r="C35" s="61">
        <v>2962</v>
      </c>
      <c r="D35" s="61">
        <v>74709</v>
      </c>
      <c r="E35" s="61">
        <f t="shared" si="0"/>
        <v>77671</v>
      </c>
      <c r="F35" s="63">
        <f t="shared" si="1"/>
        <v>3.8135211340139821E-2</v>
      </c>
    </row>
    <row r="36" spans="1:6" ht="12.5" x14ac:dyDescent="0.25">
      <c r="A36" s="61">
        <v>35</v>
      </c>
      <c r="B36" s="62">
        <v>43951</v>
      </c>
      <c r="C36" s="61">
        <v>3022</v>
      </c>
      <c r="D36" s="61">
        <v>76130</v>
      </c>
      <c r="E36" s="61">
        <f t="shared" si="0"/>
        <v>79152</v>
      </c>
      <c r="F36" s="63">
        <f t="shared" si="1"/>
        <v>3.8179704871639381E-2</v>
      </c>
    </row>
    <row r="37" spans="1:6" ht="12.5" x14ac:dyDescent="0.25">
      <c r="A37" s="61">
        <v>36</v>
      </c>
      <c r="B37" s="62">
        <v>43952</v>
      </c>
      <c r="C37" s="61">
        <v>3044</v>
      </c>
      <c r="D37" s="61">
        <v>76636</v>
      </c>
      <c r="E37" s="61">
        <f t="shared" si="0"/>
        <v>79680</v>
      </c>
      <c r="F37" s="63">
        <f t="shared" si="1"/>
        <v>3.8202811244979921E-2</v>
      </c>
    </row>
    <row r="38" spans="1:6" ht="12.5" x14ac:dyDescent="0.25">
      <c r="A38" s="61">
        <v>37</v>
      </c>
      <c r="B38" s="62">
        <v>43953</v>
      </c>
      <c r="C38" s="61">
        <v>3050</v>
      </c>
      <c r="D38" s="61">
        <v>76864</v>
      </c>
      <c r="E38" s="61">
        <f t="shared" si="0"/>
        <v>79914</v>
      </c>
      <c r="F38" s="63">
        <f t="shared" si="1"/>
        <v>3.8166028480616662E-2</v>
      </c>
    </row>
    <row r="39" spans="1:6" ht="12.5" x14ac:dyDescent="0.25">
      <c r="A39" s="61">
        <v>38</v>
      </c>
      <c r="B39" s="62">
        <v>43954</v>
      </c>
      <c r="C39" s="61">
        <v>3056</v>
      </c>
      <c r="D39" s="61">
        <v>77136</v>
      </c>
      <c r="E39" s="61">
        <f t="shared" si="0"/>
        <v>80192</v>
      </c>
      <c r="F39" s="63">
        <f t="shared" si="1"/>
        <v>3.8108539505187548E-2</v>
      </c>
    </row>
    <row r="40" spans="1:6" ht="12.5" x14ac:dyDescent="0.25">
      <c r="A40" s="61">
        <v>39</v>
      </c>
      <c r="B40" s="62">
        <v>43955</v>
      </c>
      <c r="C40" s="61">
        <v>3103</v>
      </c>
      <c r="D40" s="61">
        <v>78265</v>
      </c>
      <c r="E40" s="61">
        <f t="shared" si="0"/>
        <v>81368</v>
      </c>
      <c r="F40" s="63">
        <f t="shared" si="1"/>
        <v>3.8135384917903845E-2</v>
      </c>
    </row>
    <row r="41" spans="1:6" ht="12.5" x14ac:dyDescent="0.25">
      <c r="A41" s="61">
        <v>40</v>
      </c>
      <c r="B41" s="62">
        <v>43956</v>
      </c>
      <c r="C41" s="61">
        <v>3117</v>
      </c>
      <c r="D41" s="61">
        <v>79152</v>
      </c>
      <c r="E41" s="61">
        <f t="shared" si="0"/>
        <v>82269</v>
      </c>
      <c r="F41" s="63">
        <f t="shared" si="1"/>
        <v>3.7887904313897096E-2</v>
      </c>
    </row>
    <row r="42" spans="1:6" ht="12.5" x14ac:dyDescent="0.25">
      <c r="A42" s="61">
        <v>41</v>
      </c>
      <c r="B42" s="62">
        <v>43957</v>
      </c>
      <c r="C42" s="61">
        <v>3155</v>
      </c>
      <c r="D42" s="61">
        <v>79497</v>
      </c>
      <c r="E42" s="61">
        <f t="shared" si="0"/>
        <v>82652</v>
      </c>
      <c r="F42" s="63">
        <f t="shared" si="1"/>
        <v>3.817209504912162E-2</v>
      </c>
    </row>
    <row r="43" spans="1:6" ht="12.5" x14ac:dyDescent="0.25">
      <c r="A43" s="61">
        <v>42</v>
      </c>
      <c r="B43" s="62">
        <v>43958</v>
      </c>
      <c r="C43" s="61">
        <v>3176</v>
      </c>
      <c r="D43" s="61">
        <v>80016</v>
      </c>
      <c r="E43" s="61">
        <f t="shared" si="0"/>
        <v>83192</v>
      </c>
      <c r="F43" s="63">
        <f t="shared" si="1"/>
        <v>3.8176747764208097E-2</v>
      </c>
    </row>
    <row r="44" spans="1:6" ht="12.5" x14ac:dyDescent="0.25">
      <c r="A44" s="61">
        <v>43</v>
      </c>
      <c r="B44" s="62">
        <v>43959</v>
      </c>
      <c r="C44" s="61">
        <v>3358</v>
      </c>
      <c r="D44" s="61">
        <v>81466</v>
      </c>
      <c r="E44" s="61">
        <f t="shared" si="0"/>
        <v>84824</v>
      </c>
      <c r="F44" s="63">
        <f t="shared" si="1"/>
        <v>3.9587852494577004E-2</v>
      </c>
    </row>
    <row r="45" spans="1:6" ht="12.5" x14ac:dyDescent="0.25">
      <c r="A45" s="61">
        <v>44</v>
      </c>
      <c r="B45" s="62">
        <v>43960</v>
      </c>
      <c r="C45" s="61">
        <v>3480</v>
      </c>
      <c r="D45" s="61">
        <v>83534</v>
      </c>
      <c r="E45" s="61">
        <f t="shared" si="0"/>
        <v>87014</v>
      </c>
      <c r="F45" s="63">
        <f t="shared" si="1"/>
        <v>3.9993564254028086E-2</v>
      </c>
    </row>
    <row r="46" spans="1:6" ht="12.5" x14ac:dyDescent="0.25">
      <c r="A46" s="61">
        <v>45</v>
      </c>
      <c r="B46" s="62">
        <v>43961</v>
      </c>
      <c r="C46" s="61">
        <v>3505</v>
      </c>
      <c r="D46" s="61">
        <v>84447</v>
      </c>
      <c r="E46" s="61">
        <f t="shared" si="0"/>
        <v>87952</v>
      </c>
      <c r="F46" s="63">
        <f t="shared" si="1"/>
        <v>3.9851282517736945E-2</v>
      </c>
    </row>
    <row r="47" spans="1:6" ht="12.5" x14ac:dyDescent="0.25">
      <c r="A47" s="61">
        <v>46</v>
      </c>
      <c r="B47" s="62">
        <v>43962</v>
      </c>
      <c r="C47" s="61">
        <v>3646</v>
      </c>
      <c r="D47" s="61">
        <v>89780</v>
      </c>
      <c r="E47" s="61">
        <f t="shared" si="0"/>
        <v>93426</v>
      </c>
      <c r="F47" s="63">
        <f t="shared" si="1"/>
        <v>3.9025538929206002E-2</v>
      </c>
    </row>
    <row r="48" spans="1:6" ht="12.5" x14ac:dyDescent="0.25">
      <c r="A48" s="61">
        <v>47</v>
      </c>
      <c r="B48" s="62">
        <v>43963</v>
      </c>
      <c r="C48" s="61">
        <v>3671</v>
      </c>
      <c r="D48" s="61">
        <v>91630</v>
      </c>
      <c r="E48" s="61">
        <f t="shared" si="0"/>
        <v>95301</v>
      </c>
      <c r="F48" s="63">
        <f t="shared" si="1"/>
        <v>3.8520057502019915E-2</v>
      </c>
    </row>
    <row r="49" spans="1:6" ht="12.5" x14ac:dyDescent="0.25">
      <c r="A49" s="61">
        <v>48</v>
      </c>
      <c r="B49" s="62">
        <v>43964</v>
      </c>
      <c r="C49" s="61">
        <v>3703</v>
      </c>
      <c r="D49" s="61">
        <v>93045</v>
      </c>
      <c r="E49" s="61">
        <f t="shared" si="0"/>
        <v>96748</v>
      </c>
      <c r="F49" s="63">
        <f t="shared" si="1"/>
        <v>3.8274693016909909E-2</v>
      </c>
    </row>
    <row r="50" spans="1:6" ht="12.5" x14ac:dyDescent="0.25">
      <c r="A50" s="61">
        <v>49</v>
      </c>
      <c r="B50" s="62">
        <v>43965</v>
      </c>
      <c r="C50" s="61">
        <v>3745</v>
      </c>
      <c r="D50" s="61">
        <v>94083</v>
      </c>
      <c r="E50" s="61">
        <f t="shared" si="0"/>
        <v>97828</v>
      </c>
      <c r="F50" s="63">
        <f t="shared" si="1"/>
        <v>3.8281473606738357E-2</v>
      </c>
    </row>
    <row r="51" spans="1:6" ht="12.5" x14ac:dyDescent="0.25">
      <c r="A51" s="61">
        <v>50</v>
      </c>
      <c r="B51" s="62">
        <v>43966</v>
      </c>
      <c r="C51" s="61">
        <v>3804</v>
      </c>
      <c r="D51" s="61">
        <v>95412</v>
      </c>
      <c r="E51" s="61">
        <f t="shared" si="0"/>
        <v>99216</v>
      </c>
      <c r="F51" s="63">
        <f t="shared" si="1"/>
        <v>3.8340590227382683E-2</v>
      </c>
    </row>
    <row r="52" spans="1:6" ht="12.5" x14ac:dyDescent="0.25">
      <c r="A52" s="61">
        <v>51</v>
      </c>
      <c r="B52" s="62">
        <v>43967</v>
      </c>
      <c r="C52" s="61">
        <v>3808</v>
      </c>
      <c r="D52" s="61">
        <v>96007</v>
      </c>
      <c r="E52" s="61">
        <f t="shared" si="0"/>
        <v>99815</v>
      </c>
      <c r="F52" s="63">
        <f t="shared" si="1"/>
        <v>3.8150578570355156E-2</v>
      </c>
    </row>
    <row r="53" spans="1:6" ht="12.5" x14ac:dyDescent="0.25">
      <c r="A53" s="61">
        <v>52</v>
      </c>
      <c r="B53" s="62">
        <v>43968</v>
      </c>
      <c r="C53" s="61">
        <v>3842</v>
      </c>
      <c r="D53" s="61">
        <v>96521</v>
      </c>
      <c r="E53" s="61">
        <f t="shared" si="0"/>
        <v>100363</v>
      </c>
      <c r="F53" s="63">
        <f t="shared" si="1"/>
        <v>3.8281039825433676E-2</v>
      </c>
    </row>
    <row r="54" spans="1:6" ht="12.5" x14ac:dyDescent="0.25">
      <c r="A54" s="61">
        <v>53</v>
      </c>
      <c r="B54" s="62">
        <v>43969</v>
      </c>
      <c r="C54" s="61">
        <v>3918</v>
      </c>
      <c r="D54" s="61">
        <v>102289</v>
      </c>
      <c r="E54" s="61">
        <f t="shared" si="0"/>
        <v>106207</v>
      </c>
      <c r="F54" s="63">
        <f t="shared" si="1"/>
        <v>3.6890223808223564E-2</v>
      </c>
    </row>
    <row r="55" spans="1:6" ht="12.5" x14ac:dyDescent="0.25">
      <c r="A55" s="61">
        <v>54</v>
      </c>
      <c r="B55" s="62">
        <v>43970</v>
      </c>
      <c r="C55" s="61">
        <v>4153</v>
      </c>
      <c r="D55" s="61">
        <v>105937</v>
      </c>
      <c r="E55" s="61">
        <f t="shared" si="0"/>
        <v>110090</v>
      </c>
      <c r="F55" s="63">
        <f t="shared" si="1"/>
        <v>3.7723680624943232E-2</v>
      </c>
    </row>
    <row r="56" spans="1:6" ht="12.5" x14ac:dyDescent="0.25">
      <c r="A56" s="61">
        <v>55</v>
      </c>
      <c r="B56" s="62">
        <v>43971</v>
      </c>
      <c r="C56" s="61">
        <v>4213</v>
      </c>
      <c r="D56" s="61">
        <v>106929</v>
      </c>
      <c r="E56" s="61">
        <f t="shared" si="0"/>
        <v>111142</v>
      </c>
      <c r="F56" s="63">
        <f t="shared" si="1"/>
        <v>3.7906462003563013E-2</v>
      </c>
    </row>
    <row r="57" spans="1:6" ht="12.5" x14ac:dyDescent="0.25">
      <c r="A57" s="61">
        <v>56</v>
      </c>
      <c r="B57" s="62">
        <v>43972</v>
      </c>
      <c r="C57" s="61">
        <v>4329</v>
      </c>
      <c r="D57" s="61">
        <v>108976</v>
      </c>
      <c r="E57" s="61">
        <f t="shared" si="0"/>
        <v>113305</v>
      </c>
      <c r="F57" s="63">
        <f t="shared" si="1"/>
        <v>3.8206610476148449E-2</v>
      </c>
    </row>
    <row r="58" spans="1:6" ht="12.5" x14ac:dyDescent="0.25">
      <c r="A58" s="61">
        <v>57</v>
      </c>
      <c r="B58" s="62">
        <v>43973</v>
      </c>
      <c r="C58" s="61">
        <v>4411</v>
      </c>
      <c r="D58" s="61">
        <v>110529</v>
      </c>
      <c r="E58" s="61">
        <f t="shared" si="0"/>
        <v>114940</v>
      </c>
      <c r="F58" s="63">
        <f t="shared" si="1"/>
        <v>3.8376544283974245E-2</v>
      </c>
    </row>
    <row r="59" spans="1:6" ht="12.5" x14ac:dyDescent="0.25">
      <c r="A59" s="61">
        <v>58</v>
      </c>
      <c r="B59" s="62">
        <v>43974</v>
      </c>
      <c r="C59" s="61">
        <v>4421</v>
      </c>
      <c r="D59" s="61">
        <v>110621</v>
      </c>
      <c r="E59" s="61">
        <f t="shared" si="0"/>
        <v>115042</v>
      </c>
      <c r="F59" s="63">
        <f t="shared" si="1"/>
        <v>3.8429443159889429E-2</v>
      </c>
    </row>
    <row r="60" spans="1:6" ht="12.5" x14ac:dyDescent="0.25">
      <c r="A60" s="61">
        <v>59</v>
      </c>
      <c r="B60" s="62">
        <v>43975</v>
      </c>
      <c r="C60" s="61">
        <v>4439</v>
      </c>
      <c r="D60" s="61">
        <v>111423</v>
      </c>
      <c r="E60" s="61">
        <f t="shared" si="0"/>
        <v>115862</v>
      </c>
      <c r="F60" s="63">
        <f t="shared" si="1"/>
        <v>3.8312820424297872E-2</v>
      </c>
    </row>
    <row r="61" spans="1:6" ht="12.5" x14ac:dyDescent="0.25">
      <c r="A61" s="61">
        <v>60</v>
      </c>
      <c r="B61" s="62">
        <v>43976</v>
      </c>
      <c r="C61" s="61">
        <v>4494</v>
      </c>
      <c r="D61" s="61">
        <v>112442</v>
      </c>
      <c r="E61" s="61">
        <f t="shared" si="0"/>
        <v>116936</v>
      </c>
      <c r="F61" s="63">
        <f t="shared" si="1"/>
        <v>3.8431278648149415E-2</v>
      </c>
    </row>
    <row r="62" spans="1:6" ht="12.5" x14ac:dyDescent="0.25">
      <c r="A62" s="61">
        <v>61</v>
      </c>
      <c r="B62" s="62">
        <v>43977</v>
      </c>
      <c r="C62" s="61">
        <v>5627</v>
      </c>
      <c r="D62" s="61">
        <v>128227</v>
      </c>
      <c r="E62" s="61">
        <f t="shared" si="0"/>
        <v>133854</v>
      </c>
      <c r="F62" s="63">
        <f t="shared" si="1"/>
        <v>4.2038340281201909E-2</v>
      </c>
    </row>
    <row r="63" spans="1:6" ht="12.5" x14ac:dyDescent="0.25">
      <c r="A63" s="61">
        <v>62</v>
      </c>
      <c r="B63" s="62">
        <v>43978</v>
      </c>
      <c r="C63" s="61">
        <v>5665</v>
      </c>
      <c r="D63" s="61">
        <v>131189</v>
      </c>
      <c r="E63" s="61">
        <f t="shared" si="0"/>
        <v>136854</v>
      </c>
      <c r="F63" s="63">
        <f t="shared" si="1"/>
        <v>4.1394478787613077E-2</v>
      </c>
    </row>
    <row r="64" spans="1:6" ht="12.5" x14ac:dyDescent="0.25">
      <c r="A64" s="61">
        <v>63</v>
      </c>
      <c r="B64" s="62">
        <v>43979</v>
      </c>
      <c r="C64" s="61">
        <v>5665</v>
      </c>
      <c r="D64" s="61">
        <v>133489</v>
      </c>
      <c r="E64" s="61">
        <f t="shared" si="0"/>
        <v>139154</v>
      </c>
      <c r="F64" s="63">
        <f t="shared" si="1"/>
        <v>4.0710292194259597E-2</v>
      </c>
    </row>
    <row r="65" spans="1:6" ht="12.5" x14ac:dyDescent="0.25">
      <c r="A65" s="61">
        <v>64</v>
      </c>
      <c r="B65" s="62">
        <v>43980</v>
      </c>
      <c r="C65" s="61">
        <v>5675</v>
      </c>
      <c r="D65" s="61">
        <v>136007</v>
      </c>
      <c r="E65" s="61">
        <f t="shared" si="0"/>
        <v>141682</v>
      </c>
      <c r="F65" s="63">
        <f t="shared" si="1"/>
        <v>4.0054488220098529E-2</v>
      </c>
    </row>
    <row r="66" spans="1:6" ht="12.5" x14ac:dyDescent="0.25">
      <c r="A66" s="61">
        <v>65</v>
      </c>
      <c r="B66" s="62">
        <v>43981</v>
      </c>
      <c r="C66" s="61">
        <v>5675</v>
      </c>
      <c r="D66" s="61">
        <v>137077</v>
      </c>
      <c r="E66" s="61">
        <f t="shared" si="0"/>
        <v>142752</v>
      </c>
      <c r="F66" s="63">
        <f t="shared" si="1"/>
        <v>3.9754259134723156E-2</v>
      </c>
    </row>
    <row r="67" spans="1:6" ht="12.5" x14ac:dyDescent="0.25">
      <c r="A67" s="61">
        <v>66</v>
      </c>
      <c r="B67" s="62">
        <v>43982</v>
      </c>
      <c r="C67" s="61">
        <v>5682</v>
      </c>
      <c r="D67" s="61">
        <v>137409</v>
      </c>
      <c r="E67" s="61">
        <f t="shared" si="0"/>
        <v>143091</v>
      </c>
      <c r="F67" s="63">
        <f t="shared" si="1"/>
        <v>3.9708996372937504E-2</v>
      </c>
    </row>
    <row r="68" spans="1:6" ht="12.5" x14ac:dyDescent="0.25">
      <c r="A68" s="61">
        <v>67</v>
      </c>
      <c r="B68" s="62">
        <v>43983</v>
      </c>
      <c r="C68" s="61">
        <v>5683</v>
      </c>
      <c r="D68" s="61">
        <v>137684</v>
      </c>
      <c r="E68" s="61">
        <f t="shared" si="0"/>
        <v>143367</v>
      </c>
      <c r="F68" s="63">
        <f t="shared" si="1"/>
        <v>3.9639526529815089E-2</v>
      </c>
    </row>
    <row r="69" spans="1:6" ht="12.5" x14ac:dyDescent="0.25">
      <c r="A69" s="61">
        <v>68</v>
      </c>
      <c r="B69" s="62">
        <v>43984</v>
      </c>
      <c r="C69" s="61">
        <v>5974</v>
      </c>
      <c r="D69" s="61">
        <v>154257</v>
      </c>
      <c r="E69" s="61">
        <f t="shared" si="0"/>
        <v>160231</v>
      </c>
      <c r="F69" s="63">
        <f t="shared" si="1"/>
        <v>3.728367169898459E-2</v>
      </c>
    </row>
    <row r="70" spans="1:6" ht="12.5" x14ac:dyDescent="0.25">
      <c r="A70" s="61">
        <v>69</v>
      </c>
      <c r="B70" s="62">
        <v>43985</v>
      </c>
      <c r="C70" s="61">
        <v>5979</v>
      </c>
      <c r="D70" s="61">
        <v>155752</v>
      </c>
      <c r="E70" s="61">
        <f t="shared" si="0"/>
        <v>161731</v>
      </c>
      <c r="F70" s="63">
        <f t="shared" si="1"/>
        <v>3.6968793861411851E-2</v>
      </c>
    </row>
    <row r="71" spans="1:6" ht="12.5" x14ac:dyDescent="0.25">
      <c r="A71" s="61">
        <v>70</v>
      </c>
      <c r="B71" s="62">
        <v>43986</v>
      </c>
      <c r="C71" s="61">
        <v>6000</v>
      </c>
      <c r="D71" s="61">
        <v>158139</v>
      </c>
      <c r="E71" s="61">
        <f t="shared" si="0"/>
        <v>164139</v>
      </c>
      <c r="F71" s="63">
        <f t="shared" si="1"/>
        <v>3.6554383784475356E-2</v>
      </c>
    </row>
    <row r="72" spans="1:6" ht="12.5" x14ac:dyDescent="0.25">
      <c r="A72" s="61">
        <v>71</v>
      </c>
      <c r="B72" s="62">
        <v>43987</v>
      </c>
      <c r="C72" s="61">
        <v>6121</v>
      </c>
      <c r="D72" s="61">
        <v>159128</v>
      </c>
      <c r="E72" s="61">
        <f t="shared" si="0"/>
        <v>165249</v>
      </c>
      <c r="F72" s="63">
        <f t="shared" si="1"/>
        <v>3.7041071352928008E-2</v>
      </c>
    </row>
    <row r="73" spans="1:6" ht="12.5" x14ac:dyDescent="0.25">
      <c r="A73" s="61">
        <v>72</v>
      </c>
      <c r="B73" s="62">
        <v>43988</v>
      </c>
      <c r="C73" s="61">
        <v>6130</v>
      </c>
      <c r="D73" s="61">
        <v>159792</v>
      </c>
      <c r="E73" s="61">
        <f t="shared" si="0"/>
        <v>165922</v>
      </c>
      <c r="F73" s="63">
        <f t="shared" si="1"/>
        <v>3.6945070575330578E-2</v>
      </c>
    </row>
    <row r="74" spans="1:6" ht="12.5" x14ac:dyDescent="0.25">
      <c r="A74" s="61">
        <v>73</v>
      </c>
      <c r="B74" s="62">
        <v>43989</v>
      </c>
      <c r="C74" s="61">
        <v>6139</v>
      </c>
      <c r="D74" s="61">
        <v>160202</v>
      </c>
      <c r="E74" s="61">
        <f t="shared" si="0"/>
        <v>166341</v>
      </c>
      <c r="F74" s="63">
        <f t="shared" si="1"/>
        <v>3.6906114547826455E-2</v>
      </c>
    </row>
    <row r="75" spans="1:6" ht="12.5" x14ac:dyDescent="0.25">
      <c r="A75" s="61">
        <v>74</v>
      </c>
      <c r="B75" s="62">
        <v>43990</v>
      </c>
      <c r="C75" s="61">
        <v>6232</v>
      </c>
      <c r="D75" s="61">
        <v>164146</v>
      </c>
      <c r="E75" s="61">
        <f t="shared" si="0"/>
        <v>170378</v>
      </c>
      <c r="F75" s="63">
        <f t="shared" si="1"/>
        <v>3.6577492399253425E-2</v>
      </c>
    </row>
    <row r="76" spans="1:6" ht="12.5" x14ac:dyDescent="0.25">
      <c r="A76" s="61">
        <v>75</v>
      </c>
      <c r="B76" s="62">
        <v>43991</v>
      </c>
      <c r="C76" s="61">
        <v>6265</v>
      </c>
      <c r="D76" s="61">
        <v>164828</v>
      </c>
      <c r="E76" s="61">
        <f t="shared" si="0"/>
        <v>171093</v>
      </c>
      <c r="F76" s="63">
        <f t="shared" si="1"/>
        <v>3.6617512113295107E-2</v>
      </c>
    </row>
    <row r="77" spans="1:6" ht="12.5" x14ac:dyDescent="0.25">
      <c r="A77" s="61">
        <v>76</v>
      </c>
      <c r="B77" s="62">
        <v>43992</v>
      </c>
      <c r="C77" s="61">
        <v>6432</v>
      </c>
      <c r="D77" s="61">
        <v>167126</v>
      </c>
      <c r="E77" s="61">
        <f t="shared" si="0"/>
        <v>173558</v>
      </c>
      <c r="F77" s="63">
        <f t="shared" si="1"/>
        <v>3.7059657290358268E-2</v>
      </c>
    </row>
    <row r="78" spans="1:6" ht="12.5" x14ac:dyDescent="0.25">
      <c r="A78" s="61">
        <v>77</v>
      </c>
      <c r="B78" s="62">
        <v>43993</v>
      </c>
      <c r="C78" s="61">
        <v>6432</v>
      </c>
      <c r="D78" s="61">
        <v>167708</v>
      </c>
      <c r="E78" s="61">
        <f t="shared" si="0"/>
        <v>174140</v>
      </c>
      <c r="F78" s="63">
        <f t="shared" si="1"/>
        <v>3.6935798782588722E-2</v>
      </c>
    </row>
    <row r="79" spans="1:6" ht="12.5" x14ac:dyDescent="0.25">
      <c r="A79" s="61">
        <v>78</v>
      </c>
      <c r="B79" s="62">
        <v>43994</v>
      </c>
      <c r="C79" s="61">
        <v>6623</v>
      </c>
      <c r="D79" s="61">
        <v>172012</v>
      </c>
      <c r="E79" s="61">
        <f t="shared" si="0"/>
        <v>178635</v>
      </c>
      <c r="F79" s="63">
        <f t="shared" si="1"/>
        <v>3.7075601086013377E-2</v>
      </c>
    </row>
    <row r="80" spans="1:6" ht="12.5" x14ac:dyDescent="0.25">
      <c r="A80" s="61">
        <v>79</v>
      </c>
      <c r="B80" s="62">
        <v>43995</v>
      </c>
      <c r="C80" s="61">
        <v>6623</v>
      </c>
      <c r="D80" s="61">
        <v>172590</v>
      </c>
      <c r="E80" s="61">
        <f t="shared" si="0"/>
        <v>179213</v>
      </c>
      <c r="F80" s="63">
        <f t="shared" si="1"/>
        <v>3.6956024395551665E-2</v>
      </c>
    </row>
    <row r="81" spans="1:6" ht="12.5" x14ac:dyDescent="0.25">
      <c r="A81" s="61">
        <v>80</v>
      </c>
      <c r="B81" s="62">
        <v>43996</v>
      </c>
      <c r="C81" s="61">
        <v>6633</v>
      </c>
      <c r="D81" s="61">
        <v>172889</v>
      </c>
      <c r="E81" s="61">
        <f t="shared" si="0"/>
        <v>179522</v>
      </c>
      <c r="F81" s="63">
        <f t="shared" si="1"/>
        <v>3.6948117779436504E-2</v>
      </c>
    </row>
    <row r="82" spans="1:6" ht="12.5" x14ac:dyDescent="0.25">
      <c r="A82" s="61">
        <v>81</v>
      </c>
      <c r="B82" s="62">
        <v>43997</v>
      </c>
      <c r="C82" s="61">
        <v>6640</v>
      </c>
      <c r="D82" s="61">
        <v>173219</v>
      </c>
      <c r="E82" s="61">
        <f t="shared" si="0"/>
        <v>179859</v>
      </c>
      <c r="F82" s="63">
        <f t="shared" si="1"/>
        <v>3.6917807838362272E-2</v>
      </c>
    </row>
    <row r="83" spans="1:6" ht="12.5" x14ac:dyDescent="0.25">
      <c r="A83" s="61">
        <v>82</v>
      </c>
      <c r="B83" s="62">
        <v>43998</v>
      </c>
      <c r="C83" s="61">
        <v>6811</v>
      </c>
      <c r="D83" s="61">
        <v>177894</v>
      </c>
      <c r="E83" s="61">
        <f t="shared" si="0"/>
        <v>184705</v>
      </c>
      <c r="F83" s="63">
        <f t="shared" si="1"/>
        <v>3.6875016918870629E-2</v>
      </c>
    </row>
    <row r="84" spans="1:6" ht="12.5" x14ac:dyDescent="0.25">
      <c r="A84" s="61">
        <v>83</v>
      </c>
      <c r="B84" s="62">
        <v>43999</v>
      </c>
      <c r="C84" s="61">
        <v>6817</v>
      </c>
      <c r="D84" s="61">
        <v>178254</v>
      </c>
      <c r="E84" s="61">
        <f t="shared" si="0"/>
        <v>185071</v>
      </c>
      <c r="F84" s="63">
        <f t="shared" si="1"/>
        <v>3.683451216019798E-2</v>
      </c>
    </row>
    <row r="85" spans="1:6" ht="12.5" x14ac:dyDescent="0.25">
      <c r="A85" s="61">
        <v>84</v>
      </c>
      <c r="B85" s="62">
        <v>44000</v>
      </c>
      <c r="C85" s="61">
        <v>6843</v>
      </c>
      <c r="D85" s="61">
        <v>181600</v>
      </c>
      <c r="E85" s="61">
        <f t="shared" si="0"/>
        <v>188443</v>
      </c>
      <c r="F85" s="63">
        <f t="shared" si="1"/>
        <v>3.6313367968032771E-2</v>
      </c>
    </row>
    <row r="86" spans="1:6" ht="12.5" x14ac:dyDescent="0.25">
      <c r="A86" s="61">
        <v>85</v>
      </c>
      <c r="B86" s="62">
        <v>44001</v>
      </c>
      <c r="C86" s="61">
        <v>7086</v>
      </c>
      <c r="D86" s="61">
        <v>188348</v>
      </c>
      <c r="E86" s="61">
        <f t="shared" si="0"/>
        <v>195434</v>
      </c>
      <c r="F86" s="63">
        <f t="shared" si="1"/>
        <v>3.6257764769692072E-2</v>
      </c>
    </row>
    <row r="87" spans="1:6" ht="12.5" x14ac:dyDescent="0.25">
      <c r="A87" s="61">
        <v>86</v>
      </c>
      <c r="B87" s="62">
        <v>44002</v>
      </c>
      <c r="C87" s="61">
        <v>7086</v>
      </c>
      <c r="D87" s="61">
        <v>188950</v>
      </c>
      <c r="E87" s="61">
        <f t="shared" si="0"/>
        <v>196036</v>
      </c>
      <c r="F87" s="63">
        <f t="shared" si="1"/>
        <v>3.6146422085739351E-2</v>
      </c>
    </row>
    <row r="88" spans="1:6" ht="12.5" x14ac:dyDescent="0.25">
      <c r="A88" s="61">
        <v>87</v>
      </c>
      <c r="B88" s="62">
        <v>44003</v>
      </c>
      <c r="C88" s="61">
        <v>7100</v>
      </c>
      <c r="D88" s="61">
        <v>189240</v>
      </c>
      <c r="E88" s="61">
        <f t="shared" si="0"/>
        <v>196340</v>
      </c>
      <c r="F88" s="63">
        <f t="shared" si="1"/>
        <v>3.6161760211877357E-2</v>
      </c>
    </row>
    <row r="89" spans="1:6" ht="12.5" x14ac:dyDescent="0.25">
      <c r="A89" s="61">
        <v>88</v>
      </c>
      <c r="B89" s="62">
        <v>44004</v>
      </c>
      <c r="C89" s="61">
        <v>7100</v>
      </c>
      <c r="D89" s="61">
        <v>189240</v>
      </c>
      <c r="E89" s="61">
        <f t="shared" si="0"/>
        <v>196340</v>
      </c>
      <c r="F89" s="63">
        <f t="shared" si="1"/>
        <v>3.6161760211877357E-2</v>
      </c>
    </row>
    <row r="90" spans="1:6" ht="12.5" x14ac:dyDescent="0.25">
      <c r="A90" s="61">
        <v>89</v>
      </c>
      <c r="B90" s="62">
        <v>44005</v>
      </c>
      <c r="C90" s="61">
        <v>7394</v>
      </c>
      <c r="D90" s="61">
        <v>204935</v>
      </c>
      <c r="E90" s="61">
        <f t="shared" si="0"/>
        <v>212329</v>
      </c>
      <c r="F90" s="63">
        <f t="shared" si="1"/>
        <v>3.4823316645394647E-2</v>
      </c>
    </row>
    <row r="91" spans="1:6" ht="12.5" x14ac:dyDescent="0.25">
      <c r="A91" s="61">
        <v>90</v>
      </c>
      <c r="B91" s="62">
        <v>44006</v>
      </c>
      <c r="C91" s="61">
        <v>7832</v>
      </c>
      <c r="D91" s="61">
        <v>205376</v>
      </c>
      <c r="E91" s="61">
        <f t="shared" si="0"/>
        <v>213208</v>
      </c>
      <c r="F91" s="63">
        <f t="shared" si="1"/>
        <v>3.6734081272747736E-2</v>
      </c>
    </row>
    <row r="92" spans="1:6" ht="12.5" x14ac:dyDescent="0.25">
      <c r="A92" s="61">
        <v>91</v>
      </c>
      <c r="B92" s="62">
        <v>44007</v>
      </c>
      <c r="C92" s="61">
        <v>7839</v>
      </c>
      <c r="D92" s="61">
        <v>205988</v>
      </c>
      <c r="E92" s="61">
        <f t="shared" si="0"/>
        <v>213827</v>
      </c>
      <c r="F92" s="63">
        <f t="shared" si="1"/>
        <v>3.6660477862945282E-2</v>
      </c>
    </row>
    <row r="93" spans="1:6" ht="12.5" x14ac:dyDescent="0.25">
      <c r="A93" s="61">
        <v>92</v>
      </c>
      <c r="B93" s="62">
        <v>44008</v>
      </c>
      <c r="C93" s="61">
        <v>7952</v>
      </c>
      <c r="D93" s="61">
        <v>219371</v>
      </c>
      <c r="E93" s="61">
        <f t="shared" si="0"/>
        <v>227323</v>
      </c>
      <c r="F93" s="63">
        <f t="shared" si="1"/>
        <v>3.4981062189043781E-2</v>
      </c>
    </row>
    <row r="94" spans="1:6" ht="12.5" x14ac:dyDescent="0.25">
      <c r="A94" s="61">
        <v>93</v>
      </c>
      <c r="B94" s="62">
        <v>44009</v>
      </c>
      <c r="C94" s="61">
        <v>8074</v>
      </c>
      <c r="D94" s="61">
        <v>222721</v>
      </c>
      <c r="E94" s="61">
        <f t="shared" si="0"/>
        <v>230795</v>
      </c>
      <c r="F94" s="63">
        <f t="shared" si="1"/>
        <v>3.4983426850668339E-2</v>
      </c>
    </row>
    <row r="95" spans="1:6" ht="12.5" x14ac:dyDescent="0.25">
      <c r="A95" s="61">
        <v>94</v>
      </c>
      <c r="B95" s="62">
        <v>44010</v>
      </c>
      <c r="C95" s="61">
        <v>8084</v>
      </c>
      <c r="D95" s="61">
        <v>222784</v>
      </c>
      <c r="E95" s="61">
        <f t="shared" si="0"/>
        <v>230868</v>
      </c>
      <c r="F95" s="63">
        <f t="shared" si="1"/>
        <v>3.5015679955645647E-2</v>
      </c>
    </row>
    <row r="96" spans="1:6" ht="12.5" x14ac:dyDescent="0.25">
      <c r="A96" s="61">
        <v>95</v>
      </c>
      <c r="B96" s="62">
        <v>44011</v>
      </c>
      <c r="C96" s="61">
        <v>8145</v>
      </c>
      <c r="D96" s="61">
        <v>224821</v>
      </c>
      <c r="E96" s="61">
        <f t="shared" si="0"/>
        <v>232966</v>
      </c>
      <c r="F96" s="63">
        <f t="shared" si="1"/>
        <v>3.4962183322888321E-2</v>
      </c>
    </row>
    <row r="97" spans="1:6" ht="12.5" x14ac:dyDescent="0.25">
      <c r="A97" s="61">
        <v>96</v>
      </c>
      <c r="B97" s="62">
        <v>44012</v>
      </c>
      <c r="C97" s="61">
        <v>8326</v>
      </c>
      <c r="D97" s="61">
        <v>230470</v>
      </c>
      <c r="E97" s="61">
        <f t="shared" si="0"/>
        <v>238796</v>
      </c>
      <c r="F97" s="63">
        <f t="shared" si="1"/>
        <v>3.4866580679743381E-2</v>
      </c>
    </row>
    <row r="98" spans="1:6" ht="12.5" x14ac:dyDescent="0.25">
      <c r="A98" s="61">
        <v>97</v>
      </c>
      <c r="B98" s="62">
        <v>44013</v>
      </c>
      <c r="C98" s="61">
        <v>8355</v>
      </c>
      <c r="D98" s="61">
        <v>231881</v>
      </c>
      <c r="E98" s="61">
        <f t="shared" si="0"/>
        <v>240236</v>
      </c>
      <c r="F98" s="63">
        <f t="shared" si="1"/>
        <v>3.4778301337018598E-2</v>
      </c>
    </row>
    <row r="99" spans="1:6" ht="12.5" x14ac:dyDescent="0.25">
      <c r="A99" s="61">
        <v>98</v>
      </c>
      <c r="B99" s="62">
        <v>44014</v>
      </c>
      <c r="C99" s="61">
        <v>8449</v>
      </c>
      <c r="D99" s="61">
        <v>234561</v>
      </c>
      <c r="E99" s="61">
        <f t="shared" si="0"/>
        <v>243010</v>
      </c>
      <c r="F99" s="63">
        <f t="shared" si="1"/>
        <v>3.4768116538414058E-2</v>
      </c>
    </row>
    <row r="100" spans="1:6" ht="12.5" x14ac:dyDescent="0.25">
      <c r="A100" s="61">
        <v>99</v>
      </c>
      <c r="B100" s="62">
        <v>44015</v>
      </c>
      <c r="C100" s="61">
        <v>8569</v>
      </c>
      <c r="D100" s="61">
        <v>237735</v>
      </c>
      <c r="E100" s="61">
        <f t="shared" si="0"/>
        <v>246304</v>
      </c>
      <c r="F100" s="63">
        <f t="shared" si="1"/>
        <v>3.4790340392360661E-2</v>
      </c>
    </row>
    <row r="101" spans="1:6" ht="12.5" x14ac:dyDescent="0.25">
      <c r="A101" s="61">
        <v>100</v>
      </c>
      <c r="B101" s="62">
        <v>44016</v>
      </c>
      <c r="C101" s="61">
        <v>8598</v>
      </c>
      <c r="D101" s="61">
        <v>240126</v>
      </c>
      <c r="E101" s="61">
        <f t="shared" si="0"/>
        <v>248724</v>
      </c>
      <c r="F101" s="63">
        <f t="shared" si="1"/>
        <v>3.4568437303999611E-2</v>
      </c>
    </row>
    <row r="102" spans="1:6" ht="12.5" x14ac:dyDescent="0.25">
      <c r="A102" s="61">
        <v>101</v>
      </c>
      <c r="B102" s="62">
        <v>44017</v>
      </c>
      <c r="C102" s="61">
        <v>8700</v>
      </c>
      <c r="D102" s="61">
        <v>242564</v>
      </c>
      <c r="E102" s="61">
        <f t="shared" si="0"/>
        <v>251264</v>
      </c>
      <c r="F102" s="63">
        <f t="shared" si="1"/>
        <v>3.4624936321956193E-2</v>
      </c>
    </row>
    <row r="103" spans="1:6" ht="12.5" x14ac:dyDescent="0.25">
      <c r="A103" s="61">
        <v>102</v>
      </c>
      <c r="B103" s="62">
        <v>44018</v>
      </c>
      <c r="C103" s="61">
        <v>8925</v>
      </c>
      <c r="D103" s="61">
        <v>247222</v>
      </c>
      <c r="E103" s="61">
        <f t="shared" si="0"/>
        <v>256147</v>
      </c>
      <c r="F103" s="63">
        <f t="shared" si="1"/>
        <v>3.484327358899382E-2</v>
      </c>
    </row>
    <row r="104" spans="1:6" ht="12.5" x14ac:dyDescent="0.25">
      <c r="A104" s="61">
        <v>103</v>
      </c>
      <c r="B104" s="62">
        <v>44019</v>
      </c>
      <c r="C104" s="61">
        <v>8947</v>
      </c>
      <c r="D104" s="61">
        <v>247656</v>
      </c>
      <c r="E104" s="61">
        <f t="shared" si="0"/>
        <v>256603</v>
      </c>
      <c r="F104" s="63">
        <f t="shared" si="1"/>
        <v>3.4867090408140199E-2</v>
      </c>
    </row>
    <row r="105" spans="1:6" ht="12.5" x14ac:dyDescent="0.25">
      <c r="A105" s="61">
        <v>104</v>
      </c>
      <c r="B105" s="62">
        <v>44020</v>
      </c>
      <c r="C105" s="61">
        <v>9037</v>
      </c>
      <c r="D105" s="61">
        <v>251184</v>
      </c>
      <c r="E105" s="61">
        <f t="shared" si="0"/>
        <v>260221</v>
      </c>
      <c r="F105" s="63">
        <f t="shared" si="1"/>
        <v>3.4728173360336019E-2</v>
      </c>
    </row>
    <row r="106" spans="1:6" ht="12.5" x14ac:dyDescent="0.25">
      <c r="A106" s="61">
        <v>105</v>
      </c>
      <c r="B106" s="62">
        <v>44021</v>
      </c>
      <c r="C106" s="61">
        <v>9149</v>
      </c>
      <c r="D106" s="61">
        <v>253593</v>
      </c>
      <c r="E106" s="61">
        <f t="shared" si="0"/>
        <v>262742</v>
      </c>
      <c r="F106" s="63">
        <f t="shared" si="1"/>
        <v>3.4821231474221857E-2</v>
      </c>
    </row>
    <row r="107" spans="1:6" ht="12.5" x14ac:dyDescent="0.25">
      <c r="A107" s="61">
        <v>106</v>
      </c>
      <c r="B107" s="62">
        <v>44022</v>
      </c>
      <c r="C107" s="61">
        <v>9191</v>
      </c>
      <c r="D107" s="61">
        <v>256150</v>
      </c>
      <c r="E107" s="61">
        <f t="shared" si="0"/>
        <v>265341</v>
      </c>
      <c r="F107" s="63">
        <f t="shared" si="1"/>
        <v>3.463844637654942E-2</v>
      </c>
    </row>
    <row r="108" spans="1:6" ht="12.5" x14ac:dyDescent="0.25">
      <c r="A108" s="61">
        <v>107</v>
      </c>
      <c r="B108" s="62">
        <v>44023</v>
      </c>
      <c r="C108" s="61">
        <v>9197</v>
      </c>
      <c r="D108" s="61">
        <v>257344</v>
      </c>
      <c r="E108" s="61">
        <f t="shared" si="0"/>
        <v>266541</v>
      </c>
      <c r="F108" s="63">
        <f t="shared" si="1"/>
        <v>3.4505010486191617E-2</v>
      </c>
    </row>
    <row r="109" spans="1:6" ht="12.5" x14ac:dyDescent="0.25">
      <c r="A109" s="61">
        <v>108</v>
      </c>
      <c r="B109" s="62">
        <v>44024</v>
      </c>
      <c r="C109" s="61">
        <v>9229</v>
      </c>
      <c r="D109" s="61">
        <v>260151</v>
      </c>
      <c r="E109" s="61">
        <f t="shared" si="0"/>
        <v>269380</v>
      </c>
      <c r="F109" s="63">
        <f t="shared" si="1"/>
        <v>3.4260152943796869E-2</v>
      </c>
    </row>
    <row r="110" spans="1:6" ht="12.5" x14ac:dyDescent="0.25">
      <c r="A110" s="61">
        <v>109</v>
      </c>
      <c r="B110" s="62">
        <v>44025</v>
      </c>
      <c r="C110" s="61">
        <v>9239</v>
      </c>
      <c r="D110" s="61">
        <v>260191</v>
      </c>
      <c r="E110" s="61">
        <f t="shared" si="0"/>
        <v>269430</v>
      </c>
      <c r="F110" s="63">
        <f t="shared" si="1"/>
        <v>3.4290910440559701E-2</v>
      </c>
    </row>
    <row r="111" spans="1:6" ht="12.5" x14ac:dyDescent="0.25">
      <c r="A111" s="61">
        <v>110</v>
      </c>
      <c r="B111" s="62">
        <v>44026</v>
      </c>
      <c r="C111" s="61">
        <v>9524</v>
      </c>
      <c r="D111" s="61">
        <v>262739</v>
      </c>
      <c r="E111" s="61">
        <f t="shared" si="0"/>
        <v>272263</v>
      </c>
      <c r="F111" s="63">
        <f t="shared" si="1"/>
        <v>3.498088245556686E-2</v>
      </c>
    </row>
    <row r="112" spans="1:6" ht="12.5" x14ac:dyDescent="0.25">
      <c r="A112" s="61">
        <v>111</v>
      </c>
      <c r="B112" s="62">
        <v>44027</v>
      </c>
      <c r="C112" s="61">
        <v>9577</v>
      </c>
      <c r="D112" s="61">
        <v>263901</v>
      </c>
      <c r="E112" s="61">
        <f t="shared" si="0"/>
        <v>273478</v>
      </c>
      <c r="F112" s="63">
        <f t="shared" si="1"/>
        <v>3.50192702886521E-2</v>
      </c>
    </row>
    <row r="113" spans="1:6" ht="12.5" x14ac:dyDescent="0.25">
      <c r="A113" s="61">
        <v>112</v>
      </c>
      <c r="B113" s="62">
        <v>44028</v>
      </c>
      <c r="C113" s="61">
        <v>9586</v>
      </c>
      <c r="D113" s="61">
        <v>264909</v>
      </c>
      <c r="E113" s="61">
        <f t="shared" si="0"/>
        <v>274495</v>
      </c>
      <c r="F113" s="63">
        <f t="shared" si="1"/>
        <v>3.4922311881819344E-2</v>
      </c>
    </row>
    <row r="114" spans="1:6" ht="12.5" x14ac:dyDescent="0.25">
      <c r="A114" s="61">
        <v>113</v>
      </c>
      <c r="B114" s="62">
        <v>44029</v>
      </c>
      <c r="C114" s="61">
        <v>9706</v>
      </c>
      <c r="D114" s="61">
        <v>267242</v>
      </c>
      <c r="E114" s="61">
        <f t="shared" si="0"/>
        <v>276948</v>
      </c>
      <c r="F114" s="63">
        <f t="shared" si="1"/>
        <v>3.5046290278319396E-2</v>
      </c>
    </row>
    <row r="115" spans="1:6" ht="12.5" x14ac:dyDescent="0.25">
      <c r="A115" s="61">
        <v>114</v>
      </c>
      <c r="B115" s="62">
        <v>44030</v>
      </c>
      <c r="C115" s="61">
        <v>9706</v>
      </c>
      <c r="D115" s="61">
        <v>269414</v>
      </c>
      <c r="E115" s="61">
        <f t="shared" si="0"/>
        <v>279120</v>
      </c>
      <c r="F115" s="63">
        <f t="shared" si="1"/>
        <v>3.4773574089997136E-2</v>
      </c>
    </row>
    <row r="116" spans="1:6" ht="12.5" x14ac:dyDescent="0.25">
      <c r="A116" s="61">
        <v>115</v>
      </c>
      <c r="B116" s="62">
        <v>44031</v>
      </c>
      <c r="C116" s="61">
        <v>9715</v>
      </c>
      <c r="D116" s="61">
        <v>269528</v>
      </c>
      <c r="E116" s="61">
        <f t="shared" si="0"/>
        <v>279243</v>
      </c>
      <c r="F116" s="63">
        <f t="shared" si="1"/>
        <v>3.4790487138442149E-2</v>
      </c>
    </row>
    <row r="117" spans="1:6" ht="12.5" x14ac:dyDescent="0.25">
      <c r="A117" s="61">
        <v>116</v>
      </c>
      <c r="B117" s="62">
        <v>44032</v>
      </c>
      <c r="C117" s="61">
        <v>9782</v>
      </c>
      <c r="D117" s="61">
        <v>270280</v>
      </c>
      <c r="E117" s="61">
        <f t="shared" si="0"/>
        <v>280062</v>
      </c>
      <c r="F117" s="63">
        <f t="shared" si="1"/>
        <v>3.4927980232948422E-2</v>
      </c>
    </row>
    <row r="118" spans="1:6" ht="12.5" x14ac:dyDescent="0.25">
      <c r="A118" s="61">
        <v>117</v>
      </c>
      <c r="B118" s="62">
        <v>44033</v>
      </c>
      <c r="C118" s="61">
        <v>9794</v>
      </c>
      <c r="D118" s="61">
        <v>270498</v>
      </c>
      <c r="E118" s="61">
        <f t="shared" si="0"/>
        <v>280292</v>
      </c>
      <c r="F118" s="63">
        <f t="shared" si="1"/>
        <v>3.4942131776861271E-2</v>
      </c>
    </row>
    <row r="119" spans="1:6" ht="12.5" x14ac:dyDescent="0.25">
      <c r="A119" s="61">
        <v>118</v>
      </c>
      <c r="B119" s="62">
        <v>44034</v>
      </c>
      <c r="C119" s="61">
        <v>10031</v>
      </c>
      <c r="D119" s="61">
        <v>274202</v>
      </c>
      <c r="E119" s="61">
        <f t="shared" si="0"/>
        <v>284233</v>
      </c>
      <c r="F119" s="63">
        <f t="shared" si="1"/>
        <v>3.5291468619055494E-2</v>
      </c>
    </row>
    <row r="120" spans="1:6" ht="12.5" x14ac:dyDescent="0.25">
      <c r="A120" s="61">
        <v>119</v>
      </c>
      <c r="B120" s="62">
        <v>44035</v>
      </c>
      <c r="C120" s="61">
        <v>10031</v>
      </c>
      <c r="D120" s="61">
        <v>274202</v>
      </c>
      <c r="E120" s="61">
        <f t="shared" si="0"/>
        <v>284233</v>
      </c>
      <c r="F120" s="63">
        <f t="shared" si="1"/>
        <v>3.5291468619055494E-2</v>
      </c>
    </row>
    <row r="121" spans="1:6" ht="12.5" x14ac:dyDescent="0.25">
      <c r="A121" s="61">
        <v>120</v>
      </c>
      <c r="B121" s="62">
        <v>44036</v>
      </c>
      <c r="C121" s="61">
        <v>10428</v>
      </c>
      <c r="D121" s="61">
        <v>283882</v>
      </c>
      <c r="E121" s="61">
        <f t="shared" si="0"/>
        <v>294310</v>
      </c>
      <c r="F121" s="63">
        <f t="shared" si="1"/>
        <v>3.5432027454045056E-2</v>
      </c>
    </row>
    <row r="122" spans="1:6" ht="12.5" x14ac:dyDescent="0.25">
      <c r="A122" s="61">
        <v>121</v>
      </c>
      <c r="B122" s="62">
        <v>44037</v>
      </c>
      <c r="C122" s="61">
        <v>10438</v>
      </c>
      <c r="D122" s="61">
        <v>284634</v>
      </c>
      <c r="E122" s="61">
        <f t="shared" si="0"/>
        <v>295072</v>
      </c>
      <c r="F122" s="63">
        <f t="shared" si="1"/>
        <v>3.5374417091421757E-2</v>
      </c>
    </row>
    <row r="123" spans="1:6" ht="12.5" x14ac:dyDescent="0.25">
      <c r="A123" s="61">
        <v>122</v>
      </c>
      <c r="B123" s="62">
        <v>44038</v>
      </c>
      <c r="C123" s="61">
        <v>10442</v>
      </c>
      <c r="D123" s="61">
        <v>285630</v>
      </c>
      <c r="E123" s="61">
        <f t="shared" si="0"/>
        <v>296072</v>
      </c>
      <c r="F123" s="63">
        <f t="shared" si="1"/>
        <v>3.5268448215298981E-2</v>
      </c>
    </row>
    <row r="124" spans="1:6" ht="12.5" x14ac:dyDescent="0.25">
      <c r="A124" s="61">
        <v>123</v>
      </c>
      <c r="B124" s="62">
        <v>44039</v>
      </c>
      <c r="C124" s="61">
        <v>10674</v>
      </c>
      <c r="D124" s="61">
        <v>289873</v>
      </c>
      <c r="E124" s="61">
        <f t="shared" si="0"/>
        <v>300547</v>
      </c>
      <c r="F124" s="63">
        <f t="shared" si="1"/>
        <v>3.5515243872006705E-2</v>
      </c>
    </row>
    <row r="125" spans="1:6" ht="12.5" x14ac:dyDescent="0.25">
      <c r="A125" s="61">
        <v>124</v>
      </c>
      <c r="B125" s="62">
        <v>44040</v>
      </c>
      <c r="C125" s="61">
        <v>10853</v>
      </c>
      <c r="D125" s="61">
        <v>296645</v>
      </c>
      <c r="E125" s="61">
        <f t="shared" si="0"/>
        <v>307498</v>
      </c>
      <c r="F125" s="63">
        <f t="shared" si="1"/>
        <v>3.529453850106342E-2</v>
      </c>
    </row>
    <row r="126" spans="1:6" ht="12.5" x14ac:dyDescent="0.25">
      <c r="A126" s="61">
        <v>125</v>
      </c>
      <c r="B126" s="62">
        <v>44041</v>
      </c>
      <c r="C126" s="61">
        <v>10863</v>
      </c>
      <c r="D126" s="61">
        <v>298637</v>
      </c>
      <c r="E126" s="61">
        <f t="shared" si="0"/>
        <v>309500</v>
      </c>
      <c r="F126" s="63">
        <f t="shared" si="1"/>
        <v>3.5098546042003229E-2</v>
      </c>
    </row>
    <row r="127" spans="1:6" ht="12.5" x14ac:dyDescent="0.25">
      <c r="A127" s="61">
        <v>126</v>
      </c>
      <c r="B127" s="62">
        <v>44042</v>
      </c>
      <c r="C127" s="61">
        <v>10863</v>
      </c>
      <c r="D127" s="61">
        <v>298637</v>
      </c>
      <c r="E127" s="61">
        <f t="shared" si="0"/>
        <v>309500</v>
      </c>
      <c r="F127" s="63">
        <f t="shared" si="1"/>
        <v>3.5098546042003229E-2</v>
      </c>
    </row>
    <row r="128" spans="1:6" ht="12.5" x14ac:dyDescent="0.25">
      <c r="A128" s="61">
        <v>127</v>
      </c>
      <c r="B128" s="62">
        <v>44043</v>
      </c>
      <c r="C128" s="61">
        <v>10865</v>
      </c>
      <c r="D128" s="61">
        <v>298785</v>
      </c>
      <c r="E128" s="61">
        <f t="shared" si="0"/>
        <v>309650</v>
      </c>
      <c r="F128" s="63">
        <f t="shared" si="1"/>
        <v>3.5088002583562088E-2</v>
      </c>
    </row>
    <row r="129" spans="1:6" ht="12.5" x14ac:dyDescent="0.25">
      <c r="A129" s="61">
        <v>128</v>
      </c>
      <c r="B129" s="62">
        <v>44044</v>
      </c>
      <c r="C129" s="61">
        <v>10870</v>
      </c>
      <c r="D129" s="61">
        <v>298930</v>
      </c>
      <c r="E129" s="61">
        <f t="shared" si="0"/>
        <v>309800</v>
      </c>
      <c r="F129" s="63">
        <f t="shared" si="1"/>
        <v>3.5087153001936731E-2</v>
      </c>
    </row>
    <row r="130" spans="1:6" ht="12.5" x14ac:dyDescent="0.25">
      <c r="A130" s="61">
        <v>129</v>
      </c>
      <c r="B130" s="62">
        <v>44045</v>
      </c>
      <c r="C130" s="61">
        <v>10894</v>
      </c>
      <c r="D130" s="61">
        <v>300910</v>
      </c>
      <c r="E130" s="61">
        <f t="shared" si="0"/>
        <v>311804</v>
      </c>
      <c r="F130" s="63">
        <f t="shared" si="1"/>
        <v>3.4938615283960438E-2</v>
      </c>
    </row>
    <row r="131" spans="1:6" ht="12.5" x14ac:dyDescent="0.25">
      <c r="A131" s="61">
        <v>130</v>
      </c>
      <c r="B131" s="62">
        <v>44046</v>
      </c>
      <c r="C131" s="61">
        <v>11101</v>
      </c>
      <c r="D131" s="61">
        <v>307199</v>
      </c>
      <c r="E131" s="61">
        <f t="shared" si="0"/>
        <v>318300</v>
      </c>
      <c r="F131" s="63">
        <f t="shared" si="1"/>
        <v>3.4875903235940933E-2</v>
      </c>
    </row>
    <row r="132" spans="1:6" ht="12.5" x14ac:dyDescent="0.25">
      <c r="A132" s="61">
        <v>131</v>
      </c>
      <c r="B132" s="62">
        <v>44047</v>
      </c>
      <c r="C132" s="61">
        <v>11133</v>
      </c>
      <c r="D132" s="61">
        <v>308068</v>
      </c>
      <c r="E132" s="61">
        <f t="shared" si="0"/>
        <v>319201</v>
      </c>
      <c r="F132" s="63">
        <f t="shared" si="1"/>
        <v>3.4877710282862524E-2</v>
      </c>
    </row>
    <row r="133" spans="1:6" ht="12.5" x14ac:dyDescent="0.25">
      <c r="A133" s="61">
        <v>132</v>
      </c>
      <c r="B133" s="62">
        <v>44048</v>
      </c>
      <c r="C133" s="61">
        <v>11896</v>
      </c>
      <c r="D133" s="61">
        <v>308815</v>
      </c>
      <c r="E133" s="61">
        <f t="shared" si="0"/>
        <v>320711</v>
      </c>
      <c r="F133" s="63">
        <f t="shared" si="1"/>
        <v>3.7092584912896659E-2</v>
      </c>
    </row>
    <row r="134" spans="1:6" ht="12.5" x14ac:dyDescent="0.25">
      <c r="A134" s="61">
        <v>133</v>
      </c>
      <c r="B134" s="62">
        <v>44049</v>
      </c>
      <c r="C134" s="61">
        <v>12507</v>
      </c>
      <c r="D134" s="61">
        <v>317293</v>
      </c>
      <c r="E134" s="61">
        <f t="shared" si="0"/>
        <v>329800</v>
      </c>
      <c r="F134" s="63">
        <f t="shared" si="1"/>
        <v>3.7922983626440268E-2</v>
      </c>
    </row>
    <row r="135" spans="1:6" ht="12.5" x14ac:dyDescent="0.25">
      <c r="A135" s="61">
        <v>134</v>
      </c>
      <c r="B135" s="62">
        <v>44050</v>
      </c>
      <c r="C135" s="61">
        <v>12541</v>
      </c>
      <c r="D135" s="61">
        <v>317973</v>
      </c>
      <c r="E135" s="61">
        <f t="shared" si="0"/>
        <v>330514</v>
      </c>
      <c r="F135" s="63">
        <f t="shared" si="1"/>
        <v>3.794392975789225E-2</v>
      </c>
    </row>
    <row r="136" spans="1:6" ht="12.5" x14ac:dyDescent="0.25">
      <c r="A136" s="61">
        <v>135</v>
      </c>
      <c r="B136" s="62">
        <v>44051</v>
      </c>
      <c r="C136" s="61">
        <v>12617</v>
      </c>
      <c r="D136" s="61">
        <v>319890</v>
      </c>
      <c r="E136" s="61">
        <f t="shared" si="0"/>
        <v>332507</v>
      </c>
      <c r="F136" s="63">
        <f t="shared" si="1"/>
        <v>3.7945065818163225E-2</v>
      </c>
    </row>
    <row r="137" spans="1:6" ht="12.5" x14ac:dyDescent="0.25">
      <c r="A137" s="61">
        <v>136</v>
      </c>
      <c r="B137" s="62">
        <v>44052</v>
      </c>
      <c r="C137" s="61">
        <v>12627</v>
      </c>
      <c r="D137" s="61">
        <v>320854</v>
      </c>
      <c r="E137" s="61">
        <f t="shared" si="0"/>
        <v>333481</v>
      </c>
      <c r="F137" s="63">
        <f t="shared" si="1"/>
        <v>3.7864226147816517E-2</v>
      </c>
    </row>
    <row r="138" spans="1:6" ht="12.5" x14ac:dyDescent="0.25">
      <c r="A138" s="61">
        <v>137</v>
      </c>
      <c r="B138" s="62">
        <v>44053</v>
      </c>
      <c r="C138" s="61">
        <v>12646</v>
      </c>
      <c r="D138" s="61">
        <v>321776</v>
      </c>
      <c r="E138" s="61">
        <f t="shared" si="0"/>
        <v>334422</v>
      </c>
      <c r="F138" s="63">
        <f t="shared" si="1"/>
        <v>3.7814497850021826E-2</v>
      </c>
    </row>
    <row r="139" spans="1:6" ht="12.5" x14ac:dyDescent="0.25">
      <c r="A139" s="61">
        <v>138</v>
      </c>
      <c r="B139" s="62">
        <v>44054</v>
      </c>
      <c r="C139" s="61">
        <v>12646</v>
      </c>
      <c r="D139" s="61">
        <v>322779</v>
      </c>
      <c r="E139" s="61">
        <f t="shared" si="0"/>
        <v>335425</v>
      </c>
      <c r="F139" s="63">
        <f t="shared" si="1"/>
        <v>3.7701423567116345E-2</v>
      </c>
    </row>
    <row r="140" spans="1:6" ht="12.5" x14ac:dyDescent="0.25">
      <c r="A140" s="61">
        <v>139</v>
      </c>
      <c r="B140" s="62">
        <v>44055</v>
      </c>
      <c r="C140" s="61">
        <v>12812</v>
      </c>
      <c r="D140" s="61">
        <v>327668</v>
      </c>
      <c r="E140" s="61">
        <f t="shared" si="0"/>
        <v>340480</v>
      </c>
      <c r="F140" s="63">
        <f t="shared" si="1"/>
        <v>3.7629229323308269E-2</v>
      </c>
    </row>
    <row r="141" spans="1:6" ht="12.5" x14ac:dyDescent="0.25">
      <c r="A141" s="61">
        <v>140</v>
      </c>
      <c r="B141" s="62">
        <v>44056</v>
      </c>
      <c r="C141" s="61">
        <v>12820</v>
      </c>
      <c r="D141" s="61">
        <v>328088</v>
      </c>
      <c r="E141" s="61">
        <f t="shared" si="0"/>
        <v>340908</v>
      </c>
      <c r="F141" s="63">
        <f t="shared" si="1"/>
        <v>3.7605453670785077E-2</v>
      </c>
    </row>
    <row r="142" spans="1:6" ht="12.5" x14ac:dyDescent="0.25">
      <c r="A142" s="61">
        <v>141</v>
      </c>
      <c r="B142" s="62">
        <v>44057</v>
      </c>
      <c r="C142" s="61">
        <v>12836</v>
      </c>
      <c r="D142" s="61">
        <v>328257</v>
      </c>
      <c r="E142" s="61">
        <f t="shared" si="0"/>
        <v>341093</v>
      </c>
      <c r="F142" s="63">
        <f t="shared" si="1"/>
        <v>3.7631965475691379E-2</v>
      </c>
    </row>
    <row r="143" spans="1:6" ht="12.5" x14ac:dyDescent="0.25">
      <c r="A143" s="61">
        <v>142</v>
      </c>
      <c r="B143" s="62">
        <v>44058</v>
      </c>
      <c r="C143" s="61">
        <v>12836</v>
      </c>
      <c r="D143" s="61">
        <v>329362</v>
      </c>
      <c r="E143" s="61">
        <f t="shared" si="0"/>
        <v>342198</v>
      </c>
      <c r="F143" s="63">
        <f t="shared" si="1"/>
        <v>3.7510447168013841E-2</v>
      </c>
    </row>
    <row r="144" spans="1:6" ht="12.5" x14ac:dyDescent="0.25">
      <c r="A144" s="61">
        <v>143</v>
      </c>
      <c r="B144" s="62">
        <v>44059</v>
      </c>
      <c r="C144" s="61">
        <v>12836</v>
      </c>
      <c r="D144" s="61">
        <v>329662</v>
      </c>
      <c r="E144" s="61">
        <f t="shared" si="0"/>
        <v>342498</v>
      </c>
      <c r="F144" s="63">
        <f t="shared" si="1"/>
        <v>3.747759111002108E-2</v>
      </c>
    </row>
    <row r="145" spans="1:6" ht="12.5" x14ac:dyDescent="0.25">
      <c r="A145" s="61">
        <v>144</v>
      </c>
      <c r="B145" s="62">
        <v>44060</v>
      </c>
      <c r="C145" s="61">
        <v>12841</v>
      </c>
      <c r="D145" s="61">
        <v>330273</v>
      </c>
      <c r="E145" s="61">
        <f t="shared" si="0"/>
        <v>343114</v>
      </c>
      <c r="F145" s="63">
        <f t="shared" si="1"/>
        <v>3.742487919466999E-2</v>
      </c>
    </row>
    <row r="146" spans="1:6" ht="12.5" x14ac:dyDescent="0.25">
      <c r="A146" s="61">
        <v>145</v>
      </c>
      <c r="B146" s="62">
        <v>44061</v>
      </c>
      <c r="C146" s="61">
        <v>12841</v>
      </c>
      <c r="D146" s="61">
        <v>334434</v>
      </c>
      <c r="E146" s="61">
        <f t="shared" si="0"/>
        <v>347275</v>
      </c>
      <c r="F146" s="63">
        <f t="shared" si="1"/>
        <v>3.6976459578144119E-2</v>
      </c>
    </row>
    <row r="147" spans="1:6" ht="12.5" x14ac:dyDescent="0.25">
      <c r="A147" s="61">
        <v>146</v>
      </c>
      <c r="B147" s="62">
        <v>44062</v>
      </c>
      <c r="C147" s="61">
        <v>12841</v>
      </c>
      <c r="D147" s="61">
        <v>334581</v>
      </c>
      <c r="E147" s="61">
        <f t="shared" si="0"/>
        <v>347422</v>
      </c>
      <c r="F147" s="63">
        <f t="shared" si="1"/>
        <v>3.6960814225926973E-2</v>
      </c>
    </row>
    <row r="148" spans="1:6" ht="12.5" x14ac:dyDescent="0.25">
      <c r="A148" s="61">
        <v>147</v>
      </c>
      <c r="B148" s="62">
        <v>44063</v>
      </c>
      <c r="C148" s="61">
        <v>12845</v>
      </c>
      <c r="D148" s="61">
        <v>335677</v>
      </c>
      <c r="E148" s="61">
        <f t="shared" si="0"/>
        <v>348522</v>
      </c>
      <c r="F148" s="63">
        <f t="shared" si="1"/>
        <v>3.6855636086100735E-2</v>
      </c>
    </row>
    <row r="149" spans="1:6" ht="12.5" x14ac:dyDescent="0.25">
      <c r="A149" s="61">
        <v>148</v>
      </c>
      <c r="B149" s="62">
        <v>44064</v>
      </c>
      <c r="C149" s="61">
        <v>12845</v>
      </c>
      <c r="D149" s="61">
        <v>336177</v>
      </c>
      <c r="E149" s="61">
        <f t="shared" si="0"/>
        <v>349022</v>
      </c>
      <c r="F149" s="63">
        <f t="shared" si="1"/>
        <v>3.6802837643472329E-2</v>
      </c>
    </row>
    <row r="150" spans="1:6" ht="12.5" x14ac:dyDescent="0.25">
      <c r="A150" s="61">
        <v>149</v>
      </c>
      <c r="B150" s="62">
        <v>44065</v>
      </c>
      <c r="C150" s="61">
        <v>12850</v>
      </c>
      <c r="D150" s="61">
        <v>336372</v>
      </c>
      <c r="E150" s="61">
        <f t="shared" si="0"/>
        <v>349222</v>
      </c>
      <c r="F150" s="63">
        <f t="shared" si="1"/>
        <v>3.6796078139407024E-2</v>
      </c>
    </row>
    <row r="151" spans="1:6" ht="12.5" x14ac:dyDescent="0.25">
      <c r="A151" s="61">
        <v>150</v>
      </c>
      <c r="B151" s="62">
        <v>44066</v>
      </c>
      <c r="C151" s="61">
        <v>12852</v>
      </c>
      <c r="D151" s="61">
        <v>336570</v>
      </c>
      <c r="E151" s="61">
        <f t="shared" si="0"/>
        <v>349422</v>
      </c>
      <c r="F151" s="63">
        <f t="shared" si="1"/>
        <v>3.6780740766179577E-2</v>
      </c>
    </row>
    <row r="152" spans="1:6" ht="12.5" x14ac:dyDescent="0.25">
      <c r="A152" s="61">
        <v>151</v>
      </c>
      <c r="B152" s="62">
        <v>44067</v>
      </c>
      <c r="C152" s="61">
        <v>13064</v>
      </c>
      <c r="D152" s="61">
        <v>338869</v>
      </c>
      <c r="E152" s="61">
        <f t="shared" si="0"/>
        <v>351933</v>
      </c>
      <c r="F152" s="63">
        <f t="shared" si="1"/>
        <v>3.7120701951791964E-2</v>
      </c>
    </row>
    <row r="153" spans="1:6" ht="12.5" x14ac:dyDescent="0.25">
      <c r="A153" s="61">
        <v>152</v>
      </c>
      <c r="B153" s="62">
        <v>44068</v>
      </c>
      <c r="C153" s="61">
        <v>13092</v>
      </c>
      <c r="D153" s="61">
        <v>339240</v>
      </c>
      <c r="E153" s="61">
        <f t="shared" si="0"/>
        <v>352332</v>
      </c>
      <c r="F153" s="63">
        <f t="shared" si="1"/>
        <v>3.7158134940908007E-2</v>
      </c>
    </row>
    <row r="154" spans="1:6" ht="12.5" x14ac:dyDescent="0.25">
      <c r="A154" s="61">
        <v>153</v>
      </c>
      <c r="B154" s="62">
        <v>44069</v>
      </c>
      <c r="C154" s="61">
        <v>13092</v>
      </c>
      <c r="D154" s="61">
        <v>339240</v>
      </c>
      <c r="E154" s="61">
        <f t="shared" si="0"/>
        <v>352332</v>
      </c>
      <c r="F154" s="63">
        <f t="shared" si="1"/>
        <v>3.7158134940908007E-2</v>
      </c>
    </row>
    <row r="155" spans="1:6" ht="12.5" x14ac:dyDescent="0.25">
      <c r="A155" s="61">
        <v>154</v>
      </c>
      <c r="B155" s="62">
        <v>44070</v>
      </c>
      <c r="C155" s="61">
        <v>13092</v>
      </c>
      <c r="D155" s="61">
        <v>339240</v>
      </c>
      <c r="E155" s="61">
        <f t="shared" si="0"/>
        <v>352332</v>
      </c>
      <c r="F155" s="63">
        <f t="shared" si="1"/>
        <v>3.7158134940908007E-2</v>
      </c>
    </row>
    <row r="156" spans="1:6" ht="12.5" x14ac:dyDescent="0.25">
      <c r="A156" s="61">
        <v>155</v>
      </c>
      <c r="B156" s="62">
        <v>44071</v>
      </c>
      <c r="C156" s="61">
        <v>13757</v>
      </c>
      <c r="D156" s="61">
        <v>349105</v>
      </c>
      <c r="E156" s="61">
        <f t="shared" si="0"/>
        <v>362862</v>
      </c>
      <c r="F156" s="63">
        <f t="shared" si="1"/>
        <v>3.7912484636032431E-2</v>
      </c>
    </row>
    <row r="157" spans="1:6" ht="12.5" x14ac:dyDescent="0.25">
      <c r="A157" s="61">
        <v>156</v>
      </c>
      <c r="B157" s="62">
        <v>44072</v>
      </c>
      <c r="C157" s="61">
        <v>13760</v>
      </c>
      <c r="D157" s="61">
        <v>349202</v>
      </c>
      <c r="E157" s="61">
        <f t="shared" si="0"/>
        <v>362962</v>
      </c>
      <c r="F157" s="63">
        <f t="shared" si="1"/>
        <v>3.7910304659991956E-2</v>
      </c>
    </row>
    <row r="158" spans="1:6" ht="12.5" x14ac:dyDescent="0.25">
      <c r="A158" s="61">
        <v>157</v>
      </c>
      <c r="B158" s="62">
        <v>44073</v>
      </c>
      <c r="C158" s="61">
        <v>13764</v>
      </c>
      <c r="D158" s="61">
        <v>349298</v>
      </c>
      <c r="E158" s="61">
        <f t="shared" si="0"/>
        <v>363062</v>
      </c>
      <c r="F158" s="63">
        <f t="shared" si="1"/>
        <v>3.7910880235331706E-2</v>
      </c>
    </row>
    <row r="159" spans="1:6" ht="12.5" x14ac:dyDescent="0.25">
      <c r="A159" s="61">
        <v>158</v>
      </c>
      <c r="B159" s="62">
        <v>44074</v>
      </c>
      <c r="C159" s="61">
        <v>13764</v>
      </c>
      <c r="D159" s="61">
        <v>349933</v>
      </c>
      <c r="E159" s="61">
        <f t="shared" si="0"/>
        <v>363697</v>
      </c>
      <c r="F159" s="63">
        <f t="shared" si="1"/>
        <v>3.7844689398042877E-2</v>
      </c>
    </row>
    <row r="160" spans="1:6" ht="12.5" x14ac:dyDescent="0.25">
      <c r="A160" s="61">
        <v>159</v>
      </c>
      <c r="B160" s="62">
        <v>44075</v>
      </c>
      <c r="C160" s="61">
        <v>13792</v>
      </c>
      <c r="D160" s="61">
        <v>352905</v>
      </c>
      <c r="E160" s="61">
        <f t="shared" si="0"/>
        <v>366697</v>
      </c>
      <c r="F160" s="63">
        <f t="shared" si="1"/>
        <v>3.7611433963190319E-2</v>
      </c>
    </row>
    <row r="161" spans="1:6" ht="12.5" x14ac:dyDescent="0.25">
      <c r="A161" s="61">
        <v>160</v>
      </c>
      <c r="B161" s="62">
        <v>44076</v>
      </c>
      <c r="C161" s="61">
        <v>13804</v>
      </c>
      <c r="D161" s="61">
        <v>354893</v>
      </c>
      <c r="E161" s="61">
        <f t="shared" si="0"/>
        <v>368697</v>
      </c>
      <c r="F161" s="63">
        <f t="shared" si="1"/>
        <v>3.743995747185358E-2</v>
      </c>
    </row>
    <row r="162" spans="1:6" ht="12.5" x14ac:dyDescent="0.25">
      <c r="A162" s="61">
        <v>161</v>
      </c>
      <c r="B162" s="62">
        <v>44077</v>
      </c>
      <c r="C162" s="61">
        <v>14646</v>
      </c>
      <c r="D162" s="61">
        <v>368144</v>
      </c>
      <c r="E162" s="61">
        <f t="shared" si="0"/>
        <v>382790</v>
      </c>
      <c r="F162" s="63">
        <f t="shared" si="1"/>
        <v>3.8261187596332194E-2</v>
      </c>
    </row>
    <row r="163" spans="1:6" ht="12.5" x14ac:dyDescent="0.25">
      <c r="A163" s="61">
        <v>162</v>
      </c>
      <c r="B163" s="62">
        <v>44078</v>
      </c>
      <c r="C163" s="61">
        <v>14656</v>
      </c>
      <c r="D163" s="61">
        <v>368244</v>
      </c>
      <c r="E163" s="61">
        <f t="shared" si="0"/>
        <v>382900</v>
      </c>
      <c r="F163" s="63">
        <f t="shared" si="1"/>
        <v>3.8276312353094803E-2</v>
      </c>
    </row>
    <row r="164" spans="1:6" ht="12.5" x14ac:dyDescent="0.25">
      <c r="A164" s="61">
        <v>163</v>
      </c>
      <c r="B164" s="62">
        <v>44079</v>
      </c>
      <c r="C164" s="61">
        <v>14660</v>
      </c>
      <c r="D164" s="61">
        <v>368540</v>
      </c>
      <c r="E164" s="61">
        <f t="shared" si="0"/>
        <v>383200</v>
      </c>
      <c r="F164" s="63">
        <f t="shared" si="1"/>
        <v>3.8256784968684759E-2</v>
      </c>
    </row>
    <row r="165" spans="1:6" ht="12.5" x14ac:dyDescent="0.25">
      <c r="A165" s="61">
        <v>164</v>
      </c>
      <c r="B165" s="62">
        <v>44080</v>
      </c>
      <c r="C165" s="61">
        <v>14772</v>
      </c>
      <c r="D165" s="61">
        <v>369206</v>
      </c>
      <c r="E165" s="61">
        <f t="shared" si="0"/>
        <v>383978</v>
      </c>
      <c r="F165" s="63">
        <f t="shared" si="1"/>
        <v>3.8470954065076647E-2</v>
      </c>
    </row>
    <row r="166" spans="1:6" ht="12.5" x14ac:dyDescent="0.25">
      <c r="A166" s="61">
        <v>165</v>
      </c>
      <c r="B166" s="62">
        <v>44081</v>
      </c>
      <c r="C166" s="61">
        <v>15180</v>
      </c>
      <c r="D166" s="61">
        <v>374949</v>
      </c>
      <c r="E166" s="61">
        <f t="shared" si="0"/>
        <v>390129</v>
      </c>
      <c r="F166" s="63">
        <f t="shared" si="1"/>
        <v>3.8910206623962842E-2</v>
      </c>
    </row>
    <row r="167" spans="1:6" ht="12.5" x14ac:dyDescent="0.25">
      <c r="A167" s="61">
        <v>166</v>
      </c>
      <c r="B167" s="62">
        <v>44082</v>
      </c>
      <c r="C167" s="61">
        <v>15182</v>
      </c>
      <c r="D167" s="61">
        <v>375250</v>
      </c>
      <c r="E167" s="61">
        <f t="shared" si="0"/>
        <v>390432</v>
      </c>
      <c r="F167" s="63">
        <f t="shared" si="1"/>
        <v>3.888513236619949E-2</v>
      </c>
    </row>
    <row r="168" spans="1:6" ht="12.5" x14ac:dyDescent="0.25">
      <c r="A168" s="61">
        <v>167</v>
      </c>
      <c r="B168" s="62">
        <v>44083</v>
      </c>
      <c r="C168" s="61">
        <v>15190</v>
      </c>
      <c r="D168" s="61">
        <v>376242</v>
      </c>
      <c r="E168" s="61">
        <f t="shared" si="0"/>
        <v>391432</v>
      </c>
      <c r="F168" s="63">
        <f t="shared" si="1"/>
        <v>3.8806229434486708E-2</v>
      </c>
    </row>
    <row r="169" spans="1:6" ht="12.5" x14ac:dyDescent="0.25">
      <c r="A169" s="61">
        <v>168</v>
      </c>
      <c r="B169" s="62">
        <v>44084</v>
      </c>
      <c r="C169" s="61">
        <v>15210</v>
      </c>
      <c r="D169" s="61">
        <v>378222</v>
      </c>
      <c r="E169" s="61">
        <f t="shared" si="0"/>
        <v>393432</v>
      </c>
      <c r="F169" s="63">
        <f t="shared" si="1"/>
        <v>3.8659793814432991E-2</v>
      </c>
    </row>
    <row r="170" spans="1:6" ht="12.5" x14ac:dyDescent="0.25">
      <c r="A170" s="61">
        <v>169</v>
      </c>
      <c r="B170" s="62">
        <v>44085</v>
      </c>
      <c r="C170" s="61">
        <v>15210</v>
      </c>
      <c r="D170" s="61">
        <v>379327</v>
      </c>
      <c r="E170" s="61">
        <f t="shared" si="0"/>
        <v>394537</v>
      </c>
      <c r="F170" s="63">
        <f t="shared" si="1"/>
        <v>3.8551517348182809E-2</v>
      </c>
    </row>
    <row r="171" spans="1:6" ht="14.5" x14ac:dyDescent="0.35">
      <c r="A171" s="64">
        <v>170</v>
      </c>
      <c r="B171" s="62">
        <v>44086</v>
      </c>
      <c r="C171" s="65">
        <v>15214</v>
      </c>
      <c r="D171" s="65">
        <v>379523</v>
      </c>
      <c r="E171" s="61">
        <f t="shared" si="0"/>
        <v>394737</v>
      </c>
      <c r="F171" s="63">
        <f t="shared" si="1"/>
        <v>3.8542117916486165E-2</v>
      </c>
    </row>
    <row r="172" spans="1:6" ht="13" x14ac:dyDescent="0.3">
      <c r="A172" s="61">
        <v>171</v>
      </c>
      <c r="B172" s="62">
        <v>44087</v>
      </c>
      <c r="C172" s="65">
        <v>15230</v>
      </c>
      <c r="D172" s="65">
        <v>380353</v>
      </c>
      <c r="E172" s="61">
        <f t="shared" si="0"/>
        <v>395583</v>
      </c>
      <c r="F172" s="63">
        <f t="shared" si="1"/>
        <v>3.8500137771340023E-2</v>
      </c>
    </row>
    <row r="173" spans="1:6" ht="12.5" x14ac:dyDescent="0.25">
      <c r="A173" s="61">
        <v>172</v>
      </c>
      <c r="B173" s="62">
        <v>44088</v>
      </c>
      <c r="C173" s="61">
        <v>15255</v>
      </c>
      <c r="D173" s="61">
        <v>381328</v>
      </c>
      <c r="E173" s="61">
        <f t="shared" si="0"/>
        <v>396583</v>
      </c>
      <c r="F173" s="63">
        <f t="shared" si="1"/>
        <v>3.8466096630465754E-2</v>
      </c>
    </row>
    <row r="174" spans="1:6" ht="12.5" x14ac:dyDescent="0.25">
      <c r="A174" s="61">
        <v>173</v>
      </c>
      <c r="B174" s="62">
        <v>44089</v>
      </c>
      <c r="C174" s="61">
        <v>15265</v>
      </c>
      <c r="D174" s="61">
        <v>381818</v>
      </c>
      <c r="E174" s="61">
        <f t="shared" si="0"/>
        <v>397083</v>
      </c>
      <c r="F174" s="63">
        <f t="shared" si="1"/>
        <v>3.8442844443101316E-2</v>
      </c>
    </row>
    <row r="175" spans="1:6" ht="12.5" x14ac:dyDescent="0.25">
      <c r="A175" s="61">
        <v>174</v>
      </c>
      <c r="B175" s="62">
        <v>44090</v>
      </c>
      <c r="C175" s="61">
        <v>15270</v>
      </c>
      <c r="D175" s="61">
        <v>382013</v>
      </c>
      <c r="E175" s="61">
        <f t="shared" si="0"/>
        <v>397283</v>
      </c>
      <c r="F175" s="63">
        <f t="shared" si="1"/>
        <v>3.8436077053385122E-2</v>
      </c>
    </row>
    <row r="176" spans="1:6" ht="14.5" x14ac:dyDescent="0.35">
      <c r="A176" s="61">
        <v>175</v>
      </c>
      <c r="B176" s="62">
        <v>44091</v>
      </c>
      <c r="C176" s="64">
        <v>15275</v>
      </c>
      <c r="D176" s="64">
        <v>382108</v>
      </c>
      <c r="E176" s="61">
        <f t="shared" si="0"/>
        <v>397383</v>
      </c>
      <c r="F176" s="63">
        <f t="shared" si="1"/>
        <v>3.8438987072924612E-2</v>
      </c>
    </row>
    <row r="177" spans="1:26" ht="12.5" x14ac:dyDescent="0.25">
      <c r="A177" s="61">
        <v>176</v>
      </c>
      <c r="B177" s="62">
        <v>44092</v>
      </c>
      <c r="C177" s="61">
        <v>15250</v>
      </c>
      <c r="D177" s="61">
        <v>383083</v>
      </c>
      <c r="E177" s="61">
        <f t="shared" si="0"/>
        <v>398333</v>
      </c>
      <c r="F177" s="63">
        <f t="shared" si="1"/>
        <v>3.8284550865732944E-2</v>
      </c>
    </row>
    <row r="178" spans="1:26" ht="14.5" x14ac:dyDescent="0.35">
      <c r="A178" s="64">
        <v>177</v>
      </c>
      <c r="B178" s="62">
        <v>44093</v>
      </c>
      <c r="C178" s="66">
        <v>15250</v>
      </c>
      <c r="D178" s="66">
        <v>383183</v>
      </c>
      <c r="E178" s="61">
        <f t="shared" si="0"/>
        <v>398433</v>
      </c>
      <c r="F178" s="63">
        <f t="shared" si="1"/>
        <v>3.827494208562042E-2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5" x14ac:dyDescent="0.25">
      <c r="A179" s="61">
        <v>178</v>
      </c>
      <c r="B179" s="62">
        <v>44094</v>
      </c>
      <c r="C179" s="61">
        <v>15350</v>
      </c>
      <c r="D179" s="61">
        <v>384083</v>
      </c>
      <c r="E179" s="61">
        <f t="shared" si="0"/>
        <v>399433</v>
      </c>
      <c r="F179" s="63">
        <f t="shared" si="1"/>
        <v>3.8429473779081846E-2</v>
      </c>
    </row>
    <row r="180" spans="1:26" ht="12.5" x14ac:dyDescent="0.25">
      <c r="A180" s="61">
        <v>179</v>
      </c>
      <c r="B180" s="62">
        <v>44095</v>
      </c>
      <c r="C180" s="61">
        <v>15360</v>
      </c>
      <c r="D180" s="61">
        <v>384173</v>
      </c>
      <c r="E180" s="61">
        <f t="shared" si="0"/>
        <v>399533</v>
      </c>
      <c r="F180" s="63">
        <f t="shared" si="1"/>
        <v>3.8444884402539965E-2</v>
      </c>
    </row>
    <row r="181" spans="1:26" ht="12.5" x14ac:dyDescent="0.25">
      <c r="A181" s="61">
        <v>180</v>
      </c>
      <c r="B181" s="62">
        <v>44096</v>
      </c>
      <c r="C181" s="61">
        <v>15370</v>
      </c>
      <c r="D181" s="61">
        <v>384363</v>
      </c>
      <c r="E181" s="61">
        <f t="shared" si="0"/>
        <v>399733</v>
      </c>
      <c r="F181" s="63">
        <f t="shared" si="1"/>
        <v>3.8450665819434474E-2</v>
      </c>
    </row>
    <row r="182" spans="1:26" ht="12.5" x14ac:dyDescent="0.25">
      <c r="A182" s="61">
        <v>181</v>
      </c>
      <c r="B182" s="62">
        <v>44097</v>
      </c>
      <c r="C182" s="61">
        <v>15375</v>
      </c>
      <c r="D182" s="61">
        <v>384458</v>
      </c>
      <c r="E182" s="61">
        <f t="shared" si="0"/>
        <v>399833</v>
      </c>
      <c r="F182" s="63">
        <f t="shared" si="1"/>
        <v>3.8453554358944861E-2</v>
      </c>
    </row>
    <row r="183" spans="1:26" ht="12.5" x14ac:dyDescent="0.25">
      <c r="A183" s="61">
        <v>182</v>
      </c>
      <c r="B183" s="62">
        <v>44098</v>
      </c>
      <c r="C183" s="66">
        <v>15385</v>
      </c>
      <c r="D183" s="66">
        <v>384298</v>
      </c>
      <c r="E183" s="61">
        <f t="shared" si="0"/>
        <v>399683</v>
      </c>
      <c r="F183" s="63">
        <f t="shared" si="1"/>
        <v>3.8493005707022819E-2</v>
      </c>
    </row>
    <row r="184" spans="1:26" ht="12.5" x14ac:dyDescent="0.25">
      <c r="A184" s="61">
        <v>183</v>
      </c>
      <c r="B184" s="62">
        <v>44099</v>
      </c>
      <c r="C184" s="61">
        <v>15485</v>
      </c>
      <c r="D184" s="61">
        <v>385198</v>
      </c>
      <c r="E184" s="61">
        <f t="shared" si="0"/>
        <v>400683</v>
      </c>
      <c r="F184" s="63">
        <f t="shared" si="1"/>
        <v>3.8646511082326925E-2</v>
      </c>
    </row>
    <row r="185" spans="1:26" ht="14.5" x14ac:dyDescent="0.35">
      <c r="A185" s="64">
        <v>184</v>
      </c>
      <c r="B185" s="62">
        <v>44100</v>
      </c>
      <c r="C185" s="66">
        <v>15505</v>
      </c>
      <c r="D185" s="66">
        <v>386178</v>
      </c>
      <c r="E185" s="61">
        <f t="shared" si="0"/>
        <v>401683</v>
      </c>
      <c r="F185" s="63">
        <f t="shared" si="1"/>
        <v>3.8600090120816666E-2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5" x14ac:dyDescent="0.25">
      <c r="A186" s="61">
        <v>185</v>
      </c>
      <c r="B186" s="62">
        <v>44101</v>
      </c>
      <c r="C186" s="61">
        <v>15555</v>
      </c>
      <c r="D186" s="61">
        <v>387128</v>
      </c>
      <c r="E186" s="61">
        <f t="shared" si="0"/>
        <v>402683</v>
      </c>
      <c r="F186" s="63">
        <f t="shared" si="1"/>
        <v>3.8628400006953362E-2</v>
      </c>
    </row>
    <row r="187" spans="1:26" ht="14.5" x14ac:dyDescent="0.35">
      <c r="A187" s="64">
        <v>186</v>
      </c>
      <c r="B187" s="62">
        <v>44102</v>
      </c>
      <c r="C187" s="66">
        <v>15559</v>
      </c>
      <c r="D187" s="66">
        <v>387324</v>
      </c>
      <c r="E187" s="61">
        <f t="shared" si="0"/>
        <v>402883</v>
      </c>
      <c r="F187" s="63">
        <f t="shared" si="1"/>
        <v>3.861915245865425E-2</v>
      </c>
    </row>
    <row r="188" spans="1:26" ht="12.5" x14ac:dyDescent="0.25">
      <c r="A188" s="61">
        <v>187</v>
      </c>
      <c r="B188" s="62">
        <v>44103</v>
      </c>
      <c r="C188" s="61">
        <v>24624</v>
      </c>
      <c r="D188" s="61">
        <v>531971</v>
      </c>
      <c r="E188" s="61">
        <f t="shared" si="0"/>
        <v>556595</v>
      </c>
      <c r="F188" s="63">
        <f t="shared" si="1"/>
        <v>4.4240426162649685E-2</v>
      </c>
    </row>
    <row r="189" spans="1:26" ht="12.5" x14ac:dyDescent="0.25">
      <c r="A189" s="61">
        <v>188</v>
      </c>
      <c r="B189" s="62">
        <v>44104</v>
      </c>
      <c r="C189" s="61">
        <v>24624</v>
      </c>
      <c r="D189" s="61">
        <v>531971</v>
      </c>
      <c r="E189" s="61">
        <f t="shared" si="0"/>
        <v>556595</v>
      </c>
      <c r="F189" s="63">
        <f t="shared" si="1"/>
        <v>4.4240426162649685E-2</v>
      </c>
    </row>
    <row r="190" spans="1:26" ht="14.5" x14ac:dyDescent="0.35">
      <c r="A190" s="64">
        <v>189</v>
      </c>
      <c r="B190" s="62">
        <v>44105</v>
      </c>
      <c r="C190" s="66">
        <v>24630</v>
      </c>
      <c r="D190" s="66">
        <v>532965</v>
      </c>
      <c r="E190" s="61">
        <f t="shared" si="0"/>
        <v>557595</v>
      </c>
      <c r="F190" s="63">
        <f t="shared" si="1"/>
        <v>4.4171845156430745E-2</v>
      </c>
    </row>
    <row r="191" spans="1:26" ht="12.5" x14ac:dyDescent="0.25">
      <c r="A191" s="61">
        <v>190</v>
      </c>
      <c r="B191" s="62">
        <v>44106</v>
      </c>
      <c r="C191" s="61">
        <v>24635</v>
      </c>
      <c r="D191" s="61">
        <v>533160</v>
      </c>
      <c r="E191" s="61">
        <f t="shared" si="0"/>
        <v>557795</v>
      </c>
      <c r="F191" s="63">
        <f t="shared" si="1"/>
        <v>4.4164971001891373E-2</v>
      </c>
    </row>
    <row r="192" spans="1:26" ht="14.5" x14ac:dyDescent="0.35">
      <c r="A192" s="64">
        <v>191</v>
      </c>
      <c r="B192" s="62">
        <v>44107</v>
      </c>
      <c r="C192" s="66">
        <v>24640</v>
      </c>
      <c r="D192" s="66">
        <v>533355</v>
      </c>
      <c r="E192" s="61">
        <f t="shared" si="0"/>
        <v>557995</v>
      </c>
      <c r="F192" s="63">
        <f t="shared" si="1"/>
        <v>4.4158101775105513E-2</v>
      </c>
    </row>
    <row r="193" spans="1:26" ht="12.5" x14ac:dyDescent="0.25">
      <c r="A193" s="61">
        <v>192</v>
      </c>
      <c r="B193" s="62">
        <v>44108</v>
      </c>
      <c r="C193" s="61">
        <v>24670</v>
      </c>
      <c r="D193" s="61">
        <v>534325</v>
      </c>
      <c r="E193" s="61">
        <f t="shared" si="0"/>
        <v>558995</v>
      </c>
      <c r="F193" s="63">
        <f t="shared" si="1"/>
        <v>4.4132773996189589E-2</v>
      </c>
    </row>
    <row r="194" spans="1:26" ht="12.5" x14ac:dyDescent="0.25">
      <c r="A194" s="61">
        <v>193</v>
      </c>
      <c r="B194" s="62">
        <v>44109</v>
      </c>
      <c r="C194" s="61">
        <v>25486</v>
      </c>
      <c r="D194" s="61">
        <v>540285</v>
      </c>
      <c r="E194" s="61">
        <f t="shared" si="0"/>
        <v>565771</v>
      </c>
      <c r="F194" s="63">
        <f t="shared" si="1"/>
        <v>4.5046494076225185E-2</v>
      </c>
    </row>
    <row r="195" spans="1:26" ht="12.5" x14ac:dyDescent="0.25">
      <c r="A195" s="61">
        <v>194</v>
      </c>
      <c r="B195" s="62">
        <v>44110</v>
      </c>
      <c r="C195" s="61">
        <v>25486</v>
      </c>
      <c r="D195" s="61">
        <v>540285</v>
      </c>
      <c r="E195" s="61">
        <f t="shared" si="0"/>
        <v>565771</v>
      </c>
      <c r="F195" s="63">
        <f t="shared" si="1"/>
        <v>4.5046494076225185E-2</v>
      </c>
    </row>
    <row r="196" spans="1:26" ht="12.5" x14ac:dyDescent="0.25">
      <c r="A196" s="61">
        <v>195</v>
      </c>
      <c r="B196" s="62">
        <v>44111</v>
      </c>
      <c r="C196" s="61">
        <v>25497</v>
      </c>
      <c r="D196" s="61">
        <v>540463</v>
      </c>
      <c r="E196" s="61">
        <f t="shared" si="0"/>
        <v>565960</v>
      </c>
      <c r="F196" s="63">
        <f t="shared" si="1"/>
        <v>4.5050886988479748E-2</v>
      </c>
    </row>
    <row r="197" spans="1:26" ht="12.5" x14ac:dyDescent="0.25">
      <c r="A197" s="61">
        <v>196</v>
      </c>
      <c r="B197" s="62">
        <v>44112</v>
      </c>
      <c r="C197" s="66">
        <v>25500</v>
      </c>
      <c r="D197" s="66">
        <v>540560</v>
      </c>
      <c r="E197" s="61">
        <f t="shared" si="0"/>
        <v>566060</v>
      </c>
      <c r="F197" s="63">
        <f t="shared" si="1"/>
        <v>4.504822810302795E-2</v>
      </c>
    </row>
    <row r="198" spans="1:26" ht="12.5" x14ac:dyDescent="0.25">
      <c r="A198" s="61">
        <v>197</v>
      </c>
      <c r="B198" s="62">
        <v>44113</v>
      </c>
      <c r="C198" s="61">
        <v>25520</v>
      </c>
      <c r="D198" s="61">
        <v>541540</v>
      </c>
      <c r="E198" s="61">
        <f t="shared" si="0"/>
        <v>567060</v>
      </c>
      <c r="F198" s="63">
        <f t="shared" si="1"/>
        <v>4.5004056008182552E-2</v>
      </c>
    </row>
    <row r="199" spans="1:26" ht="14.5" x14ac:dyDescent="0.35">
      <c r="A199" s="64">
        <v>198</v>
      </c>
      <c r="B199" s="62">
        <v>44114</v>
      </c>
      <c r="C199" s="66">
        <v>25525</v>
      </c>
      <c r="D199" s="66">
        <v>541635</v>
      </c>
      <c r="E199" s="61">
        <f t="shared" si="0"/>
        <v>567160</v>
      </c>
      <c r="F199" s="63">
        <f t="shared" si="1"/>
        <v>4.5004936878482261E-2</v>
      </c>
    </row>
    <row r="200" spans="1:26" ht="12.5" x14ac:dyDescent="0.25">
      <c r="A200" s="61">
        <v>199</v>
      </c>
      <c r="B200" s="62">
        <v>44115</v>
      </c>
      <c r="C200" s="61">
        <v>25525</v>
      </c>
      <c r="D200" s="61">
        <v>541735</v>
      </c>
      <c r="E200" s="61">
        <f t="shared" si="0"/>
        <v>567260</v>
      </c>
      <c r="F200" s="63">
        <f t="shared" si="1"/>
        <v>4.4997003137890915E-2</v>
      </c>
    </row>
    <row r="201" spans="1:26" ht="14.5" x14ac:dyDescent="0.35">
      <c r="A201" s="64">
        <v>200</v>
      </c>
      <c r="B201" s="62">
        <v>44116</v>
      </c>
      <c r="C201" s="66">
        <v>25545</v>
      </c>
      <c r="D201" s="66">
        <v>542715</v>
      </c>
      <c r="E201" s="61">
        <f t="shared" si="0"/>
        <v>568260</v>
      </c>
      <c r="F201" s="63">
        <f t="shared" si="1"/>
        <v>4.4953014465209586E-2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5" x14ac:dyDescent="0.25">
      <c r="A202" s="61">
        <v>201</v>
      </c>
      <c r="B202" s="62">
        <v>44117</v>
      </c>
      <c r="C202" s="61">
        <v>25609</v>
      </c>
      <c r="D202" s="61">
        <v>542715</v>
      </c>
      <c r="E202" s="61">
        <f t="shared" si="0"/>
        <v>568324</v>
      </c>
      <c r="F202" s="63">
        <f t="shared" si="1"/>
        <v>4.5060564044453515E-2</v>
      </c>
    </row>
    <row r="203" spans="1:26" ht="12.5" x14ac:dyDescent="0.25">
      <c r="A203" s="61">
        <v>202</v>
      </c>
      <c r="B203" s="62">
        <v>44118</v>
      </c>
      <c r="C203" s="61">
        <v>25612</v>
      </c>
      <c r="D203" s="61">
        <v>543968</v>
      </c>
      <c r="E203" s="61">
        <f t="shared" si="0"/>
        <v>569580</v>
      </c>
      <c r="F203" s="63">
        <f t="shared" si="1"/>
        <v>4.4966466519189577E-2</v>
      </c>
    </row>
    <row r="204" spans="1:26" ht="12.5" x14ac:dyDescent="0.25">
      <c r="A204" s="66">
        <v>203</v>
      </c>
      <c r="B204" s="62">
        <v>44119</v>
      </c>
      <c r="C204" s="66">
        <v>25672</v>
      </c>
      <c r="D204" s="66">
        <v>544149</v>
      </c>
      <c r="E204" s="61">
        <f t="shared" si="0"/>
        <v>569821</v>
      </c>
      <c r="F204" s="63">
        <f t="shared" si="1"/>
        <v>4.5052744633841152E-2</v>
      </c>
    </row>
    <row r="205" spans="1:26" ht="12.5" x14ac:dyDescent="0.25">
      <c r="A205" s="61">
        <v>204</v>
      </c>
      <c r="B205" s="62">
        <v>44120</v>
      </c>
      <c r="C205" s="61">
        <v>25672</v>
      </c>
      <c r="D205" s="61">
        <v>544249</v>
      </c>
      <c r="E205" s="61">
        <f t="shared" si="0"/>
        <v>569921</v>
      </c>
      <c r="F205" s="63">
        <f t="shared" si="1"/>
        <v>4.5044839547937345E-2</v>
      </c>
    </row>
    <row r="206" spans="1:26" ht="12.5" x14ac:dyDescent="0.25">
      <c r="A206" s="66">
        <v>205</v>
      </c>
      <c r="B206" s="62">
        <v>44121</v>
      </c>
      <c r="C206" s="66">
        <v>25672</v>
      </c>
      <c r="D206" s="66">
        <v>544299</v>
      </c>
      <c r="E206" s="61">
        <f t="shared" si="0"/>
        <v>569971</v>
      </c>
      <c r="F206" s="63">
        <f t="shared" si="1"/>
        <v>4.5040888045181249E-2</v>
      </c>
    </row>
    <row r="207" spans="1:26" ht="12.5" x14ac:dyDescent="0.25">
      <c r="A207" s="61">
        <v>206</v>
      </c>
      <c r="B207" s="62">
        <v>44122</v>
      </c>
      <c r="C207" s="61">
        <v>25672</v>
      </c>
      <c r="D207" s="61">
        <v>544299</v>
      </c>
      <c r="E207" s="61">
        <f t="shared" si="0"/>
        <v>569971</v>
      </c>
      <c r="F207" s="63">
        <f t="shared" si="1"/>
        <v>4.5040888045181249E-2</v>
      </c>
    </row>
    <row r="208" spans="1:26" ht="12.5" x14ac:dyDescent="0.25">
      <c r="A208" s="66">
        <v>207</v>
      </c>
      <c r="B208" s="62">
        <v>44123</v>
      </c>
      <c r="C208" s="61">
        <v>25975</v>
      </c>
      <c r="D208" s="61">
        <v>545096</v>
      </c>
      <c r="E208" s="61">
        <f t="shared" si="0"/>
        <v>571071</v>
      </c>
      <c r="F208" s="63">
        <f t="shared" si="1"/>
        <v>4.5484712058570652E-2</v>
      </c>
    </row>
    <row r="209" spans="1:6" ht="12.5" x14ac:dyDescent="0.25">
      <c r="A209" s="61">
        <v>208</v>
      </c>
      <c r="B209" s="62">
        <v>44124</v>
      </c>
      <c r="C209" s="61">
        <v>25975</v>
      </c>
      <c r="D209" s="61">
        <v>545196</v>
      </c>
      <c r="E209" s="61">
        <f t="shared" si="0"/>
        <v>571171</v>
      </c>
      <c r="F209" s="63">
        <f t="shared" si="1"/>
        <v>4.547674864445149E-2</v>
      </c>
    </row>
    <row r="210" spans="1:6" ht="12.5" x14ac:dyDescent="0.25">
      <c r="A210" s="61">
        <v>209</v>
      </c>
      <c r="B210" s="62">
        <v>44125</v>
      </c>
      <c r="C210" s="61">
        <v>26301</v>
      </c>
      <c r="D210" s="61">
        <v>545872</v>
      </c>
      <c r="E210" s="61">
        <f t="shared" si="0"/>
        <v>572173</v>
      </c>
      <c r="F210" s="63">
        <f t="shared" si="1"/>
        <v>4.5966866664452884E-2</v>
      </c>
    </row>
    <row r="211" spans="1:6" ht="12.5" x14ac:dyDescent="0.25">
      <c r="A211" s="66">
        <v>210</v>
      </c>
      <c r="B211" s="62">
        <v>44126</v>
      </c>
      <c r="C211" s="66">
        <v>26301</v>
      </c>
      <c r="D211" s="66">
        <v>545872</v>
      </c>
      <c r="E211" s="61">
        <f t="shared" si="0"/>
        <v>572173</v>
      </c>
      <c r="F211" s="63">
        <f t="shared" si="1"/>
        <v>4.5966866664452884E-2</v>
      </c>
    </row>
    <row r="212" spans="1:6" ht="12.5" x14ac:dyDescent="0.25">
      <c r="A212" s="61">
        <v>211</v>
      </c>
      <c r="B212" s="62">
        <v>44127</v>
      </c>
      <c r="C212" s="61">
        <v>26301</v>
      </c>
      <c r="D212" s="61">
        <v>545972</v>
      </c>
      <c r="E212" s="61">
        <f t="shared" si="0"/>
        <v>572273</v>
      </c>
      <c r="F212" s="63">
        <f t="shared" si="1"/>
        <v>4.5958834332565049E-2</v>
      </c>
    </row>
    <row r="213" spans="1:6" ht="12.5" x14ac:dyDescent="0.25">
      <c r="A213" s="66">
        <v>212</v>
      </c>
      <c r="B213" s="62">
        <v>44128</v>
      </c>
      <c r="C213" s="66">
        <v>26301</v>
      </c>
      <c r="D213" s="66">
        <v>545972</v>
      </c>
      <c r="E213" s="61">
        <f t="shared" si="0"/>
        <v>572273</v>
      </c>
      <c r="F213" s="63">
        <f t="shared" si="1"/>
        <v>4.5958834332565049E-2</v>
      </c>
    </row>
    <row r="214" spans="1:6" ht="12.5" x14ac:dyDescent="0.25">
      <c r="A214" s="61">
        <v>213</v>
      </c>
      <c r="B214" s="62">
        <v>44129</v>
      </c>
      <c r="C214" s="61">
        <v>26321</v>
      </c>
      <c r="D214" s="61">
        <v>546952</v>
      </c>
      <c r="E214" s="61">
        <f t="shared" si="0"/>
        <v>573273</v>
      </c>
      <c r="F214" s="63">
        <f t="shared" si="1"/>
        <v>4.5913552530818649E-2</v>
      </c>
    </row>
    <row r="215" spans="1:6" ht="12.5" x14ac:dyDescent="0.25">
      <c r="A215" s="66">
        <v>214</v>
      </c>
      <c r="B215" s="62">
        <v>44130</v>
      </c>
      <c r="C215" s="66">
        <v>26321</v>
      </c>
      <c r="D215" s="66">
        <v>547052</v>
      </c>
      <c r="E215" s="61">
        <f t="shared" si="0"/>
        <v>573373</v>
      </c>
      <c r="F215" s="63">
        <f t="shared" si="1"/>
        <v>4.5905544907067476E-2</v>
      </c>
    </row>
    <row r="216" spans="1:6" ht="12.5" x14ac:dyDescent="0.25">
      <c r="A216" s="61">
        <v>215</v>
      </c>
      <c r="B216" s="62">
        <v>44131</v>
      </c>
      <c r="C216" s="61">
        <v>26321</v>
      </c>
      <c r="D216" s="61">
        <v>547152</v>
      </c>
      <c r="E216" s="61">
        <f t="shared" si="0"/>
        <v>573473</v>
      </c>
      <c r="F216" s="63">
        <f t="shared" si="1"/>
        <v>4.5897540075993115E-2</v>
      </c>
    </row>
    <row r="217" spans="1:6" ht="12.5" x14ac:dyDescent="0.25">
      <c r="A217" s="61">
        <v>216</v>
      </c>
      <c r="B217" s="62">
        <v>44132</v>
      </c>
      <c r="C217" s="61">
        <v>26321</v>
      </c>
      <c r="D217" s="61">
        <v>547252</v>
      </c>
      <c r="E217" s="61">
        <f t="shared" si="0"/>
        <v>573573</v>
      </c>
      <c r="F217" s="63">
        <f t="shared" si="1"/>
        <v>4.5889538036134894E-2</v>
      </c>
    </row>
    <row r="218" spans="1:6" ht="12.5" x14ac:dyDescent="0.25">
      <c r="A218" s="66">
        <v>217</v>
      </c>
      <c r="B218" s="62">
        <v>44133</v>
      </c>
      <c r="C218" s="66">
        <v>26321</v>
      </c>
      <c r="D218" s="66">
        <v>547352</v>
      </c>
      <c r="E218" s="61">
        <f t="shared" si="0"/>
        <v>573673</v>
      </c>
      <c r="F218" s="63">
        <f t="shared" si="1"/>
        <v>4.5881538786033162E-2</v>
      </c>
    </row>
    <row r="219" spans="1:6" ht="12.5" x14ac:dyDescent="0.25">
      <c r="A219" s="61">
        <v>218</v>
      </c>
      <c r="B219" s="62">
        <v>44134</v>
      </c>
      <c r="C219" s="61">
        <v>26321</v>
      </c>
      <c r="D219" s="61">
        <v>547452</v>
      </c>
      <c r="E219" s="61">
        <f t="shared" si="0"/>
        <v>573773</v>
      </c>
      <c r="F219" s="63">
        <f t="shared" si="1"/>
        <v>4.5873542324229272E-2</v>
      </c>
    </row>
    <row r="220" spans="1:6" ht="12.5" x14ac:dyDescent="0.25">
      <c r="A220" s="66">
        <v>219</v>
      </c>
      <c r="B220" s="62">
        <v>44135</v>
      </c>
      <c r="C220" s="66">
        <v>26321</v>
      </c>
      <c r="D220" s="66">
        <v>547552</v>
      </c>
      <c r="E220" s="61">
        <f t="shared" si="0"/>
        <v>573873</v>
      </c>
      <c r="F220" s="63">
        <f t="shared" si="1"/>
        <v>4.5865548649265606E-2</v>
      </c>
    </row>
    <row r="221" spans="1:6" ht="12.5" x14ac:dyDescent="0.25">
      <c r="A221" s="61">
        <v>220</v>
      </c>
      <c r="B221" s="62">
        <v>44136</v>
      </c>
      <c r="C221" s="61">
        <v>26321</v>
      </c>
      <c r="D221" s="61">
        <v>547652</v>
      </c>
      <c r="E221" s="61">
        <f t="shared" si="0"/>
        <v>573973</v>
      </c>
      <c r="F221" s="63">
        <f t="shared" si="1"/>
        <v>4.5857557759685558E-2</v>
      </c>
    </row>
    <row r="222" spans="1:6" ht="12.5" x14ac:dyDescent="0.25">
      <c r="A222" s="61">
        <v>221</v>
      </c>
      <c r="B222" s="62">
        <v>44137</v>
      </c>
      <c r="C222" s="61">
        <v>26897</v>
      </c>
      <c r="D222" s="61">
        <v>555445</v>
      </c>
      <c r="E222" s="61">
        <f t="shared" si="0"/>
        <v>582342</v>
      </c>
      <c r="F222" s="63">
        <f t="shared" si="1"/>
        <v>4.6187635444463908E-2</v>
      </c>
    </row>
    <row r="223" spans="1:6" ht="12.5" x14ac:dyDescent="0.25">
      <c r="A223" s="61">
        <v>222</v>
      </c>
      <c r="B223" s="62">
        <v>44138</v>
      </c>
      <c r="C223" s="61">
        <v>26897</v>
      </c>
      <c r="D223" s="61">
        <v>555545</v>
      </c>
      <c r="E223" s="61">
        <f t="shared" si="0"/>
        <v>582442</v>
      </c>
      <c r="F223" s="63">
        <f t="shared" si="1"/>
        <v>4.6179705447065976E-2</v>
      </c>
    </row>
    <row r="224" spans="1:6" ht="12.5" x14ac:dyDescent="0.25">
      <c r="A224" s="61">
        <v>223</v>
      </c>
      <c r="B224" s="62">
        <v>44139</v>
      </c>
      <c r="C224" s="61">
        <v>26897</v>
      </c>
      <c r="D224" s="61">
        <v>555645</v>
      </c>
      <c r="E224" s="61">
        <f t="shared" si="0"/>
        <v>582542</v>
      </c>
      <c r="F224" s="63">
        <f t="shared" si="1"/>
        <v>4.6171778172217626E-2</v>
      </c>
    </row>
    <row r="225" spans="1:26" ht="12.5" x14ac:dyDescent="0.25">
      <c r="A225" s="66">
        <v>224</v>
      </c>
      <c r="B225" s="62">
        <v>44140</v>
      </c>
      <c r="C225" s="66">
        <v>26897</v>
      </c>
      <c r="D225" s="66">
        <v>555745</v>
      </c>
      <c r="E225" s="61">
        <f t="shared" si="0"/>
        <v>582642</v>
      </c>
      <c r="F225" s="63">
        <f t="shared" si="1"/>
        <v>4.6163853618517034E-2</v>
      </c>
    </row>
    <row r="226" spans="1:26" ht="12.5" x14ac:dyDescent="0.25">
      <c r="A226" s="61">
        <v>225</v>
      </c>
      <c r="B226" s="62">
        <v>44141</v>
      </c>
      <c r="C226" s="61">
        <v>26897</v>
      </c>
      <c r="D226" s="61">
        <v>555845</v>
      </c>
      <c r="E226" s="61">
        <f t="shared" si="0"/>
        <v>582742</v>
      </c>
      <c r="F226" s="63">
        <f t="shared" si="1"/>
        <v>4.6155931784563321E-2</v>
      </c>
    </row>
    <row r="227" spans="1:26" ht="12.5" x14ac:dyDescent="0.25">
      <c r="A227" s="66">
        <v>226</v>
      </c>
      <c r="B227" s="62">
        <v>44142</v>
      </c>
      <c r="C227" s="66">
        <v>26897</v>
      </c>
      <c r="D227" s="66">
        <v>555945</v>
      </c>
      <c r="E227" s="61">
        <f t="shared" si="0"/>
        <v>582842</v>
      </c>
      <c r="F227" s="63">
        <f t="shared" si="1"/>
        <v>4.6148012668956594E-2</v>
      </c>
    </row>
    <row r="228" spans="1:26" ht="12.5" x14ac:dyDescent="0.25">
      <c r="A228" s="61">
        <v>227</v>
      </c>
      <c r="B228" s="62">
        <v>44143</v>
      </c>
      <c r="C228" s="61">
        <v>26897</v>
      </c>
      <c r="D228" s="61">
        <v>556045</v>
      </c>
      <c r="E228" s="61">
        <f t="shared" si="0"/>
        <v>582942</v>
      </c>
      <c r="F228" s="63">
        <f t="shared" si="1"/>
        <v>4.6140096270297901E-2</v>
      </c>
    </row>
    <row r="229" spans="1:26" ht="12.5" x14ac:dyDescent="0.25">
      <c r="A229" s="66">
        <v>228</v>
      </c>
      <c r="B229" s="62">
        <v>44144</v>
      </c>
      <c r="C229" s="66">
        <v>26897</v>
      </c>
      <c r="D229" s="66">
        <v>556145</v>
      </c>
      <c r="E229" s="61">
        <f t="shared" si="0"/>
        <v>583042</v>
      </c>
      <c r="F229" s="63">
        <f t="shared" si="1"/>
        <v>4.6132182587189256E-2</v>
      </c>
    </row>
    <row r="230" spans="1:26" ht="12.5" x14ac:dyDescent="0.25">
      <c r="A230" s="61">
        <v>229</v>
      </c>
      <c r="B230" s="62">
        <v>44145</v>
      </c>
      <c r="C230" s="61">
        <v>26897</v>
      </c>
      <c r="D230" s="61">
        <v>556245</v>
      </c>
      <c r="E230" s="61">
        <f t="shared" si="0"/>
        <v>583142</v>
      </c>
      <c r="F230" s="63">
        <f t="shared" si="1"/>
        <v>4.6124271618233639E-2</v>
      </c>
    </row>
    <row r="231" spans="1:26" ht="14.5" x14ac:dyDescent="0.35">
      <c r="A231" s="66">
        <v>230</v>
      </c>
      <c r="B231" s="62">
        <v>44146</v>
      </c>
      <c r="C231" s="66">
        <v>26897</v>
      </c>
      <c r="D231" s="66">
        <v>556345</v>
      </c>
      <c r="E231" s="61">
        <f t="shared" si="0"/>
        <v>583242</v>
      </c>
      <c r="F231" s="63">
        <f t="shared" si="1"/>
        <v>4.6116363362034972E-2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5" x14ac:dyDescent="0.25">
      <c r="A232" s="61">
        <v>231</v>
      </c>
      <c r="B232" s="62">
        <v>44147</v>
      </c>
      <c r="C232" s="61">
        <v>26897</v>
      </c>
      <c r="D232" s="61">
        <v>556445</v>
      </c>
      <c r="E232" s="61">
        <f t="shared" si="0"/>
        <v>583342</v>
      </c>
      <c r="F232" s="63">
        <f t="shared" si="1"/>
        <v>4.6108457817198148E-2</v>
      </c>
    </row>
    <row r="233" spans="1:26" ht="12.5" x14ac:dyDescent="0.25">
      <c r="A233" s="61">
        <v>232</v>
      </c>
      <c r="B233" s="62">
        <v>44148</v>
      </c>
      <c r="C233" s="61">
        <v>26897</v>
      </c>
      <c r="D233" s="61">
        <v>556545</v>
      </c>
      <c r="E233" s="61">
        <f t="shared" si="0"/>
        <v>583442</v>
      </c>
      <c r="F233" s="63">
        <f t="shared" si="1"/>
        <v>4.6100554982329005E-2</v>
      </c>
    </row>
    <row r="234" spans="1:26" ht="12.5" x14ac:dyDescent="0.25">
      <c r="A234" s="66">
        <v>233</v>
      </c>
      <c r="B234" s="62">
        <v>44149</v>
      </c>
      <c r="C234" s="66">
        <v>26897</v>
      </c>
      <c r="D234" s="66">
        <v>556645</v>
      </c>
      <c r="E234" s="61">
        <f t="shared" si="0"/>
        <v>583542</v>
      </c>
      <c r="F234" s="63">
        <f t="shared" si="1"/>
        <v>4.6092654856034358E-2</v>
      </c>
    </row>
    <row r="235" spans="1:26" ht="12.5" x14ac:dyDescent="0.25">
      <c r="A235" s="61">
        <v>234</v>
      </c>
      <c r="B235" s="62">
        <v>44150</v>
      </c>
      <c r="C235" s="61">
        <v>26897</v>
      </c>
      <c r="D235" s="61">
        <v>556645</v>
      </c>
      <c r="E235" s="61">
        <f t="shared" si="0"/>
        <v>583542</v>
      </c>
      <c r="F235" s="63">
        <f t="shared" si="1"/>
        <v>4.6092654856034358E-2</v>
      </c>
    </row>
    <row r="236" spans="1:26" ht="12.5" x14ac:dyDescent="0.25">
      <c r="A236" s="61">
        <v>235</v>
      </c>
      <c r="B236" s="62">
        <v>44151</v>
      </c>
      <c r="C236" s="61">
        <v>29545</v>
      </c>
      <c r="D236" s="61">
        <v>590879</v>
      </c>
      <c r="E236" s="61">
        <f t="shared" si="0"/>
        <v>620424</v>
      </c>
      <c r="F236" s="63">
        <f t="shared" si="1"/>
        <v>4.7620659420009544E-2</v>
      </c>
    </row>
    <row r="237" spans="1:26" ht="12.5" x14ac:dyDescent="0.25">
      <c r="A237" s="61">
        <v>236</v>
      </c>
      <c r="B237" s="62">
        <v>44152</v>
      </c>
      <c r="C237" s="61">
        <v>29545</v>
      </c>
      <c r="D237" s="61">
        <v>590979</v>
      </c>
      <c r="E237" s="61">
        <f t="shared" si="0"/>
        <v>620524</v>
      </c>
      <c r="F237" s="63">
        <f t="shared" si="1"/>
        <v>4.761298515448234E-2</v>
      </c>
    </row>
    <row r="238" spans="1:26" ht="12.5" x14ac:dyDescent="0.25">
      <c r="A238" s="61">
        <v>237</v>
      </c>
      <c r="B238" s="62">
        <v>44153</v>
      </c>
      <c r="C238" s="61">
        <v>29545</v>
      </c>
      <c r="D238" s="61">
        <v>591079</v>
      </c>
      <c r="E238" s="61">
        <f t="shared" si="0"/>
        <v>620624</v>
      </c>
      <c r="F238" s="63">
        <f t="shared" si="1"/>
        <v>4.7605313362035627E-2</v>
      </c>
    </row>
    <row r="239" spans="1:26" ht="12.5" x14ac:dyDescent="0.25">
      <c r="A239" s="66">
        <v>238</v>
      </c>
      <c r="B239" s="62">
        <v>44154</v>
      </c>
      <c r="C239" s="66">
        <v>29545</v>
      </c>
      <c r="D239" s="66">
        <v>591179</v>
      </c>
      <c r="E239" s="61">
        <f t="shared" si="0"/>
        <v>620724</v>
      </c>
      <c r="F239" s="63">
        <f t="shared" si="1"/>
        <v>4.7597644041474152E-2</v>
      </c>
    </row>
    <row r="240" spans="1:26" ht="12.5" x14ac:dyDescent="0.25">
      <c r="A240" s="61">
        <v>239</v>
      </c>
      <c r="B240" s="62">
        <v>44155</v>
      </c>
      <c r="C240" s="61">
        <v>29545</v>
      </c>
      <c r="D240" s="61">
        <v>591279</v>
      </c>
      <c r="E240" s="61">
        <f t="shared" si="0"/>
        <v>620824</v>
      </c>
      <c r="F240" s="63">
        <f t="shared" si="1"/>
        <v>4.7589977191603419E-2</v>
      </c>
    </row>
    <row r="241" spans="1:6" ht="12.5" x14ac:dyDescent="0.25">
      <c r="A241" s="66">
        <v>240</v>
      </c>
      <c r="B241" s="62">
        <v>44156</v>
      </c>
      <c r="C241" s="66">
        <v>29545</v>
      </c>
      <c r="D241" s="66">
        <v>591379</v>
      </c>
      <c r="E241" s="61">
        <f t="shared" si="0"/>
        <v>620924</v>
      </c>
      <c r="F241" s="63">
        <f t="shared" si="1"/>
        <v>4.7582312811229717E-2</v>
      </c>
    </row>
    <row r="242" spans="1:6" ht="12.5" x14ac:dyDescent="0.25">
      <c r="A242" s="61">
        <v>241</v>
      </c>
      <c r="B242" s="62">
        <v>44157</v>
      </c>
      <c r="C242" s="61">
        <v>29545</v>
      </c>
      <c r="D242" s="61">
        <v>591479</v>
      </c>
      <c r="E242" s="61">
        <f t="shared" si="0"/>
        <v>621024</v>
      </c>
      <c r="F242" s="63">
        <f t="shared" si="1"/>
        <v>4.7574650899160097E-2</v>
      </c>
    </row>
    <row r="243" spans="1:6" ht="12.5" x14ac:dyDescent="0.25">
      <c r="A243" s="66">
        <v>242</v>
      </c>
      <c r="B243" s="62">
        <v>44158</v>
      </c>
      <c r="C243" s="66">
        <v>29690</v>
      </c>
      <c r="D243" s="66">
        <v>591925</v>
      </c>
      <c r="E243" s="61">
        <f t="shared" si="0"/>
        <v>621615</v>
      </c>
      <c r="F243" s="63">
        <f t="shared" si="1"/>
        <v>4.7762682689446043E-2</v>
      </c>
    </row>
    <row r="244" spans="1:6" ht="12.5" x14ac:dyDescent="0.25">
      <c r="A244" s="61">
        <v>243</v>
      </c>
      <c r="B244" s="62">
        <v>44159</v>
      </c>
      <c r="C244" s="61">
        <v>31049</v>
      </c>
      <c r="D244" s="61">
        <v>597933</v>
      </c>
      <c r="E244" s="61">
        <f t="shared" si="0"/>
        <v>628982</v>
      </c>
      <c r="F244" s="63">
        <f t="shared" si="1"/>
        <v>4.9363892766406667E-2</v>
      </c>
    </row>
    <row r="245" spans="1:6" ht="12.5" x14ac:dyDescent="0.25">
      <c r="A245" s="61">
        <v>244</v>
      </c>
      <c r="B245" s="62">
        <v>44160</v>
      </c>
      <c r="C245" s="61">
        <v>31049</v>
      </c>
      <c r="D245" s="61">
        <v>597933</v>
      </c>
      <c r="E245" s="61">
        <f t="shared" si="0"/>
        <v>628982</v>
      </c>
      <c r="F245" s="63">
        <f t="shared" si="1"/>
        <v>4.9363892766406667E-2</v>
      </c>
    </row>
    <row r="246" spans="1:6" ht="12.5" x14ac:dyDescent="0.25">
      <c r="A246" s="66">
        <v>245</v>
      </c>
      <c r="B246" s="62">
        <v>44161</v>
      </c>
      <c r="C246" s="66">
        <v>31072</v>
      </c>
      <c r="D246" s="66">
        <v>598070</v>
      </c>
      <c r="E246" s="61">
        <f t="shared" si="0"/>
        <v>629142</v>
      </c>
      <c r="F246" s="63">
        <f t="shared" si="1"/>
        <v>4.9387896532102453E-2</v>
      </c>
    </row>
    <row r="247" spans="1:6" ht="12.5" x14ac:dyDescent="0.25">
      <c r="A247" s="66">
        <v>246</v>
      </c>
      <c r="B247" s="62">
        <v>44162</v>
      </c>
      <c r="C247" s="66">
        <v>31072</v>
      </c>
      <c r="D247" s="66">
        <v>598170</v>
      </c>
      <c r="E247" s="61">
        <f t="shared" si="0"/>
        <v>629242</v>
      </c>
      <c r="F247" s="63">
        <f t="shared" si="1"/>
        <v>4.9380047739979213E-2</v>
      </c>
    </row>
    <row r="248" spans="1:6" ht="12.5" x14ac:dyDescent="0.25">
      <c r="A248" s="61">
        <v>247</v>
      </c>
      <c r="B248" s="62">
        <v>44163</v>
      </c>
      <c r="C248" s="61">
        <v>31072</v>
      </c>
      <c r="D248" s="61">
        <v>598270</v>
      </c>
      <c r="E248" s="61">
        <f t="shared" si="0"/>
        <v>629342</v>
      </c>
      <c r="F248" s="63">
        <f t="shared" si="1"/>
        <v>4.9372201442141155E-2</v>
      </c>
    </row>
    <row r="249" spans="1:6" ht="12.5" x14ac:dyDescent="0.25">
      <c r="A249" s="66">
        <v>248</v>
      </c>
      <c r="B249" s="62">
        <v>44164</v>
      </c>
      <c r="C249" s="61">
        <v>31072</v>
      </c>
      <c r="D249" s="61">
        <v>598370</v>
      </c>
      <c r="E249" s="61">
        <f t="shared" si="0"/>
        <v>629442</v>
      </c>
      <c r="F249" s="63">
        <f t="shared" si="1"/>
        <v>4.9364357637399471E-2</v>
      </c>
    </row>
    <row r="250" spans="1:6" ht="12.5" x14ac:dyDescent="0.25">
      <c r="A250" s="61">
        <v>249</v>
      </c>
      <c r="B250" s="62">
        <v>44165</v>
      </c>
      <c r="C250" s="61">
        <v>31072</v>
      </c>
      <c r="D250" s="61">
        <v>598470</v>
      </c>
      <c r="E250" s="61">
        <f t="shared" si="0"/>
        <v>629542</v>
      </c>
      <c r="F250" s="63">
        <f t="shared" si="1"/>
        <v>4.9356516324566113E-2</v>
      </c>
    </row>
    <row r="251" spans="1:6" ht="12.5" x14ac:dyDescent="0.25">
      <c r="A251" s="61">
        <v>250</v>
      </c>
      <c r="B251" s="62">
        <v>44166</v>
      </c>
      <c r="C251" s="61">
        <v>31072</v>
      </c>
      <c r="D251" s="61">
        <v>598570</v>
      </c>
      <c r="E251" s="61">
        <f t="shared" si="0"/>
        <v>629642</v>
      </c>
      <c r="F251" s="63">
        <f t="shared" si="1"/>
        <v>4.9348677502453774E-2</v>
      </c>
    </row>
    <row r="252" spans="1:6" ht="12.5" x14ac:dyDescent="0.25">
      <c r="A252" s="61">
        <v>251</v>
      </c>
      <c r="B252" s="62">
        <v>44167</v>
      </c>
      <c r="C252" s="61">
        <v>31072</v>
      </c>
      <c r="D252" s="61">
        <v>598670</v>
      </c>
      <c r="E252" s="61">
        <f t="shared" si="0"/>
        <v>629742</v>
      </c>
      <c r="F252" s="63">
        <f t="shared" si="1"/>
        <v>4.9340841169875915E-2</v>
      </c>
    </row>
    <row r="253" spans="1:6" ht="12.5" x14ac:dyDescent="0.25">
      <c r="A253" s="66">
        <v>252</v>
      </c>
      <c r="B253" s="62">
        <v>44168</v>
      </c>
      <c r="C253" s="66">
        <v>32351</v>
      </c>
      <c r="D253" s="66">
        <v>607588</v>
      </c>
      <c r="E253" s="61">
        <f t="shared" si="0"/>
        <v>639939</v>
      </c>
      <c r="F253" s="63">
        <f t="shared" si="1"/>
        <v>5.0553255857198887E-2</v>
      </c>
    </row>
    <row r="254" spans="1:6" ht="12.5" x14ac:dyDescent="0.25">
      <c r="A254" s="66">
        <v>253</v>
      </c>
      <c r="B254" s="62">
        <v>44169</v>
      </c>
      <c r="C254" s="66">
        <v>32351</v>
      </c>
      <c r="D254" s="66">
        <v>607638</v>
      </c>
      <c r="E254" s="61">
        <f t="shared" si="0"/>
        <v>639989</v>
      </c>
      <c r="F254" s="63">
        <f t="shared" si="1"/>
        <v>5.054930631620231E-2</v>
      </c>
    </row>
    <row r="255" spans="1:6" ht="12.5" x14ac:dyDescent="0.25">
      <c r="A255" s="61">
        <v>254</v>
      </c>
      <c r="B255" s="62">
        <v>44170</v>
      </c>
      <c r="C255" s="61">
        <v>32351</v>
      </c>
      <c r="D255" s="61">
        <v>607738</v>
      </c>
      <c r="E255" s="61">
        <f t="shared" si="0"/>
        <v>640089</v>
      </c>
      <c r="F255" s="63">
        <f t="shared" si="1"/>
        <v>5.0541409085299076E-2</v>
      </c>
    </row>
    <row r="256" spans="1:6" ht="12.5" x14ac:dyDescent="0.25">
      <c r="A256" s="66">
        <v>255</v>
      </c>
      <c r="B256" s="62">
        <v>44171</v>
      </c>
      <c r="C256" s="61">
        <v>32351</v>
      </c>
      <c r="D256" s="61">
        <v>607838</v>
      </c>
      <c r="E256" s="61">
        <f t="shared" si="0"/>
        <v>640189</v>
      </c>
      <c r="F256" s="63">
        <f t="shared" si="1"/>
        <v>5.0533514321551919E-2</v>
      </c>
    </row>
    <row r="257" spans="1:6" ht="12.5" x14ac:dyDescent="0.25">
      <c r="A257" s="61">
        <v>256</v>
      </c>
      <c r="B257" s="62">
        <v>44172</v>
      </c>
      <c r="C257" s="61">
        <v>32351</v>
      </c>
      <c r="D257" s="61">
        <v>607938</v>
      </c>
      <c r="E257" s="61">
        <f t="shared" si="0"/>
        <v>640289</v>
      </c>
      <c r="F257" s="63">
        <f t="shared" si="1"/>
        <v>5.0525622023804874E-2</v>
      </c>
    </row>
    <row r="258" spans="1:6" ht="12.5" x14ac:dyDescent="0.25">
      <c r="A258" s="66">
        <v>257</v>
      </c>
      <c r="B258" s="62">
        <v>44173</v>
      </c>
      <c r="C258" s="66">
        <v>32351</v>
      </c>
      <c r="D258" s="66">
        <v>608038</v>
      </c>
      <c r="E258" s="61">
        <f t="shared" si="0"/>
        <v>640389</v>
      </c>
      <c r="F258" s="63">
        <f t="shared" si="1"/>
        <v>5.051773219090272E-2</v>
      </c>
    </row>
    <row r="259" spans="1:6" ht="12.5" x14ac:dyDescent="0.25">
      <c r="A259" s="61">
        <v>258</v>
      </c>
      <c r="B259" s="62">
        <v>44174</v>
      </c>
      <c r="C259" s="61">
        <v>32411</v>
      </c>
      <c r="D259" s="66">
        <v>608278</v>
      </c>
      <c r="E259" s="61">
        <f t="shared" si="0"/>
        <v>640689</v>
      </c>
      <c r="F259" s="63">
        <f t="shared" si="1"/>
        <v>5.0587726650527791E-2</v>
      </c>
    </row>
    <row r="260" spans="1:6" ht="12.5" x14ac:dyDescent="0.25">
      <c r="A260" s="66">
        <v>259</v>
      </c>
      <c r="B260" s="62">
        <v>44175</v>
      </c>
      <c r="C260" s="66">
        <v>32424</v>
      </c>
      <c r="D260" s="66">
        <v>608047</v>
      </c>
      <c r="E260" s="61">
        <f t="shared" si="0"/>
        <v>640471</v>
      </c>
      <c r="F260" s="63">
        <f t="shared" si="1"/>
        <v>5.062524298524055E-2</v>
      </c>
    </row>
    <row r="261" spans="1:6" ht="12.5" x14ac:dyDescent="0.25">
      <c r="A261" s="61">
        <v>260</v>
      </c>
      <c r="B261" s="62">
        <v>44176</v>
      </c>
      <c r="C261" s="61">
        <v>32424</v>
      </c>
      <c r="D261" s="66">
        <v>608147</v>
      </c>
      <c r="E261" s="61">
        <f t="shared" si="0"/>
        <v>640571</v>
      </c>
      <c r="F261" s="63">
        <f t="shared" si="1"/>
        <v>5.0617339842109615E-2</v>
      </c>
    </row>
    <row r="262" spans="1:6" ht="12.5" x14ac:dyDescent="0.25">
      <c r="A262" s="66">
        <v>261</v>
      </c>
      <c r="B262" s="62">
        <v>44177</v>
      </c>
      <c r="C262" s="66">
        <v>32424</v>
      </c>
      <c r="D262" s="66">
        <v>608247</v>
      </c>
      <c r="E262" s="61">
        <f t="shared" si="0"/>
        <v>640671</v>
      </c>
      <c r="F262" s="63">
        <f t="shared" si="1"/>
        <v>5.0609439166124266E-2</v>
      </c>
    </row>
    <row r="263" spans="1:6" ht="12.5" x14ac:dyDescent="0.25">
      <c r="A263" s="61">
        <v>262</v>
      </c>
      <c r="B263" s="62">
        <v>44178</v>
      </c>
      <c r="C263" s="61">
        <v>32424</v>
      </c>
      <c r="D263" s="66">
        <v>608665</v>
      </c>
      <c r="E263" s="61">
        <f t="shared" si="0"/>
        <v>641089</v>
      </c>
      <c r="F263" s="63">
        <f t="shared" si="1"/>
        <v>5.0576441024569131E-2</v>
      </c>
    </row>
    <row r="264" spans="1:6" ht="12.5" x14ac:dyDescent="0.25">
      <c r="A264" s="66">
        <v>263</v>
      </c>
      <c r="B264" s="62">
        <v>44179</v>
      </c>
      <c r="C264" s="61">
        <v>32424</v>
      </c>
      <c r="D264" s="66">
        <v>608765</v>
      </c>
      <c r="E264" s="61">
        <f t="shared" si="0"/>
        <v>641189</v>
      </c>
      <c r="F264" s="63">
        <f t="shared" si="1"/>
        <v>5.0568553109925467E-2</v>
      </c>
    </row>
    <row r="265" spans="1:6" ht="12.5" x14ac:dyDescent="0.25">
      <c r="A265" s="61">
        <v>264</v>
      </c>
      <c r="B265" s="62">
        <v>44180</v>
      </c>
      <c r="C265" s="61">
        <v>32424</v>
      </c>
      <c r="D265" s="66">
        <v>608865</v>
      </c>
      <c r="E265" s="61">
        <f t="shared" si="0"/>
        <v>641289</v>
      </c>
      <c r="F265" s="63">
        <f t="shared" si="1"/>
        <v>5.0560667655300498E-2</v>
      </c>
    </row>
    <row r="266" spans="1:6" ht="12.5" x14ac:dyDescent="0.25">
      <c r="A266" s="66">
        <v>265</v>
      </c>
      <c r="B266" s="62">
        <v>44181</v>
      </c>
      <c r="C266" s="61">
        <v>32527</v>
      </c>
      <c r="D266" s="66">
        <v>608929</v>
      </c>
      <c r="E266" s="61">
        <f t="shared" si="0"/>
        <v>641456</v>
      </c>
      <c r="F266" s="63">
        <f t="shared" si="1"/>
        <v>5.0708076625676585E-2</v>
      </c>
    </row>
    <row r="267" spans="1:6" ht="12.5" x14ac:dyDescent="0.25">
      <c r="A267" s="61">
        <v>266</v>
      </c>
      <c r="B267" s="62">
        <v>44182</v>
      </c>
      <c r="C267" s="61">
        <v>32527</v>
      </c>
      <c r="D267" s="66">
        <v>608979</v>
      </c>
      <c r="E267" s="61">
        <f t="shared" si="0"/>
        <v>641506</v>
      </c>
      <c r="F267" s="63">
        <f t="shared" si="1"/>
        <v>5.0704124357371559E-2</v>
      </c>
    </row>
    <row r="268" spans="1:6" ht="12.5" x14ac:dyDescent="0.25">
      <c r="A268" s="66">
        <v>267</v>
      </c>
      <c r="B268" s="62">
        <v>44183</v>
      </c>
      <c r="C268" s="61">
        <v>32527</v>
      </c>
      <c r="D268" s="66">
        <v>609079</v>
      </c>
      <c r="E268" s="61">
        <f t="shared" si="0"/>
        <v>641606</v>
      </c>
      <c r="F268" s="63">
        <f t="shared" si="1"/>
        <v>5.0696221668749979E-2</v>
      </c>
    </row>
    <row r="269" spans="1:6" ht="12.5" x14ac:dyDescent="0.25">
      <c r="A269" s="61">
        <v>268</v>
      </c>
      <c r="B269" s="62">
        <v>44184</v>
      </c>
      <c r="C269" s="61">
        <v>32527</v>
      </c>
      <c r="D269" s="66">
        <v>609179</v>
      </c>
      <c r="E269" s="61">
        <f t="shared" si="0"/>
        <v>641706</v>
      </c>
      <c r="F269" s="63">
        <f t="shared" si="1"/>
        <v>5.0688321443153092E-2</v>
      </c>
    </row>
    <row r="270" spans="1:6" ht="12.5" x14ac:dyDescent="0.25">
      <c r="A270" s="66">
        <v>269</v>
      </c>
      <c r="B270" s="62">
        <v>44185</v>
      </c>
      <c r="C270" s="61">
        <v>32527</v>
      </c>
      <c r="D270" s="66">
        <v>609279</v>
      </c>
      <c r="E270" s="61">
        <f t="shared" si="0"/>
        <v>641806</v>
      </c>
      <c r="F270" s="63">
        <f t="shared" si="1"/>
        <v>5.0680423679429612E-2</v>
      </c>
    </row>
    <row r="271" spans="1:6" ht="12.5" x14ac:dyDescent="0.25">
      <c r="A271" s="61">
        <v>270</v>
      </c>
      <c r="B271" s="62">
        <v>44186</v>
      </c>
      <c r="C271" s="61">
        <v>33190</v>
      </c>
      <c r="D271" s="66">
        <v>616946</v>
      </c>
      <c r="E271" s="61">
        <f t="shared" si="0"/>
        <v>650136</v>
      </c>
      <c r="F271" s="63">
        <f t="shared" si="1"/>
        <v>5.1050857051447698E-2</v>
      </c>
    </row>
    <row r="272" spans="1:6" ht="12.5" x14ac:dyDescent="0.25">
      <c r="A272" s="66">
        <v>271</v>
      </c>
      <c r="B272" s="62">
        <v>44187</v>
      </c>
      <c r="C272" s="61">
        <v>33190</v>
      </c>
      <c r="D272" s="66">
        <v>617046</v>
      </c>
      <c r="E272" s="61">
        <f t="shared" si="0"/>
        <v>650236</v>
      </c>
      <c r="F272" s="63">
        <f t="shared" si="1"/>
        <v>5.1043005924002981E-2</v>
      </c>
    </row>
    <row r="273" spans="1:6" ht="12.5" x14ac:dyDescent="0.25">
      <c r="A273" s="61">
        <v>272</v>
      </c>
      <c r="B273" s="62">
        <v>44188</v>
      </c>
      <c r="C273" s="61">
        <v>33190</v>
      </c>
      <c r="D273" s="66">
        <v>617146</v>
      </c>
      <c r="E273" s="61">
        <f t="shared" si="0"/>
        <v>650336</v>
      </c>
      <c r="F273" s="63">
        <f t="shared" si="1"/>
        <v>5.1035157211041675E-2</v>
      </c>
    </row>
    <row r="274" spans="1:6" ht="12.5" x14ac:dyDescent="0.25">
      <c r="A274" s="66">
        <v>273</v>
      </c>
      <c r="B274" s="62">
        <v>44189</v>
      </c>
      <c r="C274" s="61">
        <v>33190</v>
      </c>
      <c r="D274" s="66">
        <v>617256</v>
      </c>
      <c r="E274" s="61">
        <f t="shared" si="0"/>
        <v>650446</v>
      </c>
      <c r="F274" s="63">
        <f t="shared" si="1"/>
        <v>5.1026526414183496E-2</v>
      </c>
    </row>
    <row r="275" spans="1:6" ht="12.5" x14ac:dyDescent="0.25">
      <c r="A275" s="61">
        <v>274</v>
      </c>
      <c r="B275" s="62">
        <v>44190</v>
      </c>
      <c r="C275" s="61">
        <v>33190</v>
      </c>
      <c r="D275" s="66">
        <v>617356</v>
      </c>
      <c r="E275" s="61">
        <f t="shared" si="0"/>
        <v>650546</v>
      </c>
      <c r="F275" s="63">
        <f t="shared" si="1"/>
        <v>5.1018682768013329E-2</v>
      </c>
    </row>
    <row r="276" spans="1:6" ht="12.5" x14ac:dyDescent="0.25">
      <c r="A276" s="66">
        <v>275</v>
      </c>
      <c r="B276" s="62">
        <v>44191</v>
      </c>
      <c r="C276" s="61">
        <v>33190</v>
      </c>
      <c r="D276" s="66">
        <v>617456</v>
      </c>
      <c r="E276" s="61">
        <f t="shared" si="0"/>
        <v>650646</v>
      </c>
      <c r="F276" s="63">
        <f t="shared" si="1"/>
        <v>5.1010841532876557E-2</v>
      </c>
    </row>
    <row r="277" spans="1:6" ht="12.5" x14ac:dyDescent="0.25">
      <c r="A277" s="61">
        <v>276</v>
      </c>
      <c r="B277" s="62">
        <v>44192</v>
      </c>
      <c r="C277" s="61">
        <v>33190</v>
      </c>
      <c r="D277" s="66">
        <v>617556</v>
      </c>
      <c r="E277" s="61">
        <f t="shared" si="0"/>
        <v>650746</v>
      </c>
      <c r="F277" s="63">
        <f t="shared" si="1"/>
        <v>5.1003002707661671E-2</v>
      </c>
    </row>
    <row r="278" spans="1:6" ht="12.5" x14ac:dyDescent="0.25">
      <c r="A278" s="66">
        <v>277</v>
      </c>
      <c r="B278" s="62">
        <v>44193</v>
      </c>
      <c r="C278" s="61">
        <v>33239</v>
      </c>
      <c r="D278" s="66">
        <v>617766</v>
      </c>
      <c r="E278" s="61">
        <f t="shared" si="0"/>
        <v>651005</v>
      </c>
      <c r="F278" s="63">
        <f t="shared" si="1"/>
        <v>5.1057979585410251E-2</v>
      </c>
    </row>
    <row r="279" spans="1:6" ht="12.5" x14ac:dyDescent="0.25">
      <c r="A279" s="61">
        <v>278</v>
      </c>
      <c r="B279" s="62">
        <v>44194</v>
      </c>
      <c r="C279" s="61">
        <v>33239</v>
      </c>
      <c r="D279" s="66">
        <v>617866</v>
      </c>
      <c r="E279" s="61">
        <f t="shared" si="0"/>
        <v>651105</v>
      </c>
      <c r="F279" s="63">
        <f t="shared" si="1"/>
        <v>5.1050137842590673E-2</v>
      </c>
    </row>
    <row r="280" spans="1:6" ht="12.5" x14ac:dyDescent="0.25">
      <c r="A280" s="66">
        <v>279</v>
      </c>
      <c r="B280" s="62">
        <v>44195</v>
      </c>
      <c r="C280" s="61">
        <v>33239</v>
      </c>
      <c r="D280" s="66">
        <v>617966</v>
      </c>
      <c r="E280" s="61">
        <f t="shared" si="0"/>
        <v>651205</v>
      </c>
      <c r="F280" s="63">
        <f t="shared" si="1"/>
        <v>5.1042298508150279E-2</v>
      </c>
    </row>
    <row r="281" spans="1:6" ht="12.5" x14ac:dyDescent="0.25">
      <c r="A281" s="61">
        <v>280</v>
      </c>
      <c r="B281" s="62">
        <v>44196</v>
      </c>
      <c r="C281" s="61">
        <v>33239</v>
      </c>
      <c r="D281" s="66">
        <v>618066</v>
      </c>
      <c r="E281" s="61">
        <f t="shared" si="0"/>
        <v>651305</v>
      </c>
      <c r="F281" s="63">
        <f t="shared" si="1"/>
        <v>5.1034461580979726E-2</v>
      </c>
    </row>
    <row r="282" spans="1:6" ht="12.5" x14ac:dyDescent="0.25">
      <c r="A282" s="66">
        <v>281</v>
      </c>
      <c r="B282" s="62">
        <v>44197</v>
      </c>
      <c r="C282" s="61">
        <v>33239</v>
      </c>
      <c r="D282" s="66">
        <v>618166</v>
      </c>
      <c r="E282" s="61">
        <f t="shared" si="0"/>
        <v>651405</v>
      </c>
      <c r="F282" s="63">
        <f t="shared" si="1"/>
        <v>5.1026627059970374E-2</v>
      </c>
    </row>
    <row r="283" spans="1:6" ht="12.5" x14ac:dyDescent="0.25">
      <c r="A283" s="61">
        <v>282</v>
      </c>
      <c r="B283" s="62">
        <v>44198</v>
      </c>
      <c r="C283" s="61">
        <v>33239</v>
      </c>
      <c r="D283" s="66">
        <v>618266</v>
      </c>
      <c r="E283" s="61">
        <f t="shared" si="0"/>
        <v>651505</v>
      </c>
      <c r="F283" s="63">
        <f t="shared" si="1"/>
        <v>5.1018794944014241E-2</v>
      </c>
    </row>
    <row r="284" spans="1:6" ht="12.5" x14ac:dyDescent="0.25">
      <c r="A284" s="66">
        <v>283</v>
      </c>
      <c r="B284" s="62">
        <v>44199</v>
      </c>
      <c r="C284" s="61">
        <v>33239</v>
      </c>
      <c r="D284" s="66">
        <v>618366</v>
      </c>
      <c r="E284" s="61">
        <f t="shared" si="0"/>
        <v>651605</v>
      </c>
      <c r="F284" s="63">
        <f t="shared" si="1"/>
        <v>5.1010965232004053E-2</v>
      </c>
    </row>
    <row r="285" spans="1:6" ht="12.5" x14ac:dyDescent="0.25">
      <c r="A285" s="61">
        <v>284</v>
      </c>
      <c r="B285" s="62">
        <v>44200</v>
      </c>
      <c r="C285" s="61">
        <v>33239</v>
      </c>
      <c r="D285" s="66">
        <v>618466</v>
      </c>
      <c r="E285" s="61">
        <f t="shared" si="0"/>
        <v>651705</v>
      </c>
      <c r="F285" s="63">
        <f t="shared" si="1"/>
        <v>5.1003137922833182E-2</v>
      </c>
    </row>
    <row r="286" spans="1:6" ht="12.5" x14ac:dyDescent="0.25">
      <c r="A286" s="66">
        <v>285</v>
      </c>
      <c r="B286" s="62">
        <v>44201</v>
      </c>
      <c r="C286" s="61">
        <v>37852</v>
      </c>
      <c r="D286" s="66">
        <v>675591</v>
      </c>
      <c r="E286" s="61">
        <f t="shared" si="0"/>
        <v>713443</v>
      </c>
      <c r="F286" s="63">
        <f t="shared" si="1"/>
        <v>5.305539475473163E-2</v>
      </c>
    </row>
    <row r="287" spans="1:6" ht="12.5" x14ac:dyDescent="0.25">
      <c r="A287" s="61">
        <v>286</v>
      </c>
      <c r="B287" s="62">
        <v>44202</v>
      </c>
      <c r="C287" s="61">
        <v>37852</v>
      </c>
      <c r="D287" s="66">
        <v>675591</v>
      </c>
      <c r="E287" s="61">
        <f t="shared" si="0"/>
        <v>713443</v>
      </c>
      <c r="F287" s="63">
        <f t="shared" si="1"/>
        <v>5.305539475473163E-2</v>
      </c>
    </row>
    <row r="288" spans="1:6" ht="12.5" x14ac:dyDescent="0.25">
      <c r="A288" s="66">
        <v>287</v>
      </c>
      <c r="B288" s="62">
        <v>44203</v>
      </c>
      <c r="C288" s="61">
        <v>37852</v>
      </c>
      <c r="D288" s="66">
        <v>675591</v>
      </c>
      <c r="E288" s="61">
        <f t="shared" si="0"/>
        <v>713443</v>
      </c>
      <c r="F288" s="63">
        <f t="shared" si="1"/>
        <v>5.305539475473163E-2</v>
      </c>
    </row>
    <row r="289" spans="1:6" ht="12.5" x14ac:dyDescent="0.25">
      <c r="A289" s="61">
        <v>288</v>
      </c>
      <c r="B289" s="62">
        <v>44204</v>
      </c>
      <c r="C289" s="61">
        <v>37852</v>
      </c>
      <c r="D289" s="66">
        <v>675591</v>
      </c>
      <c r="E289" s="61">
        <f t="shared" si="0"/>
        <v>713443</v>
      </c>
      <c r="F289" s="63">
        <f t="shared" si="1"/>
        <v>5.305539475473163E-2</v>
      </c>
    </row>
    <row r="290" spans="1:6" ht="12.5" x14ac:dyDescent="0.25">
      <c r="A290" s="66">
        <v>289</v>
      </c>
      <c r="B290" s="62">
        <v>44205</v>
      </c>
      <c r="C290" s="61">
        <v>37852</v>
      </c>
      <c r="D290" s="66">
        <v>675591</v>
      </c>
      <c r="E290" s="61">
        <f t="shared" si="0"/>
        <v>713443</v>
      </c>
      <c r="F290" s="63">
        <f t="shared" si="1"/>
        <v>5.305539475473163E-2</v>
      </c>
    </row>
    <row r="291" spans="1:6" ht="12.5" x14ac:dyDescent="0.25">
      <c r="A291" s="61">
        <v>290</v>
      </c>
      <c r="B291" s="62">
        <v>44206</v>
      </c>
      <c r="C291" s="61">
        <v>37852</v>
      </c>
      <c r="D291" s="66">
        <v>675591</v>
      </c>
      <c r="E291" s="61">
        <f t="shared" si="0"/>
        <v>713443</v>
      </c>
      <c r="F291" s="63">
        <f t="shared" si="1"/>
        <v>5.305539475473163E-2</v>
      </c>
    </row>
    <row r="292" spans="1:6" ht="12.5" x14ac:dyDescent="0.25">
      <c r="A292" s="66">
        <v>291</v>
      </c>
      <c r="B292" s="62">
        <v>44207</v>
      </c>
      <c r="C292" s="61">
        <v>37852</v>
      </c>
      <c r="D292" s="66">
        <v>675591</v>
      </c>
      <c r="E292" s="61">
        <f t="shared" si="0"/>
        <v>713443</v>
      </c>
      <c r="F292" s="63">
        <f t="shared" si="1"/>
        <v>5.305539475473163E-2</v>
      </c>
    </row>
    <row r="293" spans="1:6" ht="12.5" x14ac:dyDescent="0.25">
      <c r="A293" s="61">
        <v>292</v>
      </c>
      <c r="B293" s="62">
        <v>44208</v>
      </c>
      <c r="C293" s="61">
        <v>37852</v>
      </c>
      <c r="D293" s="66">
        <v>675591</v>
      </c>
      <c r="E293" s="61">
        <f t="shared" si="0"/>
        <v>713443</v>
      </c>
      <c r="F293" s="63">
        <f t="shared" si="1"/>
        <v>5.305539475473163E-2</v>
      </c>
    </row>
    <row r="294" spans="1:6" ht="12.5" x14ac:dyDescent="0.25">
      <c r="A294" s="66">
        <v>293</v>
      </c>
      <c r="B294" s="62">
        <v>44209</v>
      </c>
      <c r="C294" s="61">
        <v>37852</v>
      </c>
      <c r="D294" s="66">
        <v>675591</v>
      </c>
      <c r="E294" s="61">
        <f t="shared" si="0"/>
        <v>713443</v>
      </c>
      <c r="F294" s="63">
        <f t="shared" si="1"/>
        <v>5.305539475473163E-2</v>
      </c>
    </row>
    <row r="295" spans="1:6" ht="12.5" x14ac:dyDescent="0.25">
      <c r="A295" s="61">
        <v>294</v>
      </c>
      <c r="B295" s="62">
        <v>44210</v>
      </c>
      <c r="C295" s="61">
        <v>37852</v>
      </c>
      <c r="D295" s="66">
        <v>675591</v>
      </c>
      <c r="E295" s="61">
        <f t="shared" si="0"/>
        <v>713443</v>
      </c>
      <c r="F295" s="63">
        <f t="shared" si="1"/>
        <v>5.305539475473163E-2</v>
      </c>
    </row>
    <row r="296" spans="1:6" ht="12.5" x14ac:dyDescent="0.25">
      <c r="A296" s="66">
        <v>295</v>
      </c>
      <c r="B296" s="62">
        <v>44211</v>
      </c>
      <c r="C296" s="61">
        <v>37852</v>
      </c>
      <c r="D296" s="66">
        <v>675591</v>
      </c>
      <c r="E296" s="61">
        <f t="shared" si="0"/>
        <v>713443</v>
      </c>
      <c r="F296" s="63">
        <f t="shared" si="1"/>
        <v>5.305539475473163E-2</v>
      </c>
    </row>
    <row r="297" spans="1:6" ht="12.5" x14ac:dyDescent="0.25">
      <c r="A297" s="61">
        <v>296</v>
      </c>
      <c r="B297" s="62">
        <v>44212</v>
      </c>
      <c r="C297" s="67">
        <v>37852</v>
      </c>
      <c r="D297" s="68">
        <v>675591</v>
      </c>
      <c r="E297" s="61">
        <f t="shared" si="0"/>
        <v>713443</v>
      </c>
      <c r="F297" s="63">
        <f t="shared" si="1"/>
        <v>5.305539475473163E-2</v>
      </c>
    </row>
    <row r="298" spans="1:6" ht="12.5" x14ac:dyDescent="0.25">
      <c r="A298" s="66">
        <v>297</v>
      </c>
      <c r="B298" s="62">
        <v>44213</v>
      </c>
      <c r="C298" s="67">
        <v>37852</v>
      </c>
      <c r="D298" s="68">
        <v>675591</v>
      </c>
      <c r="E298" s="61">
        <f t="shared" si="0"/>
        <v>713443</v>
      </c>
      <c r="F298" s="63">
        <f t="shared" si="1"/>
        <v>5.305539475473163E-2</v>
      </c>
    </row>
    <row r="299" spans="1:6" ht="12.5" x14ac:dyDescent="0.25">
      <c r="A299" s="66">
        <v>298</v>
      </c>
      <c r="B299" s="62">
        <v>44214</v>
      </c>
      <c r="C299" s="67">
        <v>37852</v>
      </c>
      <c r="D299" s="68">
        <v>675591</v>
      </c>
      <c r="E299" s="61">
        <f t="shared" si="0"/>
        <v>713443</v>
      </c>
      <c r="F299" s="63">
        <f t="shared" si="1"/>
        <v>5.305539475473163E-2</v>
      </c>
    </row>
    <row r="300" spans="1:6" ht="12.5" x14ac:dyDescent="0.25">
      <c r="A300" s="61">
        <v>299</v>
      </c>
      <c r="B300" s="62">
        <v>44215</v>
      </c>
      <c r="C300" s="67">
        <v>37852</v>
      </c>
      <c r="D300" s="68">
        <v>675591</v>
      </c>
      <c r="E300" s="61">
        <f t="shared" si="0"/>
        <v>713443</v>
      </c>
      <c r="F300" s="63">
        <f t="shared" si="1"/>
        <v>5.305539475473163E-2</v>
      </c>
    </row>
    <row r="301" spans="1:6" ht="12.5" x14ac:dyDescent="0.25">
      <c r="A301" s="66">
        <v>300</v>
      </c>
      <c r="B301" s="62">
        <v>44216</v>
      </c>
      <c r="C301" s="67">
        <v>37852</v>
      </c>
      <c r="D301" s="68">
        <v>675591</v>
      </c>
      <c r="E301" s="61">
        <f t="shared" si="0"/>
        <v>713443</v>
      </c>
      <c r="F301" s="63">
        <f t="shared" si="1"/>
        <v>5.305539475473163E-2</v>
      </c>
    </row>
    <row r="302" spans="1:6" ht="12.5" x14ac:dyDescent="0.25">
      <c r="A302" s="61">
        <v>301</v>
      </c>
      <c r="B302" s="62">
        <v>44217</v>
      </c>
      <c r="C302" s="67">
        <v>37852</v>
      </c>
      <c r="D302" s="68">
        <v>675591</v>
      </c>
      <c r="E302" s="61">
        <f t="shared" si="0"/>
        <v>713443</v>
      </c>
      <c r="F302" s="63">
        <f t="shared" si="1"/>
        <v>5.305539475473163E-2</v>
      </c>
    </row>
    <row r="303" spans="1:6" ht="12.5" x14ac:dyDescent="0.25">
      <c r="A303" s="61">
        <v>302</v>
      </c>
      <c r="B303" s="62">
        <v>44218</v>
      </c>
      <c r="C303" s="67">
        <v>37852</v>
      </c>
      <c r="D303" s="68">
        <v>675591</v>
      </c>
      <c r="E303" s="61">
        <f t="shared" si="0"/>
        <v>713443</v>
      </c>
      <c r="F303" s="63">
        <f t="shared" si="1"/>
        <v>5.305539475473163E-2</v>
      </c>
    </row>
    <row r="304" spans="1:6" ht="12.5" x14ac:dyDescent="0.25">
      <c r="A304" s="61">
        <v>303</v>
      </c>
      <c r="B304" s="62">
        <v>44219</v>
      </c>
      <c r="C304" s="67">
        <v>37852</v>
      </c>
      <c r="D304" s="68">
        <v>675591</v>
      </c>
      <c r="E304" s="61">
        <f t="shared" si="0"/>
        <v>713443</v>
      </c>
      <c r="F304" s="63">
        <f t="shared" si="1"/>
        <v>5.305539475473163E-2</v>
      </c>
    </row>
    <row r="305" spans="1:6" ht="12.5" x14ac:dyDescent="0.25">
      <c r="A305" s="61">
        <v>304</v>
      </c>
      <c r="B305" s="62">
        <v>44220</v>
      </c>
      <c r="C305" s="67">
        <v>37852</v>
      </c>
      <c r="D305" s="68">
        <v>675591</v>
      </c>
      <c r="E305" s="61">
        <f t="shared" si="0"/>
        <v>713443</v>
      </c>
      <c r="F305" s="63">
        <f t="shared" si="1"/>
        <v>5.305539475473163E-2</v>
      </c>
    </row>
    <row r="306" spans="1:6" ht="12.5" x14ac:dyDescent="0.25">
      <c r="A306" s="61">
        <v>305</v>
      </c>
      <c r="B306" s="62">
        <v>44221</v>
      </c>
      <c r="C306" s="67">
        <v>37852</v>
      </c>
      <c r="D306" s="68">
        <v>675591</v>
      </c>
      <c r="E306" s="61">
        <f t="shared" si="0"/>
        <v>713443</v>
      </c>
      <c r="F306" s="63">
        <f t="shared" si="1"/>
        <v>5.305539475473163E-2</v>
      </c>
    </row>
    <row r="307" spans="1:6" ht="12.5" x14ac:dyDescent="0.25">
      <c r="A307" s="61">
        <v>306</v>
      </c>
      <c r="B307" s="62">
        <v>44222</v>
      </c>
      <c r="C307" s="67">
        <v>37852</v>
      </c>
      <c r="D307" s="68">
        <v>675591</v>
      </c>
      <c r="E307" s="61">
        <f t="shared" si="0"/>
        <v>713443</v>
      </c>
      <c r="F307" s="63">
        <f t="shared" si="1"/>
        <v>5.305539475473163E-2</v>
      </c>
    </row>
    <row r="308" spans="1:6" ht="12.5" x14ac:dyDescent="0.25">
      <c r="A308" s="61">
        <v>307</v>
      </c>
      <c r="B308" s="62">
        <v>44223</v>
      </c>
      <c r="C308" s="67">
        <v>37852</v>
      </c>
      <c r="D308" s="68">
        <v>675591</v>
      </c>
      <c r="E308" s="61">
        <f t="shared" si="0"/>
        <v>713443</v>
      </c>
      <c r="F308" s="63">
        <f t="shared" si="1"/>
        <v>5.305539475473163E-2</v>
      </c>
    </row>
    <row r="309" spans="1:6" ht="12.5" x14ac:dyDescent="0.25">
      <c r="A309" s="61">
        <v>308</v>
      </c>
      <c r="B309" s="62">
        <v>44224</v>
      </c>
      <c r="C309" s="67">
        <v>37852</v>
      </c>
      <c r="D309" s="68">
        <v>675591</v>
      </c>
      <c r="E309" s="61">
        <f t="shared" si="0"/>
        <v>713443</v>
      </c>
      <c r="F309" s="63">
        <f t="shared" si="1"/>
        <v>5.305539475473163E-2</v>
      </c>
    </row>
    <row r="310" spans="1:6" ht="14.5" x14ac:dyDescent="0.35">
      <c r="A310" s="61">
        <v>309</v>
      </c>
      <c r="B310" s="62">
        <v>44225</v>
      </c>
      <c r="C310" s="64">
        <v>37997</v>
      </c>
      <c r="D310" s="64">
        <v>675868</v>
      </c>
      <c r="E310" s="61">
        <f t="shared" si="0"/>
        <v>713865</v>
      </c>
      <c r="F310" s="63">
        <f t="shared" si="1"/>
        <v>5.3227150791816377E-2</v>
      </c>
    </row>
    <row r="311" spans="1:6" ht="14.5" x14ac:dyDescent="0.35">
      <c r="A311" s="61">
        <v>310</v>
      </c>
      <c r="B311" s="62">
        <v>44226</v>
      </c>
      <c r="C311" s="64">
        <v>37997</v>
      </c>
      <c r="D311" s="64">
        <v>675868</v>
      </c>
      <c r="E311" s="61">
        <f t="shared" si="0"/>
        <v>713865</v>
      </c>
      <c r="F311" s="63">
        <f t="shared" si="1"/>
        <v>5.3227150791816377E-2</v>
      </c>
    </row>
    <row r="312" spans="1:6" ht="14.5" x14ac:dyDescent="0.35">
      <c r="A312" s="61">
        <v>311</v>
      </c>
      <c r="B312" s="62">
        <v>44227</v>
      </c>
      <c r="C312" s="64">
        <v>37997</v>
      </c>
      <c r="D312" s="64">
        <v>675868</v>
      </c>
      <c r="E312" s="61">
        <f t="shared" si="0"/>
        <v>713865</v>
      </c>
      <c r="F312" s="63">
        <f t="shared" si="1"/>
        <v>5.3227150791816377E-2</v>
      </c>
    </row>
    <row r="313" spans="1:6" ht="14.5" x14ac:dyDescent="0.35">
      <c r="A313" s="61">
        <v>312</v>
      </c>
      <c r="B313" s="62">
        <v>44228</v>
      </c>
      <c r="C313" s="64">
        <v>37997</v>
      </c>
      <c r="D313" s="64">
        <v>675868</v>
      </c>
      <c r="E313" s="61">
        <f t="shared" si="0"/>
        <v>713865</v>
      </c>
      <c r="F313" s="63">
        <f t="shared" si="1"/>
        <v>5.3227150791816377E-2</v>
      </c>
    </row>
    <row r="314" spans="1:6" ht="14.5" x14ac:dyDescent="0.35">
      <c r="A314" s="61">
        <v>313</v>
      </c>
      <c r="B314" s="62">
        <v>44229</v>
      </c>
      <c r="C314" s="64">
        <v>38223</v>
      </c>
      <c r="D314" s="64">
        <v>676487</v>
      </c>
      <c r="E314" s="61">
        <f t="shared" si="0"/>
        <v>714710</v>
      </c>
      <c r="F314" s="63">
        <f t="shared" si="1"/>
        <v>5.3480432623021927E-2</v>
      </c>
    </row>
    <row r="315" spans="1:6" ht="14.5" x14ac:dyDescent="0.35">
      <c r="A315" s="61">
        <v>314</v>
      </c>
      <c r="B315" s="62">
        <v>44230</v>
      </c>
      <c r="C315" s="64">
        <v>38223</v>
      </c>
      <c r="D315" s="64">
        <v>676487</v>
      </c>
      <c r="E315" s="61">
        <f t="shared" si="0"/>
        <v>714710</v>
      </c>
      <c r="F315" s="63">
        <f t="shared" si="1"/>
        <v>5.3480432623021927E-2</v>
      </c>
    </row>
    <row r="316" spans="1:6" ht="14.5" x14ac:dyDescent="0.35">
      <c r="A316" s="61">
        <v>315</v>
      </c>
      <c r="B316" s="62">
        <v>44231</v>
      </c>
      <c r="C316" s="64">
        <v>38223</v>
      </c>
      <c r="D316" s="64">
        <v>676487</v>
      </c>
      <c r="E316" s="61">
        <f t="shared" si="0"/>
        <v>714710</v>
      </c>
      <c r="F316" s="63">
        <f t="shared" si="1"/>
        <v>5.3480432623021927E-2</v>
      </c>
    </row>
    <row r="317" spans="1:6" ht="14.5" x14ac:dyDescent="0.35">
      <c r="A317" s="61">
        <v>316</v>
      </c>
      <c r="B317" s="62">
        <v>44232</v>
      </c>
      <c r="C317" s="64">
        <v>38223</v>
      </c>
      <c r="D317" s="64">
        <v>676487</v>
      </c>
      <c r="E317" s="61">
        <f t="shared" si="0"/>
        <v>714710</v>
      </c>
      <c r="F317" s="63">
        <f t="shared" si="1"/>
        <v>5.3480432623021927E-2</v>
      </c>
    </row>
    <row r="318" spans="1:6" ht="14.5" x14ac:dyDescent="0.35">
      <c r="A318" s="61">
        <v>317</v>
      </c>
      <c r="B318" s="62">
        <v>44233</v>
      </c>
      <c r="C318" s="64">
        <v>38223</v>
      </c>
      <c r="D318" s="64">
        <v>676487</v>
      </c>
      <c r="E318" s="61">
        <f t="shared" si="0"/>
        <v>714710</v>
      </c>
      <c r="F318" s="63">
        <f t="shared" si="1"/>
        <v>5.3480432623021927E-2</v>
      </c>
    </row>
    <row r="319" spans="1:6" ht="12.5" x14ac:dyDescent="0.25">
      <c r="A319" s="61">
        <v>318</v>
      </c>
      <c r="B319" s="62">
        <v>44234</v>
      </c>
      <c r="C319" s="61">
        <v>38370</v>
      </c>
      <c r="D319" s="61">
        <v>677396</v>
      </c>
      <c r="E319" s="61">
        <f t="shared" si="0"/>
        <v>715766</v>
      </c>
      <c r="F319" s="63">
        <f t="shared" si="1"/>
        <v>5.3606905049974431E-2</v>
      </c>
    </row>
    <row r="320" spans="1:6" ht="12.5" x14ac:dyDescent="0.25">
      <c r="A320" s="61">
        <v>319</v>
      </c>
      <c r="B320" s="62">
        <v>44235</v>
      </c>
      <c r="C320" s="61">
        <v>38464</v>
      </c>
      <c r="D320" s="61">
        <v>677824</v>
      </c>
      <c r="E320" s="61">
        <f t="shared" si="0"/>
        <v>716288</v>
      </c>
      <c r="F320" s="63">
        <f t="shared" si="1"/>
        <v>5.3699070764832026E-2</v>
      </c>
    </row>
    <row r="321" spans="1:6" ht="12.5" x14ac:dyDescent="0.25">
      <c r="A321" s="61">
        <v>320</v>
      </c>
      <c r="B321" s="62">
        <v>44236</v>
      </c>
      <c r="C321" s="61">
        <v>38464</v>
      </c>
      <c r="D321" s="61">
        <v>677825</v>
      </c>
      <c r="E321" s="61">
        <f t="shared" si="0"/>
        <v>716289</v>
      </c>
      <c r="F321" s="63">
        <f t="shared" si="1"/>
        <v>5.3698995796389447E-2</v>
      </c>
    </row>
    <row r="322" spans="1:6" ht="12.5" x14ac:dyDescent="0.25">
      <c r="A322" s="61">
        <v>320</v>
      </c>
      <c r="B322" s="62">
        <v>44237</v>
      </c>
      <c r="C322" s="61">
        <v>38471</v>
      </c>
      <c r="D322" s="61">
        <v>677936</v>
      </c>
      <c r="E322" s="61">
        <f t="shared" si="0"/>
        <v>716407</v>
      </c>
      <c r="F322" s="63">
        <f t="shared" si="1"/>
        <v>5.3699921971728362E-2</v>
      </c>
    </row>
    <row r="323" spans="1:6" ht="12.5" x14ac:dyDescent="0.25">
      <c r="A323" s="61">
        <v>321</v>
      </c>
      <c r="B323" s="62">
        <v>44238</v>
      </c>
      <c r="C323" s="61">
        <v>38508</v>
      </c>
      <c r="D323" s="61">
        <v>678084</v>
      </c>
      <c r="E323" s="61">
        <f t="shared" si="0"/>
        <v>716592</v>
      </c>
      <c r="F323" s="63">
        <f t="shared" si="1"/>
        <v>5.3737691740906958E-2</v>
      </c>
    </row>
    <row r="324" spans="1:6" ht="12.5" x14ac:dyDescent="0.25">
      <c r="A324" s="61">
        <v>322</v>
      </c>
      <c r="B324" s="62">
        <v>44239</v>
      </c>
      <c r="C324" s="61">
        <v>38524</v>
      </c>
      <c r="D324" s="61">
        <v>678210</v>
      </c>
      <c r="E324" s="61">
        <f t="shared" si="0"/>
        <v>716734</v>
      </c>
      <c r="F324" s="63">
        <f t="shared" si="1"/>
        <v>5.3749368663967387E-2</v>
      </c>
    </row>
    <row r="325" spans="1:6" ht="12.5" x14ac:dyDescent="0.25">
      <c r="A325" s="61">
        <v>323</v>
      </c>
      <c r="B325" s="62">
        <v>44240</v>
      </c>
      <c r="C325" s="61">
        <v>38548</v>
      </c>
      <c r="D325" s="61">
        <v>678310</v>
      </c>
      <c r="E325" s="61">
        <f t="shared" si="0"/>
        <v>716858</v>
      </c>
      <c r="F325" s="63">
        <f t="shared" si="1"/>
        <v>5.3773550689257842E-2</v>
      </c>
    </row>
    <row r="326" spans="1:6" ht="12.5" x14ac:dyDescent="0.25">
      <c r="A326" s="61">
        <v>324</v>
      </c>
      <c r="B326" s="62">
        <v>44241</v>
      </c>
      <c r="C326" s="61">
        <v>38554</v>
      </c>
      <c r="D326" s="61">
        <v>678351</v>
      </c>
      <c r="E326" s="61">
        <f t="shared" si="0"/>
        <v>716905</v>
      </c>
      <c r="F326" s="63">
        <f t="shared" si="1"/>
        <v>5.3778394626903148E-2</v>
      </c>
    </row>
    <row r="327" spans="1:6" ht="12.5" x14ac:dyDescent="0.25">
      <c r="A327" s="61">
        <v>325</v>
      </c>
      <c r="B327" s="62">
        <v>44242</v>
      </c>
      <c r="C327" s="61">
        <v>38581</v>
      </c>
      <c r="D327" s="61">
        <v>678510</v>
      </c>
      <c r="E327" s="61">
        <f t="shared" si="0"/>
        <v>717091</v>
      </c>
      <c r="F327" s="63">
        <f t="shared" si="1"/>
        <v>5.3802097641721898E-2</v>
      </c>
    </row>
    <row r="328" spans="1:6" ht="12.5" x14ac:dyDescent="0.25">
      <c r="A328" s="61">
        <v>326</v>
      </c>
      <c r="B328" s="62">
        <v>44243</v>
      </c>
      <c r="C328" s="61">
        <v>38592</v>
      </c>
      <c r="D328" s="61">
        <v>678588</v>
      </c>
      <c r="E328" s="61">
        <f t="shared" si="0"/>
        <v>717180</v>
      </c>
      <c r="F328" s="63">
        <f t="shared" si="1"/>
        <v>5.3810758805320838E-2</v>
      </c>
    </row>
    <row r="329" spans="1:6" ht="12.5" x14ac:dyDescent="0.25">
      <c r="A329" s="61">
        <v>327</v>
      </c>
      <c r="B329" s="62">
        <v>44244</v>
      </c>
      <c r="C329" s="61">
        <v>38713</v>
      </c>
      <c r="D329" s="61">
        <v>679000</v>
      </c>
      <c r="E329" s="61">
        <f t="shared" si="0"/>
        <v>717713</v>
      </c>
      <c r="F329" s="63">
        <f t="shared" si="1"/>
        <v>5.393938802836231E-2</v>
      </c>
    </row>
    <row r="330" spans="1:6" ht="12.5" x14ac:dyDescent="0.25">
      <c r="A330" s="69">
        <f t="shared" ref="A330:A478" si="2">A329+1</f>
        <v>328</v>
      </c>
      <c r="B330" s="62">
        <v>44245</v>
      </c>
      <c r="C330" s="61">
        <v>38739</v>
      </c>
      <c r="D330" s="61">
        <v>679225</v>
      </c>
      <c r="E330" s="61">
        <f t="shared" si="0"/>
        <v>717964</v>
      </c>
      <c r="F330" s="63">
        <f t="shared" si="1"/>
        <v>5.3956744349298848E-2</v>
      </c>
    </row>
    <row r="331" spans="1:6" ht="12.5" x14ac:dyDescent="0.25">
      <c r="A331" s="69">
        <f t="shared" si="2"/>
        <v>329</v>
      </c>
      <c r="B331" s="62">
        <v>44246</v>
      </c>
      <c r="C331" s="61">
        <v>38770</v>
      </c>
      <c r="D331" s="61">
        <v>679399</v>
      </c>
      <c r="E331" s="61">
        <f t="shared" si="0"/>
        <v>718169</v>
      </c>
      <c r="F331" s="63">
        <f t="shared" si="1"/>
        <v>5.3984507824759907E-2</v>
      </c>
    </row>
    <row r="332" spans="1:6" ht="12.5" x14ac:dyDescent="0.25">
      <c r="A332" s="69">
        <f t="shared" si="2"/>
        <v>330</v>
      </c>
      <c r="B332" s="62">
        <v>44247</v>
      </c>
      <c r="C332" s="61">
        <v>38803</v>
      </c>
      <c r="D332" s="61">
        <v>679629</v>
      </c>
      <c r="E332" s="61">
        <f t="shared" si="0"/>
        <v>718432</v>
      </c>
      <c r="F332" s="63">
        <f t="shared" si="1"/>
        <v>5.4010678811634225E-2</v>
      </c>
    </row>
    <row r="333" spans="1:6" ht="12.5" x14ac:dyDescent="0.25">
      <c r="A333" s="69">
        <f t="shared" si="2"/>
        <v>331</v>
      </c>
      <c r="B333" s="62">
        <v>44248</v>
      </c>
      <c r="C333" s="61">
        <v>38817</v>
      </c>
      <c r="D333" s="61">
        <v>679739</v>
      </c>
      <c r="E333" s="61">
        <f t="shared" si="0"/>
        <v>718556</v>
      </c>
      <c r="F333" s="63">
        <f t="shared" si="1"/>
        <v>5.402084179938655E-2</v>
      </c>
    </row>
    <row r="334" spans="1:6" ht="12.5" x14ac:dyDescent="0.25">
      <c r="A334" s="69">
        <f t="shared" si="2"/>
        <v>332</v>
      </c>
      <c r="B334" s="62">
        <v>44249</v>
      </c>
      <c r="C334" s="61">
        <v>38827</v>
      </c>
      <c r="D334" s="61">
        <v>679855</v>
      </c>
      <c r="E334" s="61">
        <f t="shared" si="0"/>
        <v>718682</v>
      </c>
      <c r="F334" s="63">
        <f t="shared" si="1"/>
        <v>5.4025285174806106E-2</v>
      </c>
    </row>
    <row r="335" spans="1:6" ht="12.5" x14ac:dyDescent="0.25">
      <c r="A335" s="69">
        <f t="shared" si="2"/>
        <v>333</v>
      </c>
      <c r="B335" s="62">
        <v>44250</v>
      </c>
      <c r="C335" s="61">
        <v>38835</v>
      </c>
      <c r="D335" s="61">
        <v>679937</v>
      </c>
      <c r="E335" s="61">
        <f t="shared" si="0"/>
        <v>718772</v>
      </c>
      <c r="F335" s="63">
        <f t="shared" si="1"/>
        <v>5.4029650570695573E-2</v>
      </c>
    </row>
    <row r="336" spans="1:6" ht="12.5" x14ac:dyDescent="0.25">
      <c r="A336" s="69">
        <f t="shared" si="2"/>
        <v>334</v>
      </c>
      <c r="B336" s="62">
        <v>44251</v>
      </c>
      <c r="C336" s="61">
        <v>38876</v>
      </c>
      <c r="D336" s="61">
        <v>680149</v>
      </c>
      <c r="E336" s="61">
        <f t="shared" si="0"/>
        <v>719025</v>
      </c>
      <c r="F336" s="63">
        <f t="shared" si="1"/>
        <v>5.4067661068808455E-2</v>
      </c>
    </row>
    <row r="337" spans="1:6" ht="12.5" x14ac:dyDescent="0.25">
      <c r="A337" s="69">
        <f t="shared" si="2"/>
        <v>335</v>
      </c>
      <c r="B337" s="62">
        <v>44252</v>
      </c>
      <c r="C337" s="61">
        <v>38895</v>
      </c>
      <c r="D337" s="61">
        <v>680303</v>
      </c>
      <c r="E337" s="61">
        <f t="shared" si="0"/>
        <v>719198</v>
      </c>
      <c r="F337" s="63">
        <f t="shared" si="1"/>
        <v>5.4081073640360515E-2</v>
      </c>
    </row>
    <row r="338" spans="1:6" ht="12.5" x14ac:dyDescent="0.25">
      <c r="A338" s="69">
        <f t="shared" si="2"/>
        <v>336</v>
      </c>
      <c r="B338" s="62">
        <v>44253</v>
      </c>
      <c r="C338" s="61">
        <v>38904</v>
      </c>
      <c r="D338" s="61">
        <v>680430</v>
      </c>
      <c r="E338" s="61">
        <f t="shared" si="0"/>
        <v>719334</v>
      </c>
      <c r="F338" s="63">
        <f t="shared" si="1"/>
        <v>5.4083360441741946E-2</v>
      </c>
    </row>
    <row r="339" spans="1:6" ht="12.5" x14ac:dyDescent="0.25">
      <c r="A339" s="69">
        <f t="shared" si="2"/>
        <v>337</v>
      </c>
      <c r="B339" s="62">
        <v>44254</v>
      </c>
      <c r="C339" s="61">
        <v>38920</v>
      </c>
      <c r="D339" s="61">
        <v>680488</v>
      </c>
      <c r="E339" s="61">
        <f t="shared" si="0"/>
        <v>719408</v>
      </c>
      <c r="F339" s="63">
        <f t="shared" si="1"/>
        <v>5.4100037808865069E-2</v>
      </c>
    </row>
    <row r="340" spans="1:6" ht="12.5" x14ac:dyDescent="0.25">
      <c r="A340" s="69">
        <f t="shared" si="2"/>
        <v>338</v>
      </c>
      <c r="B340" s="62">
        <v>44255</v>
      </c>
      <c r="C340" s="61">
        <v>38935</v>
      </c>
      <c r="D340" s="61">
        <v>680592</v>
      </c>
      <c r="E340" s="61">
        <f t="shared" si="0"/>
        <v>719527</v>
      </c>
      <c r="F340" s="63">
        <f t="shared" si="1"/>
        <v>5.4111937425558733E-2</v>
      </c>
    </row>
    <row r="341" spans="1:6" ht="12.5" x14ac:dyDescent="0.25">
      <c r="A341" s="69">
        <f t="shared" si="2"/>
        <v>339</v>
      </c>
      <c r="B341" s="62">
        <v>44256</v>
      </c>
      <c r="C341" s="61">
        <v>38943</v>
      </c>
      <c r="D341" s="61">
        <v>680663</v>
      </c>
      <c r="E341" s="61">
        <f t="shared" si="0"/>
        <v>719606</v>
      </c>
      <c r="F341" s="63">
        <f t="shared" si="1"/>
        <v>5.4117114087431174E-2</v>
      </c>
    </row>
    <row r="342" spans="1:6" ht="12.5" x14ac:dyDescent="0.25">
      <c r="A342" s="69">
        <f t="shared" si="2"/>
        <v>340</v>
      </c>
      <c r="B342" s="62">
        <v>44257</v>
      </c>
      <c r="C342" s="61">
        <v>38945</v>
      </c>
      <c r="D342" s="61">
        <v>680726</v>
      </c>
      <c r="E342" s="61">
        <f t="shared" si="0"/>
        <v>719671</v>
      </c>
      <c r="F342" s="63">
        <f t="shared" si="1"/>
        <v>5.4115005328823865E-2</v>
      </c>
    </row>
    <row r="343" spans="1:6" ht="12.5" x14ac:dyDescent="0.25">
      <c r="A343" s="69">
        <f t="shared" si="2"/>
        <v>341</v>
      </c>
      <c r="B343" s="62">
        <v>44258</v>
      </c>
      <c r="C343" s="61">
        <v>38968</v>
      </c>
      <c r="D343" s="61">
        <v>680917</v>
      </c>
      <c r="E343" s="61">
        <f t="shared" si="0"/>
        <v>719885</v>
      </c>
      <c r="F343" s="63">
        <f t="shared" si="1"/>
        <v>5.4130868124769929E-2</v>
      </c>
    </row>
    <row r="344" spans="1:6" ht="12.5" x14ac:dyDescent="0.25">
      <c r="A344" s="69">
        <f t="shared" si="2"/>
        <v>342</v>
      </c>
      <c r="B344" s="62">
        <v>44259</v>
      </c>
      <c r="C344" s="61">
        <v>38992</v>
      </c>
      <c r="D344" s="61">
        <v>681089</v>
      </c>
      <c r="E344" s="61">
        <f t="shared" si="0"/>
        <v>720081</v>
      </c>
      <c r="F344" s="63">
        <f t="shared" si="1"/>
        <v>5.4149463740884703E-2</v>
      </c>
    </row>
    <row r="345" spans="1:6" ht="12.5" x14ac:dyDescent="0.25">
      <c r="A345" s="69">
        <f t="shared" si="2"/>
        <v>343</v>
      </c>
      <c r="B345" s="62">
        <v>44260</v>
      </c>
      <c r="C345" s="61">
        <v>39139</v>
      </c>
      <c r="D345" s="61">
        <v>681733</v>
      </c>
      <c r="E345" s="61">
        <f t="shared" si="0"/>
        <v>720872</v>
      </c>
      <c r="F345" s="63">
        <f t="shared" si="1"/>
        <v>5.4293966196495354E-2</v>
      </c>
    </row>
    <row r="346" spans="1:6" ht="12.5" x14ac:dyDescent="0.25">
      <c r="A346" s="69">
        <f t="shared" si="2"/>
        <v>344</v>
      </c>
      <c r="B346" s="62">
        <v>44261</v>
      </c>
      <c r="C346" s="61">
        <v>39184</v>
      </c>
      <c r="D346" s="61">
        <v>681833</v>
      </c>
      <c r="E346" s="61">
        <f t="shared" si="0"/>
        <v>721017</v>
      </c>
      <c r="F346" s="63">
        <f t="shared" si="1"/>
        <v>5.4345459261016034E-2</v>
      </c>
    </row>
    <row r="347" spans="1:6" ht="12.5" x14ac:dyDescent="0.25">
      <c r="A347" s="69">
        <f t="shared" si="2"/>
        <v>345</v>
      </c>
      <c r="B347" s="62">
        <v>44262</v>
      </c>
      <c r="C347" s="61">
        <v>39202</v>
      </c>
      <c r="D347" s="61">
        <v>681942</v>
      </c>
      <c r="E347" s="61">
        <f t="shared" si="0"/>
        <v>721144</v>
      </c>
      <c r="F347" s="63">
        <f t="shared" si="1"/>
        <v>5.4360848873456616E-2</v>
      </c>
    </row>
    <row r="348" spans="1:6" ht="12.5" x14ac:dyDescent="0.25">
      <c r="A348" s="69">
        <f t="shared" si="2"/>
        <v>346</v>
      </c>
      <c r="B348" s="62">
        <v>44263</v>
      </c>
      <c r="C348" s="61">
        <v>39206</v>
      </c>
      <c r="D348" s="61">
        <v>681984</v>
      </c>
      <c r="E348" s="61">
        <f t="shared" si="0"/>
        <v>721190</v>
      </c>
      <c r="F348" s="63">
        <f t="shared" si="1"/>
        <v>5.4362927938546017E-2</v>
      </c>
    </row>
    <row r="349" spans="1:6" ht="12.5" x14ac:dyDescent="0.25">
      <c r="A349" s="69">
        <f t="shared" si="2"/>
        <v>347</v>
      </c>
      <c r="B349" s="62">
        <v>44264</v>
      </c>
      <c r="C349" s="61">
        <v>39213</v>
      </c>
      <c r="D349" s="61">
        <v>682021</v>
      </c>
      <c r="E349" s="61">
        <f t="shared" si="0"/>
        <v>721234</v>
      </c>
      <c r="F349" s="63">
        <f t="shared" si="1"/>
        <v>5.4369317031642987E-2</v>
      </c>
    </row>
    <row r="350" spans="1:6" ht="12.5" x14ac:dyDescent="0.25">
      <c r="A350" s="69">
        <f t="shared" si="2"/>
        <v>348</v>
      </c>
      <c r="B350" s="62">
        <v>44265</v>
      </c>
      <c r="C350" s="61">
        <v>39224</v>
      </c>
      <c r="D350" s="61">
        <v>682154</v>
      </c>
      <c r="E350" s="61">
        <f t="shared" si="0"/>
        <v>721378</v>
      </c>
      <c r="F350" s="63">
        <f t="shared" si="1"/>
        <v>5.4373712533512253E-2</v>
      </c>
    </row>
    <row r="351" spans="1:6" ht="12.5" x14ac:dyDescent="0.25">
      <c r="A351" s="69">
        <f t="shared" si="2"/>
        <v>349</v>
      </c>
      <c r="B351" s="62">
        <v>44266</v>
      </c>
      <c r="C351" s="61">
        <v>39233</v>
      </c>
      <c r="D351" s="61">
        <v>682291</v>
      </c>
      <c r="E351" s="61">
        <f t="shared" si="0"/>
        <v>721524</v>
      </c>
      <c r="F351" s="63">
        <f t="shared" si="1"/>
        <v>5.4375183639075071E-2</v>
      </c>
    </row>
    <row r="352" spans="1:6" ht="12.5" x14ac:dyDescent="0.25">
      <c r="A352" s="69">
        <f t="shared" si="2"/>
        <v>350</v>
      </c>
      <c r="B352" s="62">
        <v>44267</v>
      </c>
      <c r="C352" s="61">
        <v>39249</v>
      </c>
      <c r="D352" s="61">
        <v>682439</v>
      </c>
      <c r="E352" s="61">
        <f t="shared" si="0"/>
        <v>721688</v>
      </c>
      <c r="F352" s="63">
        <f t="shared" si="1"/>
        <v>5.4384997394996179E-2</v>
      </c>
    </row>
    <row r="353" spans="1:6" ht="12.5" x14ac:dyDescent="0.25">
      <c r="A353" s="69">
        <f t="shared" si="2"/>
        <v>351</v>
      </c>
      <c r="B353" s="62">
        <v>44268</v>
      </c>
      <c r="C353" s="61">
        <v>39273</v>
      </c>
      <c r="D353" s="61">
        <v>682539</v>
      </c>
      <c r="E353" s="61">
        <f t="shared" si="0"/>
        <v>721812</v>
      </c>
      <c r="F353" s="63">
        <f t="shared" si="1"/>
        <v>5.440890425761833E-2</v>
      </c>
    </row>
    <row r="354" spans="1:6" ht="12.5" x14ac:dyDescent="0.25">
      <c r="A354" s="69">
        <f t="shared" si="2"/>
        <v>352</v>
      </c>
      <c r="B354" s="62">
        <v>44269</v>
      </c>
      <c r="C354" s="61">
        <v>39288</v>
      </c>
      <c r="D354" s="61">
        <v>682690</v>
      </c>
      <c r="E354" s="61">
        <f t="shared" si="0"/>
        <v>721978</v>
      </c>
      <c r="F354" s="63">
        <f t="shared" si="1"/>
        <v>5.4417170606306561E-2</v>
      </c>
    </row>
    <row r="355" spans="1:6" ht="12.5" x14ac:dyDescent="0.25">
      <c r="A355" s="69">
        <f t="shared" si="2"/>
        <v>353</v>
      </c>
      <c r="B355" s="62">
        <v>44270</v>
      </c>
      <c r="C355" s="61">
        <v>39314</v>
      </c>
      <c r="D355" s="61">
        <v>682908</v>
      </c>
      <c r="E355" s="61">
        <f t="shared" si="0"/>
        <v>722222</v>
      </c>
      <c r="F355" s="63">
        <f t="shared" si="1"/>
        <v>5.4434785979934147E-2</v>
      </c>
    </row>
    <row r="356" spans="1:6" ht="12.5" x14ac:dyDescent="0.25">
      <c r="A356" s="69">
        <f t="shared" si="2"/>
        <v>354</v>
      </c>
      <c r="B356" s="62">
        <v>44271</v>
      </c>
      <c r="C356" s="61">
        <v>39318</v>
      </c>
      <c r="D356" s="61">
        <v>682933</v>
      </c>
      <c r="E356" s="61">
        <f t="shared" si="0"/>
        <v>722251</v>
      </c>
      <c r="F356" s="63">
        <f t="shared" si="1"/>
        <v>5.4438138541864252E-2</v>
      </c>
    </row>
    <row r="357" spans="1:6" ht="12.5" x14ac:dyDescent="0.25">
      <c r="A357" s="69">
        <f t="shared" si="2"/>
        <v>355</v>
      </c>
      <c r="B357" s="62">
        <v>44272</v>
      </c>
      <c r="C357" s="61">
        <v>39338</v>
      </c>
      <c r="D357" s="61">
        <v>683026</v>
      </c>
      <c r="E357" s="61">
        <f t="shared" si="0"/>
        <v>722364</v>
      </c>
      <c r="F357" s="63">
        <f t="shared" si="1"/>
        <v>5.4457309611220937E-2</v>
      </c>
    </row>
    <row r="358" spans="1:6" ht="12.5" x14ac:dyDescent="0.25">
      <c r="A358" s="69">
        <f t="shared" si="2"/>
        <v>356</v>
      </c>
      <c r="B358" s="62">
        <v>44273</v>
      </c>
      <c r="C358" s="61">
        <v>39347</v>
      </c>
      <c r="D358" s="61">
        <v>683193</v>
      </c>
      <c r="E358" s="61">
        <f t="shared" si="0"/>
        <v>722540</v>
      </c>
      <c r="F358" s="63">
        <f t="shared" si="1"/>
        <v>5.4456500678163149E-2</v>
      </c>
    </row>
    <row r="359" spans="1:6" ht="12.5" x14ac:dyDescent="0.25">
      <c r="A359" s="69">
        <f t="shared" si="2"/>
        <v>357</v>
      </c>
      <c r="B359" s="62">
        <v>44274</v>
      </c>
      <c r="C359" s="61">
        <v>39357</v>
      </c>
      <c r="D359" s="61">
        <v>683400</v>
      </c>
      <c r="E359" s="61">
        <f t="shared" si="0"/>
        <v>722757</v>
      </c>
      <c r="F359" s="63">
        <f t="shared" si="1"/>
        <v>5.4453986609607381E-2</v>
      </c>
    </row>
    <row r="360" spans="1:6" ht="12.5" x14ac:dyDescent="0.25">
      <c r="A360" s="69">
        <f t="shared" si="2"/>
        <v>358</v>
      </c>
      <c r="B360" s="62">
        <v>44275</v>
      </c>
      <c r="C360" s="61">
        <v>39375</v>
      </c>
      <c r="D360" s="61">
        <v>683726</v>
      </c>
      <c r="E360" s="61">
        <f t="shared" si="0"/>
        <v>723101</v>
      </c>
      <c r="F360" s="63">
        <f t="shared" si="1"/>
        <v>5.4452974065863552E-2</v>
      </c>
    </row>
    <row r="361" spans="1:6" ht="12.5" x14ac:dyDescent="0.25">
      <c r="A361" s="69">
        <f t="shared" si="2"/>
        <v>359</v>
      </c>
      <c r="B361" s="62">
        <v>44276</v>
      </c>
      <c r="C361" s="61">
        <v>39407</v>
      </c>
      <c r="D361" s="61">
        <v>683935</v>
      </c>
      <c r="E361" s="61">
        <f t="shared" si="0"/>
        <v>723342</v>
      </c>
      <c r="F361" s="63">
        <f t="shared" si="1"/>
        <v>5.4479070757677557E-2</v>
      </c>
    </row>
    <row r="362" spans="1:6" ht="12.5" x14ac:dyDescent="0.25">
      <c r="A362" s="69">
        <f t="shared" si="2"/>
        <v>360</v>
      </c>
      <c r="B362" s="62">
        <v>44277</v>
      </c>
      <c r="C362" s="61">
        <v>39413</v>
      </c>
      <c r="D362" s="61">
        <v>683984</v>
      </c>
      <c r="E362" s="61">
        <f t="shared" si="0"/>
        <v>723397</v>
      </c>
      <c r="F362" s="63">
        <f t="shared" si="1"/>
        <v>5.448322290526502E-2</v>
      </c>
    </row>
    <row r="363" spans="1:6" ht="12.5" x14ac:dyDescent="0.25">
      <c r="A363" s="69">
        <f t="shared" si="2"/>
        <v>361</v>
      </c>
      <c r="B363" s="62">
        <v>44278</v>
      </c>
      <c r="C363" s="61">
        <v>39418</v>
      </c>
      <c r="D363" s="61">
        <v>684033</v>
      </c>
      <c r="E363" s="61">
        <f t="shared" si="0"/>
        <v>723451</v>
      </c>
      <c r="F363" s="63">
        <f t="shared" si="1"/>
        <v>5.4486067473816471E-2</v>
      </c>
    </row>
    <row r="364" spans="1:6" ht="12.5" x14ac:dyDescent="0.25">
      <c r="A364" s="69">
        <f t="shared" si="2"/>
        <v>362</v>
      </c>
      <c r="B364" s="62">
        <v>44279</v>
      </c>
      <c r="C364" s="61">
        <v>39443</v>
      </c>
      <c r="D364" s="61">
        <v>684182</v>
      </c>
      <c r="E364" s="61">
        <f t="shared" si="0"/>
        <v>723625</v>
      </c>
      <c r="F364" s="63">
        <f t="shared" si="1"/>
        <v>5.4507514251166005E-2</v>
      </c>
    </row>
    <row r="365" spans="1:6" ht="12.5" x14ac:dyDescent="0.25">
      <c r="A365" s="69">
        <f t="shared" si="2"/>
        <v>363</v>
      </c>
      <c r="B365" s="62">
        <v>44280</v>
      </c>
      <c r="C365" s="61">
        <v>39482</v>
      </c>
      <c r="D365" s="61">
        <v>684331</v>
      </c>
      <c r="E365" s="61">
        <f t="shared" si="0"/>
        <v>723813</v>
      </c>
      <c r="F365" s="63">
        <f t="shared" si="1"/>
        <v>5.4547238029712092E-2</v>
      </c>
    </row>
    <row r="366" spans="1:6" ht="12.5" x14ac:dyDescent="0.25">
      <c r="A366" s="69">
        <f t="shared" si="2"/>
        <v>364</v>
      </c>
      <c r="B366" s="62">
        <v>44281</v>
      </c>
      <c r="C366" s="61">
        <v>39504</v>
      </c>
      <c r="D366" s="61">
        <v>684474</v>
      </c>
      <c r="E366" s="61">
        <f t="shared" si="0"/>
        <v>723978</v>
      </c>
      <c r="F366" s="63">
        <f t="shared" si="1"/>
        <v>5.4565193969982516E-2</v>
      </c>
    </row>
    <row r="367" spans="1:6" ht="12.5" x14ac:dyDescent="0.25">
      <c r="A367" s="69">
        <f t="shared" si="2"/>
        <v>365</v>
      </c>
      <c r="B367" s="62">
        <v>44282</v>
      </c>
      <c r="C367" s="61">
        <v>39550</v>
      </c>
      <c r="D367" s="61">
        <v>684698</v>
      </c>
      <c r="E367" s="61">
        <f t="shared" si="0"/>
        <v>724248</v>
      </c>
      <c r="F367" s="63">
        <f t="shared" si="1"/>
        <v>5.4608366195005024E-2</v>
      </c>
    </row>
    <row r="368" spans="1:6" ht="12.5" x14ac:dyDescent="0.25">
      <c r="A368" s="69">
        <f t="shared" si="2"/>
        <v>366</v>
      </c>
      <c r="B368" s="62">
        <v>44283</v>
      </c>
      <c r="C368" s="61">
        <v>39573</v>
      </c>
      <c r="D368" s="61">
        <v>684829</v>
      </c>
      <c r="E368" s="61">
        <f t="shared" si="0"/>
        <v>724402</v>
      </c>
      <c r="F368" s="63">
        <f t="shared" si="1"/>
        <v>5.4628507375738884E-2</v>
      </c>
    </row>
    <row r="369" spans="1:6" ht="12.5" x14ac:dyDescent="0.25">
      <c r="A369" s="69">
        <f t="shared" si="2"/>
        <v>367</v>
      </c>
      <c r="B369" s="62">
        <v>44284</v>
      </c>
      <c r="C369" s="61">
        <v>39583</v>
      </c>
      <c r="D369" s="61">
        <v>684886</v>
      </c>
      <c r="E369" s="61">
        <f t="shared" si="0"/>
        <v>724469</v>
      </c>
      <c r="F369" s="63">
        <f t="shared" si="1"/>
        <v>5.463725846102456E-2</v>
      </c>
    </row>
    <row r="370" spans="1:6" ht="12.5" x14ac:dyDescent="0.25">
      <c r="A370" s="69">
        <f t="shared" si="2"/>
        <v>368</v>
      </c>
      <c r="B370" s="62">
        <v>44285</v>
      </c>
      <c r="C370" s="61">
        <v>39586</v>
      </c>
      <c r="D370" s="61">
        <v>684912</v>
      </c>
      <c r="E370" s="61">
        <f t="shared" si="0"/>
        <v>724498</v>
      </c>
      <c r="F370" s="63">
        <f t="shared" si="1"/>
        <v>5.463921225455419E-2</v>
      </c>
    </row>
    <row r="371" spans="1:6" ht="12.5" x14ac:dyDescent="0.25">
      <c r="A371" s="69">
        <f t="shared" si="2"/>
        <v>369</v>
      </c>
      <c r="B371" s="62">
        <v>44286</v>
      </c>
      <c r="C371" s="61">
        <v>39614</v>
      </c>
      <c r="D371" s="61">
        <v>685049</v>
      </c>
      <c r="E371" s="61">
        <f t="shared" si="0"/>
        <v>724663</v>
      </c>
      <c r="F371" s="63">
        <f t="shared" si="1"/>
        <v>5.4665409990574933E-2</v>
      </c>
    </row>
    <row r="372" spans="1:6" ht="12.5" x14ac:dyDescent="0.25">
      <c r="A372" s="69">
        <f t="shared" si="2"/>
        <v>370</v>
      </c>
      <c r="B372" s="62">
        <v>44287</v>
      </c>
      <c r="C372" s="61">
        <v>39639</v>
      </c>
      <c r="D372" s="61">
        <v>685178</v>
      </c>
      <c r="E372" s="61">
        <f t="shared" si="0"/>
        <v>724817</v>
      </c>
      <c r="F372" s="63">
        <f t="shared" si="1"/>
        <v>5.4688286836539431E-2</v>
      </c>
    </row>
    <row r="373" spans="1:6" ht="12.5" x14ac:dyDescent="0.25">
      <c r="A373" s="69">
        <f t="shared" si="2"/>
        <v>371</v>
      </c>
      <c r="B373" s="62">
        <v>44288</v>
      </c>
      <c r="C373" s="61">
        <v>39680</v>
      </c>
      <c r="D373" s="61">
        <v>685285</v>
      </c>
      <c r="E373" s="61">
        <f t="shared" si="0"/>
        <v>724965</v>
      </c>
      <c r="F373" s="63">
        <f t="shared" si="1"/>
        <v>5.4733676798190259E-2</v>
      </c>
    </row>
    <row r="374" spans="1:6" ht="12.5" x14ac:dyDescent="0.25">
      <c r="A374" s="69">
        <f t="shared" si="2"/>
        <v>372</v>
      </c>
      <c r="B374" s="62">
        <v>44289</v>
      </c>
      <c r="C374" s="61">
        <v>39690</v>
      </c>
      <c r="D374" s="61">
        <v>685379</v>
      </c>
      <c r="E374" s="61">
        <f t="shared" si="0"/>
        <v>725069</v>
      </c>
      <c r="F374" s="63">
        <f t="shared" si="1"/>
        <v>5.4739617884642704E-2</v>
      </c>
    </row>
    <row r="375" spans="1:6" ht="12.5" x14ac:dyDescent="0.25">
      <c r="A375" s="69">
        <f t="shared" si="2"/>
        <v>373</v>
      </c>
      <c r="B375" s="62">
        <v>44290</v>
      </c>
      <c r="C375" s="61">
        <v>39691</v>
      </c>
      <c r="D375" s="61">
        <v>685388</v>
      </c>
      <c r="E375" s="61">
        <f t="shared" si="0"/>
        <v>725079</v>
      </c>
      <c r="F375" s="63">
        <f t="shared" si="1"/>
        <v>5.4740242097757623E-2</v>
      </c>
    </row>
    <row r="376" spans="1:6" ht="12.5" x14ac:dyDescent="0.25">
      <c r="A376" s="69">
        <f t="shared" si="2"/>
        <v>374</v>
      </c>
      <c r="B376" s="62">
        <v>44291</v>
      </c>
      <c r="C376" s="61">
        <v>39693</v>
      </c>
      <c r="D376" s="61">
        <v>685414</v>
      </c>
      <c r="E376" s="61">
        <f t="shared" si="0"/>
        <v>725107</v>
      </c>
      <c r="F376" s="63">
        <f t="shared" si="1"/>
        <v>5.4740886517438116E-2</v>
      </c>
    </row>
    <row r="377" spans="1:6" ht="12.5" x14ac:dyDescent="0.25">
      <c r="A377" s="69">
        <f t="shared" si="2"/>
        <v>375</v>
      </c>
      <c r="B377" s="62">
        <v>44292</v>
      </c>
      <c r="C377" s="61">
        <v>39699</v>
      </c>
      <c r="D377" s="61">
        <v>685420</v>
      </c>
      <c r="E377" s="61">
        <f t="shared" si="0"/>
        <v>725119</v>
      </c>
      <c r="F377" s="63">
        <f t="shared" si="1"/>
        <v>5.474825511398819E-2</v>
      </c>
    </row>
    <row r="378" spans="1:6" ht="12.5" x14ac:dyDescent="0.25">
      <c r="A378" s="69">
        <f t="shared" si="2"/>
        <v>376</v>
      </c>
      <c r="B378" s="62">
        <v>44293</v>
      </c>
      <c r="C378" s="61">
        <v>39714</v>
      </c>
      <c r="D378" s="61">
        <v>685542</v>
      </c>
      <c r="E378" s="61">
        <f t="shared" si="0"/>
        <v>725256</v>
      </c>
      <c r="F378" s="63">
        <f t="shared" si="1"/>
        <v>5.4758595585558754E-2</v>
      </c>
    </row>
    <row r="379" spans="1:6" ht="12.5" x14ac:dyDescent="0.25">
      <c r="A379" s="69">
        <f t="shared" si="2"/>
        <v>377</v>
      </c>
      <c r="B379" s="62">
        <v>44294</v>
      </c>
      <c r="C379" s="61">
        <v>39722</v>
      </c>
      <c r="D379" s="61">
        <v>685686</v>
      </c>
      <c r="E379" s="61">
        <f t="shared" si="0"/>
        <v>725408</v>
      </c>
      <c r="F379" s="63">
        <f t="shared" si="1"/>
        <v>5.47581498963342E-2</v>
      </c>
    </row>
    <row r="380" spans="1:6" ht="12.5" x14ac:dyDescent="0.25">
      <c r="A380" s="69">
        <f t="shared" si="2"/>
        <v>378</v>
      </c>
      <c r="B380" s="62">
        <v>44295</v>
      </c>
      <c r="C380" s="61">
        <v>39730</v>
      </c>
      <c r="D380" s="61">
        <v>685798</v>
      </c>
      <c r="E380" s="61">
        <f t="shared" si="0"/>
        <v>725528</v>
      </c>
      <c r="F380" s="63">
        <f t="shared" si="1"/>
        <v>5.4760119526744658E-2</v>
      </c>
    </row>
    <row r="381" spans="1:6" ht="12.5" x14ac:dyDescent="0.25">
      <c r="A381" s="69">
        <f t="shared" si="2"/>
        <v>379</v>
      </c>
      <c r="B381" s="62">
        <v>44296</v>
      </c>
      <c r="C381" s="61">
        <v>39745</v>
      </c>
      <c r="D381" s="61">
        <v>685864</v>
      </c>
      <c r="E381" s="61">
        <f t="shared" si="0"/>
        <v>725609</v>
      </c>
      <c r="F381" s="63">
        <f t="shared" si="1"/>
        <v>5.4774678924875517E-2</v>
      </c>
    </row>
    <row r="382" spans="1:6" ht="12.5" x14ac:dyDescent="0.25">
      <c r="A382" s="69">
        <f t="shared" si="2"/>
        <v>380</v>
      </c>
      <c r="B382" s="62">
        <v>44297</v>
      </c>
      <c r="C382" s="61">
        <v>39750</v>
      </c>
      <c r="D382" s="61">
        <v>685931</v>
      </c>
      <c r="E382" s="61">
        <f t="shared" si="0"/>
        <v>725681</v>
      </c>
      <c r="F382" s="63">
        <f t="shared" si="1"/>
        <v>5.4776134417188822E-2</v>
      </c>
    </row>
    <row r="383" spans="1:6" ht="12.5" x14ac:dyDescent="0.25">
      <c r="A383" s="69">
        <f t="shared" si="2"/>
        <v>381</v>
      </c>
      <c r="B383" s="62">
        <v>44298</v>
      </c>
      <c r="C383" s="61">
        <v>39753</v>
      </c>
      <c r="D383" s="61">
        <v>685945</v>
      </c>
      <c r="E383" s="61">
        <f t="shared" si="0"/>
        <v>725698</v>
      </c>
      <c r="F383" s="63">
        <f t="shared" si="1"/>
        <v>5.4778985197699318E-2</v>
      </c>
    </row>
    <row r="384" spans="1:6" ht="12.5" x14ac:dyDescent="0.25">
      <c r="A384" s="69">
        <f t="shared" si="2"/>
        <v>382</v>
      </c>
      <c r="B384" s="62">
        <v>44299</v>
      </c>
      <c r="C384" s="61">
        <v>39754</v>
      </c>
      <c r="D384" s="61">
        <v>685951</v>
      </c>
      <c r="E384" s="61">
        <f t="shared" si="0"/>
        <v>725705</v>
      </c>
      <c r="F384" s="63">
        <f t="shared" si="1"/>
        <v>5.4779834781350546E-2</v>
      </c>
    </row>
    <row r="385" spans="1:6" ht="12.5" x14ac:dyDescent="0.25">
      <c r="A385" s="69">
        <f t="shared" si="2"/>
        <v>383</v>
      </c>
      <c r="B385" s="62">
        <v>44300</v>
      </c>
      <c r="C385" s="61">
        <v>39792</v>
      </c>
      <c r="D385" s="61">
        <v>686151</v>
      </c>
      <c r="E385" s="61">
        <f t="shared" si="0"/>
        <v>725943</v>
      </c>
      <c r="F385" s="63">
        <f t="shared" si="1"/>
        <v>5.4814220951231708E-2</v>
      </c>
    </row>
    <row r="386" spans="1:6" ht="12.5" x14ac:dyDescent="0.25">
      <c r="A386" s="69">
        <f t="shared" si="2"/>
        <v>384</v>
      </c>
      <c r="B386" s="62">
        <v>44301</v>
      </c>
      <c r="C386" s="61">
        <v>39804</v>
      </c>
      <c r="D386" s="61">
        <v>686283</v>
      </c>
      <c r="E386" s="61">
        <f t="shared" si="0"/>
        <v>726087</v>
      </c>
      <c r="F386" s="63">
        <f t="shared" si="1"/>
        <v>5.4819876956893596E-2</v>
      </c>
    </row>
    <row r="387" spans="1:6" ht="12.5" x14ac:dyDescent="0.25">
      <c r="A387" s="69">
        <f t="shared" si="2"/>
        <v>385</v>
      </c>
      <c r="B387" s="62">
        <v>44302</v>
      </c>
      <c r="C387" s="61">
        <v>39808</v>
      </c>
      <c r="D387" s="61">
        <v>686337</v>
      </c>
      <c r="E387" s="61">
        <f t="shared" si="0"/>
        <v>726145</v>
      </c>
      <c r="F387" s="63">
        <f t="shared" si="1"/>
        <v>5.4821006823706012E-2</v>
      </c>
    </row>
    <row r="388" spans="1:6" ht="12.5" x14ac:dyDescent="0.25">
      <c r="A388" s="69">
        <f t="shared" si="2"/>
        <v>386</v>
      </c>
      <c r="B388" s="62">
        <v>44303</v>
      </c>
      <c r="C388" s="61">
        <v>39818</v>
      </c>
      <c r="D388" s="61">
        <v>686410</v>
      </c>
      <c r="E388" s="61">
        <f t="shared" si="0"/>
        <v>726228</v>
      </c>
      <c r="F388" s="63">
        <f t="shared" si="1"/>
        <v>5.4828511156275989E-2</v>
      </c>
    </row>
    <row r="389" spans="1:6" ht="12.5" x14ac:dyDescent="0.25">
      <c r="A389" s="69">
        <f t="shared" si="2"/>
        <v>387</v>
      </c>
      <c r="B389" s="62">
        <v>44304</v>
      </c>
      <c r="C389" s="61">
        <v>39854</v>
      </c>
      <c r="D389" s="61">
        <v>686543</v>
      </c>
      <c r="E389" s="61">
        <f t="shared" si="0"/>
        <v>726397</v>
      </c>
      <c r="F389" s="63">
        <f t="shared" si="1"/>
        <v>5.4865314697059596E-2</v>
      </c>
    </row>
    <row r="390" spans="1:6" ht="12.5" x14ac:dyDescent="0.25">
      <c r="A390" s="69">
        <f t="shared" si="2"/>
        <v>388</v>
      </c>
      <c r="B390" s="62">
        <v>44305</v>
      </c>
      <c r="C390" s="61">
        <v>39855</v>
      </c>
      <c r="D390" s="61">
        <v>686544</v>
      </c>
      <c r="E390" s="61">
        <f t="shared" si="0"/>
        <v>726399</v>
      </c>
      <c r="F390" s="63">
        <f t="shared" si="1"/>
        <v>5.4866540289840705E-2</v>
      </c>
    </row>
    <row r="391" spans="1:6" ht="12.5" x14ac:dyDescent="0.25">
      <c r="A391" s="69">
        <f t="shared" si="2"/>
        <v>389</v>
      </c>
      <c r="B391" s="62">
        <v>44306</v>
      </c>
      <c r="C391" s="61">
        <v>39855</v>
      </c>
      <c r="D391" s="61">
        <v>686547</v>
      </c>
      <c r="E391" s="61">
        <f t="shared" si="0"/>
        <v>726402</v>
      </c>
      <c r="F391" s="63">
        <f t="shared" si="1"/>
        <v>5.4866313694070225E-2</v>
      </c>
    </row>
    <row r="392" spans="1:6" ht="12.5" x14ac:dyDescent="0.25">
      <c r="A392" s="69">
        <f t="shared" si="2"/>
        <v>390</v>
      </c>
      <c r="B392" s="62">
        <v>44307</v>
      </c>
      <c r="C392" s="61">
        <v>39881</v>
      </c>
      <c r="D392" s="61">
        <v>686730</v>
      </c>
      <c r="E392" s="61">
        <f t="shared" si="0"/>
        <v>726611</v>
      </c>
      <c r="F392" s="63">
        <f t="shared" si="1"/>
        <v>5.488631468557454E-2</v>
      </c>
    </row>
    <row r="393" spans="1:6" ht="12.5" x14ac:dyDescent="0.25">
      <c r="A393" s="69">
        <f t="shared" si="2"/>
        <v>391</v>
      </c>
      <c r="B393" s="62">
        <v>44308</v>
      </c>
      <c r="C393" s="61">
        <v>39926</v>
      </c>
      <c r="D393" s="61">
        <v>686920</v>
      </c>
      <c r="E393" s="61">
        <f t="shared" si="0"/>
        <v>726846</v>
      </c>
      <c r="F393" s="63">
        <f t="shared" si="1"/>
        <v>5.4930480459409556E-2</v>
      </c>
    </row>
    <row r="394" spans="1:6" ht="12.5" x14ac:dyDescent="0.25">
      <c r="A394" s="69">
        <f t="shared" si="2"/>
        <v>392</v>
      </c>
      <c r="B394" s="62">
        <v>44309</v>
      </c>
      <c r="C394" s="61">
        <v>39963</v>
      </c>
      <c r="D394" s="61">
        <v>687103</v>
      </c>
      <c r="E394" s="61">
        <f t="shared" si="0"/>
        <v>727066</v>
      </c>
      <c r="F394" s="63">
        <f t="shared" si="1"/>
        <v>5.496474872982645E-2</v>
      </c>
    </row>
    <row r="395" spans="1:6" ht="12.5" x14ac:dyDescent="0.25">
      <c r="A395" s="69">
        <f t="shared" si="2"/>
        <v>393</v>
      </c>
      <c r="B395" s="62">
        <v>44310</v>
      </c>
      <c r="C395" s="61">
        <v>39978</v>
      </c>
      <c r="D395" s="61">
        <v>687216</v>
      </c>
      <c r="E395" s="61">
        <f t="shared" si="0"/>
        <v>727194</v>
      </c>
      <c r="F395" s="63">
        <f t="shared" si="1"/>
        <v>5.4975701119646204E-2</v>
      </c>
    </row>
    <row r="396" spans="1:6" ht="12.5" x14ac:dyDescent="0.25">
      <c r="A396" s="69">
        <f t="shared" si="2"/>
        <v>394</v>
      </c>
      <c r="B396" s="62">
        <v>44311</v>
      </c>
      <c r="C396" s="61">
        <v>39998</v>
      </c>
      <c r="D396" s="61">
        <v>687299</v>
      </c>
      <c r="E396" s="61">
        <f t="shared" si="0"/>
        <v>727297</v>
      </c>
      <c r="F396" s="63">
        <f t="shared" si="1"/>
        <v>5.4995414528040125E-2</v>
      </c>
    </row>
    <row r="397" spans="1:6" ht="12.5" x14ac:dyDescent="0.25">
      <c r="A397" s="69">
        <f t="shared" si="2"/>
        <v>395</v>
      </c>
      <c r="B397" s="62">
        <v>44312</v>
      </c>
      <c r="C397" s="61">
        <v>40000</v>
      </c>
      <c r="D397" s="61">
        <v>687324</v>
      </c>
      <c r="E397" s="61">
        <f t="shared" si="0"/>
        <v>727324</v>
      </c>
      <c r="F397" s="63">
        <f t="shared" si="1"/>
        <v>5.499612277334448E-2</v>
      </c>
    </row>
    <row r="398" spans="1:6" ht="12.5" x14ac:dyDescent="0.25">
      <c r="A398" s="69">
        <f t="shared" si="2"/>
        <v>396</v>
      </c>
      <c r="B398" s="62">
        <v>44313</v>
      </c>
      <c r="C398" s="61">
        <v>40001</v>
      </c>
      <c r="D398" s="61">
        <v>687340</v>
      </c>
      <c r="E398" s="61">
        <f t="shared" si="0"/>
        <v>727341</v>
      </c>
      <c r="F398" s="63">
        <f t="shared" si="1"/>
        <v>5.4996212230576852E-2</v>
      </c>
    </row>
    <row r="399" spans="1:6" ht="12.5" x14ac:dyDescent="0.25">
      <c r="A399" s="69">
        <f t="shared" si="2"/>
        <v>397</v>
      </c>
      <c r="B399" s="62">
        <v>44314</v>
      </c>
      <c r="C399" s="61">
        <v>40010</v>
      </c>
      <c r="D399" s="61">
        <v>687453</v>
      </c>
      <c r="E399" s="61">
        <f t="shared" si="0"/>
        <v>727463</v>
      </c>
      <c r="F399" s="63">
        <f t="shared" si="1"/>
        <v>5.4999360792232735E-2</v>
      </c>
    </row>
    <row r="400" spans="1:6" ht="12.5" x14ac:dyDescent="0.25">
      <c r="A400" s="69">
        <f t="shared" si="2"/>
        <v>398</v>
      </c>
      <c r="B400" s="62">
        <v>44315</v>
      </c>
      <c r="C400" s="61">
        <v>40023</v>
      </c>
      <c r="D400" s="61">
        <v>687481</v>
      </c>
      <c r="E400" s="61">
        <f t="shared" si="0"/>
        <v>727504</v>
      </c>
      <c r="F400" s="63">
        <f t="shared" si="1"/>
        <v>5.5014130506498934E-2</v>
      </c>
    </row>
    <row r="401" spans="1:6" ht="12.5" x14ac:dyDescent="0.25">
      <c r="A401" s="69">
        <f t="shared" si="2"/>
        <v>399</v>
      </c>
      <c r="B401" s="62">
        <v>44316</v>
      </c>
      <c r="C401" s="61">
        <v>40038</v>
      </c>
      <c r="D401" s="61">
        <v>687596</v>
      </c>
      <c r="E401" s="61">
        <f t="shared" si="0"/>
        <v>727634</v>
      </c>
      <c r="F401" s="63">
        <f t="shared" si="1"/>
        <v>5.5024916372791818E-2</v>
      </c>
    </row>
    <row r="402" spans="1:6" ht="12.5" x14ac:dyDescent="0.25">
      <c r="A402" s="69">
        <f t="shared" si="2"/>
        <v>400</v>
      </c>
      <c r="B402" s="62">
        <v>44317</v>
      </c>
      <c r="C402" s="61">
        <v>40049</v>
      </c>
      <c r="D402" s="61">
        <v>687671</v>
      </c>
      <c r="E402" s="61">
        <f t="shared" si="0"/>
        <v>727720</v>
      </c>
      <c r="F402" s="63">
        <f t="shared" si="1"/>
        <v>5.503352937943165E-2</v>
      </c>
    </row>
    <row r="403" spans="1:6" ht="12.5" x14ac:dyDescent="0.25">
      <c r="A403" s="69">
        <f t="shared" si="2"/>
        <v>401</v>
      </c>
      <c r="B403" s="62">
        <v>44318</v>
      </c>
      <c r="C403" s="61">
        <v>40053</v>
      </c>
      <c r="D403" s="61">
        <v>687715</v>
      </c>
      <c r="E403" s="61">
        <f t="shared" si="0"/>
        <v>727768</v>
      </c>
      <c r="F403" s="63">
        <f t="shared" si="1"/>
        <v>5.5035395895395238E-2</v>
      </c>
    </row>
    <row r="404" spans="1:6" ht="12.5" x14ac:dyDescent="0.25">
      <c r="A404" s="69">
        <f t="shared" si="2"/>
        <v>402</v>
      </c>
      <c r="B404" s="62">
        <v>44319</v>
      </c>
      <c r="C404" s="61">
        <v>40055</v>
      </c>
      <c r="D404" s="61">
        <v>687735</v>
      </c>
      <c r="E404" s="61">
        <f t="shared" si="0"/>
        <v>727790</v>
      </c>
      <c r="F404" s="63">
        <f t="shared" si="1"/>
        <v>5.5036480303384219E-2</v>
      </c>
    </row>
    <row r="405" spans="1:6" ht="12.5" x14ac:dyDescent="0.25">
      <c r="A405" s="69">
        <f t="shared" si="2"/>
        <v>403</v>
      </c>
      <c r="B405" s="62">
        <v>44320</v>
      </c>
      <c r="C405" s="61">
        <v>40057</v>
      </c>
      <c r="D405" s="61">
        <v>687745</v>
      </c>
      <c r="E405" s="61">
        <f t="shared" si="0"/>
        <v>727802</v>
      </c>
      <c r="F405" s="63">
        <f t="shared" si="1"/>
        <v>5.5038320861992687E-2</v>
      </c>
    </row>
    <row r="406" spans="1:6" ht="12.5" x14ac:dyDescent="0.25">
      <c r="A406" s="69">
        <f t="shared" si="2"/>
        <v>404</v>
      </c>
      <c r="B406" s="62">
        <v>44321</v>
      </c>
      <c r="C406" s="61">
        <v>40066</v>
      </c>
      <c r="D406" s="61">
        <v>687826</v>
      </c>
      <c r="E406" s="61">
        <f t="shared" si="0"/>
        <v>727892</v>
      </c>
      <c r="F406" s="63">
        <f t="shared" si="1"/>
        <v>5.5043880136064142E-2</v>
      </c>
    </row>
    <row r="407" spans="1:6" ht="12.5" x14ac:dyDescent="0.25">
      <c r="A407" s="69">
        <f t="shared" si="2"/>
        <v>405</v>
      </c>
      <c r="B407" s="62">
        <v>44322</v>
      </c>
      <c r="C407" s="61">
        <v>40070</v>
      </c>
      <c r="D407" s="61">
        <v>687884</v>
      </c>
      <c r="E407" s="61">
        <f t="shared" si="0"/>
        <v>727954</v>
      </c>
      <c r="F407" s="63">
        <f t="shared" si="1"/>
        <v>5.5044686889556209E-2</v>
      </c>
    </row>
    <row r="408" spans="1:6" ht="12.5" x14ac:dyDescent="0.25">
      <c r="A408" s="69">
        <f t="shared" si="2"/>
        <v>406</v>
      </c>
      <c r="B408" s="62">
        <v>44323</v>
      </c>
      <c r="C408" s="61">
        <v>40078</v>
      </c>
      <c r="D408" s="61">
        <v>687967</v>
      </c>
      <c r="E408" s="61">
        <f t="shared" si="0"/>
        <v>728045</v>
      </c>
      <c r="F408" s="63">
        <f t="shared" si="1"/>
        <v>5.5048795060744872E-2</v>
      </c>
    </row>
    <row r="409" spans="1:6" ht="12.5" x14ac:dyDescent="0.25">
      <c r="A409" s="69">
        <f t="shared" si="2"/>
        <v>407</v>
      </c>
      <c r="B409" s="62">
        <v>44324</v>
      </c>
      <c r="C409" s="61">
        <v>40084</v>
      </c>
      <c r="D409" s="61">
        <v>688035</v>
      </c>
      <c r="E409" s="61">
        <f t="shared" si="0"/>
        <v>728119</v>
      </c>
      <c r="F409" s="63">
        <f t="shared" si="1"/>
        <v>5.5051440767237225E-2</v>
      </c>
    </row>
    <row r="410" spans="1:6" ht="12.5" x14ac:dyDescent="0.25">
      <c r="A410" s="69">
        <f t="shared" si="2"/>
        <v>408</v>
      </c>
      <c r="B410" s="62">
        <v>44325</v>
      </c>
      <c r="C410" s="61">
        <v>40092</v>
      </c>
      <c r="D410" s="61">
        <v>688139</v>
      </c>
      <c r="E410" s="61">
        <f t="shared" si="0"/>
        <v>728231</v>
      </c>
      <c r="F410" s="63">
        <f t="shared" si="1"/>
        <v>5.5053959526578794E-2</v>
      </c>
    </row>
    <row r="411" spans="1:6" ht="12.5" x14ac:dyDescent="0.25">
      <c r="A411" s="69">
        <f t="shared" si="2"/>
        <v>409</v>
      </c>
      <c r="B411" s="62">
        <v>44326</v>
      </c>
      <c r="C411" s="61">
        <v>40092</v>
      </c>
      <c r="D411" s="61">
        <v>688165</v>
      </c>
      <c r="E411" s="61">
        <f t="shared" si="0"/>
        <v>728257</v>
      </c>
      <c r="F411" s="63">
        <f t="shared" si="1"/>
        <v>5.5051994007609954E-2</v>
      </c>
    </row>
    <row r="412" spans="1:6" ht="12.5" x14ac:dyDescent="0.25">
      <c r="A412" s="69">
        <f t="shared" si="2"/>
        <v>410</v>
      </c>
      <c r="B412" s="62">
        <v>44327</v>
      </c>
      <c r="C412" s="61">
        <v>40097</v>
      </c>
      <c r="D412" s="61">
        <v>688181</v>
      </c>
      <c r="E412" s="61">
        <f t="shared" si="0"/>
        <v>728278</v>
      </c>
      <c r="F412" s="63">
        <f t="shared" si="1"/>
        <v>5.5057272085659595E-2</v>
      </c>
    </row>
    <row r="413" spans="1:6" ht="12.5" x14ac:dyDescent="0.25">
      <c r="A413" s="69">
        <f t="shared" si="2"/>
        <v>411</v>
      </c>
      <c r="B413" s="62">
        <v>44328</v>
      </c>
      <c r="C413" s="61">
        <v>40099</v>
      </c>
      <c r="D413" s="61">
        <v>688243</v>
      </c>
      <c r="E413" s="61">
        <f t="shared" si="0"/>
        <v>728342</v>
      </c>
      <c r="F413" s="63">
        <f t="shared" si="1"/>
        <v>5.5055180121426475E-2</v>
      </c>
    </row>
    <row r="414" spans="1:6" ht="12.5" x14ac:dyDescent="0.25">
      <c r="A414" s="69">
        <f t="shared" si="2"/>
        <v>412</v>
      </c>
      <c r="B414" s="62">
        <v>44329</v>
      </c>
      <c r="C414" s="61">
        <v>40111</v>
      </c>
      <c r="D414" s="61">
        <v>688316</v>
      </c>
      <c r="E414" s="61">
        <f t="shared" si="0"/>
        <v>728427</v>
      </c>
      <c r="F414" s="63">
        <f t="shared" si="1"/>
        <v>5.5065229597475104E-2</v>
      </c>
    </row>
    <row r="415" spans="1:6" ht="12.5" x14ac:dyDescent="0.25">
      <c r="A415" s="69">
        <f t="shared" si="2"/>
        <v>413</v>
      </c>
      <c r="B415" s="62">
        <v>44330</v>
      </c>
      <c r="C415" s="61">
        <v>40116</v>
      </c>
      <c r="D415" s="61">
        <v>688326</v>
      </c>
      <c r="E415" s="61">
        <f t="shared" si="0"/>
        <v>728442</v>
      </c>
      <c r="F415" s="63">
        <f t="shared" si="1"/>
        <v>5.5070959664599239E-2</v>
      </c>
    </row>
    <row r="416" spans="1:6" ht="12.5" x14ac:dyDescent="0.25">
      <c r="A416" s="69">
        <f t="shared" si="2"/>
        <v>414</v>
      </c>
      <c r="B416" s="62">
        <v>44331</v>
      </c>
      <c r="C416" s="61">
        <v>40117</v>
      </c>
      <c r="D416" s="61">
        <v>688334</v>
      </c>
      <c r="E416" s="61">
        <f t="shared" si="0"/>
        <v>728451</v>
      </c>
      <c r="F416" s="63">
        <f t="shared" si="1"/>
        <v>5.507165203973912E-2</v>
      </c>
    </row>
    <row r="417" spans="1:6" ht="12.5" x14ac:dyDescent="0.25">
      <c r="A417" s="69">
        <f t="shared" si="2"/>
        <v>415</v>
      </c>
      <c r="B417" s="62">
        <v>44332</v>
      </c>
      <c r="C417" s="61">
        <v>40119</v>
      </c>
      <c r="D417" s="61">
        <v>688351</v>
      </c>
      <c r="E417" s="61">
        <f t="shared" si="0"/>
        <v>728470</v>
      </c>
      <c r="F417" s="63">
        <f t="shared" si="1"/>
        <v>5.5072961137727014E-2</v>
      </c>
    </row>
    <row r="418" spans="1:6" ht="12.5" x14ac:dyDescent="0.25">
      <c r="A418" s="69">
        <f t="shared" si="2"/>
        <v>416</v>
      </c>
      <c r="B418" s="62">
        <v>44333</v>
      </c>
      <c r="C418" s="61">
        <v>40119</v>
      </c>
      <c r="D418" s="61">
        <v>688356</v>
      </c>
      <c r="E418" s="61">
        <f t="shared" si="0"/>
        <v>728475</v>
      </c>
      <c r="F418" s="63">
        <f t="shared" si="1"/>
        <v>5.5072583136003293E-2</v>
      </c>
    </row>
    <row r="419" spans="1:6" ht="12.5" x14ac:dyDescent="0.25">
      <c r="A419" s="69">
        <f t="shared" si="2"/>
        <v>417</v>
      </c>
      <c r="B419" s="62">
        <v>44334</v>
      </c>
      <c r="C419" s="61">
        <v>40121</v>
      </c>
      <c r="D419" s="61">
        <v>688404</v>
      </c>
      <c r="E419" s="61">
        <f t="shared" si="0"/>
        <v>728525</v>
      </c>
      <c r="F419" s="63">
        <f t="shared" si="1"/>
        <v>5.5071548677121579E-2</v>
      </c>
    </row>
    <row r="420" spans="1:6" ht="12.5" x14ac:dyDescent="0.25">
      <c r="A420" s="69">
        <f t="shared" si="2"/>
        <v>418</v>
      </c>
      <c r="B420" s="62">
        <v>44335</v>
      </c>
      <c r="C420" s="61">
        <v>40141</v>
      </c>
      <c r="D420" s="61">
        <v>688484</v>
      </c>
      <c r="E420" s="61">
        <f t="shared" si="0"/>
        <v>728625</v>
      </c>
      <c r="F420" s="63">
        <f t="shared" si="1"/>
        <v>5.5091439354949388E-2</v>
      </c>
    </row>
    <row r="421" spans="1:6" ht="12.5" x14ac:dyDescent="0.25">
      <c r="A421" s="69">
        <f t="shared" si="2"/>
        <v>419</v>
      </c>
      <c r="B421" s="62">
        <v>44336</v>
      </c>
      <c r="C421" s="61">
        <v>40161</v>
      </c>
      <c r="D421" s="61">
        <v>688538</v>
      </c>
      <c r="E421" s="61">
        <f t="shared" si="0"/>
        <v>728699</v>
      </c>
      <c r="F421" s="63">
        <f t="shared" si="1"/>
        <v>5.5113290947290991E-2</v>
      </c>
    </row>
    <row r="422" spans="1:6" ht="12.5" x14ac:dyDescent="0.25">
      <c r="A422" s="69">
        <f t="shared" si="2"/>
        <v>420</v>
      </c>
      <c r="B422" s="62">
        <v>44337</v>
      </c>
      <c r="C422" s="61">
        <v>40173</v>
      </c>
      <c r="D422" s="61">
        <v>688569</v>
      </c>
      <c r="E422" s="61">
        <f t="shared" si="0"/>
        <v>728742</v>
      </c>
      <c r="F422" s="63">
        <f t="shared" si="1"/>
        <v>5.5126505676906232E-2</v>
      </c>
    </row>
    <row r="423" spans="1:6" ht="12.5" x14ac:dyDescent="0.25">
      <c r="A423" s="69">
        <f t="shared" si="2"/>
        <v>421</v>
      </c>
      <c r="B423" s="62">
        <v>44338</v>
      </c>
      <c r="C423" s="61">
        <v>40178</v>
      </c>
      <c r="D423" s="61">
        <v>688714</v>
      </c>
      <c r="E423" s="61">
        <f t="shared" si="0"/>
        <v>728892</v>
      </c>
      <c r="F423" s="63">
        <f t="shared" si="1"/>
        <v>5.5122020820642839E-2</v>
      </c>
    </row>
    <row r="424" spans="1:6" ht="12.5" x14ac:dyDescent="0.25">
      <c r="A424" s="69">
        <f t="shared" si="2"/>
        <v>422</v>
      </c>
      <c r="B424" s="62">
        <v>44339</v>
      </c>
      <c r="C424" s="61">
        <v>40187</v>
      </c>
      <c r="D424" s="61">
        <v>688860</v>
      </c>
      <c r="E424" s="61">
        <f t="shared" si="0"/>
        <v>729047</v>
      </c>
      <c r="F424" s="63">
        <f t="shared" si="1"/>
        <v>5.5122646413742871E-2</v>
      </c>
    </row>
    <row r="425" spans="1:6" ht="12.5" x14ac:dyDescent="0.25">
      <c r="A425" s="69">
        <f t="shared" si="2"/>
        <v>423</v>
      </c>
      <c r="B425" s="62">
        <v>44340</v>
      </c>
      <c r="C425" s="61">
        <v>40187</v>
      </c>
      <c r="D425" s="61">
        <v>688865</v>
      </c>
      <c r="E425" s="61">
        <f t="shared" si="0"/>
        <v>729052</v>
      </c>
      <c r="F425" s="63">
        <f t="shared" si="1"/>
        <v>5.5122268370431736E-2</v>
      </c>
    </row>
    <row r="426" spans="1:6" ht="12.5" x14ac:dyDescent="0.25">
      <c r="A426" s="69">
        <f t="shared" si="2"/>
        <v>424</v>
      </c>
      <c r="B426" s="62">
        <v>44341</v>
      </c>
      <c r="C426" s="61">
        <v>40192</v>
      </c>
      <c r="D426" s="61">
        <v>688889</v>
      </c>
      <c r="E426" s="61">
        <f t="shared" si="0"/>
        <v>729081</v>
      </c>
      <c r="F426" s="63">
        <f t="shared" si="1"/>
        <v>5.5126933770047501E-2</v>
      </c>
    </row>
    <row r="427" spans="1:6" ht="12.5" x14ac:dyDescent="0.25">
      <c r="A427" s="69">
        <f t="shared" si="2"/>
        <v>425</v>
      </c>
      <c r="B427" s="62">
        <v>44342</v>
      </c>
      <c r="C427" s="61">
        <v>40200</v>
      </c>
      <c r="D427" s="61">
        <v>688984</v>
      </c>
      <c r="E427" s="61">
        <f t="shared" si="0"/>
        <v>729184</v>
      </c>
      <c r="F427" s="63">
        <f t="shared" si="1"/>
        <v>5.5130118049765219E-2</v>
      </c>
    </row>
    <row r="428" spans="1:6" ht="12.5" x14ac:dyDescent="0.25">
      <c r="A428" s="69">
        <f t="shared" si="2"/>
        <v>426</v>
      </c>
      <c r="B428" s="62">
        <v>44343</v>
      </c>
      <c r="C428" s="61">
        <v>40200</v>
      </c>
      <c r="D428" s="61">
        <v>689066</v>
      </c>
      <c r="E428" s="61">
        <f t="shared" si="0"/>
        <v>729266</v>
      </c>
      <c r="F428" s="63">
        <f t="shared" si="1"/>
        <v>5.5123919118675493E-2</v>
      </c>
    </row>
    <row r="429" spans="1:6" ht="12.5" x14ac:dyDescent="0.25">
      <c r="A429" s="69">
        <f t="shared" si="2"/>
        <v>427</v>
      </c>
      <c r="B429" s="62">
        <v>44344</v>
      </c>
      <c r="C429" s="61">
        <v>40200</v>
      </c>
      <c r="D429" s="61">
        <v>689075</v>
      </c>
      <c r="E429" s="61">
        <f t="shared" si="0"/>
        <v>729275</v>
      </c>
      <c r="F429" s="63">
        <f t="shared" si="1"/>
        <v>5.5123238833087652E-2</v>
      </c>
    </row>
    <row r="430" spans="1:6" ht="12.5" x14ac:dyDescent="0.25">
      <c r="A430" s="69">
        <f t="shared" si="2"/>
        <v>428</v>
      </c>
      <c r="B430" s="62">
        <v>44345</v>
      </c>
      <c r="C430" s="61">
        <v>40203</v>
      </c>
      <c r="D430" s="61">
        <v>689117</v>
      </c>
      <c r="E430" s="61">
        <f t="shared" si="0"/>
        <v>729320</v>
      </c>
      <c r="F430" s="63">
        <f t="shared" si="1"/>
        <v>5.5123951077716227E-2</v>
      </c>
    </row>
    <row r="431" spans="1:6" ht="12.5" x14ac:dyDescent="0.25">
      <c r="A431" s="69">
        <f t="shared" si="2"/>
        <v>429</v>
      </c>
      <c r="B431" s="62">
        <v>44346</v>
      </c>
      <c r="C431" s="61">
        <v>40228</v>
      </c>
      <c r="D431" s="61">
        <v>689185</v>
      </c>
      <c r="E431" s="61">
        <f t="shared" si="0"/>
        <v>729413</v>
      </c>
      <c r="F431" s="63">
        <f t="shared" si="1"/>
        <v>5.515119692136005E-2</v>
      </c>
    </row>
    <row r="432" spans="1:6" ht="12.5" x14ac:dyDescent="0.25">
      <c r="A432" s="69">
        <f t="shared" si="2"/>
        <v>430</v>
      </c>
      <c r="B432" s="62">
        <v>44347</v>
      </c>
      <c r="C432" s="61">
        <v>40236</v>
      </c>
      <c r="D432" s="61">
        <v>689213</v>
      </c>
      <c r="E432" s="61">
        <f t="shared" si="0"/>
        <v>729449</v>
      </c>
      <c r="F432" s="63">
        <f t="shared" si="1"/>
        <v>5.5159442263955395E-2</v>
      </c>
    </row>
    <row r="433" spans="1:6" ht="12.5" x14ac:dyDescent="0.25">
      <c r="A433" s="69">
        <f t="shared" si="2"/>
        <v>431</v>
      </c>
      <c r="B433" s="62">
        <v>44348</v>
      </c>
      <c r="C433" s="61">
        <v>40237</v>
      </c>
      <c r="D433" s="61">
        <v>689219</v>
      </c>
      <c r="E433" s="61">
        <f t="shared" si="0"/>
        <v>729456</v>
      </c>
      <c r="F433" s="63">
        <f t="shared" si="1"/>
        <v>5.5160283827948499E-2</v>
      </c>
    </row>
    <row r="434" spans="1:6" ht="12.5" x14ac:dyDescent="0.25">
      <c r="A434" s="69">
        <f t="shared" si="2"/>
        <v>432</v>
      </c>
      <c r="B434" s="62">
        <v>44349</v>
      </c>
      <c r="C434" s="61">
        <v>40256</v>
      </c>
      <c r="D434" s="61">
        <v>689304</v>
      </c>
      <c r="E434" s="61">
        <f t="shared" si="0"/>
        <v>729560</v>
      </c>
      <c r="F434" s="63">
        <f t="shared" si="1"/>
        <v>5.517846373156423E-2</v>
      </c>
    </row>
    <row r="435" spans="1:6" ht="12.5" x14ac:dyDescent="0.25">
      <c r="A435" s="69">
        <f t="shared" si="2"/>
        <v>433</v>
      </c>
      <c r="B435" s="62">
        <v>44350</v>
      </c>
      <c r="C435" s="61">
        <v>40257</v>
      </c>
      <c r="D435" s="61">
        <v>689305</v>
      </c>
      <c r="E435" s="61">
        <f t="shared" si="0"/>
        <v>729562</v>
      </c>
      <c r="F435" s="63">
        <f t="shared" si="1"/>
        <v>5.5179683152357169E-2</v>
      </c>
    </row>
    <row r="436" spans="1:6" ht="12.5" x14ac:dyDescent="0.25">
      <c r="A436" s="69">
        <f t="shared" si="2"/>
        <v>434</v>
      </c>
      <c r="B436" s="62">
        <v>44351</v>
      </c>
      <c r="C436" s="61">
        <v>40262</v>
      </c>
      <c r="D436" s="61">
        <v>689345</v>
      </c>
      <c r="E436" s="61">
        <f t="shared" si="0"/>
        <v>729607</v>
      </c>
      <c r="F436" s="63">
        <f t="shared" si="1"/>
        <v>5.5183132837267189E-2</v>
      </c>
    </row>
    <row r="437" spans="1:6" ht="12.5" x14ac:dyDescent="0.25">
      <c r="A437" s="69">
        <f t="shared" si="2"/>
        <v>435</v>
      </c>
      <c r="B437" s="62">
        <v>44352</v>
      </c>
      <c r="C437" s="61">
        <v>40268</v>
      </c>
      <c r="D437" s="61">
        <v>689420</v>
      </c>
      <c r="E437" s="61">
        <f t="shared" si="0"/>
        <v>729688</v>
      </c>
      <c r="F437" s="63">
        <f t="shared" si="1"/>
        <v>5.5185229851662632E-2</v>
      </c>
    </row>
    <row r="438" spans="1:6" ht="12.5" x14ac:dyDescent="0.25">
      <c r="A438" s="69">
        <f t="shared" si="2"/>
        <v>436</v>
      </c>
      <c r="B438" s="62">
        <v>44353</v>
      </c>
      <c r="C438" s="61">
        <v>40286</v>
      </c>
      <c r="D438" s="61">
        <v>689537</v>
      </c>
      <c r="E438" s="61">
        <f t="shared" si="0"/>
        <v>729823</v>
      </c>
      <c r="F438" s="63">
        <f t="shared" si="1"/>
        <v>5.5199685403173097E-2</v>
      </c>
    </row>
    <row r="439" spans="1:6" ht="12.5" x14ac:dyDescent="0.25">
      <c r="A439" s="69">
        <f t="shared" si="2"/>
        <v>437</v>
      </c>
      <c r="B439" s="62">
        <v>44354</v>
      </c>
      <c r="C439" s="61">
        <v>40291</v>
      </c>
      <c r="D439" s="61">
        <v>689548</v>
      </c>
      <c r="E439" s="61">
        <f t="shared" si="0"/>
        <v>729839</v>
      </c>
      <c r="F439" s="63">
        <f t="shared" si="1"/>
        <v>5.5205326106168622E-2</v>
      </c>
    </row>
    <row r="440" spans="1:6" ht="12.5" x14ac:dyDescent="0.25">
      <c r="A440" s="69">
        <f t="shared" si="2"/>
        <v>438</v>
      </c>
      <c r="B440" s="62">
        <v>44355</v>
      </c>
      <c r="C440" s="61">
        <v>40291</v>
      </c>
      <c r="D440" s="61">
        <v>689563</v>
      </c>
      <c r="E440" s="61">
        <f t="shared" si="0"/>
        <v>729854</v>
      </c>
      <c r="F440" s="63">
        <f t="shared" si="1"/>
        <v>5.5204191523236155E-2</v>
      </c>
    </row>
    <row r="441" spans="1:6" ht="12.5" x14ac:dyDescent="0.25">
      <c r="A441" s="69">
        <f t="shared" si="2"/>
        <v>439</v>
      </c>
      <c r="B441" s="62">
        <v>44356</v>
      </c>
      <c r="C441" s="61">
        <v>40293</v>
      </c>
      <c r="D441" s="61">
        <v>689581</v>
      </c>
      <c r="E441" s="61">
        <f t="shared" si="0"/>
        <v>729874</v>
      </c>
      <c r="F441" s="63">
        <f t="shared" si="1"/>
        <v>5.5205419017529053E-2</v>
      </c>
    </row>
    <row r="442" spans="1:6" ht="12.5" x14ac:dyDescent="0.25">
      <c r="A442" s="69">
        <f t="shared" si="2"/>
        <v>440</v>
      </c>
      <c r="B442" s="62">
        <v>44357</v>
      </c>
      <c r="C442" s="61">
        <v>40294</v>
      </c>
      <c r="D442" s="61">
        <v>689608</v>
      </c>
      <c r="E442" s="61">
        <f t="shared" si="0"/>
        <v>729902</v>
      </c>
      <c r="F442" s="63">
        <f t="shared" si="1"/>
        <v>5.5204671312039148E-2</v>
      </c>
    </row>
    <row r="443" spans="1:6" ht="12.5" x14ac:dyDescent="0.25">
      <c r="A443" s="69">
        <f t="shared" si="2"/>
        <v>441</v>
      </c>
      <c r="B443" s="62">
        <v>44358</v>
      </c>
      <c r="C443" s="61">
        <v>40294</v>
      </c>
      <c r="D443" s="61">
        <v>689635</v>
      </c>
      <c r="E443" s="61">
        <f t="shared" si="0"/>
        <v>729929</v>
      </c>
      <c r="F443" s="63">
        <f t="shared" si="1"/>
        <v>5.5202629296822021E-2</v>
      </c>
    </row>
    <row r="444" spans="1:6" ht="12.5" x14ac:dyDescent="0.25">
      <c r="A444" s="69">
        <f t="shared" si="2"/>
        <v>442</v>
      </c>
      <c r="B444" s="62">
        <v>44359</v>
      </c>
      <c r="C444" s="61">
        <v>40298</v>
      </c>
      <c r="D444" s="61">
        <v>689650</v>
      </c>
      <c r="E444" s="61">
        <f t="shared" si="0"/>
        <v>729948</v>
      </c>
      <c r="F444" s="63">
        <f t="shared" si="1"/>
        <v>5.5206672256105913E-2</v>
      </c>
    </row>
    <row r="445" spans="1:6" ht="12.5" x14ac:dyDescent="0.25">
      <c r="A445" s="69">
        <f t="shared" si="2"/>
        <v>443</v>
      </c>
      <c r="B445" s="62">
        <v>44360</v>
      </c>
      <c r="C445" s="61">
        <v>40306</v>
      </c>
      <c r="D445" s="61">
        <v>689734</v>
      </c>
      <c r="E445" s="61">
        <f t="shared" si="0"/>
        <v>730040</v>
      </c>
      <c r="F445" s="63">
        <f t="shared" si="1"/>
        <v>5.5210673387759576E-2</v>
      </c>
    </row>
    <row r="446" spans="1:6" ht="12.5" x14ac:dyDescent="0.25">
      <c r="A446" s="69">
        <f t="shared" si="2"/>
        <v>444</v>
      </c>
      <c r="B446" s="62">
        <v>44361</v>
      </c>
      <c r="C446" s="61">
        <v>40306</v>
      </c>
      <c r="D446" s="61">
        <v>689744</v>
      </c>
      <c r="E446" s="61">
        <f t="shared" si="0"/>
        <v>730050</v>
      </c>
      <c r="F446" s="63">
        <f t="shared" si="1"/>
        <v>5.5209917128963767E-2</v>
      </c>
    </row>
    <row r="447" spans="1:6" ht="12.5" x14ac:dyDescent="0.25">
      <c r="A447" s="69">
        <f t="shared" si="2"/>
        <v>445</v>
      </c>
      <c r="B447" s="62">
        <v>44362</v>
      </c>
      <c r="C447" s="61">
        <v>40306</v>
      </c>
      <c r="D447" s="61">
        <v>689751</v>
      </c>
      <c r="E447" s="61">
        <f t="shared" si="0"/>
        <v>730057</v>
      </c>
      <c r="F447" s="63">
        <f t="shared" si="1"/>
        <v>5.5209387760133795E-2</v>
      </c>
    </row>
    <row r="448" spans="1:6" ht="12.5" x14ac:dyDescent="0.25">
      <c r="A448" s="69">
        <f t="shared" si="2"/>
        <v>446</v>
      </c>
      <c r="B448" s="62">
        <v>44363</v>
      </c>
      <c r="C448" s="61">
        <v>40311</v>
      </c>
      <c r="D448" s="61">
        <v>689768</v>
      </c>
      <c r="E448" s="61">
        <f t="shared" si="0"/>
        <v>730079</v>
      </c>
      <c r="F448" s="63">
        <f t="shared" si="1"/>
        <v>5.5214572669533023E-2</v>
      </c>
    </row>
    <row r="449" spans="1:6" ht="12.5" x14ac:dyDescent="0.25">
      <c r="A449" s="69">
        <f t="shared" si="2"/>
        <v>447</v>
      </c>
      <c r="B449" s="62">
        <v>44364</v>
      </c>
      <c r="C449" s="61">
        <v>40328</v>
      </c>
      <c r="D449" s="61">
        <v>689845</v>
      </c>
      <c r="E449" s="61">
        <f t="shared" si="0"/>
        <v>730173</v>
      </c>
      <c r="F449" s="63">
        <f t="shared" si="1"/>
        <v>5.5230746686059332E-2</v>
      </c>
    </row>
    <row r="450" spans="1:6" ht="12.5" x14ac:dyDescent="0.25">
      <c r="A450" s="69">
        <f t="shared" si="2"/>
        <v>448</v>
      </c>
      <c r="B450" s="62">
        <v>44365</v>
      </c>
      <c r="C450" s="61">
        <v>40351</v>
      </c>
      <c r="D450" s="61">
        <v>689907</v>
      </c>
      <c r="E450" s="61">
        <f t="shared" si="0"/>
        <v>730258</v>
      </c>
      <c r="F450" s="63">
        <f t="shared" si="1"/>
        <v>5.525581369872018E-2</v>
      </c>
    </row>
    <row r="451" spans="1:6" ht="12.5" x14ac:dyDescent="0.25">
      <c r="A451" s="69">
        <f t="shared" si="2"/>
        <v>449</v>
      </c>
      <c r="B451" s="62">
        <v>44366</v>
      </c>
      <c r="C451" s="61">
        <v>40362</v>
      </c>
      <c r="D451" s="61">
        <v>689972</v>
      </c>
      <c r="E451" s="61">
        <f t="shared" si="0"/>
        <v>730334</v>
      </c>
      <c r="F451" s="63">
        <f t="shared" si="1"/>
        <v>5.5265125271451145E-2</v>
      </c>
    </row>
    <row r="452" spans="1:6" ht="12.5" x14ac:dyDescent="0.25">
      <c r="A452" s="69">
        <f t="shared" si="2"/>
        <v>450</v>
      </c>
      <c r="B452" s="62">
        <v>44367</v>
      </c>
      <c r="C452" s="61">
        <v>40369</v>
      </c>
      <c r="D452" s="61">
        <v>690034</v>
      </c>
      <c r="E452" s="61">
        <f t="shared" si="0"/>
        <v>730403</v>
      </c>
      <c r="F452" s="63">
        <f t="shared" si="1"/>
        <v>5.5269488214040742E-2</v>
      </c>
    </row>
    <row r="453" spans="1:6" ht="12.5" x14ac:dyDescent="0.25">
      <c r="A453" s="69">
        <f t="shared" si="2"/>
        <v>451</v>
      </c>
      <c r="B453" s="62">
        <v>44368</v>
      </c>
      <c r="C453" s="61">
        <v>40372</v>
      </c>
      <c r="D453" s="61">
        <v>690065</v>
      </c>
      <c r="E453" s="61">
        <f t="shared" si="0"/>
        <v>730437</v>
      </c>
      <c r="F453" s="63">
        <f t="shared" si="1"/>
        <v>5.5271022689157311E-2</v>
      </c>
    </row>
    <row r="454" spans="1:6" ht="12.5" x14ac:dyDescent="0.25">
      <c r="A454" s="69">
        <f t="shared" si="2"/>
        <v>452</v>
      </c>
      <c r="B454" s="62">
        <v>44369</v>
      </c>
      <c r="C454" s="61">
        <v>40377</v>
      </c>
      <c r="D454" s="61">
        <v>690075</v>
      </c>
      <c r="E454" s="61">
        <f t="shared" si="0"/>
        <v>730452</v>
      </c>
      <c r="F454" s="63">
        <f t="shared" si="1"/>
        <v>5.5276732762727737E-2</v>
      </c>
    </row>
    <row r="455" spans="1:6" ht="12.5" x14ac:dyDescent="0.25">
      <c r="A455" s="69">
        <f t="shared" si="2"/>
        <v>453</v>
      </c>
      <c r="B455" s="62">
        <v>44370</v>
      </c>
      <c r="C455" s="61">
        <v>40383</v>
      </c>
      <c r="D455" s="61">
        <v>690119</v>
      </c>
      <c r="E455" s="61">
        <f t="shared" si="0"/>
        <v>730502</v>
      </c>
      <c r="F455" s="63">
        <f t="shared" si="1"/>
        <v>5.528116281680269E-2</v>
      </c>
    </row>
    <row r="456" spans="1:6" ht="12.5" x14ac:dyDescent="0.25">
      <c r="A456" s="69">
        <f t="shared" si="2"/>
        <v>454</v>
      </c>
      <c r="B456" s="62">
        <v>44371</v>
      </c>
      <c r="C456" s="61">
        <v>40391</v>
      </c>
      <c r="D456" s="61">
        <v>690140</v>
      </c>
      <c r="E456" s="61">
        <f t="shared" si="0"/>
        <v>730531</v>
      </c>
      <c r="F456" s="63">
        <f t="shared" si="1"/>
        <v>5.5289919250517773E-2</v>
      </c>
    </row>
    <row r="457" spans="1:6" ht="12.5" x14ac:dyDescent="0.25">
      <c r="A457" s="69">
        <f t="shared" si="2"/>
        <v>455</v>
      </c>
      <c r="B457" s="62">
        <v>44372</v>
      </c>
      <c r="C457" s="61">
        <v>40405</v>
      </c>
      <c r="D457" s="61">
        <v>690218</v>
      </c>
      <c r="E457" s="61">
        <f t="shared" si="0"/>
        <v>730623</v>
      </c>
      <c r="F457" s="63">
        <f t="shared" si="1"/>
        <v>5.5302118876629947E-2</v>
      </c>
    </row>
    <row r="458" spans="1:6" ht="12.5" x14ac:dyDescent="0.25">
      <c r="A458" s="69">
        <f t="shared" si="2"/>
        <v>456</v>
      </c>
      <c r="B458" s="62">
        <v>44373</v>
      </c>
      <c r="C458" s="61">
        <v>40406</v>
      </c>
      <c r="D458" s="61">
        <v>690249</v>
      </c>
      <c r="E458" s="61">
        <f t="shared" si="0"/>
        <v>730655</v>
      </c>
      <c r="F458" s="63">
        <f t="shared" si="1"/>
        <v>5.5301065482341184E-2</v>
      </c>
    </row>
    <row r="459" spans="1:6" ht="15" customHeight="1" x14ac:dyDescent="0.25">
      <c r="A459" s="69">
        <f t="shared" si="2"/>
        <v>457</v>
      </c>
      <c r="B459" s="62">
        <v>44374</v>
      </c>
      <c r="C459" s="61">
        <v>40409</v>
      </c>
      <c r="D459" s="61">
        <v>690277</v>
      </c>
      <c r="E459" s="61">
        <f t="shared" si="0"/>
        <v>730686</v>
      </c>
      <c r="F459" s="63">
        <f t="shared" si="1"/>
        <v>5.530282501649135E-2</v>
      </c>
    </row>
    <row r="460" spans="1:6" ht="12.5" x14ac:dyDescent="0.25">
      <c r="A460" s="69">
        <f t="shared" si="2"/>
        <v>458</v>
      </c>
      <c r="B460" s="62">
        <v>44375</v>
      </c>
      <c r="C460" s="61">
        <v>40409</v>
      </c>
      <c r="D460" s="61">
        <v>690277</v>
      </c>
      <c r="E460" s="61">
        <f t="shared" si="0"/>
        <v>730686</v>
      </c>
      <c r="F460" s="63">
        <f t="shared" si="1"/>
        <v>5.530282501649135E-2</v>
      </c>
    </row>
    <row r="461" spans="1:6" ht="12.5" x14ac:dyDescent="0.25">
      <c r="A461" s="69">
        <f t="shared" si="2"/>
        <v>459</v>
      </c>
      <c r="B461" s="62">
        <v>44376</v>
      </c>
      <c r="C461" s="61">
        <v>40409</v>
      </c>
      <c r="D461" s="61">
        <v>690279</v>
      </c>
      <c r="E461" s="61">
        <f t="shared" si="0"/>
        <v>730688</v>
      </c>
      <c r="F461" s="63">
        <f t="shared" si="1"/>
        <v>5.530267364456512E-2</v>
      </c>
    </row>
    <row r="462" spans="1:6" ht="12.5" x14ac:dyDescent="0.25">
      <c r="A462" s="69">
        <f t="shared" si="2"/>
        <v>460</v>
      </c>
      <c r="B462" s="62">
        <v>44377</v>
      </c>
      <c r="C462" s="61">
        <v>40409</v>
      </c>
      <c r="D462" s="61">
        <v>690285</v>
      </c>
      <c r="E462" s="61">
        <f t="shared" si="0"/>
        <v>730694</v>
      </c>
      <c r="F462" s="63">
        <f t="shared" si="1"/>
        <v>5.5302219533758315E-2</v>
      </c>
    </row>
    <row r="463" spans="1:6" ht="12.5" x14ac:dyDescent="0.25">
      <c r="A463" s="69">
        <f t="shared" si="2"/>
        <v>461</v>
      </c>
      <c r="B463" s="62">
        <v>44378</v>
      </c>
      <c r="C463" s="61">
        <v>40412</v>
      </c>
      <c r="D463" s="61">
        <v>690302</v>
      </c>
      <c r="E463" s="61">
        <f t="shared" si="0"/>
        <v>730714</v>
      </c>
      <c r="F463" s="63">
        <f t="shared" si="1"/>
        <v>5.53048114583818E-2</v>
      </c>
    </row>
    <row r="464" spans="1:6" ht="12.5" x14ac:dyDescent="0.25">
      <c r="A464" s="69">
        <f t="shared" si="2"/>
        <v>462</v>
      </c>
      <c r="B464" s="62">
        <v>44379</v>
      </c>
      <c r="C464" s="61">
        <v>40412</v>
      </c>
      <c r="D464" s="61">
        <v>690303</v>
      </c>
      <c r="E464" s="61">
        <f t="shared" si="0"/>
        <v>730715</v>
      </c>
      <c r="F464" s="63">
        <f t="shared" si="1"/>
        <v>5.5304735772496803E-2</v>
      </c>
    </row>
    <row r="465" spans="1:6" ht="12.5" x14ac:dyDescent="0.25">
      <c r="A465" s="69">
        <f t="shared" si="2"/>
        <v>463</v>
      </c>
      <c r="B465" s="62">
        <v>44380</v>
      </c>
      <c r="C465" s="61">
        <v>40423</v>
      </c>
      <c r="D465" s="61">
        <v>690350</v>
      </c>
      <c r="E465" s="61">
        <f t="shared" si="0"/>
        <v>730773</v>
      </c>
      <c r="F465" s="63">
        <f t="shared" si="1"/>
        <v>5.5315398899521466E-2</v>
      </c>
    </row>
    <row r="466" spans="1:6" ht="12.5" x14ac:dyDescent="0.25">
      <c r="A466" s="69">
        <f t="shared" si="2"/>
        <v>464</v>
      </c>
      <c r="B466" s="62">
        <v>44381</v>
      </c>
      <c r="C466" s="61">
        <v>40449</v>
      </c>
      <c r="D466" s="61">
        <v>690426</v>
      </c>
      <c r="E466" s="61">
        <f t="shared" si="0"/>
        <v>730875</v>
      </c>
      <c r="F466" s="63">
        <f t="shared" si="1"/>
        <v>5.534325295023089E-2</v>
      </c>
    </row>
    <row r="467" spans="1:6" ht="12.5" x14ac:dyDescent="0.25">
      <c r="A467" s="69">
        <f t="shared" si="2"/>
        <v>465</v>
      </c>
      <c r="B467" s="62">
        <v>44382</v>
      </c>
      <c r="C467" s="61">
        <v>40453</v>
      </c>
      <c r="D467" s="61">
        <v>690461</v>
      </c>
      <c r="E467" s="61">
        <f t="shared" si="0"/>
        <v>730914</v>
      </c>
      <c r="F467" s="63">
        <f t="shared" si="1"/>
        <v>5.5345772553268918E-2</v>
      </c>
    </row>
    <row r="468" spans="1:6" ht="12.5" x14ac:dyDescent="0.25">
      <c r="A468" s="69">
        <f t="shared" si="2"/>
        <v>466</v>
      </c>
      <c r="B468" s="62">
        <v>44383</v>
      </c>
      <c r="C468" s="61">
        <v>40453</v>
      </c>
      <c r="D468" s="61">
        <v>690464</v>
      </c>
      <c r="E468" s="61">
        <f t="shared" si="0"/>
        <v>730917</v>
      </c>
      <c r="F468" s="63">
        <f t="shared" si="1"/>
        <v>5.5345545390242668E-2</v>
      </c>
    </row>
    <row r="469" spans="1:6" ht="12.5" x14ac:dyDescent="0.25">
      <c r="A469" s="69">
        <f t="shared" si="2"/>
        <v>467</v>
      </c>
      <c r="B469" s="62">
        <v>44384</v>
      </c>
      <c r="C469" s="61">
        <v>40455</v>
      </c>
      <c r="D469" s="61">
        <v>690484</v>
      </c>
      <c r="E469" s="61">
        <f t="shared" si="0"/>
        <v>730939</v>
      </c>
      <c r="F469" s="63">
        <f t="shared" si="1"/>
        <v>5.5346615791468233E-2</v>
      </c>
    </row>
    <row r="470" spans="1:6" ht="12.5" x14ac:dyDescent="0.25">
      <c r="A470" s="69">
        <f t="shared" si="2"/>
        <v>468</v>
      </c>
      <c r="B470" s="62">
        <v>44385</v>
      </c>
      <c r="C470" s="61">
        <v>40458</v>
      </c>
      <c r="D470" s="61">
        <v>690561</v>
      </c>
      <c r="E470" s="61">
        <f t="shared" si="0"/>
        <v>731019</v>
      </c>
      <c r="F470" s="63">
        <f t="shared" si="1"/>
        <v>5.5344662724224676E-2</v>
      </c>
    </row>
    <row r="471" spans="1:6" ht="12.5" x14ac:dyDescent="0.25">
      <c r="A471" s="69">
        <f t="shared" si="2"/>
        <v>469</v>
      </c>
      <c r="B471" s="62">
        <v>44386</v>
      </c>
      <c r="C471" s="61">
        <v>40465</v>
      </c>
      <c r="D471" s="61">
        <v>690582</v>
      </c>
      <c r="E471" s="61">
        <f t="shared" si="0"/>
        <v>731047</v>
      </c>
      <c r="F471" s="63">
        <f t="shared" si="1"/>
        <v>5.5352118263258039E-2</v>
      </c>
    </row>
    <row r="472" spans="1:6" ht="12.5" x14ac:dyDescent="0.25">
      <c r="A472" s="69">
        <f t="shared" si="2"/>
        <v>470</v>
      </c>
      <c r="B472" s="62">
        <v>44387</v>
      </c>
      <c r="C472" s="61">
        <v>40473</v>
      </c>
      <c r="D472" s="61">
        <v>690636</v>
      </c>
      <c r="E472" s="61">
        <f t="shared" si="0"/>
        <v>731109</v>
      </c>
      <c r="F472" s="63">
        <f t="shared" si="1"/>
        <v>5.5358366536316747E-2</v>
      </c>
    </row>
    <row r="473" spans="1:6" ht="12.5" x14ac:dyDescent="0.25">
      <c r="A473" s="69">
        <f t="shared" si="2"/>
        <v>471</v>
      </c>
      <c r="B473" s="62">
        <v>44388</v>
      </c>
      <c r="C473" s="61">
        <v>40475</v>
      </c>
      <c r="D473" s="61">
        <v>690653</v>
      </c>
      <c r="E473" s="61">
        <f t="shared" si="0"/>
        <v>731128</v>
      </c>
      <c r="F473" s="63">
        <f t="shared" si="1"/>
        <v>5.5359663424188375E-2</v>
      </c>
    </row>
    <row r="474" spans="1:6" ht="12.5" x14ac:dyDescent="0.25">
      <c r="A474" s="69">
        <f t="shared" si="2"/>
        <v>472</v>
      </c>
      <c r="B474" s="62">
        <v>44389</v>
      </c>
      <c r="C474" s="61">
        <v>40491</v>
      </c>
      <c r="D474" s="61">
        <v>690683</v>
      </c>
      <c r="E474" s="61">
        <f t="shared" si="0"/>
        <v>731174</v>
      </c>
      <c r="F474" s="63">
        <f t="shared" si="1"/>
        <v>5.5378063224348788E-2</v>
      </c>
    </row>
    <row r="475" spans="1:6" ht="12.5" x14ac:dyDescent="0.25">
      <c r="A475" s="69">
        <f t="shared" si="2"/>
        <v>473</v>
      </c>
      <c r="B475" s="62">
        <v>44390</v>
      </c>
      <c r="C475" s="61">
        <v>40491</v>
      </c>
      <c r="D475" s="61">
        <v>690683</v>
      </c>
      <c r="E475" s="61">
        <f t="shared" si="0"/>
        <v>731174</v>
      </c>
      <c r="F475" s="63">
        <f t="shared" si="1"/>
        <v>5.5378063224348788E-2</v>
      </c>
    </row>
    <row r="476" spans="1:6" ht="12.5" x14ac:dyDescent="0.25">
      <c r="A476" s="69">
        <f t="shared" si="2"/>
        <v>474</v>
      </c>
      <c r="B476" s="62">
        <v>44391</v>
      </c>
      <c r="C476" s="61">
        <v>40496</v>
      </c>
      <c r="D476" s="61">
        <v>690700</v>
      </c>
      <c r="E476" s="61">
        <f t="shared" si="0"/>
        <v>731196</v>
      </c>
      <c r="F476" s="63">
        <f t="shared" si="1"/>
        <v>5.5383235138047798E-2</v>
      </c>
    </row>
    <row r="477" spans="1:6" ht="12.5" x14ac:dyDescent="0.25">
      <c r="A477" s="69">
        <f t="shared" si="2"/>
        <v>475</v>
      </c>
      <c r="B477" s="62">
        <v>44392</v>
      </c>
      <c r="C477" s="61">
        <v>40516</v>
      </c>
      <c r="D477" s="61">
        <v>690731</v>
      </c>
      <c r="E477" s="61">
        <f t="shared" si="0"/>
        <v>731247</v>
      </c>
      <c r="F477" s="63">
        <f t="shared" si="1"/>
        <v>5.5406723036128695E-2</v>
      </c>
    </row>
    <row r="478" spans="1:6" ht="12.5" x14ac:dyDescent="0.25">
      <c r="A478" s="69">
        <f t="shared" si="2"/>
        <v>476</v>
      </c>
      <c r="B478" s="62">
        <v>44393</v>
      </c>
      <c r="C478" s="61">
        <v>40523</v>
      </c>
      <c r="D478" s="61">
        <v>690738</v>
      </c>
      <c r="E478" s="61">
        <f t="shared" si="0"/>
        <v>731261</v>
      </c>
      <c r="F478" s="63">
        <f t="shared" si="1"/>
        <v>5.541523477937426E-2</v>
      </c>
    </row>
    <row r="479" spans="1:6" ht="12.5" x14ac:dyDescent="0.25">
      <c r="C479" s="69"/>
      <c r="D479" s="69"/>
    </row>
    <row r="480" spans="1:6" ht="12.5" x14ac:dyDescent="0.25">
      <c r="C480" s="69"/>
      <c r="D480" s="69"/>
    </row>
    <row r="481" spans="3:4" ht="12.5" x14ac:dyDescent="0.25">
      <c r="C481" s="69"/>
      <c r="D481" s="69"/>
    </row>
    <row r="482" spans="3:4" ht="12.5" x14ac:dyDescent="0.25">
      <c r="C482" s="69"/>
      <c r="D482" s="69"/>
    </row>
    <row r="483" spans="3:4" ht="12.5" x14ac:dyDescent="0.25">
      <c r="C483" s="69"/>
      <c r="D483" s="69"/>
    </row>
    <row r="484" spans="3:4" ht="12.5" x14ac:dyDescent="0.25">
      <c r="C484" s="69"/>
      <c r="D484" s="69"/>
    </row>
    <row r="485" spans="3:4" ht="12.5" x14ac:dyDescent="0.25">
      <c r="C485" s="69"/>
      <c r="D485" s="69"/>
    </row>
    <row r="486" spans="3:4" ht="12.5" x14ac:dyDescent="0.25">
      <c r="C486" s="69"/>
      <c r="D486" s="69"/>
    </row>
    <row r="487" spans="3:4" ht="12.5" x14ac:dyDescent="0.25">
      <c r="C487" s="69"/>
      <c r="D487" s="69"/>
    </row>
    <row r="488" spans="3:4" ht="12.5" x14ac:dyDescent="0.25">
      <c r="C488" s="69"/>
      <c r="D488" s="69"/>
    </row>
    <row r="489" spans="3:4" ht="12.5" x14ac:dyDescent="0.25">
      <c r="C489" s="69"/>
      <c r="D489" s="69"/>
    </row>
    <row r="490" spans="3:4" ht="12.5" x14ac:dyDescent="0.25">
      <c r="C490" s="69"/>
      <c r="D490" s="69"/>
    </row>
    <row r="491" spans="3:4" ht="12.5" x14ac:dyDescent="0.25">
      <c r="C491" s="69"/>
      <c r="D491" s="69"/>
    </row>
    <row r="492" spans="3:4" ht="12.5" x14ac:dyDescent="0.25">
      <c r="C492" s="69"/>
      <c r="D492" s="69"/>
    </row>
    <row r="493" spans="3:4" ht="12.5" x14ac:dyDescent="0.25">
      <c r="C493" s="69"/>
      <c r="D493" s="69"/>
    </row>
    <row r="494" spans="3:4" ht="12.5" x14ac:dyDescent="0.25">
      <c r="C494" s="69"/>
      <c r="D494" s="69"/>
    </row>
    <row r="495" spans="3:4" ht="12.5" x14ac:dyDescent="0.25">
      <c r="C495" s="69"/>
      <c r="D495" s="69"/>
    </row>
    <row r="496" spans="3:4" ht="12.5" x14ac:dyDescent="0.25">
      <c r="C496" s="69"/>
      <c r="D496" s="69"/>
    </row>
    <row r="497" spans="3:4" ht="12.5" x14ac:dyDescent="0.25">
      <c r="C497" s="69"/>
      <c r="D497" s="69"/>
    </row>
    <row r="498" spans="3:4" ht="12.5" x14ac:dyDescent="0.25">
      <c r="C498" s="69"/>
      <c r="D498" s="69"/>
    </row>
    <row r="499" spans="3:4" ht="12.5" x14ac:dyDescent="0.25">
      <c r="C499" s="69"/>
      <c r="D499" s="69"/>
    </row>
    <row r="500" spans="3:4" ht="12.5" x14ac:dyDescent="0.25">
      <c r="C500" s="69"/>
      <c r="D500" s="69"/>
    </row>
    <row r="501" spans="3:4" ht="12.5" x14ac:dyDescent="0.25">
      <c r="C501" s="69"/>
      <c r="D501" s="69"/>
    </row>
    <row r="502" spans="3:4" ht="12.5" x14ac:dyDescent="0.25">
      <c r="C502" s="69"/>
      <c r="D502" s="69"/>
    </row>
    <row r="503" spans="3:4" ht="12.5" x14ac:dyDescent="0.25">
      <c r="C503" s="69"/>
      <c r="D503" s="69"/>
    </row>
    <row r="504" spans="3:4" ht="12.5" x14ac:dyDescent="0.25">
      <c r="C504" s="69"/>
      <c r="D504" s="69"/>
    </row>
    <row r="505" spans="3:4" ht="12.5" x14ac:dyDescent="0.25">
      <c r="C505" s="69"/>
      <c r="D505" s="69"/>
    </row>
    <row r="506" spans="3:4" ht="12.5" x14ac:dyDescent="0.25">
      <c r="C506" s="69"/>
      <c r="D506" s="69"/>
    </row>
    <row r="507" spans="3:4" ht="12.5" x14ac:dyDescent="0.25">
      <c r="C507" s="69"/>
      <c r="D507" s="69"/>
    </row>
    <row r="508" spans="3:4" ht="12.5" x14ac:dyDescent="0.25">
      <c r="C508" s="69"/>
      <c r="D508" s="69"/>
    </row>
    <row r="509" spans="3:4" ht="12.5" x14ac:dyDescent="0.25">
      <c r="C509" s="69"/>
      <c r="D509" s="69"/>
    </row>
    <row r="510" spans="3:4" ht="12.5" x14ac:dyDescent="0.25">
      <c r="C510" s="69"/>
      <c r="D510" s="69"/>
    </row>
    <row r="511" spans="3:4" ht="12.5" x14ac:dyDescent="0.25">
      <c r="C511" s="69"/>
      <c r="D511" s="69"/>
    </row>
    <row r="512" spans="3:4" ht="12.5" x14ac:dyDescent="0.25">
      <c r="C512" s="69"/>
      <c r="D512" s="69"/>
    </row>
    <row r="513" spans="3:4" ht="12.5" x14ac:dyDescent="0.25">
      <c r="C513" s="69"/>
      <c r="D513" s="69"/>
    </row>
    <row r="514" spans="3:4" ht="12.5" x14ac:dyDescent="0.25">
      <c r="C514" s="69"/>
      <c r="D514" s="69"/>
    </row>
    <row r="515" spans="3:4" ht="12.5" x14ac:dyDescent="0.25">
      <c r="C515" s="69"/>
      <c r="D515" s="69"/>
    </row>
    <row r="516" spans="3:4" ht="12.5" x14ac:dyDescent="0.25">
      <c r="C516" s="69"/>
      <c r="D516" s="69"/>
    </row>
    <row r="517" spans="3:4" ht="12.5" x14ac:dyDescent="0.25">
      <c r="C517" s="69"/>
      <c r="D517" s="69"/>
    </row>
    <row r="518" spans="3:4" ht="12.5" x14ac:dyDescent="0.25">
      <c r="C518" s="69"/>
      <c r="D518" s="69"/>
    </row>
    <row r="519" spans="3:4" ht="12.5" x14ac:dyDescent="0.25">
      <c r="C519" s="69"/>
      <c r="D519" s="69"/>
    </row>
    <row r="520" spans="3:4" ht="12.5" x14ac:dyDescent="0.25">
      <c r="C520" s="69"/>
      <c r="D520" s="69"/>
    </row>
    <row r="521" spans="3:4" ht="12.5" x14ac:dyDescent="0.25">
      <c r="C521" s="69"/>
      <c r="D521" s="69"/>
    </row>
    <row r="522" spans="3:4" ht="12.5" x14ac:dyDescent="0.25">
      <c r="C522" s="69"/>
      <c r="D522" s="69"/>
    </row>
    <row r="523" spans="3:4" ht="12.5" x14ac:dyDescent="0.25">
      <c r="C523" s="69"/>
      <c r="D523" s="69"/>
    </row>
    <row r="524" spans="3:4" ht="12.5" x14ac:dyDescent="0.25">
      <c r="C524" s="69"/>
      <c r="D524" s="69"/>
    </row>
    <row r="525" spans="3:4" ht="12.5" x14ac:dyDescent="0.25">
      <c r="C525" s="69"/>
      <c r="D525" s="69"/>
    </row>
    <row r="526" spans="3:4" ht="12.5" x14ac:dyDescent="0.25">
      <c r="C526" s="69"/>
      <c r="D526" s="69"/>
    </row>
    <row r="527" spans="3:4" ht="12.5" x14ac:dyDescent="0.25">
      <c r="C527" s="69"/>
      <c r="D527" s="69"/>
    </row>
    <row r="528" spans="3:4" ht="12.5" x14ac:dyDescent="0.25">
      <c r="C528" s="69"/>
      <c r="D528" s="69"/>
    </row>
    <row r="529" spans="3:4" ht="12.5" x14ac:dyDescent="0.25">
      <c r="C529" s="69"/>
      <c r="D529" s="69"/>
    </row>
    <row r="530" spans="3:4" ht="12.5" x14ac:dyDescent="0.25">
      <c r="C530" s="69"/>
      <c r="D530" s="69"/>
    </row>
    <row r="531" spans="3:4" ht="12.5" x14ac:dyDescent="0.25">
      <c r="C531" s="69"/>
      <c r="D531" s="69"/>
    </row>
    <row r="532" spans="3:4" ht="12.5" x14ac:dyDescent="0.25">
      <c r="C532" s="69"/>
      <c r="D532" s="69"/>
    </row>
    <row r="533" spans="3:4" ht="12.5" x14ac:dyDescent="0.25">
      <c r="C533" s="69"/>
      <c r="D533" s="69"/>
    </row>
    <row r="534" spans="3:4" ht="12.5" x14ac:dyDescent="0.25">
      <c r="C534" s="69"/>
      <c r="D534" s="69"/>
    </row>
    <row r="535" spans="3:4" ht="12.5" x14ac:dyDescent="0.25">
      <c r="C535" s="69"/>
      <c r="D535" s="69"/>
    </row>
    <row r="536" spans="3:4" ht="12.5" x14ac:dyDescent="0.25">
      <c r="C536" s="69"/>
      <c r="D536" s="69"/>
    </row>
    <row r="537" spans="3:4" ht="12.5" x14ac:dyDescent="0.25">
      <c r="C537" s="69"/>
      <c r="D537" s="69"/>
    </row>
    <row r="538" spans="3:4" ht="12.5" x14ac:dyDescent="0.25">
      <c r="C538" s="69"/>
      <c r="D538" s="69"/>
    </row>
    <row r="539" spans="3:4" ht="12.5" x14ac:dyDescent="0.25">
      <c r="C539" s="69"/>
      <c r="D539" s="69"/>
    </row>
    <row r="540" spans="3:4" ht="12.5" x14ac:dyDescent="0.25">
      <c r="C540" s="69"/>
      <c r="D540" s="69"/>
    </row>
    <row r="541" spans="3:4" ht="12.5" x14ac:dyDescent="0.25">
      <c r="C541" s="69"/>
      <c r="D541" s="69"/>
    </row>
    <row r="542" spans="3:4" ht="12.5" x14ac:dyDescent="0.25">
      <c r="C542" s="69"/>
      <c r="D542" s="69"/>
    </row>
    <row r="543" spans="3:4" ht="12.5" x14ac:dyDescent="0.25">
      <c r="C543" s="69"/>
      <c r="D543" s="69"/>
    </row>
    <row r="544" spans="3:4" ht="12.5" x14ac:dyDescent="0.25">
      <c r="C544" s="69"/>
      <c r="D544" s="69"/>
    </row>
    <row r="545" spans="3:4" ht="12.5" x14ac:dyDescent="0.25">
      <c r="C545" s="69"/>
      <c r="D545" s="69"/>
    </row>
    <row r="546" spans="3:4" ht="12.5" x14ac:dyDescent="0.25">
      <c r="C546" s="69"/>
      <c r="D546" s="69"/>
    </row>
    <row r="547" spans="3:4" ht="12.5" x14ac:dyDescent="0.25">
      <c r="C547" s="69"/>
      <c r="D547" s="69"/>
    </row>
    <row r="548" spans="3:4" ht="12.5" x14ac:dyDescent="0.25">
      <c r="C548" s="69"/>
      <c r="D548" s="69"/>
    </row>
    <row r="549" spans="3:4" ht="12.5" x14ac:dyDescent="0.25">
      <c r="C549" s="69"/>
      <c r="D549" s="69"/>
    </row>
    <row r="550" spans="3:4" ht="12.5" x14ac:dyDescent="0.25">
      <c r="C550" s="69"/>
      <c r="D550" s="69"/>
    </row>
    <row r="551" spans="3:4" ht="12.5" x14ac:dyDescent="0.25">
      <c r="C551" s="69"/>
      <c r="D551" s="69"/>
    </row>
    <row r="552" spans="3:4" ht="12.5" x14ac:dyDescent="0.25">
      <c r="C552" s="69"/>
      <c r="D552" s="69"/>
    </row>
    <row r="553" spans="3:4" ht="12.5" x14ac:dyDescent="0.25">
      <c r="C553" s="69"/>
      <c r="D553" s="69"/>
    </row>
    <row r="554" spans="3:4" ht="12.5" x14ac:dyDescent="0.25">
      <c r="C554" s="69"/>
      <c r="D554" s="69"/>
    </row>
    <row r="555" spans="3:4" ht="12.5" x14ac:dyDescent="0.25">
      <c r="C555" s="69"/>
      <c r="D555" s="69"/>
    </row>
    <row r="556" spans="3:4" ht="12.5" x14ac:dyDescent="0.25">
      <c r="C556" s="69"/>
      <c r="D556" s="69"/>
    </row>
    <row r="557" spans="3:4" ht="12.5" x14ac:dyDescent="0.25">
      <c r="C557" s="69"/>
      <c r="D557" s="69"/>
    </row>
    <row r="558" spans="3:4" ht="12.5" x14ac:dyDescent="0.25">
      <c r="C558" s="69"/>
      <c r="D558" s="69"/>
    </row>
    <row r="559" spans="3:4" ht="12.5" x14ac:dyDescent="0.25">
      <c r="C559" s="69"/>
      <c r="D559" s="69"/>
    </row>
    <row r="560" spans="3:4" ht="12.5" x14ac:dyDescent="0.25">
      <c r="C560" s="69"/>
      <c r="D560" s="69"/>
    </row>
    <row r="561" spans="3:4" ht="12.5" x14ac:dyDescent="0.25">
      <c r="C561" s="69"/>
      <c r="D561" s="69"/>
    </row>
    <row r="562" spans="3:4" ht="12.5" x14ac:dyDescent="0.25">
      <c r="C562" s="69"/>
      <c r="D562" s="69"/>
    </row>
    <row r="563" spans="3:4" ht="12.5" x14ac:dyDescent="0.25">
      <c r="C563" s="69"/>
      <c r="D563" s="69"/>
    </row>
    <row r="564" spans="3:4" ht="12.5" x14ac:dyDescent="0.25">
      <c r="C564" s="69"/>
      <c r="D564" s="69"/>
    </row>
    <row r="565" spans="3:4" ht="12.5" x14ac:dyDescent="0.25">
      <c r="C565" s="69"/>
      <c r="D565" s="69"/>
    </row>
    <row r="566" spans="3:4" ht="12.5" x14ac:dyDescent="0.25">
      <c r="C566" s="69"/>
      <c r="D566" s="69"/>
    </row>
    <row r="567" spans="3:4" ht="12.5" x14ac:dyDescent="0.25">
      <c r="C567" s="69"/>
      <c r="D567" s="69"/>
    </row>
    <row r="568" spans="3:4" ht="12.5" x14ac:dyDescent="0.25">
      <c r="C568" s="69"/>
      <c r="D568" s="69"/>
    </row>
    <row r="569" spans="3:4" ht="12.5" x14ac:dyDescent="0.25">
      <c r="C569" s="69"/>
      <c r="D569" s="69"/>
    </row>
    <row r="570" spans="3:4" ht="12.5" x14ac:dyDescent="0.25">
      <c r="C570" s="69"/>
      <c r="D570" s="69"/>
    </row>
    <row r="571" spans="3:4" ht="12.5" x14ac:dyDescent="0.25">
      <c r="C571" s="69"/>
      <c r="D571" s="69"/>
    </row>
    <row r="572" spans="3:4" ht="12.5" x14ac:dyDescent="0.25">
      <c r="C572" s="69"/>
      <c r="D572" s="69"/>
    </row>
    <row r="573" spans="3:4" ht="12.5" x14ac:dyDescent="0.25">
      <c r="C573" s="69"/>
      <c r="D573" s="69"/>
    </row>
    <row r="574" spans="3:4" ht="12.5" x14ac:dyDescent="0.25">
      <c r="C574" s="69"/>
      <c r="D574" s="69"/>
    </row>
    <row r="575" spans="3:4" ht="12.5" x14ac:dyDescent="0.25">
      <c r="C575" s="69"/>
      <c r="D575" s="69"/>
    </row>
    <row r="576" spans="3:4" ht="12.5" x14ac:dyDescent="0.25">
      <c r="C576" s="69"/>
      <c r="D576" s="69"/>
    </row>
    <row r="577" spans="3:4" ht="12.5" x14ac:dyDescent="0.25">
      <c r="C577" s="69"/>
      <c r="D577" s="69"/>
    </row>
    <row r="578" spans="3:4" ht="12.5" x14ac:dyDescent="0.25">
      <c r="C578" s="69"/>
      <c r="D578" s="69"/>
    </row>
    <row r="579" spans="3:4" ht="12.5" x14ac:dyDescent="0.25">
      <c r="C579" s="69"/>
      <c r="D579" s="69"/>
    </row>
    <row r="580" spans="3:4" ht="12.5" x14ac:dyDescent="0.25">
      <c r="C580" s="69"/>
      <c r="D580" s="69"/>
    </row>
    <row r="581" spans="3:4" ht="12.5" x14ac:dyDescent="0.25">
      <c r="C581" s="69"/>
      <c r="D581" s="69"/>
    </row>
    <row r="582" spans="3:4" ht="12.5" x14ac:dyDescent="0.25">
      <c r="C582" s="69"/>
      <c r="D582" s="69"/>
    </row>
    <row r="583" spans="3:4" ht="12.5" x14ac:dyDescent="0.25">
      <c r="C583" s="69"/>
      <c r="D583" s="69"/>
    </row>
    <row r="584" spans="3:4" ht="12.5" x14ac:dyDescent="0.25">
      <c r="C584" s="69"/>
      <c r="D584" s="69"/>
    </row>
    <row r="585" spans="3:4" ht="12.5" x14ac:dyDescent="0.25">
      <c r="C585" s="69"/>
      <c r="D585" s="69"/>
    </row>
    <row r="586" spans="3:4" ht="12.5" x14ac:dyDescent="0.25">
      <c r="C586" s="69"/>
      <c r="D586" s="69"/>
    </row>
    <row r="587" spans="3:4" ht="12.5" x14ac:dyDescent="0.25">
      <c r="C587" s="69"/>
      <c r="D587" s="69"/>
    </row>
    <row r="588" spans="3:4" ht="12.5" x14ac:dyDescent="0.25">
      <c r="C588" s="69"/>
      <c r="D588" s="69"/>
    </row>
    <row r="589" spans="3:4" ht="12.5" x14ac:dyDescent="0.25">
      <c r="C589" s="69"/>
      <c r="D589" s="69"/>
    </row>
    <row r="590" spans="3:4" ht="12.5" x14ac:dyDescent="0.25">
      <c r="C590" s="69"/>
      <c r="D590" s="69"/>
    </row>
    <row r="591" spans="3:4" ht="12.5" x14ac:dyDescent="0.25">
      <c r="C591" s="69"/>
      <c r="D591" s="69"/>
    </row>
    <row r="592" spans="3:4" ht="12.5" x14ac:dyDescent="0.25">
      <c r="C592" s="69"/>
      <c r="D592" s="69"/>
    </row>
    <row r="593" spans="3:4" ht="12.5" x14ac:dyDescent="0.25">
      <c r="C593" s="69"/>
      <c r="D593" s="69"/>
    </row>
    <row r="594" spans="3:4" ht="12.5" x14ac:dyDescent="0.25">
      <c r="C594" s="69"/>
      <c r="D594" s="69"/>
    </row>
    <row r="595" spans="3:4" ht="12.5" x14ac:dyDescent="0.25">
      <c r="C595" s="69"/>
      <c r="D595" s="69"/>
    </row>
    <row r="596" spans="3:4" ht="12.5" x14ac:dyDescent="0.25">
      <c r="C596" s="69"/>
      <c r="D596" s="69"/>
    </row>
    <row r="597" spans="3:4" ht="12.5" x14ac:dyDescent="0.25">
      <c r="C597" s="69"/>
      <c r="D597" s="69"/>
    </row>
    <row r="598" spans="3:4" ht="12.5" x14ac:dyDescent="0.25">
      <c r="C598" s="69"/>
      <c r="D598" s="69"/>
    </row>
    <row r="599" spans="3:4" ht="12.5" x14ac:dyDescent="0.25">
      <c r="C599" s="69"/>
      <c r="D599" s="69"/>
    </row>
    <row r="600" spans="3:4" ht="12.5" x14ac:dyDescent="0.25">
      <c r="C600" s="69"/>
      <c r="D600" s="69"/>
    </row>
    <row r="601" spans="3:4" ht="12.5" x14ac:dyDescent="0.25">
      <c r="C601" s="69"/>
      <c r="D601" s="69"/>
    </row>
    <row r="602" spans="3:4" ht="12.5" x14ac:dyDescent="0.25">
      <c r="C602" s="69"/>
      <c r="D602" s="69"/>
    </row>
    <row r="603" spans="3:4" ht="12.5" x14ac:dyDescent="0.25">
      <c r="C603" s="69"/>
      <c r="D603" s="69"/>
    </row>
    <row r="604" spans="3:4" ht="12.5" x14ac:dyDescent="0.25">
      <c r="C604" s="69"/>
      <c r="D604" s="69"/>
    </row>
    <row r="605" spans="3:4" ht="12.5" x14ac:dyDescent="0.25">
      <c r="C605" s="69"/>
      <c r="D605" s="69"/>
    </row>
    <row r="606" spans="3:4" ht="12.5" x14ac:dyDescent="0.25">
      <c r="C606" s="69"/>
      <c r="D606" s="69"/>
    </row>
    <row r="607" spans="3:4" ht="12.5" x14ac:dyDescent="0.25">
      <c r="C607" s="69"/>
      <c r="D607" s="69"/>
    </row>
    <row r="608" spans="3:4" ht="12.5" x14ac:dyDescent="0.25">
      <c r="C608" s="69"/>
      <c r="D608" s="69"/>
    </row>
    <row r="609" spans="3:4" ht="12.5" x14ac:dyDescent="0.25">
      <c r="C609" s="69"/>
      <c r="D609" s="69"/>
    </row>
    <row r="610" spans="3:4" ht="12.5" x14ac:dyDescent="0.25">
      <c r="C610" s="69"/>
      <c r="D610" s="69"/>
    </row>
    <row r="611" spans="3:4" ht="12.5" x14ac:dyDescent="0.25">
      <c r="C611" s="69"/>
      <c r="D611" s="69"/>
    </row>
    <row r="612" spans="3:4" ht="12.5" x14ac:dyDescent="0.25">
      <c r="C612" s="69"/>
      <c r="D612" s="69"/>
    </row>
    <row r="613" spans="3:4" ht="12.5" x14ac:dyDescent="0.25">
      <c r="C613" s="69"/>
      <c r="D613" s="69"/>
    </row>
    <row r="614" spans="3:4" ht="12.5" x14ac:dyDescent="0.25">
      <c r="C614" s="69"/>
      <c r="D614" s="69"/>
    </row>
    <row r="615" spans="3:4" ht="12.5" x14ac:dyDescent="0.25">
      <c r="C615" s="69"/>
      <c r="D615" s="69"/>
    </row>
    <row r="616" spans="3:4" ht="12.5" x14ac:dyDescent="0.25">
      <c r="C616" s="69"/>
      <c r="D616" s="69"/>
    </row>
    <row r="617" spans="3:4" ht="12.5" x14ac:dyDescent="0.25">
      <c r="C617" s="69"/>
      <c r="D617" s="69"/>
    </row>
    <row r="618" spans="3:4" ht="12.5" x14ac:dyDescent="0.25">
      <c r="C618" s="69"/>
      <c r="D618" s="69"/>
    </row>
    <row r="619" spans="3:4" ht="12.5" x14ac:dyDescent="0.25">
      <c r="C619" s="69"/>
      <c r="D619" s="69"/>
    </row>
    <row r="620" spans="3:4" ht="12.5" x14ac:dyDescent="0.25">
      <c r="C620" s="69"/>
      <c r="D620" s="69"/>
    </row>
    <row r="621" spans="3:4" ht="12.5" x14ac:dyDescent="0.25">
      <c r="C621" s="69"/>
      <c r="D621" s="69"/>
    </row>
    <row r="622" spans="3:4" ht="12.5" x14ac:dyDescent="0.25">
      <c r="C622" s="69"/>
      <c r="D622" s="69"/>
    </row>
    <row r="623" spans="3:4" ht="12.5" x14ac:dyDescent="0.25">
      <c r="C623" s="69"/>
      <c r="D623" s="69"/>
    </row>
    <row r="624" spans="3:4" ht="12.5" x14ac:dyDescent="0.25">
      <c r="C624" s="69"/>
      <c r="D624" s="69"/>
    </row>
    <row r="625" spans="3:4" ht="12.5" x14ac:dyDescent="0.25">
      <c r="C625" s="69"/>
      <c r="D625" s="69"/>
    </row>
    <row r="626" spans="3:4" ht="12.5" x14ac:dyDescent="0.25">
      <c r="C626" s="69"/>
      <c r="D626" s="69"/>
    </row>
    <row r="627" spans="3:4" ht="12.5" x14ac:dyDescent="0.25">
      <c r="C627" s="69"/>
      <c r="D627" s="69"/>
    </row>
    <row r="628" spans="3:4" ht="12.5" x14ac:dyDescent="0.25">
      <c r="C628" s="69"/>
      <c r="D628" s="69"/>
    </row>
    <row r="629" spans="3:4" ht="12.5" x14ac:dyDescent="0.25">
      <c r="C629" s="69"/>
      <c r="D629" s="69"/>
    </row>
    <row r="630" spans="3:4" ht="12.5" x14ac:dyDescent="0.25">
      <c r="C630" s="69"/>
      <c r="D630" s="69"/>
    </row>
    <row r="631" spans="3:4" ht="12.5" x14ac:dyDescent="0.25">
      <c r="C631" s="69"/>
      <c r="D631" s="69"/>
    </row>
    <row r="632" spans="3:4" ht="12.5" x14ac:dyDescent="0.25">
      <c r="C632" s="69"/>
      <c r="D632" s="69"/>
    </row>
    <row r="633" spans="3:4" ht="12.5" x14ac:dyDescent="0.25">
      <c r="C633" s="69"/>
      <c r="D633" s="69"/>
    </row>
    <row r="634" spans="3:4" ht="12.5" x14ac:dyDescent="0.25">
      <c r="C634" s="69"/>
      <c r="D634" s="69"/>
    </row>
    <row r="635" spans="3:4" ht="12.5" x14ac:dyDescent="0.25">
      <c r="C635" s="69"/>
      <c r="D635" s="69"/>
    </row>
    <row r="636" spans="3:4" ht="12.5" x14ac:dyDescent="0.25">
      <c r="C636" s="69"/>
      <c r="D636" s="69"/>
    </row>
    <row r="637" spans="3:4" ht="12.5" x14ac:dyDescent="0.25">
      <c r="C637" s="69"/>
      <c r="D637" s="69"/>
    </row>
    <row r="638" spans="3:4" ht="12.5" x14ac:dyDescent="0.25">
      <c r="C638" s="69"/>
      <c r="D638" s="69"/>
    </row>
    <row r="639" spans="3:4" ht="12.5" x14ac:dyDescent="0.25">
      <c r="C639" s="69"/>
      <c r="D639" s="69"/>
    </row>
    <row r="640" spans="3:4" ht="12.5" x14ac:dyDescent="0.25">
      <c r="C640" s="69"/>
      <c r="D640" s="69"/>
    </row>
    <row r="641" spans="3:4" ht="12.5" x14ac:dyDescent="0.25">
      <c r="C641" s="69"/>
      <c r="D641" s="69"/>
    </row>
    <row r="642" spans="3:4" ht="12.5" x14ac:dyDescent="0.25">
      <c r="C642" s="69"/>
      <c r="D642" s="69"/>
    </row>
    <row r="643" spans="3:4" ht="12.5" x14ac:dyDescent="0.25">
      <c r="C643" s="69"/>
      <c r="D643" s="69"/>
    </row>
    <row r="644" spans="3:4" ht="12.5" x14ac:dyDescent="0.25">
      <c r="C644" s="69"/>
      <c r="D644" s="69"/>
    </row>
    <row r="645" spans="3:4" ht="12.5" x14ac:dyDescent="0.25">
      <c r="C645" s="69"/>
      <c r="D645" s="69"/>
    </row>
    <row r="646" spans="3:4" ht="12.5" x14ac:dyDescent="0.25">
      <c r="C646" s="69"/>
      <c r="D646" s="69"/>
    </row>
    <row r="647" spans="3:4" ht="12.5" x14ac:dyDescent="0.25">
      <c r="C647" s="69"/>
      <c r="D647" s="69"/>
    </row>
    <row r="648" spans="3:4" ht="12.5" x14ac:dyDescent="0.25">
      <c r="C648" s="69"/>
      <c r="D648" s="69"/>
    </row>
    <row r="649" spans="3:4" ht="12.5" x14ac:dyDescent="0.25">
      <c r="C649" s="69"/>
      <c r="D649" s="69"/>
    </row>
    <row r="650" spans="3:4" ht="12.5" x14ac:dyDescent="0.25">
      <c r="C650" s="69"/>
      <c r="D650" s="69"/>
    </row>
    <row r="651" spans="3:4" ht="12.5" x14ac:dyDescent="0.25">
      <c r="C651" s="69"/>
      <c r="D651" s="69"/>
    </row>
    <row r="652" spans="3:4" ht="12.5" x14ac:dyDescent="0.25">
      <c r="C652" s="69"/>
      <c r="D652" s="69"/>
    </row>
    <row r="653" spans="3:4" ht="12.5" x14ac:dyDescent="0.25">
      <c r="C653" s="69"/>
      <c r="D653" s="69"/>
    </row>
    <row r="654" spans="3:4" ht="12.5" x14ac:dyDescent="0.25">
      <c r="C654" s="69"/>
      <c r="D654" s="69"/>
    </row>
    <row r="655" spans="3:4" ht="12.5" x14ac:dyDescent="0.25">
      <c r="C655" s="69"/>
      <c r="D655" s="69"/>
    </row>
    <row r="656" spans="3:4" ht="12.5" x14ac:dyDescent="0.25">
      <c r="C656" s="69"/>
      <c r="D656" s="69"/>
    </row>
    <row r="657" spans="3:4" ht="12.5" x14ac:dyDescent="0.25">
      <c r="C657" s="69"/>
      <c r="D657" s="69"/>
    </row>
    <row r="658" spans="3:4" ht="12.5" x14ac:dyDescent="0.25">
      <c r="C658" s="69"/>
      <c r="D658" s="69"/>
    </row>
    <row r="659" spans="3:4" ht="12.5" x14ac:dyDescent="0.25">
      <c r="C659" s="69"/>
      <c r="D659" s="69"/>
    </row>
    <row r="660" spans="3:4" ht="12.5" x14ac:dyDescent="0.25">
      <c r="C660" s="69"/>
      <c r="D660" s="69"/>
    </row>
    <row r="661" spans="3:4" ht="12.5" x14ac:dyDescent="0.25">
      <c r="C661" s="69"/>
      <c r="D661" s="69"/>
    </row>
    <row r="662" spans="3:4" ht="12.5" x14ac:dyDescent="0.25">
      <c r="C662" s="69"/>
      <c r="D662" s="69"/>
    </row>
    <row r="663" spans="3:4" ht="12.5" x14ac:dyDescent="0.25">
      <c r="C663" s="69"/>
      <c r="D663" s="69"/>
    </row>
    <row r="664" spans="3:4" ht="12.5" x14ac:dyDescent="0.25">
      <c r="C664" s="69"/>
      <c r="D664" s="69"/>
    </row>
    <row r="665" spans="3:4" ht="12.5" x14ac:dyDescent="0.25">
      <c r="C665" s="69"/>
      <c r="D665" s="69"/>
    </row>
    <row r="666" spans="3:4" ht="12.5" x14ac:dyDescent="0.25">
      <c r="C666" s="69"/>
      <c r="D666" s="69"/>
    </row>
    <row r="667" spans="3:4" ht="12.5" x14ac:dyDescent="0.25">
      <c r="C667" s="69"/>
      <c r="D667" s="69"/>
    </row>
    <row r="668" spans="3:4" ht="12.5" x14ac:dyDescent="0.25">
      <c r="C668" s="69"/>
      <c r="D668" s="69"/>
    </row>
    <row r="669" spans="3:4" ht="12.5" x14ac:dyDescent="0.25">
      <c r="C669" s="69"/>
      <c r="D669" s="69"/>
    </row>
    <row r="670" spans="3:4" ht="12.5" x14ac:dyDescent="0.25">
      <c r="C670" s="69"/>
      <c r="D670" s="69"/>
    </row>
    <row r="671" spans="3:4" ht="12.5" x14ac:dyDescent="0.25">
      <c r="C671" s="69"/>
      <c r="D671" s="69"/>
    </row>
    <row r="672" spans="3:4" ht="12.5" x14ac:dyDescent="0.25">
      <c r="C672" s="69"/>
      <c r="D672" s="69"/>
    </row>
    <row r="673" spans="3:4" ht="12.5" x14ac:dyDescent="0.25">
      <c r="C673" s="69"/>
      <c r="D673" s="69"/>
    </row>
    <row r="674" spans="3:4" ht="12.5" x14ac:dyDescent="0.25">
      <c r="C674" s="69"/>
      <c r="D674" s="69"/>
    </row>
    <row r="675" spans="3:4" ht="12.5" x14ac:dyDescent="0.25">
      <c r="C675" s="69"/>
      <c r="D675" s="69"/>
    </row>
    <row r="676" spans="3:4" ht="12.5" x14ac:dyDescent="0.25">
      <c r="C676" s="69"/>
      <c r="D676" s="69"/>
    </row>
    <row r="677" spans="3:4" ht="12.5" x14ac:dyDescent="0.25">
      <c r="C677" s="69"/>
      <c r="D677" s="69"/>
    </row>
    <row r="678" spans="3:4" ht="12.5" x14ac:dyDescent="0.25">
      <c r="C678" s="69"/>
      <c r="D678" s="69"/>
    </row>
    <row r="679" spans="3:4" ht="12.5" x14ac:dyDescent="0.25">
      <c r="C679" s="69"/>
      <c r="D679" s="69"/>
    </row>
    <row r="680" spans="3:4" ht="12.5" x14ac:dyDescent="0.25">
      <c r="C680" s="69"/>
      <c r="D680" s="69"/>
    </row>
    <row r="681" spans="3:4" ht="12.5" x14ac:dyDescent="0.25">
      <c r="C681" s="69"/>
      <c r="D681" s="69"/>
    </row>
    <row r="682" spans="3:4" ht="12.5" x14ac:dyDescent="0.25">
      <c r="C682" s="69"/>
      <c r="D682" s="69"/>
    </row>
    <row r="683" spans="3:4" ht="12.5" x14ac:dyDescent="0.25">
      <c r="C683" s="69"/>
      <c r="D683" s="69"/>
    </row>
    <row r="684" spans="3:4" ht="12.5" x14ac:dyDescent="0.25">
      <c r="C684" s="69"/>
      <c r="D684" s="69"/>
    </row>
    <row r="685" spans="3:4" ht="12.5" x14ac:dyDescent="0.25">
      <c r="C685" s="69"/>
      <c r="D685" s="69"/>
    </row>
    <row r="686" spans="3:4" ht="12.5" x14ac:dyDescent="0.25">
      <c r="C686" s="69"/>
      <c r="D686" s="69"/>
    </row>
    <row r="687" spans="3:4" ht="12.5" x14ac:dyDescent="0.25">
      <c r="C687" s="69"/>
      <c r="D687" s="69"/>
    </row>
    <row r="688" spans="3:4" ht="12.5" x14ac:dyDescent="0.25">
      <c r="C688" s="69"/>
      <c r="D688" s="69"/>
    </row>
    <row r="689" spans="3:4" ht="12.5" x14ac:dyDescent="0.25">
      <c r="C689" s="69"/>
      <c r="D689" s="69"/>
    </row>
    <row r="690" spans="3:4" ht="12.5" x14ac:dyDescent="0.25">
      <c r="C690" s="69"/>
      <c r="D690" s="69"/>
    </row>
    <row r="691" spans="3:4" ht="12.5" x14ac:dyDescent="0.25">
      <c r="C691" s="69"/>
      <c r="D691" s="69"/>
    </row>
    <row r="692" spans="3:4" ht="12.5" x14ac:dyDescent="0.25">
      <c r="C692" s="69"/>
      <c r="D692" s="69"/>
    </row>
    <row r="693" spans="3:4" ht="12.5" x14ac:dyDescent="0.25">
      <c r="C693" s="69"/>
      <c r="D693" s="69"/>
    </row>
    <row r="694" spans="3:4" ht="12.5" x14ac:dyDescent="0.25">
      <c r="C694" s="69"/>
      <c r="D694" s="69"/>
    </row>
    <row r="695" spans="3:4" ht="12.5" x14ac:dyDescent="0.25">
      <c r="C695" s="69"/>
      <c r="D695" s="69"/>
    </row>
    <row r="696" spans="3:4" ht="12.5" x14ac:dyDescent="0.25">
      <c r="C696" s="69"/>
      <c r="D696" s="69"/>
    </row>
    <row r="697" spans="3:4" ht="12.5" x14ac:dyDescent="0.25">
      <c r="C697" s="69"/>
      <c r="D697" s="69"/>
    </row>
    <row r="698" spans="3:4" ht="12.5" x14ac:dyDescent="0.25">
      <c r="C698" s="69"/>
      <c r="D698" s="69"/>
    </row>
    <row r="699" spans="3:4" ht="12.5" x14ac:dyDescent="0.25">
      <c r="C699" s="69"/>
      <c r="D699" s="69"/>
    </row>
    <row r="700" spans="3:4" ht="12.5" x14ac:dyDescent="0.25">
      <c r="C700" s="69"/>
      <c r="D700" s="69"/>
    </row>
    <row r="701" spans="3:4" ht="12.5" x14ac:dyDescent="0.25">
      <c r="C701" s="69"/>
      <c r="D701" s="69"/>
    </row>
    <row r="702" spans="3:4" ht="12.5" x14ac:dyDescent="0.25">
      <c r="C702" s="69"/>
      <c r="D702" s="69"/>
    </row>
    <row r="703" spans="3:4" ht="12.5" x14ac:dyDescent="0.25">
      <c r="C703" s="69"/>
      <c r="D703" s="69"/>
    </row>
    <row r="704" spans="3:4" ht="12.5" x14ac:dyDescent="0.25">
      <c r="C704" s="69"/>
      <c r="D704" s="69"/>
    </row>
    <row r="705" spans="3:4" ht="12.5" x14ac:dyDescent="0.25">
      <c r="C705" s="69"/>
      <c r="D705" s="69"/>
    </row>
    <row r="706" spans="3:4" ht="12.5" x14ac:dyDescent="0.25">
      <c r="C706" s="69"/>
      <c r="D706" s="69"/>
    </row>
    <row r="707" spans="3:4" ht="12.5" x14ac:dyDescent="0.25">
      <c r="C707" s="69"/>
      <c r="D707" s="69"/>
    </row>
    <row r="708" spans="3:4" ht="12.5" x14ac:dyDescent="0.25">
      <c r="C708" s="69"/>
      <c r="D708" s="69"/>
    </row>
    <row r="709" spans="3:4" ht="12.5" x14ac:dyDescent="0.25">
      <c r="C709" s="69"/>
      <c r="D709" s="69"/>
    </row>
    <row r="710" spans="3:4" ht="12.5" x14ac:dyDescent="0.25">
      <c r="C710" s="69"/>
      <c r="D710" s="69"/>
    </row>
    <row r="711" spans="3:4" ht="12.5" x14ac:dyDescent="0.25">
      <c r="C711" s="69"/>
      <c r="D711" s="69"/>
    </row>
    <row r="712" spans="3:4" ht="12.5" x14ac:dyDescent="0.25">
      <c r="C712" s="69"/>
      <c r="D712" s="69"/>
    </row>
    <row r="713" spans="3:4" ht="12.5" x14ac:dyDescent="0.25">
      <c r="C713" s="69"/>
      <c r="D713" s="69"/>
    </row>
    <row r="714" spans="3:4" ht="12.5" x14ac:dyDescent="0.25">
      <c r="C714" s="69"/>
      <c r="D714" s="69"/>
    </row>
    <row r="715" spans="3:4" ht="12.5" x14ac:dyDescent="0.25">
      <c r="C715" s="69"/>
      <c r="D715" s="69"/>
    </row>
    <row r="716" spans="3:4" ht="12.5" x14ac:dyDescent="0.25">
      <c r="C716" s="69"/>
      <c r="D716" s="69"/>
    </row>
    <row r="717" spans="3:4" ht="12.5" x14ac:dyDescent="0.25">
      <c r="C717" s="69"/>
      <c r="D717" s="69"/>
    </row>
    <row r="718" spans="3:4" ht="12.5" x14ac:dyDescent="0.25">
      <c r="C718" s="69"/>
      <c r="D718" s="69"/>
    </row>
    <row r="719" spans="3:4" ht="12.5" x14ac:dyDescent="0.25">
      <c r="C719" s="69"/>
      <c r="D719" s="69"/>
    </row>
    <row r="720" spans="3:4" ht="12.5" x14ac:dyDescent="0.25">
      <c r="C720" s="69"/>
      <c r="D720" s="69"/>
    </row>
    <row r="721" spans="3:4" ht="12.5" x14ac:dyDescent="0.25">
      <c r="C721" s="69"/>
      <c r="D721" s="69"/>
    </row>
    <row r="722" spans="3:4" ht="12.5" x14ac:dyDescent="0.25">
      <c r="C722" s="69"/>
      <c r="D722" s="69"/>
    </row>
    <row r="723" spans="3:4" ht="12.5" x14ac:dyDescent="0.25">
      <c r="C723" s="69"/>
      <c r="D723" s="69"/>
    </row>
    <row r="724" spans="3:4" ht="12.5" x14ac:dyDescent="0.25">
      <c r="C724" s="69"/>
      <c r="D724" s="69"/>
    </row>
    <row r="725" spans="3:4" ht="12.5" x14ac:dyDescent="0.25">
      <c r="C725" s="69"/>
      <c r="D725" s="69"/>
    </row>
    <row r="726" spans="3:4" ht="12.5" x14ac:dyDescent="0.25">
      <c r="C726" s="69"/>
      <c r="D726" s="69"/>
    </row>
    <row r="727" spans="3:4" ht="12.5" x14ac:dyDescent="0.25">
      <c r="C727" s="69"/>
      <c r="D727" s="69"/>
    </row>
    <row r="728" spans="3:4" ht="12.5" x14ac:dyDescent="0.25">
      <c r="C728" s="69"/>
      <c r="D728" s="69"/>
    </row>
    <row r="729" spans="3:4" ht="12.5" x14ac:dyDescent="0.25">
      <c r="C729" s="69"/>
      <c r="D729" s="69"/>
    </row>
    <row r="730" spans="3:4" ht="12.5" x14ac:dyDescent="0.25">
      <c r="C730" s="69"/>
      <c r="D730" s="69"/>
    </row>
    <row r="731" spans="3:4" ht="12.5" x14ac:dyDescent="0.25">
      <c r="C731" s="69"/>
      <c r="D731" s="69"/>
    </row>
    <row r="732" spans="3:4" ht="12.5" x14ac:dyDescent="0.25">
      <c r="C732" s="69"/>
      <c r="D732" s="69"/>
    </row>
    <row r="733" spans="3:4" ht="12.5" x14ac:dyDescent="0.25">
      <c r="C733" s="69"/>
      <c r="D733" s="69"/>
    </row>
    <row r="734" spans="3:4" ht="12.5" x14ac:dyDescent="0.25">
      <c r="C734" s="69"/>
      <c r="D734" s="69"/>
    </row>
    <row r="735" spans="3:4" ht="12.5" x14ac:dyDescent="0.25">
      <c r="C735" s="69"/>
      <c r="D735" s="69"/>
    </row>
    <row r="736" spans="3:4" ht="12.5" x14ac:dyDescent="0.25">
      <c r="C736" s="69"/>
      <c r="D736" s="69"/>
    </row>
    <row r="737" spans="3:4" ht="12.5" x14ac:dyDescent="0.25">
      <c r="C737" s="69"/>
      <c r="D737" s="69"/>
    </row>
    <row r="738" spans="3:4" ht="12.5" x14ac:dyDescent="0.25">
      <c r="C738" s="69"/>
      <c r="D738" s="69"/>
    </row>
    <row r="739" spans="3:4" ht="12.5" x14ac:dyDescent="0.25">
      <c r="C739" s="69"/>
      <c r="D739" s="69"/>
    </row>
    <row r="740" spans="3:4" ht="12.5" x14ac:dyDescent="0.25">
      <c r="C740" s="69"/>
      <c r="D740" s="69"/>
    </row>
    <row r="741" spans="3:4" ht="12.5" x14ac:dyDescent="0.25">
      <c r="C741" s="69"/>
      <c r="D741" s="69"/>
    </row>
    <row r="742" spans="3:4" ht="12.5" x14ac:dyDescent="0.25">
      <c r="C742" s="69"/>
      <c r="D742" s="69"/>
    </row>
    <row r="743" spans="3:4" ht="12.5" x14ac:dyDescent="0.25">
      <c r="C743" s="69"/>
      <c r="D743" s="69"/>
    </row>
    <row r="744" spans="3:4" ht="12.5" x14ac:dyDescent="0.25">
      <c r="C744" s="69"/>
      <c r="D744" s="69"/>
    </row>
    <row r="745" spans="3:4" ht="12.5" x14ac:dyDescent="0.25">
      <c r="C745" s="69"/>
      <c r="D745" s="69"/>
    </row>
    <row r="746" spans="3:4" ht="12.5" x14ac:dyDescent="0.25">
      <c r="C746" s="69"/>
      <c r="D746" s="69"/>
    </row>
    <row r="747" spans="3:4" ht="12.5" x14ac:dyDescent="0.25">
      <c r="C747" s="69"/>
      <c r="D747" s="69"/>
    </row>
    <row r="748" spans="3:4" ht="12.5" x14ac:dyDescent="0.25">
      <c r="C748" s="69"/>
      <c r="D748" s="69"/>
    </row>
    <row r="749" spans="3:4" ht="12.5" x14ac:dyDescent="0.25">
      <c r="C749" s="69"/>
      <c r="D749" s="69"/>
    </row>
    <row r="750" spans="3:4" ht="12.5" x14ac:dyDescent="0.25">
      <c r="C750" s="69"/>
      <c r="D750" s="69"/>
    </row>
    <row r="751" spans="3:4" ht="12.5" x14ac:dyDescent="0.25">
      <c r="C751" s="69"/>
      <c r="D751" s="69"/>
    </row>
    <row r="752" spans="3:4" ht="12.5" x14ac:dyDescent="0.25">
      <c r="C752" s="69"/>
      <c r="D752" s="69"/>
    </row>
    <row r="753" spans="3:4" ht="12.5" x14ac:dyDescent="0.25">
      <c r="C753" s="69"/>
      <c r="D753" s="69"/>
    </row>
    <row r="754" spans="3:4" ht="12.5" x14ac:dyDescent="0.25">
      <c r="C754" s="69"/>
      <c r="D754" s="69"/>
    </row>
    <row r="755" spans="3:4" ht="12.5" x14ac:dyDescent="0.25">
      <c r="C755" s="69"/>
      <c r="D755" s="69"/>
    </row>
    <row r="756" spans="3:4" ht="12.5" x14ac:dyDescent="0.25">
      <c r="C756" s="69"/>
      <c r="D756" s="69"/>
    </row>
    <row r="757" spans="3:4" ht="12.5" x14ac:dyDescent="0.25">
      <c r="C757" s="69"/>
      <c r="D757" s="69"/>
    </row>
    <row r="758" spans="3:4" ht="12.5" x14ac:dyDescent="0.25">
      <c r="C758" s="69"/>
      <c r="D758" s="69"/>
    </row>
    <row r="759" spans="3:4" ht="12.5" x14ac:dyDescent="0.25">
      <c r="C759" s="69"/>
      <c r="D759" s="69"/>
    </row>
    <row r="760" spans="3:4" ht="12.5" x14ac:dyDescent="0.25">
      <c r="C760" s="69"/>
      <c r="D760" s="69"/>
    </row>
    <row r="761" spans="3:4" ht="12.5" x14ac:dyDescent="0.25">
      <c r="C761" s="69"/>
      <c r="D761" s="69"/>
    </row>
    <row r="762" spans="3:4" ht="12.5" x14ac:dyDescent="0.25">
      <c r="C762" s="69"/>
      <c r="D762" s="69"/>
    </row>
    <row r="763" spans="3:4" ht="12.5" x14ac:dyDescent="0.25">
      <c r="C763" s="69"/>
      <c r="D763" s="69"/>
    </row>
    <row r="764" spans="3:4" ht="12.5" x14ac:dyDescent="0.25">
      <c r="C764" s="69"/>
      <c r="D764" s="69"/>
    </row>
    <row r="765" spans="3:4" ht="12.5" x14ac:dyDescent="0.25">
      <c r="C765" s="69"/>
      <c r="D765" s="69"/>
    </row>
    <row r="766" spans="3:4" ht="12.5" x14ac:dyDescent="0.25">
      <c r="C766" s="69"/>
      <c r="D766" s="69"/>
    </row>
    <row r="767" spans="3:4" ht="12.5" x14ac:dyDescent="0.25">
      <c r="C767" s="69"/>
      <c r="D767" s="69"/>
    </row>
    <row r="768" spans="3:4" ht="12.5" x14ac:dyDescent="0.25">
      <c r="C768" s="69"/>
      <c r="D768" s="69"/>
    </row>
    <row r="769" spans="3:4" ht="12.5" x14ac:dyDescent="0.25">
      <c r="C769" s="69"/>
      <c r="D769" s="69"/>
    </row>
    <row r="770" spans="3:4" ht="12.5" x14ac:dyDescent="0.25">
      <c r="C770" s="69"/>
      <c r="D770" s="69"/>
    </row>
    <row r="771" spans="3:4" ht="12.5" x14ac:dyDescent="0.25">
      <c r="C771" s="69"/>
      <c r="D771" s="69"/>
    </row>
    <row r="772" spans="3:4" ht="12.5" x14ac:dyDescent="0.25">
      <c r="C772" s="69"/>
      <c r="D772" s="69"/>
    </row>
    <row r="773" spans="3:4" ht="12.5" x14ac:dyDescent="0.25">
      <c r="C773" s="69"/>
      <c r="D773" s="69"/>
    </row>
    <row r="774" spans="3:4" ht="12.5" x14ac:dyDescent="0.25">
      <c r="C774" s="69"/>
      <c r="D774" s="69"/>
    </row>
    <row r="775" spans="3:4" ht="12.5" x14ac:dyDescent="0.25">
      <c r="C775" s="69"/>
      <c r="D775" s="69"/>
    </row>
    <row r="776" spans="3:4" ht="12.5" x14ac:dyDescent="0.25">
      <c r="C776" s="69"/>
      <c r="D776" s="69"/>
    </row>
    <row r="777" spans="3:4" ht="12.5" x14ac:dyDescent="0.25">
      <c r="C777" s="69"/>
      <c r="D777" s="69"/>
    </row>
    <row r="778" spans="3:4" ht="12.5" x14ac:dyDescent="0.25">
      <c r="C778" s="69"/>
      <c r="D778" s="69"/>
    </row>
    <row r="779" spans="3:4" ht="12.5" x14ac:dyDescent="0.25">
      <c r="C779" s="69"/>
      <c r="D779" s="69"/>
    </row>
    <row r="780" spans="3:4" ht="12.5" x14ac:dyDescent="0.25">
      <c r="C780" s="69"/>
      <c r="D780" s="69"/>
    </row>
    <row r="781" spans="3:4" ht="12.5" x14ac:dyDescent="0.25">
      <c r="C781" s="69"/>
      <c r="D781" s="69"/>
    </row>
    <row r="782" spans="3:4" ht="12.5" x14ac:dyDescent="0.25">
      <c r="C782" s="69"/>
      <c r="D782" s="69"/>
    </row>
    <row r="783" spans="3:4" ht="12.5" x14ac:dyDescent="0.25">
      <c r="C783" s="69"/>
      <c r="D783" s="69"/>
    </row>
    <row r="784" spans="3:4" ht="12.5" x14ac:dyDescent="0.25">
      <c r="C784" s="69"/>
      <c r="D784" s="69"/>
    </row>
    <row r="785" spans="3:4" ht="12.5" x14ac:dyDescent="0.25">
      <c r="C785" s="69"/>
      <c r="D785" s="69"/>
    </row>
    <row r="786" spans="3:4" ht="12.5" x14ac:dyDescent="0.25">
      <c r="C786" s="69"/>
      <c r="D786" s="69"/>
    </row>
    <row r="787" spans="3:4" ht="12.5" x14ac:dyDescent="0.25">
      <c r="C787" s="69"/>
      <c r="D787" s="69"/>
    </row>
    <row r="788" spans="3:4" ht="12.5" x14ac:dyDescent="0.25">
      <c r="C788" s="69"/>
      <c r="D788" s="69"/>
    </row>
    <row r="789" spans="3:4" ht="12.5" x14ac:dyDescent="0.25">
      <c r="C789" s="69"/>
      <c r="D789" s="69"/>
    </row>
    <row r="790" spans="3:4" ht="12.5" x14ac:dyDescent="0.25">
      <c r="C790" s="69"/>
      <c r="D790" s="69"/>
    </row>
    <row r="791" spans="3:4" ht="12.5" x14ac:dyDescent="0.25">
      <c r="C791" s="69"/>
      <c r="D791" s="69"/>
    </row>
    <row r="792" spans="3:4" ht="12.5" x14ac:dyDescent="0.25">
      <c r="C792" s="69"/>
      <c r="D792" s="69"/>
    </row>
    <row r="793" spans="3:4" ht="12.5" x14ac:dyDescent="0.25">
      <c r="C793" s="69"/>
      <c r="D793" s="69"/>
    </row>
    <row r="794" spans="3:4" ht="12.5" x14ac:dyDescent="0.25">
      <c r="C794" s="69"/>
      <c r="D794" s="69"/>
    </row>
    <row r="795" spans="3:4" ht="12.5" x14ac:dyDescent="0.25">
      <c r="C795" s="69"/>
      <c r="D795" s="69"/>
    </row>
    <row r="796" spans="3:4" ht="12.5" x14ac:dyDescent="0.25">
      <c r="C796" s="69"/>
      <c r="D796" s="69"/>
    </row>
    <row r="797" spans="3:4" ht="12.5" x14ac:dyDescent="0.25">
      <c r="C797" s="69"/>
      <c r="D797" s="69"/>
    </row>
    <row r="798" spans="3:4" ht="12.5" x14ac:dyDescent="0.25">
      <c r="C798" s="69"/>
      <c r="D798" s="69"/>
    </row>
    <row r="799" spans="3:4" ht="12.5" x14ac:dyDescent="0.25">
      <c r="C799" s="69"/>
      <c r="D799" s="69"/>
    </row>
    <row r="800" spans="3:4" ht="12.5" x14ac:dyDescent="0.25">
      <c r="C800" s="69"/>
      <c r="D800" s="69"/>
    </row>
    <row r="801" spans="3:4" ht="12.5" x14ac:dyDescent="0.25">
      <c r="C801" s="69"/>
      <c r="D801" s="69"/>
    </row>
    <row r="802" spans="3:4" ht="12.5" x14ac:dyDescent="0.25">
      <c r="C802" s="69"/>
      <c r="D802" s="69"/>
    </row>
    <row r="803" spans="3:4" ht="12.5" x14ac:dyDescent="0.25">
      <c r="C803" s="69"/>
      <c r="D803" s="69"/>
    </row>
    <row r="804" spans="3:4" ht="12.5" x14ac:dyDescent="0.25">
      <c r="C804" s="69"/>
      <c r="D804" s="69"/>
    </row>
    <row r="805" spans="3:4" ht="12.5" x14ac:dyDescent="0.25">
      <c r="C805" s="69"/>
      <c r="D805" s="69"/>
    </row>
    <row r="806" spans="3:4" ht="12.5" x14ac:dyDescent="0.25">
      <c r="C806" s="69"/>
      <c r="D806" s="69"/>
    </row>
    <row r="807" spans="3:4" ht="12.5" x14ac:dyDescent="0.25">
      <c r="C807" s="69"/>
      <c r="D807" s="69"/>
    </row>
    <row r="808" spans="3:4" ht="12.5" x14ac:dyDescent="0.25">
      <c r="C808" s="69"/>
      <c r="D808" s="69"/>
    </row>
    <row r="809" spans="3:4" ht="12.5" x14ac:dyDescent="0.25">
      <c r="C809" s="69"/>
      <c r="D809" s="69"/>
    </row>
    <row r="810" spans="3:4" ht="12.5" x14ac:dyDescent="0.25">
      <c r="C810" s="69"/>
      <c r="D810" s="69"/>
    </row>
    <row r="811" spans="3:4" ht="12.5" x14ac:dyDescent="0.25">
      <c r="C811" s="69"/>
      <c r="D811" s="69"/>
    </row>
    <row r="812" spans="3:4" ht="12.5" x14ac:dyDescent="0.25">
      <c r="C812" s="69"/>
      <c r="D812" s="69"/>
    </row>
    <row r="813" spans="3:4" ht="12.5" x14ac:dyDescent="0.25">
      <c r="C813" s="69"/>
      <c r="D813" s="69"/>
    </row>
    <row r="814" spans="3:4" ht="12.5" x14ac:dyDescent="0.25">
      <c r="C814" s="69"/>
      <c r="D814" s="69"/>
    </row>
    <row r="815" spans="3:4" ht="12.5" x14ac:dyDescent="0.25">
      <c r="C815" s="69"/>
      <c r="D815" s="69"/>
    </row>
    <row r="816" spans="3:4" ht="12.5" x14ac:dyDescent="0.25">
      <c r="C816" s="69"/>
      <c r="D816" s="69"/>
    </row>
    <row r="817" spans="3:4" ht="12.5" x14ac:dyDescent="0.25">
      <c r="C817" s="69"/>
      <c r="D817" s="69"/>
    </row>
    <row r="818" spans="3:4" ht="12.5" x14ac:dyDescent="0.25">
      <c r="C818" s="69"/>
      <c r="D818" s="69"/>
    </row>
    <row r="819" spans="3:4" ht="12.5" x14ac:dyDescent="0.25">
      <c r="C819" s="69"/>
      <c r="D819" s="69"/>
    </row>
    <row r="820" spans="3:4" ht="12.5" x14ac:dyDescent="0.25">
      <c r="C820" s="69"/>
      <c r="D820" s="69"/>
    </row>
    <row r="821" spans="3:4" ht="12.5" x14ac:dyDescent="0.25">
      <c r="C821" s="69"/>
      <c r="D821" s="69"/>
    </row>
    <row r="822" spans="3:4" ht="12.5" x14ac:dyDescent="0.25">
      <c r="C822" s="69"/>
      <c r="D822" s="69"/>
    </row>
    <row r="823" spans="3:4" ht="12.5" x14ac:dyDescent="0.25">
      <c r="C823" s="69"/>
      <c r="D823" s="69"/>
    </row>
    <row r="824" spans="3:4" ht="12.5" x14ac:dyDescent="0.25">
      <c r="C824" s="69"/>
      <c r="D824" s="69"/>
    </row>
    <row r="825" spans="3:4" ht="12.5" x14ac:dyDescent="0.25">
      <c r="C825" s="69"/>
      <c r="D825" s="69"/>
    </row>
    <row r="826" spans="3:4" ht="12.5" x14ac:dyDescent="0.25">
      <c r="C826" s="69"/>
      <c r="D826" s="69"/>
    </row>
    <row r="827" spans="3:4" ht="12.5" x14ac:dyDescent="0.25">
      <c r="C827" s="69"/>
      <c r="D827" s="69"/>
    </row>
    <row r="828" spans="3:4" ht="12.5" x14ac:dyDescent="0.25">
      <c r="C828" s="69"/>
      <c r="D828" s="69"/>
    </row>
    <row r="829" spans="3:4" ht="12.5" x14ac:dyDescent="0.25">
      <c r="C829" s="69"/>
      <c r="D829" s="69"/>
    </row>
    <row r="830" spans="3:4" ht="12.5" x14ac:dyDescent="0.25">
      <c r="C830" s="69"/>
      <c r="D830" s="69"/>
    </row>
    <row r="831" spans="3:4" ht="12.5" x14ac:dyDescent="0.25">
      <c r="C831" s="69"/>
      <c r="D831" s="69"/>
    </row>
    <row r="832" spans="3:4" ht="12.5" x14ac:dyDescent="0.25">
      <c r="C832" s="69"/>
      <c r="D832" s="69"/>
    </row>
    <row r="833" spans="3:4" ht="12.5" x14ac:dyDescent="0.25">
      <c r="C833" s="69"/>
      <c r="D833" s="69"/>
    </row>
    <row r="834" spans="3:4" ht="12.5" x14ac:dyDescent="0.25">
      <c r="C834" s="69"/>
      <c r="D834" s="69"/>
    </row>
    <row r="835" spans="3:4" ht="12.5" x14ac:dyDescent="0.25">
      <c r="C835" s="69"/>
      <c r="D835" s="69"/>
    </row>
    <row r="836" spans="3:4" ht="12.5" x14ac:dyDescent="0.25">
      <c r="C836" s="69"/>
      <c r="D836" s="69"/>
    </row>
    <row r="837" spans="3:4" ht="12.5" x14ac:dyDescent="0.25">
      <c r="C837" s="69"/>
      <c r="D837" s="69"/>
    </row>
    <row r="838" spans="3:4" ht="12.5" x14ac:dyDescent="0.25">
      <c r="C838" s="69"/>
      <c r="D838" s="69"/>
    </row>
    <row r="839" spans="3:4" ht="12.5" x14ac:dyDescent="0.25">
      <c r="C839" s="69"/>
      <c r="D839" s="69"/>
    </row>
    <row r="840" spans="3:4" ht="12.5" x14ac:dyDescent="0.25">
      <c r="C840" s="69"/>
      <c r="D840" s="69"/>
    </row>
    <row r="841" spans="3:4" ht="12.5" x14ac:dyDescent="0.25">
      <c r="C841" s="69"/>
      <c r="D841" s="69"/>
    </row>
    <row r="842" spans="3:4" ht="12.5" x14ac:dyDescent="0.25">
      <c r="C842" s="69"/>
      <c r="D842" s="69"/>
    </row>
    <row r="843" spans="3:4" ht="12.5" x14ac:dyDescent="0.25">
      <c r="C843" s="69"/>
      <c r="D843" s="69"/>
    </row>
    <row r="844" spans="3:4" ht="12.5" x14ac:dyDescent="0.25">
      <c r="C844" s="69"/>
      <c r="D844" s="69"/>
    </row>
    <row r="845" spans="3:4" ht="12.5" x14ac:dyDescent="0.25">
      <c r="C845" s="69"/>
      <c r="D845" s="69"/>
    </row>
    <row r="846" spans="3:4" ht="12.5" x14ac:dyDescent="0.25">
      <c r="C846" s="69"/>
      <c r="D846" s="69"/>
    </row>
    <row r="847" spans="3:4" ht="12.5" x14ac:dyDescent="0.25">
      <c r="C847" s="69"/>
      <c r="D847" s="69"/>
    </row>
    <row r="848" spans="3:4" ht="12.5" x14ac:dyDescent="0.25">
      <c r="C848" s="69"/>
      <c r="D848" s="69"/>
    </row>
    <row r="849" spans="3:4" ht="12.5" x14ac:dyDescent="0.25">
      <c r="C849" s="69"/>
      <c r="D849" s="69"/>
    </row>
    <row r="850" spans="3:4" ht="12.5" x14ac:dyDescent="0.25">
      <c r="C850" s="69"/>
      <c r="D850" s="69"/>
    </row>
    <row r="851" spans="3:4" ht="12.5" x14ac:dyDescent="0.25">
      <c r="C851" s="69"/>
      <c r="D851" s="69"/>
    </row>
    <row r="852" spans="3:4" ht="12.5" x14ac:dyDescent="0.25">
      <c r="C852" s="69"/>
      <c r="D852" s="69"/>
    </row>
    <row r="853" spans="3:4" ht="12.5" x14ac:dyDescent="0.25">
      <c r="C853" s="69"/>
      <c r="D853" s="69"/>
    </row>
    <row r="854" spans="3:4" ht="12.5" x14ac:dyDescent="0.25">
      <c r="C854" s="69"/>
      <c r="D854" s="69"/>
    </row>
    <row r="855" spans="3:4" ht="12.5" x14ac:dyDescent="0.25">
      <c r="C855" s="69"/>
      <c r="D855" s="69"/>
    </row>
    <row r="856" spans="3:4" ht="12.5" x14ac:dyDescent="0.25">
      <c r="C856" s="69"/>
      <c r="D856" s="69"/>
    </row>
    <row r="857" spans="3:4" ht="12.5" x14ac:dyDescent="0.25">
      <c r="C857" s="69"/>
      <c r="D857" s="69"/>
    </row>
    <row r="858" spans="3:4" ht="12.5" x14ac:dyDescent="0.25">
      <c r="C858" s="69"/>
      <c r="D858" s="69"/>
    </row>
    <row r="859" spans="3:4" ht="12.5" x14ac:dyDescent="0.25">
      <c r="C859" s="69"/>
      <c r="D859" s="69"/>
    </row>
    <row r="860" spans="3:4" ht="12.5" x14ac:dyDescent="0.25">
      <c r="C860" s="69"/>
      <c r="D860" s="69"/>
    </row>
    <row r="861" spans="3:4" ht="12.5" x14ac:dyDescent="0.25">
      <c r="C861" s="69"/>
      <c r="D861" s="69"/>
    </row>
    <row r="862" spans="3:4" ht="12.5" x14ac:dyDescent="0.25">
      <c r="C862" s="69"/>
      <c r="D862" s="69"/>
    </row>
    <row r="863" spans="3:4" ht="12.5" x14ac:dyDescent="0.25">
      <c r="C863" s="69"/>
      <c r="D863" s="69"/>
    </row>
    <row r="864" spans="3:4" ht="12.5" x14ac:dyDescent="0.25">
      <c r="C864" s="69"/>
      <c r="D864" s="69"/>
    </row>
    <row r="865" spans="3:4" ht="12.5" x14ac:dyDescent="0.25">
      <c r="C865" s="69"/>
      <c r="D865" s="69"/>
    </row>
    <row r="866" spans="3:4" ht="12.5" x14ac:dyDescent="0.25">
      <c r="C866" s="69"/>
      <c r="D866" s="69"/>
    </row>
    <row r="867" spans="3:4" ht="12.5" x14ac:dyDescent="0.25">
      <c r="C867" s="69"/>
      <c r="D867" s="69"/>
    </row>
    <row r="868" spans="3:4" ht="12.5" x14ac:dyDescent="0.25">
      <c r="C868" s="69"/>
      <c r="D868" s="69"/>
    </row>
    <row r="869" spans="3:4" ht="12.5" x14ac:dyDescent="0.25">
      <c r="C869" s="69"/>
      <c r="D869" s="69"/>
    </row>
    <row r="870" spans="3:4" ht="12.5" x14ac:dyDescent="0.25">
      <c r="C870" s="69"/>
      <c r="D870" s="69"/>
    </row>
    <row r="871" spans="3:4" ht="12.5" x14ac:dyDescent="0.25">
      <c r="C871" s="69"/>
      <c r="D871" s="69"/>
    </row>
    <row r="872" spans="3:4" ht="12.5" x14ac:dyDescent="0.25">
      <c r="C872" s="69"/>
      <c r="D872" s="69"/>
    </row>
    <row r="873" spans="3:4" ht="12.5" x14ac:dyDescent="0.25">
      <c r="C873" s="69"/>
      <c r="D873" s="69"/>
    </row>
    <row r="874" spans="3:4" ht="12.5" x14ac:dyDescent="0.25">
      <c r="C874" s="69"/>
      <c r="D874" s="69"/>
    </row>
    <row r="875" spans="3:4" ht="12.5" x14ac:dyDescent="0.25">
      <c r="C875" s="69"/>
      <c r="D875" s="69"/>
    </row>
    <row r="876" spans="3:4" ht="12.5" x14ac:dyDescent="0.25">
      <c r="C876" s="69"/>
      <c r="D876" s="69"/>
    </row>
    <row r="877" spans="3:4" ht="12.5" x14ac:dyDescent="0.25">
      <c r="C877" s="69"/>
      <c r="D877" s="69"/>
    </row>
    <row r="878" spans="3:4" ht="12.5" x14ac:dyDescent="0.25">
      <c r="C878" s="69"/>
      <c r="D878" s="69"/>
    </row>
    <row r="879" spans="3:4" ht="12.5" x14ac:dyDescent="0.25">
      <c r="C879" s="69"/>
      <c r="D879" s="69"/>
    </row>
    <row r="880" spans="3:4" ht="12.5" x14ac:dyDescent="0.25">
      <c r="C880" s="69"/>
      <c r="D880" s="69"/>
    </row>
    <row r="881" spans="3:4" ht="12.5" x14ac:dyDescent="0.25">
      <c r="C881" s="69"/>
      <c r="D881" s="69"/>
    </row>
    <row r="882" spans="3:4" ht="12.5" x14ac:dyDescent="0.25">
      <c r="C882" s="69"/>
      <c r="D882" s="69"/>
    </row>
    <row r="883" spans="3:4" ht="12.5" x14ac:dyDescent="0.25">
      <c r="C883" s="69"/>
      <c r="D883" s="69"/>
    </row>
    <row r="884" spans="3:4" ht="12.5" x14ac:dyDescent="0.25">
      <c r="C884" s="69"/>
      <c r="D884" s="69"/>
    </row>
    <row r="885" spans="3:4" ht="12.5" x14ac:dyDescent="0.25">
      <c r="C885" s="69"/>
      <c r="D885" s="69"/>
    </row>
    <row r="886" spans="3:4" ht="12.5" x14ac:dyDescent="0.25">
      <c r="C886" s="69"/>
      <c r="D886" s="69"/>
    </row>
    <row r="887" spans="3:4" ht="12.5" x14ac:dyDescent="0.25">
      <c r="C887" s="69"/>
      <c r="D887" s="69"/>
    </row>
    <row r="888" spans="3:4" ht="12.5" x14ac:dyDescent="0.25">
      <c r="C888" s="69"/>
      <c r="D888" s="69"/>
    </row>
    <row r="889" spans="3:4" ht="12.5" x14ac:dyDescent="0.25">
      <c r="C889" s="69"/>
      <c r="D889" s="69"/>
    </row>
    <row r="890" spans="3:4" ht="12.5" x14ac:dyDescent="0.25">
      <c r="C890" s="69"/>
      <c r="D890" s="69"/>
    </row>
    <row r="891" spans="3:4" ht="12.5" x14ac:dyDescent="0.25">
      <c r="C891" s="69"/>
      <c r="D891" s="69"/>
    </row>
    <row r="892" spans="3:4" ht="12.5" x14ac:dyDescent="0.25">
      <c r="C892" s="69"/>
      <c r="D892" s="69"/>
    </row>
    <row r="893" spans="3:4" ht="12.5" x14ac:dyDescent="0.25">
      <c r="C893" s="69"/>
      <c r="D893" s="69"/>
    </row>
    <row r="894" spans="3:4" ht="12.5" x14ac:dyDescent="0.25">
      <c r="C894" s="69"/>
      <c r="D894" s="69"/>
    </row>
    <row r="895" spans="3:4" ht="12.5" x14ac:dyDescent="0.25">
      <c r="C895" s="69"/>
      <c r="D895" s="69"/>
    </row>
    <row r="896" spans="3:4" ht="12.5" x14ac:dyDescent="0.25">
      <c r="C896" s="69"/>
      <c r="D896" s="69"/>
    </row>
    <row r="897" spans="3:4" ht="12.5" x14ac:dyDescent="0.25">
      <c r="C897" s="69"/>
      <c r="D897" s="69"/>
    </row>
    <row r="898" spans="3:4" ht="12.5" x14ac:dyDescent="0.25">
      <c r="C898" s="69"/>
      <c r="D898" s="69"/>
    </row>
    <row r="899" spans="3:4" ht="12.5" x14ac:dyDescent="0.25">
      <c r="C899" s="69"/>
      <c r="D899" s="69"/>
    </row>
    <row r="900" spans="3:4" ht="12.5" x14ac:dyDescent="0.25">
      <c r="C900" s="69"/>
      <c r="D900" s="69"/>
    </row>
    <row r="901" spans="3:4" ht="12.5" x14ac:dyDescent="0.25">
      <c r="C901" s="69"/>
      <c r="D901" s="69"/>
    </row>
    <row r="902" spans="3:4" ht="12.5" x14ac:dyDescent="0.25">
      <c r="C902" s="69"/>
      <c r="D902" s="69"/>
    </row>
    <row r="903" spans="3:4" ht="12.5" x14ac:dyDescent="0.25">
      <c r="C903" s="69"/>
      <c r="D903" s="69"/>
    </row>
    <row r="904" spans="3:4" ht="12.5" x14ac:dyDescent="0.25">
      <c r="C904" s="69"/>
      <c r="D904" s="69"/>
    </row>
    <row r="905" spans="3:4" ht="12.5" x14ac:dyDescent="0.25">
      <c r="C905" s="69"/>
      <c r="D905" s="69"/>
    </row>
    <row r="906" spans="3:4" ht="12.5" x14ac:dyDescent="0.25">
      <c r="C906" s="69"/>
      <c r="D906" s="69"/>
    </row>
    <row r="907" spans="3:4" ht="12.5" x14ac:dyDescent="0.25">
      <c r="C907" s="69"/>
      <c r="D907" s="69"/>
    </row>
    <row r="908" spans="3:4" ht="12.5" x14ac:dyDescent="0.25">
      <c r="C908" s="69"/>
      <c r="D908" s="69"/>
    </row>
    <row r="909" spans="3:4" ht="12.5" x14ac:dyDescent="0.25">
      <c r="C909" s="69"/>
      <c r="D909" s="69"/>
    </row>
    <row r="910" spans="3:4" ht="12.5" x14ac:dyDescent="0.25">
      <c r="C910" s="69"/>
      <c r="D910" s="69"/>
    </row>
    <row r="911" spans="3:4" ht="12.5" x14ac:dyDescent="0.25">
      <c r="C911" s="69"/>
      <c r="D911" s="69"/>
    </row>
    <row r="912" spans="3:4" ht="12.5" x14ac:dyDescent="0.25">
      <c r="C912" s="69"/>
      <c r="D912" s="69"/>
    </row>
    <row r="913" spans="3:4" ht="12.5" x14ac:dyDescent="0.25">
      <c r="C913" s="69"/>
      <c r="D913" s="69"/>
    </row>
    <row r="914" spans="3:4" ht="12.5" x14ac:dyDescent="0.25">
      <c r="C914" s="69"/>
      <c r="D914" s="69"/>
    </row>
    <row r="915" spans="3:4" ht="12.5" x14ac:dyDescent="0.25">
      <c r="C915" s="69"/>
      <c r="D915" s="69"/>
    </row>
    <row r="916" spans="3:4" ht="12.5" x14ac:dyDescent="0.25">
      <c r="C916" s="69"/>
      <c r="D916" s="69"/>
    </row>
    <row r="917" spans="3:4" ht="12.5" x14ac:dyDescent="0.25">
      <c r="C917" s="69"/>
      <c r="D917" s="69"/>
    </row>
    <row r="918" spans="3:4" ht="12.5" x14ac:dyDescent="0.25">
      <c r="C918" s="69"/>
      <c r="D918" s="69"/>
    </row>
    <row r="919" spans="3:4" ht="12.5" x14ac:dyDescent="0.25">
      <c r="C919" s="69"/>
      <c r="D919" s="69"/>
    </row>
    <row r="920" spans="3:4" ht="12.5" x14ac:dyDescent="0.25">
      <c r="C920" s="69"/>
      <c r="D920" s="69"/>
    </row>
    <row r="921" spans="3:4" ht="12.5" x14ac:dyDescent="0.25">
      <c r="C921" s="69"/>
      <c r="D921" s="69"/>
    </row>
    <row r="922" spans="3:4" ht="12.5" x14ac:dyDescent="0.25">
      <c r="C922" s="69"/>
      <c r="D922" s="69"/>
    </row>
    <row r="923" spans="3:4" ht="12.5" x14ac:dyDescent="0.25">
      <c r="C923" s="69"/>
      <c r="D923" s="69"/>
    </row>
    <row r="924" spans="3:4" ht="12.5" x14ac:dyDescent="0.25">
      <c r="C924" s="69"/>
      <c r="D924" s="69"/>
    </row>
    <row r="925" spans="3:4" ht="12.5" x14ac:dyDescent="0.25">
      <c r="C925" s="69"/>
      <c r="D925" s="69"/>
    </row>
    <row r="926" spans="3:4" ht="12.5" x14ac:dyDescent="0.25">
      <c r="C926" s="69"/>
      <c r="D926" s="69"/>
    </row>
    <row r="927" spans="3:4" ht="12.5" x14ac:dyDescent="0.25">
      <c r="C927" s="69"/>
      <c r="D927" s="69"/>
    </row>
    <row r="928" spans="3:4" ht="12.5" x14ac:dyDescent="0.25">
      <c r="C928" s="69"/>
      <c r="D928" s="69"/>
    </row>
    <row r="929" spans="3:4" ht="12.5" x14ac:dyDescent="0.25">
      <c r="C929" s="69"/>
      <c r="D929" s="69"/>
    </row>
    <row r="930" spans="3:4" ht="12.5" x14ac:dyDescent="0.25">
      <c r="C930" s="69"/>
      <c r="D930" s="69"/>
    </row>
    <row r="931" spans="3:4" ht="12.5" x14ac:dyDescent="0.25">
      <c r="C931" s="69"/>
      <c r="D931" s="69"/>
    </row>
    <row r="932" spans="3:4" ht="12.5" x14ac:dyDescent="0.25">
      <c r="C932" s="69"/>
      <c r="D932" s="69"/>
    </row>
    <row r="933" spans="3:4" ht="12.5" x14ac:dyDescent="0.25">
      <c r="C933" s="69"/>
      <c r="D933" s="69"/>
    </row>
    <row r="934" spans="3:4" ht="12.5" x14ac:dyDescent="0.25">
      <c r="C934" s="69"/>
      <c r="D934" s="69"/>
    </row>
    <row r="935" spans="3:4" ht="12.5" x14ac:dyDescent="0.25">
      <c r="C935" s="69"/>
      <c r="D935" s="69"/>
    </row>
    <row r="936" spans="3:4" ht="12.5" x14ac:dyDescent="0.25">
      <c r="C936" s="69"/>
      <c r="D936" s="69"/>
    </row>
    <row r="937" spans="3:4" ht="12.5" x14ac:dyDescent="0.25">
      <c r="C937" s="69"/>
      <c r="D937" s="69"/>
    </row>
    <row r="938" spans="3:4" ht="12.5" x14ac:dyDescent="0.25">
      <c r="C938" s="69"/>
      <c r="D938" s="69"/>
    </row>
    <row r="939" spans="3:4" ht="12.5" x14ac:dyDescent="0.25">
      <c r="C939" s="69"/>
      <c r="D939" s="69"/>
    </row>
    <row r="940" spans="3:4" ht="12.5" x14ac:dyDescent="0.25">
      <c r="C940" s="69"/>
      <c r="D940" s="69"/>
    </row>
    <row r="941" spans="3:4" ht="12.5" x14ac:dyDescent="0.25">
      <c r="C941" s="69"/>
      <c r="D941" s="69"/>
    </row>
    <row r="942" spans="3:4" ht="12.5" x14ac:dyDescent="0.25">
      <c r="C942" s="69"/>
      <c r="D942" s="69"/>
    </row>
    <row r="943" spans="3:4" ht="12.5" x14ac:dyDescent="0.25">
      <c r="C943" s="69"/>
      <c r="D943" s="69"/>
    </row>
    <row r="944" spans="3:4" ht="12.5" x14ac:dyDescent="0.25">
      <c r="C944" s="69"/>
      <c r="D944" s="69"/>
    </row>
    <row r="945" spans="3:4" ht="12.5" x14ac:dyDescent="0.25">
      <c r="C945" s="69"/>
      <c r="D945" s="69"/>
    </row>
    <row r="946" spans="3:4" ht="12.5" x14ac:dyDescent="0.25">
      <c r="C946" s="69"/>
      <c r="D946" s="69"/>
    </row>
    <row r="947" spans="3:4" ht="12.5" x14ac:dyDescent="0.25">
      <c r="C947" s="69"/>
      <c r="D947" s="69"/>
    </row>
    <row r="948" spans="3:4" ht="12.5" x14ac:dyDescent="0.25">
      <c r="C948" s="69"/>
      <c r="D948" s="69"/>
    </row>
    <row r="949" spans="3:4" ht="12.5" x14ac:dyDescent="0.25">
      <c r="C949" s="69"/>
      <c r="D949" s="69"/>
    </row>
    <row r="950" spans="3:4" ht="12.5" x14ac:dyDescent="0.25">
      <c r="C950" s="69"/>
      <c r="D950" s="69"/>
    </row>
    <row r="951" spans="3:4" ht="12.5" x14ac:dyDescent="0.25">
      <c r="C951" s="69"/>
      <c r="D951" s="69"/>
    </row>
    <row r="952" spans="3:4" ht="12.5" x14ac:dyDescent="0.25">
      <c r="C952" s="69"/>
      <c r="D952" s="69"/>
    </row>
    <row r="953" spans="3:4" ht="12.5" x14ac:dyDescent="0.25">
      <c r="C953" s="69"/>
      <c r="D953" s="69"/>
    </row>
    <row r="954" spans="3:4" ht="12.5" x14ac:dyDescent="0.25">
      <c r="C954" s="69"/>
      <c r="D954" s="69"/>
    </row>
    <row r="955" spans="3:4" ht="12.5" x14ac:dyDescent="0.25">
      <c r="C955" s="69"/>
      <c r="D955" s="69"/>
    </row>
    <row r="956" spans="3:4" ht="12.5" x14ac:dyDescent="0.25">
      <c r="C956" s="69"/>
      <c r="D956" s="69"/>
    </row>
    <row r="957" spans="3:4" ht="12.5" x14ac:dyDescent="0.25">
      <c r="C957" s="69"/>
      <c r="D957" s="69"/>
    </row>
    <row r="958" spans="3:4" ht="12.5" x14ac:dyDescent="0.25">
      <c r="C958" s="69"/>
      <c r="D958" s="69"/>
    </row>
    <row r="959" spans="3:4" ht="12.5" x14ac:dyDescent="0.25">
      <c r="C959" s="69"/>
      <c r="D959" s="69"/>
    </row>
    <row r="960" spans="3:4" ht="12.5" x14ac:dyDescent="0.25">
      <c r="C960" s="69"/>
      <c r="D960" s="69"/>
    </row>
    <row r="961" spans="3:4" ht="12.5" x14ac:dyDescent="0.25">
      <c r="C961" s="69"/>
      <c r="D961" s="69"/>
    </row>
    <row r="962" spans="3:4" ht="12.5" x14ac:dyDescent="0.25">
      <c r="C962" s="69"/>
      <c r="D962" s="69"/>
    </row>
    <row r="963" spans="3:4" ht="12.5" x14ac:dyDescent="0.25">
      <c r="C963" s="69"/>
      <c r="D963" s="69"/>
    </row>
    <row r="964" spans="3:4" ht="12.5" x14ac:dyDescent="0.25">
      <c r="C964" s="69"/>
      <c r="D964" s="69"/>
    </row>
    <row r="965" spans="3:4" ht="12.5" x14ac:dyDescent="0.25">
      <c r="C965" s="69"/>
      <c r="D965" s="69"/>
    </row>
    <row r="966" spans="3:4" ht="12.5" x14ac:dyDescent="0.25">
      <c r="C966" s="69"/>
      <c r="D966" s="69"/>
    </row>
    <row r="967" spans="3:4" ht="12.5" x14ac:dyDescent="0.25">
      <c r="C967" s="69"/>
      <c r="D967" s="69"/>
    </row>
    <row r="968" spans="3:4" ht="12.5" x14ac:dyDescent="0.25">
      <c r="C968" s="69"/>
      <c r="D968" s="69"/>
    </row>
    <row r="969" spans="3:4" ht="12.5" x14ac:dyDescent="0.25">
      <c r="C969" s="69"/>
      <c r="D969" s="69"/>
    </row>
    <row r="970" spans="3:4" ht="12.5" x14ac:dyDescent="0.25">
      <c r="C970" s="69"/>
      <c r="D970" s="69"/>
    </row>
    <row r="971" spans="3:4" ht="12.5" x14ac:dyDescent="0.25">
      <c r="C971" s="69"/>
      <c r="D971" s="69"/>
    </row>
    <row r="972" spans="3:4" ht="12.5" x14ac:dyDescent="0.25">
      <c r="C972" s="69"/>
      <c r="D972" s="69"/>
    </row>
    <row r="973" spans="3:4" ht="12.5" x14ac:dyDescent="0.25">
      <c r="C973" s="69"/>
      <c r="D973" s="69"/>
    </row>
    <row r="974" spans="3:4" ht="12.5" x14ac:dyDescent="0.25">
      <c r="C974" s="69"/>
      <c r="D974" s="69"/>
    </row>
    <row r="975" spans="3:4" ht="12.5" x14ac:dyDescent="0.25">
      <c r="C975" s="69"/>
      <c r="D975" s="69"/>
    </row>
    <row r="976" spans="3:4" ht="12.5" x14ac:dyDescent="0.25">
      <c r="C976" s="69"/>
      <c r="D976" s="69"/>
    </row>
    <row r="977" spans="3:4" ht="12.5" x14ac:dyDescent="0.25">
      <c r="C977" s="69"/>
      <c r="D977" s="69"/>
    </row>
    <row r="978" spans="3:4" ht="12.5" x14ac:dyDescent="0.25">
      <c r="C978" s="69"/>
      <c r="D978" s="69"/>
    </row>
    <row r="979" spans="3:4" ht="12.5" x14ac:dyDescent="0.25">
      <c r="C979" s="69"/>
      <c r="D979" s="69"/>
    </row>
    <row r="980" spans="3:4" ht="12.5" x14ac:dyDescent="0.25">
      <c r="C980" s="69"/>
      <c r="D980" s="69"/>
    </row>
    <row r="981" spans="3:4" ht="12.5" x14ac:dyDescent="0.25">
      <c r="C981" s="69"/>
      <c r="D981" s="69"/>
    </row>
    <row r="982" spans="3:4" ht="12.5" x14ac:dyDescent="0.25">
      <c r="C982" s="69"/>
      <c r="D982" s="69"/>
    </row>
    <row r="983" spans="3:4" ht="12.5" x14ac:dyDescent="0.25">
      <c r="C983" s="69"/>
      <c r="D983" s="69"/>
    </row>
    <row r="984" spans="3:4" ht="12.5" x14ac:dyDescent="0.25">
      <c r="C984" s="69"/>
      <c r="D984" s="69"/>
    </row>
    <row r="985" spans="3:4" ht="12.5" x14ac:dyDescent="0.25">
      <c r="C985" s="69"/>
      <c r="D985" s="69"/>
    </row>
    <row r="986" spans="3:4" ht="12.5" x14ac:dyDescent="0.25">
      <c r="C986" s="69"/>
      <c r="D986" s="69"/>
    </row>
    <row r="987" spans="3:4" ht="12.5" x14ac:dyDescent="0.25">
      <c r="C987" s="69"/>
      <c r="D987" s="69"/>
    </row>
    <row r="988" spans="3:4" ht="12.5" x14ac:dyDescent="0.25">
      <c r="C988" s="69"/>
      <c r="D988" s="69"/>
    </row>
    <row r="989" spans="3:4" ht="12.5" x14ac:dyDescent="0.25">
      <c r="C989" s="69"/>
      <c r="D989" s="69"/>
    </row>
    <row r="990" spans="3:4" ht="12.5" x14ac:dyDescent="0.25">
      <c r="C990" s="69"/>
      <c r="D990" s="69"/>
    </row>
    <row r="991" spans="3:4" ht="12.5" x14ac:dyDescent="0.25">
      <c r="C991" s="69"/>
      <c r="D991" s="69"/>
    </row>
    <row r="992" spans="3:4" ht="12.5" x14ac:dyDescent="0.25">
      <c r="C992" s="69"/>
      <c r="D992" s="6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1"/>
  <sheetViews>
    <sheetView workbookViewId="0">
      <pane ySplit="2" topLeftCell="A3" activePane="bottomLeft" state="frozen"/>
      <selection pane="bottomLeft" activeCell="B4" sqref="B4"/>
    </sheetView>
  </sheetViews>
  <sheetFormatPr defaultColWidth="14.453125" defaultRowHeight="15.75" customHeight="1" x14ac:dyDescent="0.25"/>
  <cols>
    <col min="1" max="1" width="4.81640625" customWidth="1"/>
    <col min="2" max="2" width="8.54296875" customWidth="1"/>
    <col min="3" max="22" width="9.26953125" customWidth="1"/>
  </cols>
  <sheetData>
    <row r="1" spans="1:22" ht="12.5" x14ac:dyDescent="0.25">
      <c r="A1" s="213" t="s">
        <v>63</v>
      </c>
      <c r="B1" s="213" t="s">
        <v>70</v>
      </c>
      <c r="C1" s="214"/>
      <c r="D1" s="214"/>
      <c r="E1" s="214"/>
      <c r="F1" s="214"/>
      <c r="G1" s="213" t="s">
        <v>71</v>
      </c>
      <c r="H1" s="214"/>
      <c r="I1" s="214"/>
      <c r="J1" s="214"/>
      <c r="K1" s="213" t="s">
        <v>72</v>
      </c>
      <c r="L1" s="214"/>
      <c r="M1" s="214"/>
      <c r="N1" s="214"/>
      <c r="O1" s="215" t="s">
        <v>73</v>
      </c>
      <c r="P1" s="214"/>
      <c r="Q1" s="214"/>
      <c r="R1" s="214"/>
      <c r="S1" s="214"/>
      <c r="T1" s="214"/>
      <c r="U1" s="214"/>
      <c r="V1" s="214"/>
    </row>
    <row r="2" spans="1:22" ht="34.5" x14ac:dyDescent="0.25">
      <c r="A2" s="214"/>
      <c r="B2" s="70" t="s">
        <v>74</v>
      </c>
      <c r="C2" s="70" t="s">
        <v>75</v>
      </c>
      <c r="D2" s="70" t="s">
        <v>76</v>
      </c>
      <c r="E2" s="70" t="s">
        <v>66</v>
      </c>
      <c r="F2" s="71" t="s">
        <v>67</v>
      </c>
      <c r="G2" s="70" t="s">
        <v>75</v>
      </c>
      <c r="H2" s="70" t="s">
        <v>76</v>
      </c>
      <c r="I2" s="70" t="s">
        <v>66</v>
      </c>
      <c r="J2" s="72" t="s">
        <v>67</v>
      </c>
      <c r="K2" s="70" t="s">
        <v>75</v>
      </c>
      <c r="L2" s="70" t="s">
        <v>76</v>
      </c>
      <c r="M2" s="70" t="s">
        <v>66</v>
      </c>
      <c r="N2" s="71" t="s">
        <v>67</v>
      </c>
      <c r="O2" s="73" t="s">
        <v>77</v>
      </c>
      <c r="P2" s="73" t="s">
        <v>78</v>
      </c>
      <c r="Q2" s="73" t="s">
        <v>79</v>
      </c>
      <c r="R2" s="74" t="s">
        <v>80</v>
      </c>
      <c r="S2" s="74" t="s">
        <v>81</v>
      </c>
      <c r="T2" s="74" t="s">
        <v>82</v>
      </c>
      <c r="U2" s="74" t="s">
        <v>83</v>
      </c>
      <c r="V2" s="74" t="s">
        <v>84</v>
      </c>
    </row>
    <row r="3" spans="1:22" ht="12.5" x14ac:dyDescent="0.25">
      <c r="A3" s="75">
        <v>1</v>
      </c>
      <c r="B3" s="76">
        <v>44197</v>
      </c>
      <c r="C3" s="75">
        <v>76</v>
      </c>
      <c r="D3" s="75">
        <v>1116</v>
      </c>
      <c r="E3" s="75">
        <f t="shared" ref="E3:E199" si="0">C3+D3</f>
        <v>1192</v>
      </c>
      <c r="F3" s="77">
        <f t="shared" ref="F3:F199" si="1">C3/E3</f>
        <v>6.3758389261744972E-2</v>
      </c>
      <c r="G3" s="75">
        <v>0</v>
      </c>
      <c r="H3" s="75">
        <v>0</v>
      </c>
      <c r="I3" s="75">
        <f t="shared" ref="I3:I59" si="2">G3+H3</f>
        <v>0</v>
      </c>
      <c r="J3" s="78" t="e">
        <f t="shared" ref="J3:J59" si="3">G3/I3</f>
        <v>#DIV/0!</v>
      </c>
      <c r="K3" s="75">
        <v>0</v>
      </c>
      <c r="L3" s="75">
        <v>0</v>
      </c>
      <c r="M3" s="79">
        <f t="shared" ref="M3:M199" si="4">K3+L3</f>
        <v>0</v>
      </c>
      <c r="N3" s="77" t="e">
        <f t="shared" ref="N3:N199" si="5">K3/M3</f>
        <v>#DIV/0!</v>
      </c>
      <c r="O3" s="80">
        <f t="shared" ref="O3:P3" si="6">S3</f>
        <v>1192</v>
      </c>
      <c r="P3" s="81">
        <f t="shared" si="6"/>
        <v>76</v>
      </c>
      <c r="Q3" s="81">
        <f t="shared" ref="Q3:Q199" si="7">O3-P3</f>
        <v>1116</v>
      </c>
      <c r="R3" s="77">
        <f t="shared" ref="R3:R199" si="8">P3/O3</f>
        <v>6.3758389261744972E-2</v>
      </c>
      <c r="S3" s="79">
        <f t="shared" ref="S3:S199" si="9">E3+I3+M3</f>
        <v>1192</v>
      </c>
      <c r="T3" s="75">
        <f t="shared" ref="T3:T199" si="10">C3+G3+K3</f>
        <v>76</v>
      </c>
      <c r="U3" s="75">
        <f t="shared" ref="U3:U199" si="11">S3-T3</f>
        <v>1116</v>
      </c>
      <c r="V3" s="77">
        <f t="shared" ref="V3:V199" si="12">T3/S3</f>
        <v>6.3758389261744972E-2</v>
      </c>
    </row>
    <row r="4" spans="1:22" ht="12.5" x14ac:dyDescent="0.25">
      <c r="A4" s="75">
        <v>2</v>
      </c>
      <c r="B4" s="76">
        <v>44198</v>
      </c>
      <c r="C4" s="75">
        <v>76</v>
      </c>
      <c r="D4" s="75">
        <v>1116</v>
      </c>
      <c r="E4" s="75">
        <f t="shared" si="0"/>
        <v>1192</v>
      </c>
      <c r="F4" s="77">
        <f t="shared" si="1"/>
        <v>6.3758389261744972E-2</v>
      </c>
      <c r="G4" s="75">
        <v>0</v>
      </c>
      <c r="H4" s="75">
        <v>0</v>
      </c>
      <c r="I4" s="75">
        <f t="shared" si="2"/>
        <v>0</v>
      </c>
      <c r="J4" s="78" t="e">
        <f t="shared" si="3"/>
        <v>#DIV/0!</v>
      </c>
      <c r="K4" s="75">
        <v>0</v>
      </c>
      <c r="L4" s="75">
        <v>0</v>
      </c>
      <c r="M4" s="79">
        <f t="shared" si="4"/>
        <v>0</v>
      </c>
      <c r="N4" s="77" t="e">
        <f t="shared" si="5"/>
        <v>#DIV/0!</v>
      </c>
      <c r="O4" s="81">
        <f t="shared" ref="O4:P4" si="13">S4-S3</f>
        <v>0</v>
      </c>
      <c r="P4" s="81">
        <f t="shared" si="13"/>
        <v>0</v>
      </c>
      <c r="Q4" s="81">
        <f t="shared" si="7"/>
        <v>0</v>
      </c>
      <c r="R4" s="77" t="e">
        <f t="shared" si="8"/>
        <v>#DIV/0!</v>
      </c>
      <c r="S4" s="79">
        <f t="shared" si="9"/>
        <v>1192</v>
      </c>
      <c r="T4" s="75">
        <f t="shared" si="10"/>
        <v>76</v>
      </c>
      <c r="U4" s="75">
        <f t="shared" si="11"/>
        <v>1116</v>
      </c>
      <c r="V4" s="77">
        <f t="shared" si="12"/>
        <v>6.3758389261744972E-2</v>
      </c>
    </row>
    <row r="5" spans="1:22" ht="12.5" x14ac:dyDescent="0.25">
      <c r="A5" s="75">
        <v>3</v>
      </c>
      <c r="B5" s="76">
        <v>44199</v>
      </c>
      <c r="C5" s="75">
        <v>100</v>
      </c>
      <c r="D5" s="75">
        <v>1699</v>
      </c>
      <c r="E5" s="75">
        <f t="shared" si="0"/>
        <v>1799</v>
      </c>
      <c r="F5" s="77">
        <f t="shared" si="1"/>
        <v>5.5586436909394105E-2</v>
      </c>
      <c r="G5" s="75">
        <v>0</v>
      </c>
      <c r="H5" s="75">
        <v>0</v>
      </c>
      <c r="I5" s="75">
        <f t="shared" si="2"/>
        <v>0</v>
      </c>
      <c r="J5" s="78" t="e">
        <f t="shared" si="3"/>
        <v>#DIV/0!</v>
      </c>
      <c r="K5" s="75">
        <v>0</v>
      </c>
      <c r="L5" s="75">
        <v>0</v>
      </c>
      <c r="M5" s="79">
        <f t="shared" si="4"/>
        <v>0</v>
      </c>
      <c r="N5" s="77" t="e">
        <f t="shared" si="5"/>
        <v>#DIV/0!</v>
      </c>
      <c r="O5" s="81">
        <f t="shared" ref="O5:P5" si="14">S5-S4</f>
        <v>607</v>
      </c>
      <c r="P5" s="81">
        <f t="shared" si="14"/>
        <v>24</v>
      </c>
      <c r="Q5" s="81">
        <f t="shared" si="7"/>
        <v>583</v>
      </c>
      <c r="R5" s="77">
        <f t="shared" si="8"/>
        <v>3.9538714991762765E-2</v>
      </c>
      <c r="S5" s="79">
        <f t="shared" si="9"/>
        <v>1799</v>
      </c>
      <c r="T5" s="75">
        <f t="shared" si="10"/>
        <v>100</v>
      </c>
      <c r="U5" s="75">
        <f t="shared" si="11"/>
        <v>1699</v>
      </c>
      <c r="V5" s="77">
        <f t="shared" si="12"/>
        <v>5.5586436909394105E-2</v>
      </c>
    </row>
    <row r="6" spans="1:22" ht="12.5" x14ac:dyDescent="0.25">
      <c r="A6" s="75">
        <v>4</v>
      </c>
      <c r="B6" s="76">
        <v>44200</v>
      </c>
      <c r="C6" s="75">
        <v>100</v>
      </c>
      <c r="D6" s="75">
        <v>1699</v>
      </c>
      <c r="E6" s="75">
        <f t="shared" si="0"/>
        <v>1799</v>
      </c>
      <c r="F6" s="77">
        <f t="shared" si="1"/>
        <v>5.5586436909394105E-2</v>
      </c>
      <c r="G6" s="75">
        <v>0</v>
      </c>
      <c r="H6" s="75">
        <v>0</v>
      </c>
      <c r="I6" s="75">
        <f t="shared" si="2"/>
        <v>0</v>
      </c>
      <c r="J6" s="78" t="e">
        <f t="shared" si="3"/>
        <v>#DIV/0!</v>
      </c>
      <c r="K6" s="75">
        <v>0</v>
      </c>
      <c r="L6" s="75">
        <v>0</v>
      </c>
      <c r="M6" s="79">
        <f t="shared" si="4"/>
        <v>0</v>
      </c>
      <c r="N6" s="77" t="e">
        <f t="shared" si="5"/>
        <v>#DIV/0!</v>
      </c>
      <c r="O6" s="81">
        <f t="shared" ref="O6:P6" si="15">S6-S5</f>
        <v>0</v>
      </c>
      <c r="P6" s="81">
        <f t="shared" si="15"/>
        <v>0</v>
      </c>
      <c r="Q6" s="81">
        <f t="shared" si="7"/>
        <v>0</v>
      </c>
      <c r="R6" s="77" t="e">
        <f t="shared" si="8"/>
        <v>#DIV/0!</v>
      </c>
      <c r="S6" s="79">
        <f t="shared" si="9"/>
        <v>1799</v>
      </c>
      <c r="T6" s="75">
        <f t="shared" si="10"/>
        <v>100</v>
      </c>
      <c r="U6" s="75">
        <f t="shared" si="11"/>
        <v>1699</v>
      </c>
      <c r="V6" s="77">
        <f t="shared" si="12"/>
        <v>5.5586436909394105E-2</v>
      </c>
    </row>
    <row r="7" spans="1:22" ht="12.5" x14ac:dyDescent="0.25">
      <c r="A7" s="75">
        <v>5</v>
      </c>
      <c r="B7" s="76">
        <v>44201</v>
      </c>
      <c r="C7" s="75">
        <v>100</v>
      </c>
      <c r="D7" s="75">
        <v>1699</v>
      </c>
      <c r="E7" s="75">
        <f t="shared" si="0"/>
        <v>1799</v>
      </c>
      <c r="F7" s="77">
        <f t="shared" si="1"/>
        <v>5.5586436909394105E-2</v>
      </c>
      <c r="G7" s="75">
        <v>0</v>
      </c>
      <c r="H7" s="75">
        <v>0</v>
      </c>
      <c r="I7" s="75">
        <f t="shared" si="2"/>
        <v>0</v>
      </c>
      <c r="J7" s="78" t="e">
        <f t="shared" si="3"/>
        <v>#DIV/0!</v>
      </c>
      <c r="K7" s="75">
        <v>0</v>
      </c>
      <c r="L7" s="75">
        <v>0</v>
      </c>
      <c r="M7" s="79">
        <f t="shared" si="4"/>
        <v>0</v>
      </c>
      <c r="N7" s="77" t="e">
        <f t="shared" si="5"/>
        <v>#DIV/0!</v>
      </c>
      <c r="O7" s="81">
        <f t="shared" ref="O7:P7" si="16">S7-S6</f>
        <v>0</v>
      </c>
      <c r="P7" s="81">
        <f t="shared" si="16"/>
        <v>0</v>
      </c>
      <c r="Q7" s="81">
        <f t="shared" si="7"/>
        <v>0</v>
      </c>
      <c r="R7" s="77" t="e">
        <f t="shared" si="8"/>
        <v>#DIV/0!</v>
      </c>
      <c r="S7" s="79">
        <f t="shared" si="9"/>
        <v>1799</v>
      </c>
      <c r="T7" s="75">
        <f t="shared" si="10"/>
        <v>100</v>
      </c>
      <c r="U7" s="75">
        <f t="shared" si="11"/>
        <v>1699</v>
      </c>
      <c r="V7" s="77">
        <f t="shared" si="12"/>
        <v>5.5586436909394105E-2</v>
      </c>
    </row>
    <row r="8" spans="1:22" ht="12.5" x14ac:dyDescent="0.25">
      <c r="A8" s="75">
        <v>6</v>
      </c>
      <c r="B8" s="76">
        <v>44202</v>
      </c>
      <c r="C8" s="75">
        <v>100</v>
      </c>
      <c r="D8" s="75">
        <v>1699</v>
      </c>
      <c r="E8" s="75">
        <f t="shared" si="0"/>
        <v>1799</v>
      </c>
      <c r="F8" s="77">
        <f t="shared" si="1"/>
        <v>5.5586436909394105E-2</v>
      </c>
      <c r="G8" s="75">
        <v>0</v>
      </c>
      <c r="H8" s="75">
        <v>0</v>
      </c>
      <c r="I8" s="75">
        <f t="shared" si="2"/>
        <v>0</v>
      </c>
      <c r="J8" s="78" t="e">
        <f t="shared" si="3"/>
        <v>#DIV/0!</v>
      </c>
      <c r="K8" s="75">
        <v>0</v>
      </c>
      <c r="L8" s="75">
        <v>0</v>
      </c>
      <c r="M8" s="79">
        <f t="shared" si="4"/>
        <v>0</v>
      </c>
      <c r="N8" s="77" t="e">
        <f t="shared" si="5"/>
        <v>#DIV/0!</v>
      </c>
      <c r="O8" s="81">
        <f t="shared" ref="O8:P8" si="17">S8-S7</f>
        <v>0</v>
      </c>
      <c r="P8" s="81">
        <f t="shared" si="17"/>
        <v>0</v>
      </c>
      <c r="Q8" s="81">
        <f t="shared" si="7"/>
        <v>0</v>
      </c>
      <c r="R8" s="77" t="e">
        <f t="shared" si="8"/>
        <v>#DIV/0!</v>
      </c>
      <c r="S8" s="79">
        <f t="shared" si="9"/>
        <v>1799</v>
      </c>
      <c r="T8" s="75">
        <f t="shared" si="10"/>
        <v>100</v>
      </c>
      <c r="U8" s="75">
        <f t="shared" si="11"/>
        <v>1699</v>
      </c>
      <c r="V8" s="77">
        <f t="shared" si="12"/>
        <v>5.5586436909394105E-2</v>
      </c>
    </row>
    <row r="9" spans="1:22" ht="12.5" x14ac:dyDescent="0.25">
      <c r="A9" s="75">
        <v>7</v>
      </c>
      <c r="B9" s="76">
        <v>44203</v>
      </c>
      <c r="C9" s="75">
        <v>100</v>
      </c>
      <c r="D9" s="75">
        <v>1699</v>
      </c>
      <c r="E9" s="75">
        <f t="shared" si="0"/>
        <v>1799</v>
      </c>
      <c r="F9" s="77">
        <f t="shared" si="1"/>
        <v>5.5586436909394105E-2</v>
      </c>
      <c r="G9" s="75">
        <v>0</v>
      </c>
      <c r="H9" s="75">
        <v>0</v>
      </c>
      <c r="I9" s="75">
        <f t="shared" si="2"/>
        <v>0</v>
      </c>
      <c r="J9" s="78" t="e">
        <f t="shared" si="3"/>
        <v>#DIV/0!</v>
      </c>
      <c r="K9" s="75">
        <v>0</v>
      </c>
      <c r="L9" s="75">
        <v>0</v>
      </c>
      <c r="M9" s="79">
        <f t="shared" si="4"/>
        <v>0</v>
      </c>
      <c r="N9" s="77" t="e">
        <f t="shared" si="5"/>
        <v>#DIV/0!</v>
      </c>
      <c r="O9" s="81">
        <f t="shared" ref="O9:P9" si="18">S9-S8</f>
        <v>0</v>
      </c>
      <c r="P9" s="81">
        <f t="shared" si="18"/>
        <v>0</v>
      </c>
      <c r="Q9" s="81">
        <f t="shared" si="7"/>
        <v>0</v>
      </c>
      <c r="R9" s="77" t="e">
        <f t="shared" si="8"/>
        <v>#DIV/0!</v>
      </c>
      <c r="S9" s="79">
        <f t="shared" si="9"/>
        <v>1799</v>
      </c>
      <c r="T9" s="75">
        <f t="shared" si="10"/>
        <v>100</v>
      </c>
      <c r="U9" s="75">
        <f t="shared" si="11"/>
        <v>1699</v>
      </c>
      <c r="V9" s="77">
        <f t="shared" si="12"/>
        <v>5.5586436909394105E-2</v>
      </c>
    </row>
    <row r="10" spans="1:22" ht="12.5" x14ac:dyDescent="0.25">
      <c r="A10" s="75">
        <v>8</v>
      </c>
      <c r="B10" s="76">
        <v>44204</v>
      </c>
      <c r="C10" s="75">
        <v>207</v>
      </c>
      <c r="D10" s="75">
        <v>2624</v>
      </c>
      <c r="E10" s="75">
        <f t="shared" si="0"/>
        <v>2831</v>
      </c>
      <c r="F10" s="77">
        <f t="shared" si="1"/>
        <v>7.3119039208760159E-2</v>
      </c>
      <c r="G10" s="75">
        <v>0</v>
      </c>
      <c r="H10" s="75">
        <v>0</v>
      </c>
      <c r="I10" s="75">
        <f t="shared" si="2"/>
        <v>0</v>
      </c>
      <c r="J10" s="78" t="e">
        <f t="shared" si="3"/>
        <v>#DIV/0!</v>
      </c>
      <c r="K10" s="75">
        <v>0</v>
      </c>
      <c r="L10" s="75">
        <v>0</v>
      </c>
      <c r="M10" s="79">
        <f t="shared" si="4"/>
        <v>0</v>
      </c>
      <c r="N10" s="77" t="e">
        <f t="shared" si="5"/>
        <v>#DIV/0!</v>
      </c>
      <c r="O10" s="81">
        <f t="shared" ref="O10:P10" si="19">S10-S9</f>
        <v>1032</v>
      </c>
      <c r="P10" s="81">
        <f t="shared" si="19"/>
        <v>107</v>
      </c>
      <c r="Q10" s="81">
        <f t="shared" si="7"/>
        <v>925</v>
      </c>
      <c r="R10" s="77">
        <f t="shared" si="8"/>
        <v>0.10368217054263566</v>
      </c>
      <c r="S10" s="79">
        <f t="shared" si="9"/>
        <v>2831</v>
      </c>
      <c r="T10" s="75">
        <f t="shared" si="10"/>
        <v>207</v>
      </c>
      <c r="U10" s="75">
        <f t="shared" si="11"/>
        <v>2624</v>
      </c>
      <c r="V10" s="77">
        <f t="shared" si="12"/>
        <v>7.3119039208760159E-2</v>
      </c>
    </row>
    <row r="11" spans="1:22" ht="12.5" x14ac:dyDescent="0.25">
      <c r="A11" s="75">
        <v>9</v>
      </c>
      <c r="B11" s="76">
        <v>44205</v>
      </c>
      <c r="C11" s="82">
        <v>207</v>
      </c>
      <c r="D11" s="83">
        <v>2624</v>
      </c>
      <c r="E11" s="75">
        <f t="shared" si="0"/>
        <v>2831</v>
      </c>
      <c r="F11" s="77">
        <f t="shared" si="1"/>
        <v>7.3119039208760159E-2</v>
      </c>
      <c r="G11" s="75">
        <v>0</v>
      </c>
      <c r="H11" s="75">
        <v>0</v>
      </c>
      <c r="I11" s="75">
        <f t="shared" si="2"/>
        <v>0</v>
      </c>
      <c r="J11" s="78" t="e">
        <f t="shared" si="3"/>
        <v>#DIV/0!</v>
      </c>
      <c r="K11" s="75">
        <v>0</v>
      </c>
      <c r="L11" s="75">
        <v>0</v>
      </c>
      <c r="M11" s="79">
        <f t="shared" si="4"/>
        <v>0</v>
      </c>
      <c r="N11" s="77" t="e">
        <f t="shared" si="5"/>
        <v>#DIV/0!</v>
      </c>
      <c r="O11" s="81">
        <f t="shared" ref="O11:P11" si="20">S11-S10</f>
        <v>0</v>
      </c>
      <c r="P11" s="81">
        <f t="shared" si="20"/>
        <v>0</v>
      </c>
      <c r="Q11" s="81">
        <f t="shared" si="7"/>
        <v>0</v>
      </c>
      <c r="R11" s="77" t="e">
        <f t="shared" si="8"/>
        <v>#DIV/0!</v>
      </c>
      <c r="S11" s="79">
        <f t="shared" si="9"/>
        <v>2831</v>
      </c>
      <c r="T11" s="75">
        <f t="shared" si="10"/>
        <v>207</v>
      </c>
      <c r="U11" s="75">
        <f t="shared" si="11"/>
        <v>2624</v>
      </c>
      <c r="V11" s="77">
        <f t="shared" si="12"/>
        <v>7.3119039208760159E-2</v>
      </c>
    </row>
    <row r="12" spans="1:22" ht="12.5" x14ac:dyDescent="0.25">
      <c r="A12" s="75">
        <v>10</v>
      </c>
      <c r="B12" s="76">
        <v>44206</v>
      </c>
      <c r="C12" s="82">
        <v>207</v>
      </c>
      <c r="D12" s="83">
        <v>2624</v>
      </c>
      <c r="E12" s="75">
        <f t="shared" si="0"/>
        <v>2831</v>
      </c>
      <c r="F12" s="77">
        <f t="shared" si="1"/>
        <v>7.3119039208760159E-2</v>
      </c>
      <c r="G12" s="75">
        <v>0</v>
      </c>
      <c r="H12" s="75">
        <v>0</v>
      </c>
      <c r="I12" s="75">
        <f t="shared" si="2"/>
        <v>0</v>
      </c>
      <c r="J12" s="78" t="e">
        <f t="shared" si="3"/>
        <v>#DIV/0!</v>
      </c>
      <c r="K12" s="75">
        <v>0</v>
      </c>
      <c r="L12" s="75">
        <v>0</v>
      </c>
      <c r="M12" s="79">
        <f t="shared" si="4"/>
        <v>0</v>
      </c>
      <c r="N12" s="77" t="e">
        <f t="shared" si="5"/>
        <v>#DIV/0!</v>
      </c>
      <c r="O12" s="81">
        <f t="shared" ref="O12:P12" si="21">S12-S11</f>
        <v>0</v>
      </c>
      <c r="P12" s="81">
        <f t="shared" si="21"/>
        <v>0</v>
      </c>
      <c r="Q12" s="81">
        <f t="shared" si="7"/>
        <v>0</v>
      </c>
      <c r="R12" s="77" t="e">
        <f t="shared" si="8"/>
        <v>#DIV/0!</v>
      </c>
      <c r="S12" s="79">
        <f t="shared" si="9"/>
        <v>2831</v>
      </c>
      <c r="T12" s="75">
        <f t="shared" si="10"/>
        <v>207</v>
      </c>
      <c r="U12" s="75">
        <f t="shared" si="11"/>
        <v>2624</v>
      </c>
      <c r="V12" s="77">
        <f t="shared" si="12"/>
        <v>7.3119039208760159E-2</v>
      </c>
    </row>
    <row r="13" spans="1:22" ht="12.5" x14ac:dyDescent="0.25">
      <c r="A13" s="75">
        <v>11</v>
      </c>
      <c r="B13" s="76">
        <v>44207</v>
      </c>
      <c r="C13" s="82">
        <v>207</v>
      </c>
      <c r="D13" s="83">
        <v>2624</v>
      </c>
      <c r="E13" s="75">
        <f t="shared" si="0"/>
        <v>2831</v>
      </c>
      <c r="F13" s="77">
        <f t="shared" si="1"/>
        <v>7.3119039208760159E-2</v>
      </c>
      <c r="G13" s="75">
        <v>0</v>
      </c>
      <c r="H13" s="75">
        <v>0</v>
      </c>
      <c r="I13" s="75">
        <f t="shared" si="2"/>
        <v>0</v>
      </c>
      <c r="J13" s="78" t="e">
        <f t="shared" si="3"/>
        <v>#DIV/0!</v>
      </c>
      <c r="K13" s="75">
        <v>0</v>
      </c>
      <c r="L13" s="75">
        <v>0</v>
      </c>
      <c r="M13" s="79">
        <f t="shared" si="4"/>
        <v>0</v>
      </c>
      <c r="N13" s="77" t="e">
        <f t="shared" si="5"/>
        <v>#DIV/0!</v>
      </c>
      <c r="O13" s="81">
        <f t="shared" ref="O13:P13" si="22">S13-S12</f>
        <v>0</v>
      </c>
      <c r="P13" s="81">
        <f t="shared" si="22"/>
        <v>0</v>
      </c>
      <c r="Q13" s="81">
        <f t="shared" si="7"/>
        <v>0</v>
      </c>
      <c r="R13" s="77" t="e">
        <f t="shared" si="8"/>
        <v>#DIV/0!</v>
      </c>
      <c r="S13" s="79">
        <f t="shared" si="9"/>
        <v>2831</v>
      </c>
      <c r="T13" s="75">
        <f t="shared" si="10"/>
        <v>207</v>
      </c>
      <c r="U13" s="75">
        <f t="shared" si="11"/>
        <v>2624</v>
      </c>
      <c r="V13" s="77">
        <f t="shared" si="12"/>
        <v>7.3119039208760159E-2</v>
      </c>
    </row>
    <row r="14" spans="1:22" ht="12.5" x14ac:dyDescent="0.25">
      <c r="A14" s="75">
        <v>12</v>
      </c>
      <c r="B14" s="76">
        <v>44208</v>
      </c>
      <c r="C14" s="84">
        <v>247</v>
      </c>
      <c r="D14" s="84">
        <v>3011</v>
      </c>
      <c r="E14" s="75">
        <f t="shared" si="0"/>
        <v>3258</v>
      </c>
      <c r="F14" s="77">
        <f t="shared" si="1"/>
        <v>7.5813382443216698E-2</v>
      </c>
      <c r="G14" s="75">
        <v>0</v>
      </c>
      <c r="H14" s="75">
        <v>0</v>
      </c>
      <c r="I14" s="75">
        <f t="shared" si="2"/>
        <v>0</v>
      </c>
      <c r="J14" s="78" t="e">
        <f t="shared" si="3"/>
        <v>#DIV/0!</v>
      </c>
      <c r="K14" s="75">
        <v>0</v>
      </c>
      <c r="L14" s="75">
        <v>0</v>
      </c>
      <c r="M14" s="79">
        <f t="shared" si="4"/>
        <v>0</v>
      </c>
      <c r="N14" s="77" t="e">
        <f t="shared" si="5"/>
        <v>#DIV/0!</v>
      </c>
      <c r="O14" s="81">
        <f t="shared" ref="O14:P14" si="23">S14-S13</f>
        <v>427</v>
      </c>
      <c r="P14" s="81">
        <f t="shared" si="23"/>
        <v>40</v>
      </c>
      <c r="Q14" s="81">
        <f t="shared" si="7"/>
        <v>387</v>
      </c>
      <c r="R14" s="77">
        <f t="shared" si="8"/>
        <v>9.3676814988290405E-2</v>
      </c>
      <c r="S14" s="79">
        <f t="shared" si="9"/>
        <v>3258</v>
      </c>
      <c r="T14" s="75">
        <f t="shared" si="10"/>
        <v>247</v>
      </c>
      <c r="U14" s="75">
        <f t="shared" si="11"/>
        <v>3011</v>
      </c>
      <c r="V14" s="77">
        <f t="shared" si="12"/>
        <v>7.5813382443216698E-2</v>
      </c>
    </row>
    <row r="15" spans="1:22" ht="12.5" x14ac:dyDescent="0.25">
      <c r="A15" s="75">
        <v>13</v>
      </c>
      <c r="B15" s="76">
        <v>44209</v>
      </c>
      <c r="C15" s="75">
        <v>297</v>
      </c>
      <c r="D15" s="75">
        <v>3573</v>
      </c>
      <c r="E15" s="75">
        <f t="shared" si="0"/>
        <v>3870</v>
      </c>
      <c r="F15" s="77">
        <f t="shared" si="1"/>
        <v>7.6744186046511634E-2</v>
      </c>
      <c r="G15" s="75">
        <v>0</v>
      </c>
      <c r="H15" s="75">
        <v>0</v>
      </c>
      <c r="I15" s="75">
        <f t="shared" si="2"/>
        <v>0</v>
      </c>
      <c r="J15" s="78" t="e">
        <f t="shared" si="3"/>
        <v>#DIV/0!</v>
      </c>
      <c r="K15" s="75">
        <v>0</v>
      </c>
      <c r="L15" s="75">
        <v>0</v>
      </c>
      <c r="M15" s="79">
        <f t="shared" si="4"/>
        <v>0</v>
      </c>
      <c r="N15" s="77" t="e">
        <f t="shared" si="5"/>
        <v>#DIV/0!</v>
      </c>
      <c r="O15" s="81">
        <f t="shared" ref="O15:P15" si="24">S15-S14</f>
        <v>612</v>
      </c>
      <c r="P15" s="81">
        <f t="shared" si="24"/>
        <v>50</v>
      </c>
      <c r="Q15" s="81">
        <f t="shared" si="7"/>
        <v>562</v>
      </c>
      <c r="R15" s="77">
        <f t="shared" si="8"/>
        <v>8.1699346405228759E-2</v>
      </c>
      <c r="S15" s="79">
        <f t="shared" si="9"/>
        <v>3870</v>
      </c>
      <c r="T15" s="75">
        <f t="shared" si="10"/>
        <v>297</v>
      </c>
      <c r="U15" s="75">
        <f t="shared" si="11"/>
        <v>3573</v>
      </c>
      <c r="V15" s="77">
        <f t="shared" si="12"/>
        <v>7.6744186046511634E-2</v>
      </c>
    </row>
    <row r="16" spans="1:22" ht="12.5" x14ac:dyDescent="0.25">
      <c r="A16" s="75">
        <v>14</v>
      </c>
      <c r="B16" s="76">
        <v>44210</v>
      </c>
      <c r="C16" s="75">
        <v>399</v>
      </c>
      <c r="D16" s="75">
        <v>4417</v>
      </c>
      <c r="E16" s="75">
        <f t="shared" si="0"/>
        <v>4816</v>
      </c>
      <c r="F16" s="77">
        <f t="shared" si="1"/>
        <v>8.284883720930232E-2</v>
      </c>
      <c r="G16" s="75">
        <v>0</v>
      </c>
      <c r="H16" s="75">
        <v>0</v>
      </c>
      <c r="I16" s="75">
        <f t="shared" si="2"/>
        <v>0</v>
      </c>
      <c r="J16" s="78" t="e">
        <f t="shared" si="3"/>
        <v>#DIV/0!</v>
      </c>
      <c r="K16" s="75">
        <v>0</v>
      </c>
      <c r="L16" s="75">
        <v>0</v>
      </c>
      <c r="M16" s="79">
        <f t="shared" si="4"/>
        <v>0</v>
      </c>
      <c r="N16" s="77" t="e">
        <f t="shared" si="5"/>
        <v>#DIV/0!</v>
      </c>
      <c r="O16" s="81">
        <f t="shared" ref="O16:P16" si="25">S16-S15</f>
        <v>946</v>
      </c>
      <c r="P16" s="81">
        <f t="shared" si="25"/>
        <v>102</v>
      </c>
      <c r="Q16" s="81">
        <f t="shared" si="7"/>
        <v>844</v>
      </c>
      <c r="R16" s="77">
        <f t="shared" si="8"/>
        <v>0.10782241014799154</v>
      </c>
      <c r="S16" s="79">
        <f t="shared" si="9"/>
        <v>4816</v>
      </c>
      <c r="T16" s="75">
        <f t="shared" si="10"/>
        <v>399</v>
      </c>
      <c r="U16" s="75">
        <f t="shared" si="11"/>
        <v>4417</v>
      </c>
      <c r="V16" s="77">
        <f t="shared" si="12"/>
        <v>8.284883720930232E-2</v>
      </c>
    </row>
    <row r="17" spans="1:22" ht="12.5" x14ac:dyDescent="0.25">
      <c r="A17" s="75">
        <v>15</v>
      </c>
      <c r="B17" s="76">
        <v>44211</v>
      </c>
      <c r="C17" s="75">
        <v>463</v>
      </c>
      <c r="D17" s="75">
        <v>4936</v>
      </c>
      <c r="E17" s="75">
        <f t="shared" si="0"/>
        <v>5399</v>
      </c>
      <c r="F17" s="77">
        <f t="shared" si="1"/>
        <v>8.5756621596591961E-2</v>
      </c>
      <c r="G17" s="75">
        <v>0</v>
      </c>
      <c r="H17" s="75">
        <v>0</v>
      </c>
      <c r="I17" s="75">
        <f t="shared" si="2"/>
        <v>0</v>
      </c>
      <c r="J17" s="78" t="e">
        <f t="shared" si="3"/>
        <v>#DIV/0!</v>
      </c>
      <c r="K17" s="75">
        <v>0</v>
      </c>
      <c r="L17" s="75">
        <v>0</v>
      </c>
      <c r="M17" s="79">
        <f t="shared" si="4"/>
        <v>0</v>
      </c>
      <c r="N17" s="77" t="e">
        <f t="shared" si="5"/>
        <v>#DIV/0!</v>
      </c>
      <c r="O17" s="81">
        <f t="shared" ref="O17:P17" si="26">S17-S16</f>
        <v>583</v>
      </c>
      <c r="P17" s="81">
        <f t="shared" si="26"/>
        <v>64</v>
      </c>
      <c r="Q17" s="81">
        <f t="shared" si="7"/>
        <v>519</v>
      </c>
      <c r="R17" s="77">
        <f t="shared" si="8"/>
        <v>0.10977701543739279</v>
      </c>
      <c r="S17" s="79">
        <f t="shared" si="9"/>
        <v>5399</v>
      </c>
      <c r="T17" s="75">
        <f t="shared" si="10"/>
        <v>463</v>
      </c>
      <c r="U17" s="75">
        <f t="shared" si="11"/>
        <v>4936</v>
      </c>
      <c r="V17" s="77">
        <f t="shared" si="12"/>
        <v>8.5756621596591961E-2</v>
      </c>
    </row>
    <row r="18" spans="1:22" ht="12.5" x14ac:dyDescent="0.25">
      <c r="A18" s="75">
        <v>16</v>
      </c>
      <c r="B18" s="76">
        <v>44212</v>
      </c>
      <c r="C18" s="75">
        <v>510</v>
      </c>
      <c r="D18" s="75">
        <v>5406</v>
      </c>
      <c r="E18" s="75">
        <f t="shared" si="0"/>
        <v>5916</v>
      </c>
      <c r="F18" s="77">
        <f t="shared" si="1"/>
        <v>8.6206896551724144E-2</v>
      </c>
      <c r="G18" s="75">
        <v>0</v>
      </c>
      <c r="H18" s="75">
        <v>0</v>
      </c>
      <c r="I18" s="75">
        <f t="shared" si="2"/>
        <v>0</v>
      </c>
      <c r="J18" s="78" t="e">
        <f t="shared" si="3"/>
        <v>#DIV/0!</v>
      </c>
      <c r="K18" s="75">
        <v>0</v>
      </c>
      <c r="L18" s="75">
        <v>0</v>
      </c>
      <c r="M18" s="79">
        <f t="shared" si="4"/>
        <v>0</v>
      </c>
      <c r="N18" s="77" t="e">
        <f t="shared" si="5"/>
        <v>#DIV/0!</v>
      </c>
      <c r="O18" s="81">
        <f t="shared" ref="O18:P18" si="27">S18-S17</f>
        <v>517</v>
      </c>
      <c r="P18" s="81">
        <f t="shared" si="27"/>
        <v>47</v>
      </c>
      <c r="Q18" s="81">
        <f t="shared" si="7"/>
        <v>470</v>
      </c>
      <c r="R18" s="77">
        <f t="shared" si="8"/>
        <v>9.0909090909090912E-2</v>
      </c>
      <c r="S18" s="79">
        <f t="shared" si="9"/>
        <v>5916</v>
      </c>
      <c r="T18" s="75">
        <f t="shared" si="10"/>
        <v>510</v>
      </c>
      <c r="U18" s="75">
        <f t="shared" si="11"/>
        <v>5406</v>
      </c>
      <c r="V18" s="77">
        <f t="shared" si="12"/>
        <v>8.6206896551724144E-2</v>
      </c>
    </row>
    <row r="19" spans="1:22" ht="12.5" x14ac:dyDescent="0.25">
      <c r="A19" s="75">
        <v>17</v>
      </c>
      <c r="B19" s="76">
        <v>44213</v>
      </c>
      <c r="C19" s="75">
        <v>558</v>
      </c>
      <c r="D19" s="75">
        <v>6000</v>
      </c>
      <c r="E19" s="75">
        <f t="shared" si="0"/>
        <v>6558</v>
      </c>
      <c r="F19" s="77">
        <f t="shared" si="1"/>
        <v>8.5086916742909427E-2</v>
      </c>
      <c r="G19" s="75">
        <v>0</v>
      </c>
      <c r="H19" s="75">
        <v>0</v>
      </c>
      <c r="I19" s="75">
        <f t="shared" si="2"/>
        <v>0</v>
      </c>
      <c r="J19" s="78" t="e">
        <f t="shared" si="3"/>
        <v>#DIV/0!</v>
      </c>
      <c r="K19" s="75">
        <v>0</v>
      </c>
      <c r="L19" s="75">
        <v>0</v>
      </c>
      <c r="M19" s="79">
        <f t="shared" si="4"/>
        <v>0</v>
      </c>
      <c r="N19" s="77" t="e">
        <f t="shared" si="5"/>
        <v>#DIV/0!</v>
      </c>
      <c r="O19" s="81">
        <f t="shared" ref="O19:P19" si="28">S19-S18</f>
        <v>642</v>
      </c>
      <c r="P19" s="81">
        <f t="shared" si="28"/>
        <v>48</v>
      </c>
      <c r="Q19" s="81">
        <f t="shared" si="7"/>
        <v>594</v>
      </c>
      <c r="R19" s="77">
        <f t="shared" si="8"/>
        <v>7.476635514018691E-2</v>
      </c>
      <c r="S19" s="79">
        <f t="shared" si="9"/>
        <v>6558</v>
      </c>
      <c r="T19" s="75">
        <f t="shared" si="10"/>
        <v>558</v>
      </c>
      <c r="U19" s="75">
        <f t="shared" si="11"/>
        <v>6000</v>
      </c>
      <c r="V19" s="77">
        <f t="shared" si="12"/>
        <v>8.5086916742909427E-2</v>
      </c>
    </row>
    <row r="20" spans="1:22" ht="12.5" x14ac:dyDescent="0.25">
      <c r="A20" s="75">
        <v>18</v>
      </c>
      <c r="B20" s="76">
        <v>44214</v>
      </c>
      <c r="C20" s="75">
        <v>601</v>
      </c>
      <c r="D20" s="75">
        <v>6286</v>
      </c>
      <c r="E20" s="75">
        <f t="shared" si="0"/>
        <v>6887</v>
      </c>
      <c r="F20" s="77">
        <f t="shared" si="1"/>
        <v>8.7265863220560472E-2</v>
      </c>
      <c r="G20" s="75">
        <v>0</v>
      </c>
      <c r="H20" s="75">
        <v>0</v>
      </c>
      <c r="I20" s="75">
        <f t="shared" si="2"/>
        <v>0</v>
      </c>
      <c r="J20" s="78" t="e">
        <f t="shared" si="3"/>
        <v>#DIV/0!</v>
      </c>
      <c r="K20" s="75">
        <v>0</v>
      </c>
      <c r="L20" s="75">
        <v>0</v>
      </c>
      <c r="M20" s="79">
        <f t="shared" si="4"/>
        <v>0</v>
      </c>
      <c r="N20" s="77" t="e">
        <f t="shared" si="5"/>
        <v>#DIV/0!</v>
      </c>
      <c r="O20" s="81">
        <f t="shared" ref="O20:P20" si="29">S20-S19</f>
        <v>329</v>
      </c>
      <c r="P20" s="81">
        <f t="shared" si="29"/>
        <v>43</v>
      </c>
      <c r="Q20" s="81">
        <f t="shared" si="7"/>
        <v>286</v>
      </c>
      <c r="R20" s="77">
        <f t="shared" si="8"/>
        <v>0.13069908814589665</v>
      </c>
      <c r="S20" s="79">
        <f t="shared" si="9"/>
        <v>6887</v>
      </c>
      <c r="T20" s="75">
        <f t="shared" si="10"/>
        <v>601</v>
      </c>
      <c r="U20" s="75">
        <f t="shared" si="11"/>
        <v>6286</v>
      </c>
      <c r="V20" s="77">
        <f t="shared" si="12"/>
        <v>8.7265863220560472E-2</v>
      </c>
    </row>
    <row r="21" spans="1:22" ht="12.5" x14ac:dyDescent="0.25">
      <c r="A21" s="75">
        <v>19</v>
      </c>
      <c r="B21" s="76">
        <v>44215</v>
      </c>
      <c r="C21" s="75">
        <v>610</v>
      </c>
      <c r="D21" s="75">
        <v>6403</v>
      </c>
      <c r="E21" s="75">
        <f t="shared" si="0"/>
        <v>7013</v>
      </c>
      <c r="F21" s="77">
        <f t="shared" si="1"/>
        <v>8.6981320404962217E-2</v>
      </c>
      <c r="G21" s="75">
        <v>0</v>
      </c>
      <c r="H21" s="75">
        <v>0</v>
      </c>
      <c r="I21" s="75">
        <f t="shared" si="2"/>
        <v>0</v>
      </c>
      <c r="J21" s="78" t="e">
        <f t="shared" si="3"/>
        <v>#DIV/0!</v>
      </c>
      <c r="K21" s="75">
        <v>0</v>
      </c>
      <c r="L21" s="75">
        <v>0</v>
      </c>
      <c r="M21" s="79">
        <f t="shared" si="4"/>
        <v>0</v>
      </c>
      <c r="N21" s="77" t="e">
        <f t="shared" si="5"/>
        <v>#DIV/0!</v>
      </c>
      <c r="O21" s="81">
        <f t="shared" ref="O21:P21" si="30">S21-S20</f>
        <v>126</v>
      </c>
      <c r="P21" s="81">
        <f t="shared" si="30"/>
        <v>9</v>
      </c>
      <c r="Q21" s="81">
        <f t="shared" si="7"/>
        <v>117</v>
      </c>
      <c r="R21" s="77">
        <f t="shared" si="8"/>
        <v>7.1428571428571425E-2</v>
      </c>
      <c r="S21" s="79">
        <f t="shared" si="9"/>
        <v>7013</v>
      </c>
      <c r="T21" s="75">
        <f t="shared" si="10"/>
        <v>610</v>
      </c>
      <c r="U21" s="75">
        <f t="shared" si="11"/>
        <v>6403</v>
      </c>
      <c r="V21" s="77">
        <f t="shared" si="12"/>
        <v>8.6981320404962217E-2</v>
      </c>
    </row>
    <row r="22" spans="1:22" ht="12.5" x14ac:dyDescent="0.25">
      <c r="A22" s="75">
        <v>20</v>
      </c>
      <c r="B22" s="76">
        <v>44216</v>
      </c>
      <c r="C22" s="75">
        <v>667</v>
      </c>
      <c r="D22" s="75">
        <v>6945</v>
      </c>
      <c r="E22" s="75">
        <f t="shared" si="0"/>
        <v>7612</v>
      </c>
      <c r="F22" s="77">
        <f t="shared" si="1"/>
        <v>8.7624802942722013E-2</v>
      </c>
      <c r="G22" s="75">
        <v>0</v>
      </c>
      <c r="H22" s="75">
        <v>0</v>
      </c>
      <c r="I22" s="75">
        <f t="shared" si="2"/>
        <v>0</v>
      </c>
      <c r="J22" s="78" t="e">
        <f t="shared" si="3"/>
        <v>#DIV/0!</v>
      </c>
      <c r="K22" s="75">
        <v>0</v>
      </c>
      <c r="L22" s="75">
        <v>0</v>
      </c>
      <c r="M22" s="79">
        <f t="shared" si="4"/>
        <v>0</v>
      </c>
      <c r="N22" s="77" t="e">
        <f t="shared" si="5"/>
        <v>#DIV/0!</v>
      </c>
      <c r="O22" s="81">
        <f t="shared" ref="O22:P22" si="31">S22-S21</f>
        <v>599</v>
      </c>
      <c r="P22" s="81">
        <f t="shared" si="31"/>
        <v>57</v>
      </c>
      <c r="Q22" s="81">
        <f t="shared" si="7"/>
        <v>542</v>
      </c>
      <c r="R22" s="77">
        <f t="shared" si="8"/>
        <v>9.515859766277128E-2</v>
      </c>
      <c r="S22" s="79">
        <f t="shared" si="9"/>
        <v>7612</v>
      </c>
      <c r="T22" s="75">
        <f t="shared" si="10"/>
        <v>667</v>
      </c>
      <c r="U22" s="75">
        <f t="shared" si="11"/>
        <v>6945</v>
      </c>
      <c r="V22" s="77">
        <f t="shared" si="12"/>
        <v>8.7624802942722013E-2</v>
      </c>
    </row>
    <row r="23" spans="1:22" ht="12.5" x14ac:dyDescent="0.25">
      <c r="A23" s="75">
        <v>21</v>
      </c>
      <c r="B23" s="76">
        <v>44217</v>
      </c>
      <c r="C23" s="75">
        <v>727</v>
      </c>
      <c r="D23" s="75">
        <v>7562</v>
      </c>
      <c r="E23" s="75">
        <f t="shared" si="0"/>
        <v>8289</v>
      </c>
      <c r="F23" s="77">
        <f t="shared" si="1"/>
        <v>8.770659910725058E-2</v>
      </c>
      <c r="G23" s="75">
        <v>0</v>
      </c>
      <c r="H23" s="75">
        <v>0</v>
      </c>
      <c r="I23" s="75">
        <f t="shared" si="2"/>
        <v>0</v>
      </c>
      <c r="J23" s="78" t="e">
        <f t="shared" si="3"/>
        <v>#DIV/0!</v>
      </c>
      <c r="K23" s="75">
        <v>0</v>
      </c>
      <c r="L23" s="75">
        <v>0</v>
      </c>
      <c r="M23" s="79">
        <f t="shared" si="4"/>
        <v>0</v>
      </c>
      <c r="N23" s="77" t="e">
        <f t="shared" si="5"/>
        <v>#DIV/0!</v>
      </c>
      <c r="O23" s="81">
        <f t="shared" ref="O23:P23" si="32">S23-S22</f>
        <v>677</v>
      </c>
      <c r="P23" s="81">
        <f t="shared" si="32"/>
        <v>60</v>
      </c>
      <c r="Q23" s="81">
        <f t="shared" si="7"/>
        <v>617</v>
      </c>
      <c r="R23" s="77">
        <f t="shared" si="8"/>
        <v>8.8626292466765136E-2</v>
      </c>
      <c r="S23" s="79">
        <f t="shared" si="9"/>
        <v>8289</v>
      </c>
      <c r="T23" s="75">
        <f t="shared" si="10"/>
        <v>727</v>
      </c>
      <c r="U23" s="75">
        <f t="shared" si="11"/>
        <v>7562</v>
      </c>
      <c r="V23" s="77">
        <f t="shared" si="12"/>
        <v>8.770659910725058E-2</v>
      </c>
    </row>
    <row r="24" spans="1:22" ht="12.5" x14ac:dyDescent="0.25">
      <c r="A24" s="75">
        <v>22</v>
      </c>
      <c r="B24" s="76">
        <v>44218</v>
      </c>
      <c r="C24" s="75">
        <v>777</v>
      </c>
      <c r="D24" s="75">
        <v>8074</v>
      </c>
      <c r="E24" s="75">
        <f t="shared" si="0"/>
        <v>8851</v>
      </c>
      <c r="F24" s="77">
        <f t="shared" si="1"/>
        <v>8.7786690769404582E-2</v>
      </c>
      <c r="G24" s="75">
        <v>0</v>
      </c>
      <c r="H24" s="75">
        <v>0</v>
      </c>
      <c r="I24" s="75">
        <f t="shared" si="2"/>
        <v>0</v>
      </c>
      <c r="J24" s="78" t="e">
        <f t="shared" si="3"/>
        <v>#DIV/0!</v>
      </c>
      <c r="K24" s="75">
        <v>0</v>
      </c>
      <c r="L24" s="75">
        <v>0</v>
      </c>
      <c r="M24" s="79">
        <f t="shared" si="4"/>
        <v>0</v>
      </c>
      <c r="N24" s="77" t="e">
        <f t="shared" si="5"/>
        <v>#DIV/0!</v>
      </c>
      <c r="O24" s="81">
        <f t="shared" ref="O24:P24" si="33">S24-S23</f>
        <v>562</v>
      </c>
      <c r="P24" s="81">
        <f t="shared" si="33"/>
        <v>50</v>
      </c>
      <c r="Q24" s="81">
        <f t="shared" si="7"/>
        <v>512</v>
      </c>
      <c r="R24" s="77">
        <f t="shared" si="8"/>
        <v>8.8967971530249115E-2</v>
      </c>
      <c r="S24" s="79">
        <f t="shared" si="9"/>
        <v>8851</v>
      </c>
      <c r="T24" s="75">
        <f t="shared" si="10"/>
        <v>777</v>
      </c>
      <c r="U24" s="75">
        <f t="shared" si="11"/>
        <v>8074</v>
      </c>
      <c r="V24" s="77">
        <f t="shared" si="12"/>
        <v>8.7786690769404582E-2</v>
      </c>
    </row>
    <row r="25" spans="1:22" ht="12.5" x14ac:dyDescent="0.25">
      <c r="A25" s="75">
        <v>23</v>
      </c>
      <c r="B25" s="76">
        <v>44219</v>
      </c>
      <c r="C25" s="75">
        <v>806</v>
      </c>
      <c r="D25" s="75">
        <v>8322</v>
      </c>
      <c r="E25" s="75">
        <f t="shared" si="0"/>
        <v>9128</v>
      </c>
      <c r="F25" s="77">
        <f t="shared" si="1"/>
        <v>8.8299737072743203E-2</v>
      </c>
      <c r="G25" s="75">
        <v>0</v>
      </c>
      <c r="H25" s="75">
        <v>0</v>
      </c>
      <c r="I25" s="75">
        <f t="shared" si="2"/>
        <v>0</v>
      </c>
      <c r="J25" s="78" t="e">
        <f t="shared" si="3"/>
        <v>#DIV/0!</v>
      </c>
      <c r="K25" s="75">
        <v>0</v>
      </c>
      <c r="L25" s="75">
        <v>0</v>
      </c>
      <c r="M25" s="79">
        <f t="shared" si="4"/>
        <v>0</v>
      </c>
      <c r="N25" s="77" t="e">
        <f t="shared" si="5"/>
        <v>#DIV/0!</v>
      </c>
      <c r="O25" s="81">
        <f t="shared" ref="O25:P25" si="34">S25-S24</f>
        <v>277</v>
      </c>
      <c r="P25" s="81">
        <f t="shared" si="34"/>
        <v>29</v>
      </c>
      <c r="Q25" s="81">
        <f t="shared" si="7"/>
        <v>248</v>
      </c>
      <c r="R25" s="77">
        <f t="shared" si="8"/>
        <v>0.10469314079422383</v>
      </c>
      <c r="S25" s="79">
        <f t="shared" si="9"/>
        <v>9128</v>
      </c>
      <c r="T25" s="75">
        <f t="shared" si="10"/>
        <v>806</v>
      </c>
      <c r="U25" s="75">
        <f t="shared" si="11"/>
        <v>8322</v>
      </c>
      <c r="V25" s="77">
        <f t="shared" si="12"/>
        <v>8.8299737072743203E-2</v>
      </c>
    </row>
    <row r="26" spans="1:22" ht="12.5" x14ac:dyDescent="0.25">
      <c r="A26" s="75">
        <v>24</v>
      </c>
      <c r="B26" s="76">
        <v>44220</v>
      </c>
      <c r="C26" s="75">
        <v>853</v>
      </c>
      <c r="D26" s="75">
        <v>8801</v>
      </c>
      <c r="E26" s="75">
        <f t="shared" si="0"/>
        <v>9654</v>
      </c>
      <c r="F26" s="77">
        <f t="shared" si="1"/>
        <v>8.835715765485809E-2</v>
      </c>
      <c r="G26" s="75">
        <v>0</v>
      </c>
      <c r="H26" s="75">
        <v>0</v>
      </c>
      <c r="I26" s="75">
        <f t="shared" si="2"/>
        <v>0</v>
      </c>
      <c r="J26" s="78" t="e">
        <f t="shared" si="3"/>
        <v>#DIV/0!</v>
      </c>
      <c r="K26" s="75">
        <v>0</v>
      </c>
      <c r="L26" s="75">
        <v>0</v>
      </c>
      <c r="M26" s="79">
        <f t="shared" si="4"/>
        <v>0</v>
      </c>
      <c r="N26" s="77" t="e">
        <f t="shared" si="5"/>
        <v>#DIV/0!</v>
      </c>
      <c r="O26" s="81">
        <f t="shared" ref="O26:P26" si="35">S26-S25</f>
        <v>526</v>
      </c>
      <c r="P26" s="81">
        <f t="shared" si="35"/>
        <v>47</v>
      </c>
      <c r="Q26" s="81">
        <f t="shared" si="7"/>
        <v>479</v>
      </c>
      <c r="R26" s="77">
        <f t="shared" si="8"/>
        <v>8.9353612167300381E-2</v>
      </c>
      <c r="S26" s="79">
        <f t="shared" si="9"/>
        <v>9654</v>
      </c>
      <c r="T26" s="75">
        <f t="shared" si="10"/>
        <v>853</v>
      </c>
      <c r="U26" s="75">
        <f t="shared" si="11"/>
        <v>8801</v>
      </c>
      <c r="V26" s="77">
        <f t="shared" si="12"/>
        <v>8.835715765485809E-2</v>
      </c>
    </row>
    <row r="27" spans="1:22" ht="12.5" x14ac:dyDescent="0.25">
      <c r="A27" s="75">
        <v>25</v>
      </c>
      <c r="B27" s="76">
        <v>44221</v>
      </c>
      <c r="C27" s="75">
        <v>862</v>
      </c>
      <c r="D27" s="75">
        <v>8906</v>
      </c>
      <c r="E27" s="75">
        <f t="shared" si="0"/>
        <v>9768</v>
      </c>
      <c r="F27" s="77">
        <f t="shared" si="1"/>
        <v>8.8247338247338242E-2</v>
      </c>
      <c r="G27" s="75">
        <v>0</v>
      </c>
      <c r="H27" s="75">
        <v>0</v>
      </c>
      <c r="I27" s="75">
        <f t="shared" si="2"/>
        <v>0</v>
      </c>
      <c r="J27" s="78" t="e">
        <f t="shared" si="3"/>
        <v>#DIV/0!</v>
      </c>
      <c r="K27" s="75">
        <v>0</v>
      </c>
      <c r="L27" s="75">
        <v>0</v>
      </c>
      <c r="M27" s="79">
        <f t="shared" si="4"/>
        <v>0</v>
      </c>
      <c r="N27" s="77" t="e">
        <f t="shared" si="5"/>
        <v>#DIV/0!</v>
      </c>
      <c r="O27" s="81">
        <f t="shared" ref="O27:P27" si="36">S27-S26</f>
        <v>114</v>
      </c>
      <c r="P27" s="81">
        <f t="shared" si="36"/>
        <v>9</v>
      </c>
      <c r="Q27" s="81">
        <f t="shared" si="7"/>
        <v>105</v>
      </c>
      <c r="R27" s="77">
        <f t="shared" si="8"/>
        <v>7.8947368421052627E-2</v>
      </c>
      <c r="S27" s="79">
        <f t="shared" si="9"/>
        <v>9768</v>
      </c>
      <c r="T27" s="75">
        <f t="shared" si="10"/>
        <v>862</v>
      </c>
      <c r="U27" s="75">
        <f t="shared" si="11"/>
        <v>8906</v>
      </c>
      <c r="V27" s="77">
        <f t="shared" si="12"/>
        <v>8.8247338247338242E-2</v>
      </c>
    </row>
    <row r="28" spans="1:22" ht="12.5" x14ac:dyDescent="0.25">
      <c r="A28" s="75">
        <v>26</v>
      </c>
      <c r="B28" s="76">
        <v>44222</v>
      </c>
      <c r="C28" s="75">
        <v>880</v>
      </c>
      <c r="D28" s="75">
        <v>9214</v>
      </c>
      <c r="E28" s="75">
        <f t="shared" si="0"/>
        <v>10094</v>
      </c>
      <c r="F28" s="77">
        <f t="shared" si="1"/>
        <v>8.7180503269268877E-2</v>
      </c>
      <c r="G28" s="75">
        <v>0</v>
      </c>
      <c r="H28" s="75">
        <v>0</v>
      </c>
      <c r="I28" s="75">
        <f t="shared" si="2"/>
        <v>0</v>
      </c>
      <c r="J28" s="78" t="e">
        <f t="shared" si="3"/>
        <v>#DIV/0!</v>
      </c>
      <c r="K28" s="75">
        <v>0</v>
      </c>
      <c r="L28" s="75">
        <v>0</v>
      </c>
      <c r="M28" s="79">
        <f t="shared" si="4"/>
        <v>0</v>
      </c>
      <c r="N28" s="77" t="e">
        <f t="shared" si="5"/>
        <v>#DIV/0!</v>
      </c>
      <c r="O28" s="81">
        <f t="shared" ref="O28:P28" si="37">S28-S27</f>
        <v>326</v>
      </c>
      <c r="P28" s="81">
        <f t="shared" si="37"/>
        <v>18</v>
      </c>
      <c r="Q28" s="81">
        <f t="shared" si="7"/>
        <v>308</v>
      </c>
      <c r="R28" s="77">
        <f t="shared" si="8"/>
        <v>5.5214723926380369E-2</v>
      </c>
      <c r="S28" s="79">
        <f t="shared" si="9"/>
        <v>10094</v>
      </c>
      <c r="T28" s="75">
        <f t="shared" si="10"/>
        <v>880</v>
      </c>
      <c r="U28" s="75">
        <f t="shared" si="11"/>
        <v>9214</v>
      </c>
      <c r="V28" s="77">
        <f t="shared" si="12"/>
        <v>8.7180503269268877E-2</v>
      </c>
    </row>
    <row r="29" spans="1:22" ht="12.5" x14ac:dyDescent="0.25">
      <c r="A29" s="75">
        <v>27</v>
      </c>
      <c r="B29" s="76">
        <v>44223</v>
      </c>
      <c r="C29" s="75">
        <v>930</v>
      </c>
      <c r="D29" s="75">
        <v>10055</v>
      </c>
      <c r="E29" s="75">
        <f t="shared" si="0"/>
        <v>10985</v>
      </c>
      <c r="F29" s="77">
        <f t="shared" si="1"/>
        <v>8.4660901228948565E-2</v>
      </c>
      <c r="G29" s="75">
        <v>0</v>
      </c>
      <c r="H29" s="75">
        <v>0</v>
      </c>
      <c r="I29" s="75">
        <f t="shared" si="2"/>
        <v>0</v>
      </c>
      <c r="J29" s="78" t="e">
        <f t="shared" si="3"/>
        <v>#DIV/0!</v>
      </c>
      <c r="K29" s="75">
        <v>0</v>
      </c>
      <c r="L29" s="75">
        <v>0</v>
      </c>
      <c r="M29" s="79">
        <f t="shared" si="4"/>
        <v>0</v>
      </c>
      <c r="N29" s="77" t="e">
        <f t="shared" si="5"/>
        <v>#DIV/0!</v>
      </c>
      <c r="O29" s="81">
        <f t="shared" ref="O29:P29" si="38">S29-S28</f>
        <v>891</v>
      </c>
      <c r="P29" s="81">
        <f t="shared" si="38"/>
        <v>50</v>
      </c>
      <c r="Q29" s="81">
        <f t="shared" si="7"/>
        <v>841</v>
      </c>
      <c r="R29" s="77">
        <f t="shared" si="8"/>
        <v>5.6116722783389451E-2</v>
      </c>
      <c r="S29" s="79">
        <f t="shared" si="9"/>
        <v>10985</v>
      </c>
      <c r="T29" s="75">
        <f t="shared" si="10"/>
        <v>930</v>
      </c>
      <c r="U29" s="75">
        <f t="shared" si="11"/>
        <v>10055</v>
      </c>
      <c r="V29" s="77">
        <f t="shared" si="12"/>
        <v>8.4660901228948565E-2</v>
      </c>
    </row>
    <row r="30" spans="1:22" ht="12.5" x14ac:dyDescent="0.25">
      <c r="A30" s="75">
        <v>28</v>
      </c>
      <c r="B30" s="76">
        <v>44224</v>
      </c>
      <c r="C30" s="75">
        <v>977</v>
      </c>
      <c r="D30" s="75">
        <v>10989</v>
      </c>
      <c r="E30" s="75">
        <f t="shared" si="0"/>
        <v>11966</v>
      </c>
      <c r="F30" s="77">
        <f t="shared" si="1"/>
        <v>8.1648002674243686E-2</v>
      </c>
      <c r="G30" s="75">
        <v>0</v>
      </c>
      <c r="H30" s="75">
        <v>0</v>
      </c>
      <c r="I30" s="75">
        <f t="shared" si="2"/>
        <v>0</v>
      </c>
      <c r="J30" s="78" t="e">
        <f t="shared" si="3"/>
        <v>#DIV/0!</v>
      </c>
      <c r="K30" s="75">
        <v>0</v>
      </c>
      <c r="L30" s="75">
        <v>0</v>
      </c>
      <c r="M30" s="79">
        <f t="shared" si="4"/>
        <v>0</v>
      </c>
      <c r="N30" s="77" t="e">
        <f t="shared" si="5"/>
        <v>#DIV/0!</v>
      </c>
      <c r="O30" s="81">
        <f t="shared" ref="O30:P30" si="39">S30-S29</f>
        <v>981</v>
      </c>
      <c r="P30" s="81">
        <f t="shared" si="39"/>
        <v>47</v>
      </c>
      <c r="Q30" s="81">
        <f t="shared" si="7"/>
        <v>934</v>
      </c>
      <c r="R30" s="77">
        <f t="shared" si="8"/>
        <v>4.7910295616717634E-2</v>
      </c>
      <c r="S30" s="79">
        <f t="shared" si="9"/>
        <v>11966</v>
      </c>
      <c r="T30" s="75">
        <f t="shared" si="10"/>
        <v>977</v>
      </c>
      <c r="U30" s="75">
        <f t="shared" si="11"/>
        <v>10989</v>
      </c>
      <c r="V30" s="77">
        <f t="shared" si="12"/>
        <v>8.1648002674243686E-2</v>
      </c>
    </row>
    <row r="31" spans="1:22" ht="12.5" x14ac:dyDescent="0.25">
      <c r="A31" s="75">
        <v>29</v>
      </c>
      <c r="B31" s="76">
        <v>44225</v>
      </c>
      <c r="C31" s="75">
        <v>1081</v>
      </c>
      <c r="D31" s="75">
        <v>12260</v>
      </c>
      <c r="E31" s="75">
        <f t="shared" si="0"/>
        <v>13341</v>
      </c>
      <c r="F31" s="77">
        <f t="shared" si="1"/>
        <v>8.1028408665017621E-2</v>
      </c>
      <c r="G31" s="75">
        <v>0</v>
      </c>
      <c r="H31" s="75">
        <v>0</v>
      </c>
      <c r="I31" s="75">
        <f t="shared" si="2"/>
        <v>0</v>
      </c>
      <c r="J31" s="78" t="e">
        <f t="shared" si="3"/>
        <v>#DIV/0!</v>
      </c>
      <c r="K31" s="75">
        <v>0</v>
      </c>
      <c r="L31" s="75">
        <v>0</v>
      </c>
      <c r="M31" s="79">
        <f t="shared" si="4"/>
        <v>0</v>
      </c>
      <c r="N31" s="77" t="e">
        <f t="shared" si="5"/>
        <v>#DIV/0!</v>
      </c>
      <c r="O31" s="81">
        <f t="shared" ref="O31:P31" si="40">S31-S30</f>
        <v>1375</v>
      </c>
      <c r="P31" s="81">
        <f t="shared" si="40"/>
        <v>104</v>
      </c>
      <c r="Q31" s="81">
        <f t="shared" si="7"/>
        <v>1271</v>
      </c>
      <c r="R31" s="77">
        <f t="shared" si="8"/>
        <v>7.563636363636364E-2</v>
      </c>
      <c r="S31" s="79">
        <f t="shared" si="9"/>
        <v>13341</v>
      </c>
      <c r="T31" s="75">
        <f t="shared" si="10"/>
        <v>1081</v>
      </c>
      <c r="U31" s="75">
        <f t="shared" si="11"/>
        <v>12260</v>
      </c>
      <c r="V31" s="77">
        <f t="shared" si="12"/>
        <v>8.1028408665017621E-2</v>
      </c>
    </row>
    <row r="32" spans="1:22" ht="12.5" x14ac:dyDescent="0.25">
      <c r="A32" s="75">
        <v>30</v>
      </c>
      <c r="B32" s="76">
        <v>44226</v>
      </c>
      <c r="C32" s="75">
        <v>1139</v>
      </c>
      <c r="D32" s="75">
        <v>12955</v>
      </c>
      <c r="E32" s="75">
        <f t="shared" si="0"/>
        <v>14094</v>
      </c>
      <c r="F32" s="77">
        <f t="shared" si="1"/>
        <v>8.0814531006101892E-2</v>
      </c>
      <c r="G32" s="75">
        <v>0</v>
      </c>
      <c r="H32" s="75">
        <v>0</v>
      </c>
      <c r="I32" s="75">
        <f t="shared" si="2"/>
        <v>0</v>
      </c>
      <c r="J32" s="78" t="e">
        <f t="shared" si="3"/>
        <v>#DIV/0!</v>
      </c>
      <c r="K32" s="75">
        <v>0</v>
      </c>
      <c r="L32" s="75">
        <v>0</v>
      </c>
      <c r="M32" s="79">
        <f t="shared" si="4"/>
        <v>0</v>
      </c>
      <c r="N32" s="77" t="e">
        <f t="shared" si="5"/>
        <v>#DIV/0!</v>
      </c>
      <c r="O32" s="81">
        <f t="shared" ref="O32:P32" si="41">S32-S31</f>
        <v>753</v>
      </c>
      <c r="P32" s="81">
        <f t="shared" si="41"/>
        <v>58</v>
      </c>
      <c r="Q32" s="81">
        <f t="shared" si="7"/>
        <v>695</v>
      </c>
      <c r="R32" s="77">
        <f t="shared" si="8"/>
        <v>7.702523240371846E-2</v>
      </c>
      <c r="S32" s="79">
        <f t="shared" si="9"/>
        <v>14094</v>
      </c>
      <c r="T32" s="75">
        <f t="shared" si="10"/>
        <v>1139</v>
      </c>
      <c r="U32" s="75">
        <f t="shared" si="11"/>
        <v>12955</v>
      </c>
      <c r="V32" s="77">
        <f t="shared" si="12"/>
        <v>8.0814531006101892E-2</v>
      </c>
    </row>
    <row r="33" spans="1:22" ht="12.5" x14ac:dyDescent="0.25">
      <c r="A33" s="75">
        <v>31</v>
      </c>
      <c r="B33" s="76">
        <v>44227</v>
      </c>
      <c r="C33" s="75">
        <v>1199</v>
      </c>
      <c r="D33" s="75">
        <v>13846</v>
      </c>
      <c r="E33" s="75">
        <f t="shared" si="0"/>
        <v>15045</v>
      </c>
      <c r="F33" s="77">
        <f t="shared" si="1"/>
        <v>7.9694250581588563E-2</v>
      </c>
      <c r="G33" s="75">
        <v>0</v>
      </c>
      <c r="H33" s="75">
        <v>0</v>
      </c>
      <c r="I33" s="75">
        <f t="shared" si="2"/>
        <v>0</v>
      </c>
      <c r="J33" s="78" t="e">
        <f t="shared" si="3"/>
        <v>#DIV/0!</v>
      </c>
      <c r="K33" s="75">
        <v>0</v>
      </c>
      <c r="L33" s="75">
        <v>0</v>
      </c>
      <c r="M33" s="79">
        <f t="shared" si="4"/>
        <v>0</v>
      </c>
      <c r="N33" s="77" t="e">
        <f t="shared" si="5"/>
        <v>#DIV/0!</v>
      </c>
      <c r="O33" s="81">
        <f t="shared" ref="O33:P33" si="42">S33-S32</f>
        <v>951</v>
      </c>
      <c r="P33" s="81">
        <f t="shared" si="42"/>
        <v>60</v>
      </c>
      <c r="Q33" s="81">
        <f t="shared" si="7"/>
        <v>891</v>
      </c>
      <c r="R33" s="77">
        <f t="shared" si="8"/>
        <v>6.3091482649842268E-2</v>
      </c>
      <c r="S33" s="79">
        <f t="shared" si="9"/>
        <v>15045</v>
      </c>
      <c r="T33" s="75">
        <f t="shared" si="10"/>
        <v>1199</v>
      </c>
      <c r="U33" s="75">
        <f t="shared" si="11"/>
        <v>13846</v>
      </c>
      <c r="V33" s="77">
        <f t="shared" si="12"/>
        <v>7.9694250581588563E-2</v>
      </c>
    </row>
    <row r="34" spans="1:22" ht="12.5" x14ac:dyDescent="0.25">
      <c r="A34" s="75">
        <v>32</v>
      </c>
      <c r="B34" s="76">
        <v>44228</v>
      </c>
      <c r="C34" s="75">
        <v>1220</v>
      </c>
      <c r="D34" s="75">
        <v>14121</v>
      </c>
      <c r="E34" s="75">
        <f t="shared" si="0"/>
        <v>15341</v>
      </c>
      <c r="F34" s="77">
        <f t="shared" si="1"/>
        <v>7.9525454663972359E-2</v>
      </c>
      <c r="G34" s="75">
        <v>0</v>
      </c>
      <c r="H34" s="75">
        <v>0</v>
      </c>
      <c r="I34" s="75">
        <f t="shared" si="2"/>
        <v>0</v>
      </c>
      <c r="J34" s="78" t="e">
        <f t="shared" si="3"/>
        <v>#DIV/0!</v>
      </c>
      <c r="K34" s="75">
        <v>0</v>
      </c>
      <c r="L34" s="75">
        <v>0</v>
      </c>
      <c r="M34" s="79">
        <f t="shared" si="4"/>
        <v>0</v>
      </c>
      <c r="N34" s="77" t="e">
        <f t="shared" si="5"/>
        <v>#DIV/0!</v>
      </c>
      <c r="O34" s="81">
        <f t="shared" ref="O34:P34" si="43">S34-S33</f>
        <v>296</v>
      </c>
      <c r="P34" s="81">
        <f t="shared" si="43"/>
        <v>21</v>
      </c>
      <c r="Q34" s="81">
        <f t="shared" si="7"/>
        <v>275</v>
      </c>
      <c r="R34" s="77">
        <f t="shared" si="8"/>
        <v>7.0945945945945943E-2</v>
      </c>
      <c r="S34" s="79">
        <f t="shared" si="9"/>
        <v>15341</v>
      </c>
      <c r="T34" s="75">
        <f t="shared" si="10"/>
        <v>1220</v>
      </c>
      <c r="U34" s="75">
        <f t="shared" si="11"/>
        <v>14121</v>
      </c>
      <c r="V34" s="77">
        <f t="shared" si="12"/>
        <v>7.9525454663972359E-2</v>
      </c>
    </row>
    <row r="35" spans="1:22" ht="12.5" x14ac:dyDescent="0.25">
      <c r="A35" s="75">
        <v>33</v>
      </c>
      <c r="B35" s="76">
        <v>44229</v>
      </c>
      <c r="C35" s="75">
        <v>1232</v>
      </c>
      <c r="D35" s="75">
        <v>14323</v>
      </c>
      <c r="E35" s="75">
        <f t="shared" si="0"/>
        <v>15555</v>
      </c>
      <c r="F35" s="77">
        <f t="shared" si="1"/>
        <v>7.9202828672452583E-2</v>
      </c>
      <c r="G35" s="75">
        <v>0</v>
      </c>
      <c r="H35" s="75">
        <v>0</v>
      </c>
      <c r="I35" s="75">
        <f t="shared" si="2"/>
        <v>0</v>
      </c>
      <c r="J35" s="78" t="e">
        <f t="shared" si="3"/>
        <v>#DIV/0!</v>
      </c>
      <c r="K35" s="75">
        <v>0</v>
      </c>
      <c r="L35" s="75">
        <v>0</v>
      </c>
      <c r="M35" s="79">
        <f t="shared" si="4"/>
        <v>0</v>
      </c>
      <c r="N35" s="77" t="e">
        <f t="shared" si="5"/>
        <v>#DIV/0!</v>
      </c>
      <c r="O35" s="81">
        <f t="shared" ref="O35:P35" si="44">S35-S34</f>
        <v>214</v>
      </c>
      <c r="P35" s="81">
        <f t="shared" si="44"/>
        <v>12</v>
      </c>
      <c r="Q35" s="81">
        <f t="shared" si="7"/>
        <v>202</v>
      </c>
      <c r="R35" s="77">
        <f t="shared" si="8"/>
        <v>5.6074766355140186E-2</v>
      </c>
      <c r="S35" s="79">
        <f t="shared" si="9"/>
        <v>15555</v>
      </c>
      <c r="T35" s="75">
        <f t="shared" si="10"/>
        <v>1232</v>
      </c>
      <c r="U35" s="75">
        <f t="shared" si="11"/>
        <v>14323</v>
      </c>
      <c r="V35" s="77">
        <f t="shared" si="12"/>
        <v>7.9202828672452583E-2</v>
      </c>
    </row>
    <row r="36" spans="1:22" ht="12.5" x14ac:dyDescent="0.25">
      <c r="A36" s="75">
        <v>34</v>
      </c>
      <c r="B36" s="76">
        <v>44230</v>
      </c>
      <c r="C36" s="75">
        <v>1270</v>
      </c>
      <c r="D36" s="75">
        <v>14893</v>
      </c>
      <c r="E36" s="75">
        <f t="shared" si="0"/>
        <v>16163</v>
      </c>
      <c r="F36" s="77">
        <f t="shared" si="1"/>
        <v>7.8574522056548912E-2</v>
      </c>
      <c r="G36" s="75">
        <v>0</v>
      </c>
      <c r="H36" s="75">
        <v>0</v>
      </c>
      <c r="I36" s="75">
        <f t="shared" si="2"/>
        <v>0</v>
      </c>
      <c r="J36" s="78" t="e">
        <f t="shared" si="3"/>
        <v>#DIV/0!</v>
      </c>
      <c r="K36" s="75">
        <v>0</v>
      </c>
      <c r="L36" s="75">
        <v>0</v>
      </c>
      <c r="M36" s="79">
        <f t="shared" si="4"/>
        <v>0</v>
      </c>
      <c r="N36" s="77" t="e">
        <f t="shared" si="5"/>
        <v>#DIV/0!</v>
      </c>
      <c r="O36" s="81">
        <f t="shared" ref="O36:P36" si="45">S36-S35</f>
        <v>608</v>
      </c>
      <c r="P36" s="81">
        <f t="shared" si="45"/>
        <v>38</v>
      </c>
      <c r="Q36" s="81">
        <f t="shared" si="7"/>
        <v>570</v>
      </c>
      <c r="R36" s="77">
        <f t="shared" si="8"/>
        <v>6.25E-2</v>
      </c>
      <c r="S36" s="79">
        <f t="shared" si="9"/>
        <v>16163</v>
      </c>
      <c r="T36" s="75">
        <f t="shared" si="10"/>
        <v>1270</v>
      </c>
      <c r="U36" s="75">
        <f t="shared" si="11"/>
        <v>14893</v>
      </c>
      <c r="V36" s="77">
        <f t="shared" si="12"/>
        <v>7.8574522056548912E-2</v>
      </c>
    </row>
    <row r="37" spans="1:22" ht="12.5" x14ac:dyDescent="0.25">
      <c r="A37" s="75">
        <v>35</v>
      </c>
      <c r="B37" s="76">
        <v>44231</v>
      </c>
      <c r="C37" s="75">
        <v>1322</v>
      </c>
      <c r="D37" s="75">
        <v>15865</v>
      </c>
      <c r="E37" s="75">
        <f t="shared" si="0"/>
        <v>17187</v>
      </c>
      <c r="F37" s="77">
        <f t="shared" si="1"/>
        <v>7.6918601268400541E-2</v>
      </c>
      <c r="G37" s="75">
        <v>0</v>
      </c>
      <c r="H37" s="75">
        <v>0</v>
      </c>
      <c r="I37" s="75">
        <f t="shared" si="2"/>
        <v>0</v>
      </c>
      <c r="J37" s="78" t="e">
        <f t="shared" si="3"/>
        <v>#DIV/0!</v>
      </c>
      <c r="K37" s="75">
        <v>0</v>
      </c>
      <c r="L37" s="75">
        <v>0</v>
      </c>
      <c r="M37" s="79">
        <f t="shared" si="4"/>
        <v>0</v>
      </c>
      <c r="N37" s="77" t="e">
        <f t="shared" si="5"/>
        <v>#DIV/0!</v>
      </c>
      <c r="O37" s="81">
        <f t="shared" ref="O37:P37" si="46">S37-S36</f>
        <v>1024</v>
      </c>
      <c r="P37" s="81">
        <f t="shared" si="46"/>
        <v>52</v>
      </c>
      <c r="Q37" s="81">
        <f t="shared" si="7"/>
        <v>972</v>
      </c>
      <c r="R37" s="77">
        <f t="shared" si="8"/>
        <v>5.078125E-2</v>
      </c>
      <c r="S37" s="79">
        <f t="shared" si="9"/>
        <v>17187</v>
      </c>
      <c r="T37" s="75">
        <f t="shared" si="10"/>
        <v>1322</v>
      </c>
      <c r="U37" s="75">
        <f t="shared" si="11"/>
        <v>15865</v>
      </c>
      <c r="V37" s="77">
        <f t="shared" si="12"/>
        <v>7.6918601268400541E-2</v>
      </c>
    </row>
    <row r="38" spans="1:22" ht="12.5" x14ac:dyDescent="0.25">
      <c r="A38" s="75">
        <v>36</v>
      </c>
      <c r="B38" s="76">
        <v>44232</v>
      </c>
      <c r="C38" s="75">
        <v>1483</v>
      </c>
      <c r="D38" s="75">
        <v>16460</v>
      </c>
      <c r="E38" s="75">
        <f t="shared" si="0"/>
        <v>17943</v>
      </c>
      <c r="F38" s="77">
        <f t="shared" si="1"/>
        <v>8.2650615839045871E-2</v>
      </c>
      <c r="G38" s="75">
        <v>0</v>
      </c>
      <c r="H38" s="75">
        <v>0</v>
      </c>
      <c r="I38" s="75">
        <f t="shared" si="2"/>
        <v>0</v>
      </c>
      <c r="J38" s="78" t="e">
        <f t="shared" si="3"/>
        <v>#DIV/0!</v>
      </c>
      <c r="K38" s="75">
        <v>0</v>
      </c>
      <c r="L38" s="75">
        <v>0</v>
      </c>
      <c r="M38" s="79">
        <f t="shared" si="4"/>
        <v>0</v>
      </c>
      <c r="N38" s="77" t="e">
        <f t="shared" si="5"/>
        <v>#DIV/0!</v>
      </c>
      <c r="O38" s="81">
        <f t="shared" ref="O38:P38" si="47">S38-S37</f>
        <v>756</v>
      </c>
      <c r="P38" s="81">
        <f t="shared" si="47"/>
        <v>161</v>
      </c>
      <c r="Q38" s="81">
        <f t="shared" si="7"/>
        <v>595</v>
      </c>
      <c r="R38" s="77">
        <f t="shared" si="8"/>
        <v>0.21296296296296297</v>
      </c>
      <c r="S38" s="79">
        <f t="shared" si="9"/>
        <v>17943</v>
      </c>
      <c r="T38" s="75">
        <f t="shared" si="10"/>
        <v>1483</v>
      </c>
      <c r="U38" s="75">
        <f t="shared" si="11"/>
        <v>16460</v>
      </c>
      <c r="V38" s="77">
        <f t="shared" si="12"/>
        <v>8.2650615839045871E-2</v>
      </c>
    </row>
    <row r="39" spans="1:22" ht="12.5" x14ac:dyDescent="0.25">
      <c r="A39" s="75">
        <v>37</v>
      </c>
      <c r="B39" s="76">
        <v>44233</v>
      </c>
      <c r="C39" s="75">
        <v>1525</v>
      </c>
      <c r="D39" s="75">
        <v>17214</v>
      </c>
      <c r="E39" s="75">
        <f t="shared" si="0"/>
        <v>18739</v>
      </c>
      <c r="F39" s="77">
        <f t="shared" si="1"/>
        <v>8.1381076898447091E-2</v>
      </c>
      <c r="G39" s="75">
        <v>0</v>
      </c>
      <c r="H39" s="75">
        <v>0</v>
      </c>
      <c r="I39" s="75">
        <f t="shared" si="2"/>
        <v>0</v>
      </c>
      <c r="J39" s="78" t="e">
        <f t="shared" si="3"/>
        <v>#DIV/0!</v>
      </c>
      <c r="K39" s="75">
        <v>0</v>
      </c>
      <c r="L39" s="75">
        <v>0</v>
      </c>
      <c r="M39" s="79">
        <f t="shared" si="4"/>
        <v>0</v>
      </c>
      <c r="N39" s="77" t="e">
        <f t="shared" si="5"/>
        <v>#DIV/0!</v>
      </c>
      <c r="O39" s="81">
        <f t="shared" ref="O39:P39" si="48">S39-S38</f>
        <v>796</v>
      </c>
      <c r="P39" s="81">
        <f t="shared" si="48"/>
        <v>42</v>
      </c>
      <c r="Q39" s="81">
        <f t="shared" si="7"/>
        <v>754</v>
      </c>
      <c r="R39" s="77">
        <f t="shared" si="8"/>
        <v>5.2763819095477386E-2</v>
      </c>
      <c r="S39" s="79">
        <f t="shared" si="9"/>
        <v>18739</v>
      </c>
      <c r="T39" s="75">
        <f t="shared" si="10"/>
        <v>1525</v>
      </c>
      <c r="U39" s="75">
        <f t="shared" si="11"/>
        <v>17214</v>
      </c>
      <c r="V39" s="77">
        <f t="shared" si="12"/>
        <v>8.1381076898447091E-2</v>
      </c>
    </row>
    <row r="40" spans="1:22" ht="12.5" x14ac:dyDescent="0.25">
      <c r="A40" s="75">
        <v>38</v>
      </c>
      <c r="B40" s="76">
        <v>44234</v>
      </c>
      <c r="C40" s="75">
        <v>1561</v>
      </c>
      <c r="D40" s="75">
        <v>18079</v>
      </c>
      <c r="E40" s="75">
        <f t="shared" si="0"/>
        <v>19640</v>
      </c>
      <c r="F40" s="77">
        <f t="shared" si="1"/>
        <v>7.9480651731160895E-2</v>
      </c>
      <c r="G40" s="75">
        <v>0</v>
      </c>
      <c r="H40" s="75">
        <v>0</v>
      </c>
      <c r="I40" s="75">
        <f t="shared" si="2"/>
        <v>0</v>
      </c>
      <c r="J40" s="78" t="e">
        <f t="shared" si="3"/>
        <v>#DIV/0!</v>
      </c>
      <c r="K40" s="75">
        <v>0</v>
      </c>
      <c r="L40" s="75">
        <v>0</v>
      </c>
      <c r="M40" s="79">
        <f t="shared" si="4"/>
        <v>0</v>
      </c>
      <c r="N40" s="77" t="e">
        <f t="shared" si="5"/>
        <v>#DIV/0!</v>
      </c>
      <c r="O40" s="81">
        <f t="shared" ref="O40:P40" si="49">S40-S39</f>
        <v>901</v>
      </c>
      <c r="P40" s="81">
        <f t="shared" si="49"/>
        <v>36</v>
      </c>
      <c r="Q40" s="81">
        <f t="shared" si="7"/>
        <v>865</v>
      </c>
      <c r="R40" s="77">
        <f t="shared" si="8"/>
        <v>3.9955604883462822E-2</v>
      </c>
      <c r="S40" s="79">
        <f t="shared" si="9"/>
        <v>19640</v>
      </c>
      <c r="T40" s="75">
        <f t="shared" si="10"/>
        <v>1561</v>
      </c>
      <c r="U40" s="75">
        <f t="shared" si="11"/>
        <v>18079</v>
      </c>
      <c r="V40" s="77">
        <f t="shared" si="12"/>
        <v>7.9480651731160895E-2</v>
      </c>
    </row>
    <row r="41" spans="1:22" ht="12.5" x14ac:dyDescent="0.25">
      <c r="A41" s="75">
        <v>39</v>
      </c>
      <c r="B41" s="76">
        <v>44235</v>
      </c>
      <c r="C41" s="75">
        <v>1606</v>
      </c>
      <c r="D41" s="75">
        <v>18687</v>
      </c>
      <c r="E41" s="75">
        <f t="shared" si="0"/>
        <v>20293</v>
      </c>
      <c r="F41" s="77">
        <f t="shared" si="1"/>
        <v>7.914059035135268E-2</v>
      </c>
      <c r="G41" s="75">
        <v>0</v>
      </c>
      <c r="H41" s="75">
        <v>0</v>
      </c>
      <c r="I41" s="75">
        <f t="shared" si="2"/>
        <v>0</v>
      </c>
      <c r="J41" s="78" t="e">
        <f t="shared" si="3"/>
        <v>#DIV/0!</v>
      </c>
      <c r="K41" s="75">
        <v>0</v>
      </c>
      <c r="L41" s="75">
        <v>0</v>
      </c>
      <c r="M41" s="79">
        <f t="shared" si="4"/>
        <v>0</v>
      </c>
      <c r="N41" s="77" t="e">
        <f t="shared" si="5"/>
        <v>#DIV/0!</v>
      </c>
      <c r="O41" s="81">
        <f t="shared" ref="O41:P41" si="50">S41-S40</f>
        <v>653</v>
      </c>
      <c r="P41" s="81">
        <f t="shared" si="50"/>
        <v>45</v>
      </c>
      <c r="Q41" s="81">
        <f t="shared" si="7"/>
        <v>608</v>
      </c>
      <c r="R41" s="77">
        <f t="shared" si="8"/>
        <v>6.8912710566615618E-2</v>
      </c>
      <c r="S41" s="79">
        <f t="shared" si="9"/>
        <v>20293</v>
      </c>
      <c r="T41" s="75">
        <f t="shared" si="10"/>
        <v>1606</v>
      </c>
      <c r="U41" s="75">
        <f t="shared" si="11"/>
        <v>18687</v>
      </c>
      <c r="V41" s="77">
        <f t="shared" si="12"/>
        <v>7.914059035135268E-2</v>
      </c>
    </row>
    <row r="42" spans="1:22" ht="12.5" x14ac:dyDescent="0.25">
      <c r="A42" s="75">
        <v>40</v>
      </c>
      <c r="B42" s="76">
        <v>44236</v>
      </c>
      <c r="C42" s="75">
        <v>1606</v>
      </c>
      <c r="D42" s="75">
        <v>18687</v>
      </c>
      <c r="E42" s="75">
        <f t="shared" si="0"/>
        <v>20293</v>
      </c>
      <c r="F42" s="77">
        <f t="shared" si="1"/>
        <v>7.914059035135268E-2</v>
      </c>
      <c r="G42" s="75">
        <v>0</v>
      </c>
      <c r="H42" s="75">
        <v>0</v>
      </c>
      <c r="I42" s="75">
        <f t="shared" si="2"/>
        <v>0</v>
      </c>
      <c r="J42" s="78" t="e">
        <f t="shared" si="3"/>
        <v>#DIV/0!</v>
      </c>
      <c r="K42" s="75">
        <v>0</v>
      </c>
      <c r="L42" s="75">
        <v>0</v>
      </c>
      <c r="M42" s="79">
        <f t="shared" si="4"/>
        <v>0</v>
      </c>
      <c r="N42" s="77" t="e">
        <f t="shared" si="5"/>
        <v>#DIV/0!</v>
      </c>
      <c r="O42" s="81">
        <f t="shared" ref="O42:P42" si="51">S42-S41</f>
        <v>0</v>
      </c>
      <c r="P42" s="81">
        <f t="shared" si="51"/>
        <v>0</v>
      </c>
      <c r="Q42" s="81">
        <f t="shared" si="7"/>
        <v>0</v>
      </c>
      <c r="R42" s="77" t="e">
        <f t="shared" si="8"/>
        <v>#DIV/0!</v>
      </c>
      <c r="S42" s="79">
        <f t="shared" si="9"/>
        <v>20293</v>
      </c>
      <c r="T42" s="75">
        <f t="shared" si="10"/>
        <v>1606</v>
      </c>
      <c r="U42" s="75">
        <f t="shared" si="11"/>
        <v>18687</v>
      </c>
      <c r="V42" s="77">
        <f t="shared" si="12"/>
        <v>7.914059035135268E-2</v>
      </c>
    </row>
    <row r="43" spans="1:22" ht="12.5" x14ac:dyDescent="0.25">
      <c r="A43" s="75">
        <v>41</v>
      </c>
      <c r="B43" s="76">
        <v>44237</v>
      </c>
      <c r="C43" s="75">
        <v>1634</v>
      </c>
      <c r="D43" s="75">
        <v>19151</v>
      </c>
      <c r="E43" s="75">
        <f t="shared" si="0"/>
        <v>20785</v>
      </c>
      <c r="F43" s="77">
        <f t="shared" si="1"/>
        <v>7.8614385374067841E-2</v>
      </c>
      <c r="G43" s="75">
        <v>0</v>
      </c>
      <c r="H43" s="75">
        <v>0</v>
      </c>
      <c r="I43" s="75">
        <f t="shared" si="2"/>
        <v>0</v>
      </c>
      <c r="J43" s="78" t="e">
        <f t="shared" si="3"/>
        <v>#DIV/0!</v>
      </c>
      <c r="K43" s="75">
        <v>0</v>
      </c>
      <c r="L43" s="75">
        <v>0</v>
      </c>
      <c r="M43" s="79">
        <f t="shared" si="4"/>
        <v>0</v>
      </c>
      <c r="N43" s="77" t="e">
        <f t="shared" si="5"/>
        <v>#DIV/0!</v>
      </c>
      <c r="O43" s="81">
        <f t="shared" ref="O43:P43" si="52">S43-S42</f>
        <v>492</v>
      </c>
      <c r="P43" s="81">
        <f t="shared" si="52"/>
        <v>28</v>
      </c>
      <c r="Q43" s="81">
        <f t="shared" si="7"/>
        <v>464</v>
      </c>
      <c r="R43" s="77">
        <f t="shared" si="8"/>
        <v>5.6910569105691054E-2</v>
      </c>
      <c r="S43" s="79">
        <f t="shared" si="9"/>
        <v>20785</v>
      </c>
      <c r="T43" s="75">
        <f t="shared" si="10"/>
        <v>1634</v>
      </c>
      <c r="U43" s="75">
        <f t="shared" si="11"/>
        <v>19151</v>
      </c>
      <c r="V43" s="77">
        <f t="shared" si="12"/>
        <v>7.8614385374067841E-2</v>
      </c>
    </row>
    <row r="44" spans="1:22" ht="12.5" x14ac:dyDescent="0.25">
      <c r="A44" s="75">
        <v>42</v>
      </c>
      <c r="B44" s="76">
        <v>44238</v>
      </c>
      <c r="C44" s="75">
        <v>1680</v>
      </c>
      <c r="D44" s="75">
        <v>19841</v>
      </c>
      <c r="E44" s="75">
        <f t="shared" si="0"/>
        <v>21521</v>
      </c>
      <c r="F44" s="77">
        <f t="shared" si="1"/>
        <v>7.8063287021978539E-2</v>
      </c>
      <c r="G44" s="75">
        <v>0</v>
      </c>
      <c r="H44" s="75">
        <v>0</v>
      </c>
      <c r="I44" s="75">
        <f t="shared" si="2"/>
        <v>0</v>
      </c>
      <c r="J44" s="78" t="e">
        <f t="shared" si="3"/>
        <v>#DIV/0!</v>
      </c>
      <c r="K44" s="75">
        <v>0</v>
      </c>
      <c r="L44" s="75">
        <v>0</v>
      </c>
      <c r="M44" s="79">
        <f t="shared" si="4"/>
        <v>0</v>
      </c>
      <c r="N44" s="77" t="e">
        <f t="shared" si="5"/>
        <v>#DIV/0!</v>
      </c>
      <c r="O44" s="81">
        <f t="shared" ref="O44:P44" si="53">S44-S43</f>
        <v>736</v>
      </c>
      <c r="P44" s="81">
        <f t="shared" si="53"/>
        <v>46</v>
      </c>
      <c r="Q44" s="81">
        <f t="shared" si="7"/>
        <v>690</v>
      </c>
      <c r="R44" s="77">
        <f t="shared" si="8"/>
        <v>6.25E-2</v>
      </c>
      <c r="S44" s="79">
        <f t="shared" si="9"/>
        <v>21521</v>
      </c>
      <c r="T44" s="75">
        <f t="shared" si="10"/>
        <v>1680</v>
      </c>
      <c r="U44" s="75">
        <f t="shared" si="11"/>
        <v>19841</v>
      </c>
      <c r="V44" s="77">
        <f t="shared" si="12"/>
        <v>7.8063287021978539E-2</v>
      </c>
    </row>
    <row r="45" spans="1:22" ht="12.5" x14ac:dyDescent="0.25">
      <c r="A45" s="75">
        <v>43</v>
      </c>
      <c r="B45" s="76">
        <v>44239</v>
      </c>
      <c r="C45" s="75">
        <v>1734</v>
      </c>
      <c r="D45" s="75">
        <v>20957</v>
      </c>
      <c r="E45" s="75">
        <f t="shared" si="0"/>
        <v>22691</v>
      </c>
      <c r="F45" s="77">
        <f t="shared" si="1"/>
        <v>7.6417963069058223E-2</v>
      </c>
      <c r="G45" s="75">
        <v>0</v>
      </c>
      <c r="H45" s="75">
        <v>0</v>
      </c>
      <c r="I45" s="75">
        <f t="shared" si="2"/>
        <v>0</v>
      </c>
      <c r="J45" s="78" t="e">
        <f t="shared" si="3"/>
        <v>#DIV/0!</v>
      </c>
      <c r="K45" s="75">
        <v>0</v>
      </c>
      <c r="L45" s="75">
        <v>0</v>
      </c>
      <c r="M45" s="79">
        <f t="shared" si="4"/>
        <v>0</v>
      </c>
      <c r="N45" s="77" t="e">
        <f t="shared" si="5"/>
        <v>#DIV/0!</v>
      </c>
      <c r="O45" s="81">
        <f t="shared" ref="O45:P45" si="54">S45-S44</f>
        <v>1170</v>
      </c>
      <c r="P45" s="81">
        <f t="shared" si="54"/>
        <v>54</v>
      </c>
      <c r="Q45" s="81">
        <f t="shared" si="7"/>
        <v>1116</v>
      </c>
      <c r="R45" s="77">
        <f t="shared" si="8"/>
        <v>4.6153846153846156E-2</v>
      </c>
      <c r="S45" s="79">
        <f t="shared" si="9"/>
        <v>22691</v>
      </c>
      <c r="T45" s="75">
        <f t="shared" si="10"/>
        <v>1734</v>
      </c>
      <c r="U45" s="75">
        <f t="shared" si="11"/>
        <v>20957</v>
      </c>
      <c r="V45" s="77">
        <f t="shared" si="12"/>
        <v>7.6417963069058223E-2</v>
      </c>
    </row>
    <row r="46" spans="1:22" ht="12.5" x14ac:dyDescent="0.25">
      <c r="A46" s="75">
        <v>44</v>
      </c>
      <c r="B46" s="76">
        <v>44240</v>
      </c>
      <c r="C46" s="75">
        <v>1787</v>
      </c>
      <c r="D46" s="75">
        <v>22097</v>
      </c>
      <c r="E46" s="75">
        <f t="shared" si="0"/>
        <v>23884</v>
      </c>
      <c r="F46" s="77">
        <f t="shared" si="1"/>
        <v>7.4819963155250371E-2</v>
      </c>
      <c r="G46" s="75">
        <v>0</v>
      </c>
      <c r="H46" s="75">
        <v>0</v>
      </c>
      <c r="I46" s="75">
        <f t="shared" si="2"/>
        <v>0</v>
      </c>
      <c r="J46" s="78" t="e">
        <f t="shared" si="3"/>
        <v>#DIV/0!</v>
      </c>
      <c r="K46" s="75">
        <v>0</v>
      </c>
      <c r="L46" s="75">
        <v>0</v>
      </c>
      <c r="M46" s="79">
        <f t="shared" si="4"/>
        <v>0</v>
      </c>
      <c r="N46" s="77" t="e">
        <f t="shared" si="5"/>
        <v>#DIV/0!</v>
      </c>
      <c r="O46" s="81">
        <f t="shared" ref="O46:P46" si="55">S46-S45</f>
        <v>1193</v>
      </c>
      <c r="P46" s="81">
        <f t="shared" si="55"/>
        <v>53</v>
      </c>
      <c r="Q46" s="81">
        <f t="shared" si="7"/>
        <v>1140</v>
      </c>
      <c r="R46" s="77">
        <f t="shared" si="8"/>
        <v>4.4425817267393128E-2</v>
      </c>
      <c r="S46" s="79">
        <f t="shared" si="9"/>
        <v>23884</v>
      </c>
      <c r="T46" s="75">
        <f t="shared" si="10"/>
        <v>1787</v>
      </c>
      <c r="U46" s="75">
        <f t="shared" si="11"/>
        <v>22097</v>
      </c>
      <c r="V46" s="77">
        <f t="shared" si="12"/>
        <v>7.4819963155250371E-2</v>
      </c>
    </row>
    <row r="47" spans="1:22" ht="12.5" x14ac:dyDescent="0.25">
      <c r="A47" s="75">
        <v>45</v>
      </c>
      <c r="B47" s="76">
        <v>44241</v>
      </c>
      <c r="C47" s="75">
        <v>1804</v>
      </c>
      <c r="D47" s="75">
        <v>22238</v>
      </c>
      <c r="E47" s="75">
        <f t="shared" si="0"/>
        <v>24042</v>
      </c>
      <c r="F47" s="77">
        <f t="shared" si="1"/>
        <v>7.5035354795774056E-2</v>
      </c>
      <c r="G47" s="75">
        <v>0</v>
      </c>
      <c r="H47" s="75">
        <v>0</v>
      </c>
      <c r="I47" s="75">
        <f t="shared" si="2"/>
        <v>0</v>
      </c>
      <c r="J47" s="78" t="e">
        <f t="shared" si="3"/>
        <v>#DIV/0!</v>
      </c>
      <c r="K47" s="75">
        <v>0</v>
      </c>
      <c r="L47" s="75">
        <v>0</v>
      </c>
      <c r="M47" s="79">
        <f t="shared" si="4"/>
        <v>0</v>
      </c>
      <c r="N47" s="77" t="e">
        <f t="shared" si="5"/>
        <v>#DIV/0!</v>
      </c>
      <c r="O47" s="81">
        <f t="shared" ref="O47:P47" si="56">S47-S46</f>
        <v>158</v>
      </c>
      <c r="P47" s="81">
        <f t="shared" si="56"/>
        <v>17</v>
      </c>
      <c r="Q47" s="81">
        <f t="shared" si="7"/>
        <v>141</v>
      </c>
      <c r="R47" s="77">
        <f t="shared" si="8"/>
        <v>0.10759493670886076</v>
      </c>
      <c r="S47" s="79">
        <f t="shared" si="9"/>
        <v>24042</v>
      </c>
      <c r="T47" s="75">
        <f t="shared" si="10"/>
        <v>1804</v>
      </c>
      <c r="U47" s="75">
        <f t="shared" si="11"/>
        <v>22238</v>
      </c>
      <c r="V47" s="77">
        <f t="shared" si="12"/>
        <v>7.5035354795774056E-2</v>
      </c>
    </row>
    <row r="48" spans="1:22" ht="12.5" x14ac:dyDescent="0.25">
      <c r="A48" s="75">
        <v>46</v>
      </c>
      <c r="B48" s="76">
        <v>44242</v>
      </c>
      <c r="C48" s="75">
        <v>1871</v>
      </c>
      <c r="D48" s="75">
        <v>23010</v>
      </c>
      <c r="E48" s="75">
        <f t="shared" si="0"/>
        <v>24881</v>
      </c>
      <c r="F48" s="77">
        <f t="shared" si="1"/>
        <v>7.5197942204895299E-2</v>
      </c>
      <c r="G48" s="75">
        <v>0</v>
      </c>
      <c r="H48" s="75">
        <v>0</v>
      </c>
      <c r="I48" s="75">
        <f t="shared" si="2"/>
        <v>0</v>
      </c>
      <c r="J48" s="78" t="e">
        <f t="shared" si="3"/>
        <v>#DIV/0!</v>
      </c>
      <c r="K48" s="75">
        <v>0</v>
      </c>
      <c r="L48" s="75">
        <v>0</v>
      </c>
      <c r="M48" s="79">
        <f t="shared" si="4"/>
        <v>0</v>
      </c>
      <c r="N48" s="77" t="e">
        <f t="shared" si="5"/>
        <v>#DIV/0!</v>
      </c>
      <c r="O48" s="81">
        <f t="shared" ref="O48:P48" si="57">S48-S47</f>
        <v>839</v>
      </c>
      <c r="P48" s="81">
        <f t="shared" si="57"/>
        <v>67</v>
      </c>
      <c r="Q48" s="81">
        <f t="shared" si="7"/>
        <v>772</v>
      </c>
      <c r="R48" s="77">
        <f t="shared" si="8"/>
        <v>7.9856972586412389E-2</v>
      </c>
      <c r="S48" s="79">
        <f t="shared" si="9"/>
        <v>24881</v>
      </c>
      <c r="T48" s="75">
        <f t="shared" si="10"/>
        <v>1871</v>
      </c>
      <c r="U48" s="75">
        <f t="shared" si="11"/>
        <v>23010</v>
      </c>
      <c r="V48" s="77">
        <f t="shared" si="12"/>
        <v>7.5197942204895299E-2</v>
      </c>
    </row>
    <row r="49" spans="1:22" ht="12.5" x14ac:dyDescent="0.25">
      <c r="A49" s="75">
        <v>47</v>
      </c>
      <c r="B49" s="76">
        <v>44243</v>
      </c>
      <c r="C49" s="75">
        <v>1892</v>
      </c>
      <c r="D49" s="75">
        <v>23303</v>
      </c>
      <c r="E49" s="75">
        <f t="shared" si="0"/>
        <v>25195</v>
      </c>
      <c r="F49" s="77">
        <f t="shared" si="1"/>
        <v>7.5094264735066488E-2</v>
      </c>
      <c r="G49" s="75">
        <v>0</v>
      </c>
      <c r="H49" s="75">
        <v>0</v>
      </c>
      <c r="I49" s="75">
        <f t="shared" si="2"/>
        <v>0</v>
      </c>
      <c r="J49" s="78" t="e">
        <f t="shared" si="3"/>
        <v>#DIV/0!</v>
      </c>
      <c r="K49" s="75">
        <v>0</v>
      </c>
      <c r="L49" s="75">
        <v>0</v>
      </c>
      <c r="M49" s="79">
        <f t="shared" si="4"/>
        <v>0</v>
      </c>
      <c r="N49" s="77" t="e">
        <f t="shared" si="5"/>
        <v>#DIV/0!</v>
      </c>
      <c r="O49" s="81">
        <f t="shared" ref="O49:P49" si="58">S49-S48</f>
        <v>314</v>
      </c>
      <c r="P49" s="81">
        <f t="shared" si="58"/>
        <v>21</v>
      </c>
      <c r="Q49" s="81">
        <f t="shared" si="7"/>
        <v>293</v>
      </c>
      <c r="R49" s="77">
        <f t="shared" si="8"/>
        <v>6.6878980891719744E-2</v>
      </c>
      <c r="S49" s="79">
        <f t="shared" si="9"/>
        <v>25195</v>
      </c>
      <c r="T49" s="75">
        <f t="shared" si="10"/>
        <v>1892</v>
      </c>
      <c r="U49" s="75">
        <f t="shared" si="11"/>
        <v>23303</v>
      </c>
      <c r="V49" s="77">
        <f t="shared" si="12"/>
        <v>7.5094264735066488E-2</v>
      </c>
    </row>
    <row r="50" spans="1:22" ht="12.5" x14ac:dyDescent="0.25">
      <c r="A50" s="75">
        <v>48</v>
      </c>
      <c r="B50" s="76">
        <v>44244</v>
      </c>
      <c r="C50" s="75">
        <v>1965</v>
      </c>
      <c r="D50" s="75">
        <v>24319</v>
      </c>
      <c r="E50" s="75">
        <f t="shared" si="0"/>
        <v>26284</v>
      </c>
      <c r="F50" s="77">
        <f t="shared" si="1"/>
        <v>7.4760310455029677E-2</v>
      </c>
      <c r="G50" s="75">
        <v>0</v>
      </c>
      <c r="H50" s="75">
        <v>0</v>
      </c>
      <c r="I50" s="75">
        <f t="shared" si="2"/>
        <v>0</v>
      </c>
      <c r="J50" s="78" t="e">
        <f t="shared" si="3"/>
        <v>#DIV/0!</v>
      </c>
      <c r="K50" s="75">
        <v>0</v>
      </c>
      <c r="L50" s="75">
        <v>0</v>
      </c>
      <c r="M50" s="79">
        <f t="shared" si="4"/>
        <v>0</v>
      </c>
      <c r="N50" s="77" t="e">
        <f t="shared" si="5"/>
        <v>#DIV/0!</v>
      </c>
      <c r="O50" s="81">
        <f t="shared" ref="O50:P50" si="59">S50-S49</f>
        <v>1089</v>
      </c>
      <c r="P50" s="81">
        <f t="shared" si="59"/>
        <v>73</v>
      </c>
      <c r="Q50" s="81">
        <f t="shared" si="7"/>
        <v>1016</v>
      </c>
      <c r="R50" s="77">
        <f t="shared" si="8"/>
        <v>6.7033976124885222E-2</v>
      </c>
      <c r="S50" s="79">
        <f t="shared" si="9"/>
        <v>26284</v>
      </c>
      <c r="T50" s="75">
        <f t="shared" si="10"/>
        <v>1965</v>
      </c>
      <c r="U50" s="75">
        <f t="shared" si="11"/>
        <v>24319</v>
      </c>
      <c r="V50" s="77">
        <f t="shared" si="12"/>
        <v>7.4760310455029677E-2</v>
      </c>
    </row>
    <row r="51" spans="1:22" ht="12.5" x14ac:dyDescent="0.25">
      <c r="A51" s="75">
        <f t="shared" ref="A51:A199" si="60">A50+1</f>
        <v>49</v>
      </c>
      <c r="B51" s="76">
        <v>44245</v>
      </c>
      <c r="C51" s="75">
        <v>2034</v>
      </c>
      <c r="D51" s="75">
        <v>25543</v>
      </c>
      <c r="E51" s="75">
        <f t="shared" si="0"/>
        <v>27577</v>
      </c>
      <c r="F51" s="77">
        <f t="shared" si="1"/>
        <v>7.3757116437611056E-2</v>
      </c>
      <c r="G51" s="75">
        <v>0</v>
      </c>
      <c r="H51" s="75">
        <v>0</v>
      </c>
      <c r="I51" s="75">
        <f t="shared" si="2"/>
        <v>0</v>
      </c>
      <c r="J51" s="78" t="e">
        <f t="shared" si="3"/>
        <v>#DIV/0!</v>
      </c>
      <c r="K51" s="75">
        <v>0</v>
      </c>
      <c r="L51" s="75">
        <v>0</v>
      </c>
      <c r="M51" s="79">
        <f t="shared" si="4"/>
        <v>0</v>
      </c>
      <c r="N51" s="77" t="e">
        <f t="shared" si="5"/>
        <v>#DIV/0!</v>
      </c>
      <c r="O51" s="81">
        <f t="shared" ref="O51:P51" si="61">S51-S50</f>
        <v>1293</v>
      </c>
      <c r="P51" s="81">
        <f t="shared" si="61"/>
        <v>69</v>
      </c>
      <c r="Q51" s="81">
        <f t="shared" si="7"/>
        <v>1224</v>
      </c>
      <c r="R51" s="77">
        <f t="shared" si="8"/>
        <v>5.336426914153132E-2</v>
      </c>
      <c r="S51" s="79">
        <f t="shared" si="9"/>
        <v>27577</v>
      </c>
      <c r="T51" s="75">
        <f t="shared" si="10"/>
        <v>2034</v>
      </c>
      <c r="U51" s="75">
        <f t="shared" si="11"/>
        <v>25543</v>
      </c>
      <c r="V51" s="77">
        <f t="shared" si="12"/>
        <v>7.3757116437611056E-2</v>
      </c>
    </row>
    <row r="52" spans="1:22" ht="12.5" x14ac:dyDescent="0.25">
      <c r="A52" s="75">
        <f t="shared" si="60"/>
        <v>50</v>
      </c>
      <c r="B52" s="76">
        <v>44246</v>
      </c>
      <c r="C52" s="75">
        <v>2090</v>
      </c>
      <c r="D52" s="75">
        <v>26769</v>
      </c>
      <c r="E52" s="75">
        <f t="shared" si="0"/>
        <v>28859</v>
      </c>
      <c r="F52" s="77">
        <f t="shared" si="1"/>
        <v>7.2421081811566576E-2</v>
      </c>
      <c r="G52" s="75">
        <v>0</v>
      </c>
      <c r="H52" s="75">
        <v>0</v>
      </c>
      <c r="I52" s="75">
        <f t="shared" si="2"/>
        <v>0</v>
      </c>
      <c r="J52" s="78" t="e">
        <f t="shared" si="3"/>
        <v>#DIV/0!</v>
      </c>
      <c r="K52" s="75">
        <v>0</v>
      </c>
      <c r="L52" s="75">
        <v>0</v>
      </c>
      <c r="M52" s="79">
        <f t="shared" si="4"/>
        <v>0</v>
      </c>
      <c r="N52" s="77" t="e">
        <f t="shared" si="5"/>
        <v>#DIV/0!</v>
      </c>
      <c r="O52" s="81">
        <f t="shared" ref="O52:P52" si="62">S52-S51</f>
        <v>1282</v>
      </c>
      <c r="P52" s="81">
        <f t="shared" si="62"/>
        <v>56</v>
      </c>
      <c r="Q52" s="81">
        <f t="shared" si="7"/>
        <v>1226</v>
      </c>
      <c r="R52" s="77">
        <f t="shared" si="8"/>
        <v>4.3681747269890797E-2</v>
      </c>
      <c r="S52" s="79">
        <f t="shared" si="9"/>
        <v>28859</v>
      </c>
      <c r="T52" s="75">
        <f t="shared" si="10"/>
        <v>2090</v>
      </c>
      <c r="U52" s="75">
        <f t="shared" si="11"/>
        <v>26769</v>
      </c>
      <c r="V52" s="77">
        <f t="shared" si="12"/>
        <v>7.2421081811566576E-2</v>
      </c>
    </row>
    <row r="53" spans="1:22" ht="12.5" x14ac:dyDescent="0.25">
      <c r="A53" s="75">
        <f t="shared" si="60"/>
        <v>51</v>
      </c>
      <c r="B53" s="76">
        <v>44247</v>
      </c>
      <c r="C53" s="75">
        <v>2175</v>
      </c>
      <c r="D53" s="75">
        <v>28011</v>
      </c>
      <c r="E53" s="75">
        <f t="shared" si="0"/>
        <v>30186</v>
      </c>
      <c r="F53" s="77">
        <f t="shared" si="1"/>
        <v>7.2053269727688329E-2</v>
      </c>
      <c r="G53" s="75">
        <v>0</v>
      </c>
      <c r="H53" s="75">
        <v>0</v>
      </c>
      <c r="I53" s="75">
        <f t="shared" si="2"/>
        <v>0</v>
      </c>
      <c r="J53" s="78" t="e">
        <f t="shared" si="3"/>
        <v>#DIV/0!</v>
      </c>
      <c r="K53" s="75">
        <v>0</v>
      </c>
      <c r="L53" s="75">
        <v>0</v>
      </c>
      <c r="M53" s="79">
        <f t="shared" si="4"/>
        <v>0</v>
      </c>
      <c r="N53" s="77" t="e">
        <f t="shared" si="5"/>
        <v>#DIV/0!</v>
      </c>
      <c r="O53" s="81">
        <f t="shared" ref="O53:P53" si="63">S53-S52</f>
        <v>1327</v>
      </c>
      <c r="P53" s="81">
        <f t="shared" si="63"/>
        <v>85</v>
      </c>
      <c r="Q53" s="81">
        <f t="shared" si="7"/>
        <v>1242</v>
      </c>
      <c r="R53" s="77">
        <f t="shared" si="8"/>
        <v>6.4054257724189906E-2</v>
      </c>
      <c r="S53" s="79">
        <f t="shared" si="9"/>
        <v>30186</v>
      </c>
      <c r="T53" s="75">
        <f t="shared" si="10"/>
        <v>2175</v>
      </c>
      <c r="U53" s="75">
        <f t="shared" si="11"/>
        <v>28011</v>
      </c>
      <c r="V53" s="77">
        <f t="shared" si="12"/>
        <v>7.2053269727688329E-2</v>
      </c>
    </row>
    <row r="54" spans="1:22" ht="12.5" x14ac:dyDescent="0.25">
      <c r="A54" s="75">
        <f t="shared" si="60"/>
        <v>52</v>
      </c>
      <c r="B54" s="76">
        <v>44248</v>
      </c>
      <c r="C54" s="75">
        <v>2207</v>
      </c>
      <c r="D54" s="75">
        <v>28652</v>
      </c>
      <c r="E54" s="75">
        <f t="shared" si="0"/>
        <v>30859</v>
      </c>
      <c r="F54" s="77">
        <f t="shared" si="1"/>
        <v>7.1518843773291416E-2</v>
      </c>
      <c r="G54" s="75">
        <v>0</v>
      </c>
      <c r="H54" s="75">
        <v>0</v>
      </c>
      <c r="I54" s="75">
        <f t="shared" si="2"/>
        <v>0</v>
      </c>
      <c r="J54" s="78" t="e">
        <f t="shared" si="3"/>
        <v>#DIV/0!</v>
      </c>
      <c r="K54" s="75">
        <v>0</v>
      </c>
      <c r="L54" s="75">
        <v>0</v>
      </c>
      <c r="M54" s="79">
        <f t="shared" si="4"/>
        <v>0</v>
      </c>
      <c r="N54" s="77" t="e">
        <f t="shared" si="5"/>
        <v>#DIV/0!</v>
      </c>
      <c r="O54" s="81">
        <f t="shared" ref="O54:P54" si="64">S54-S53</f>
        <v>673</v>
      </c>
      <c r="P54" s="81">
        <f t="shared" si="64"/>
        <v>32</v>
      </c>
      <c r="Q54" s="81">
        <f t="shared" si="7"/>
        <v>641</v>
      </c>
      <c r="R54" s="77">
        <f t="shared" si="8"/>
        <v>4.7548291233283801E-2</v>
      </c>
      <c r="S54" s="79">
        <f t="shared" si="9"/>
        <v>30859</v>
      </c>
      <c r="T54" s="75">
        <f t="shared" si="10"/>
        <v>2207</v>
      </c>
      <c r="U54" s="75">
        <f t="shared" si="11"/>
        <v>28652</v>
      </c>
      <c r="V54" s="77">
        <f t="shared" si="12"/>
        <v>7.1518843773291416E-2</v>
      </c>
    </row>
    <row r="55" spans="1:22" ht="12.5" x14ac:dyDescent="0.25">
      <c r="A55" s="75">
        <f t="shared" si="60"/>
        <v>53</v>
      </c>
      <c r="B55" s="76">
        <v>44249</v>
      </c>
      <c r="C55" s="75">
        <v>2224</v>
      </c>
      <c r="D55" s="75">
        <v>29001</v>
      </c>
      <c r="E55" s="75">
        <f t="shared" si="0"/>
        <v>31225</v>
      </c>
      <c r="F55" s="77">
        <f t="shared" si="1"/>
        <v>7.1224979983987191E-2</v>
      </c>
      <c r="G55" s="75">
        <v>0</v>
      </c>
      <c r="H55" s="75">
        <v>0</v>
      </c>
      <c r="I55" s="75">
        <f t="shared" si="2"/>
        <v>0</v>
      </c>
      <c r="J55" s="78" t="e">
        <f t="shared" si="3"/>
        <v>#DIV/0!</v>
      </c>
      <c r="K55" s="75">
        <v>0</v>
      </c>
      <c r="L55" s="75">
        <v>0</v>
      </c>
      <c r="M55" s="79">
        <f t="shared" si="4"/>
        <v>0</v>
      </c>
      <c r="N55" s="77" t="e">
        <f t="shared" si="5"/>
        <v>#DIV/0!</v>
      </c>
      <c r="O55" s="81">
        <f t="shared" ref="O55:P55" si="65">S55-S54</f>
        <v>366</v>
      </c>
      <c r="P55" s="81">
        <f t="shared" si="65"/>
        <v>17</v>
      </c>
      <c r="Q55" s="81">
        <f t="shared" si="7"/>
        <v>349</v>
      </c>
      <c r="R55" s="77">
        <f t="shared" si="8"/>
        <v>4.6448087431693992E-2</v>
      </c>
      <c r="S55" s="79">
        <f t="shared" si="9"/>
        <v>31225</v>
      </c>
      <c r="T55" s="75">
        <f t="shared" si="10"/>
        <v>2224</v>
      </c>
      <c r="U55" s="75">
        <f t="shared" si="11"/>
        <v>29001</v>
      </c>
      <c r="V55" s="77">
        <f t="shared" si="12"/>
        <v>7.1224979983987191E-2</v>
      </c>
    </row>
    <row r="56" spans="1:22" ht="12.5" x14ac:dyDescent="0.25">
      <c r="A56" s="75">
        <f t="shared" si="60"/>
        <v>54</v>
      </c>
      <c r="B56" s="76">
        <v>44250</v>
      </c>
      <c r="C56" s="75">
        <v>2251</v>
      </c>
      <c r="D56" s="75">
        <v>29219</v>
      </c>
      <c r="E56" s="75">
        <f t="shared" si="0"/>
        <v>31470</v>
      </c>
      <c r="F56" s="77">
        <f t="shared" si="1"/>
        <v>7.1528439783921191E-2</v>
      </c>
      <c r="G56" s="75">
        <v>0</v>
      </c>
      <c r="H56" s="75">
        <v>0</v>
      </c>
      <c r="I56" s="75">
        <f t="shared" si="2"/>
        <v>0</v>
      </c>
      <c r="J56" s="78" t="e">
        <f t="shared" si="3"/>
        <v>#DIV/0!</v>
      </c>
      <c r="K56" s="75">
        <v>0</v>
      </c>
      <c r="L56" s="75">
        <v>0</v>
      </c>
      <c r="M56" s="79">
        <f t="shared" si="4"/>
        <v>0</v>
      </c>
      <c r="N56" s="77" t="e">
        <f t="shared" si="5"/>
        <v>#DIV/0!</v>
      </c>
      <c r="O56" s="81">
        <f t="shared" ref="O56:P56" si="66">S56-S55</f>
        <v>245</v>
      </c>
      <c r="P56" s="81">
        <f t="shared" si="66"/>
        <v>27</v>
      </c>
      <c r="Q56" s="81">
        <f t="shared" si="7"/>
        <v>218</v>
      </c>
      <c r="R56" s="77">
        <f t="shared" si="8"/>
        <v>0.11020408163265306</v>
      </c>
      <c r="S56" s="79">
        <f t="shared" si="9"/>
        <v>31470</v>
      </c>
      <c r="T56" s="75">
        <f t="shared" si="10"/>
        <v>2251</v>
      </c>
      <c r="U56" s="75">
        <f t="shared" si="11"/>
        <v>29219</v>
      </c>
      <c r="V56" s="77">
        <f t="shared" si="12"/>
        <v>7.1528439783921191E-2</v>
      </c>
    </row>
    <row r="57" spans="1:22" ht="12.5" x14ac:dyDescent="0.25">
      <c r="A57" s="75">
        <f t="shared" si="60"/>
        <v>55</v>
      </c>
      <c r="B57" s="76">
        <v>44251</v>
      </c>
      <c r="C57" s="75">
        <v>2312</v>
      </c>
      <c r="D57" s="75">
        <v>30254</v>
      </c>
      <c r="E57" s="75">
        <f t="shared" si="0"/>
        <v>32566</v>
      </c>
      <c r="F57" s="77">
        <f t="shared" si="1"/>
        <v>7.0994288521771171E-2</v>
      </c>
      <c r="G57" s="75">
        <v>0</v>
      </c>
      <c r="H57" s="75">
        <v>0</v>
      </c>
      <c r="I57" s="75">
        <f t="shared" si="2"/>
        <v>0</v>
      </c>
      <c r="J57" s="78" t="e">
        <f t="shared" si="3"/>
        <v>#DIV/0!</v>
      </c>
      <c r="K57" s="75">
        <v>0</v>
      </c>
      <c r="L57" s="75">
        <v>0</v>
      </c>
      <c r="M57" s="79">
        <f t="shared" si="4"/>
        <v>0</v>
      </c>
      <c r="N57" s="77" t="e">
        <f t="shared" si="5"/>
        <v>#DIV/0!</v>
      </c>
      <c r="O57" s="81">
        <f t="shared" ref="O57:P57" si="67">S57-S56</f>
        <v>1096</v>
      </c>
      <c r="P57" s="81">
        <f t="shared" si="67"/>
        <v>61</v>
      </c>
      <c r="Q57" s="81">
        <f t="shared" si="7"/>
        <v>1035</v>
      </c>
      <c r="R57" s="77">
        <f t="shared" si="8"/>
        <v>5.5656934306569344E-2</v>
      </c>
      <c r="S57" s="79">
        <f t="shared" si="9"/>
        <v>32566</v>
      </c>
      <c r="T57" s="75">
        <f t="shared" si="10"/>
        <v>2312</v>
      </c>
      <c r="U57" s="75">
        <f t="shared" si="11"/>
        <v>30254</v>
      </c>
      <c r="V57" s="77">
        <f t="shared" si="12"/>
        <v>7.0994288521771171E-2</v>
      </c>
    </row>
    <row r="58" spans="1:22" ht="12.5" x14ac:dyDescent="0.25">
      <c r="A58" s="75">
        <f t="shared" si="60"/>
        <v>56</v>
      </c>
      <c r="B58" s="76">
        <v>44252</v>
      </c>
      <c r="C58" s="75">
        <v>2357</v>
      </c>
      <c r="D58" s="75">
        <v>31155</v>
      </c>
      <c r="E58" s="75">
        <f t="shared" si="0"/>
        <v>33512</v>
      </c>
      <c r="F58" s="77">
        <f t="shared" si="1"/>
        <v>7.033301503938888E-2</v>
      </c>
      <c r="G58" s="75">
        <v>0</v>
      </c>
      <c r="H58" s="75">
        <v>0</v>
      </c>
      <c r="I58" s="75">
        <f t="shared" si="2"/>
        <v>0</v>
      </c>
      <c r="J58" s="78" t="e">
        <f t="shared" si="3"/>
        <v>#DIV/0!</v>
      </c>
      <c r="K58" s="75">
        <v>0</v>
      </c>
      <c r="L58" s="75">
        <v>0</v>
      </c>
      <c r="M58" s="79">
        <f t="shared" si="4"/>
        <v>0</v>
      </c>
      <c r="N58" s="77" t="e">
        <f t="shared" si="5"/>
        <v>#DIV/0!</v>
      </c>
      <c r="O58" s="81">
        <f t="shared" ref="O58:P58" si="68">S58-S57</f>
        <v>946</v>
      </c>
      <c r="P58" s="81">
        <f t="shared" si="68"/>
        <v>45</v>
      </c>
      <c r="Q58" s="81">
        <f t="shared" si="7"/>
        <v>901</v>
      </c>
      <c r="R58" s="77">
        <f t="shared" si="8"/>
        <v>4.7568710359408031E-2</v>
      </c>
      <c r="S58" s="79">
        <f t="shared" si="9"/>
        <v>33512</v>
      </c>
      <c r="T58" s="75">
        <f t="shared" si="10"/>
        <v>2357</v>
      </c>
      <c r="U58" s="75">
        <f t="shared" si="11"/>
        <v>31155</v>
      </c>
      <c r="V58" s="77">
        <f t="shared" si="12"/>
        <v>7.033301503938888E-2</v>
      </c>
    </row>
    <row r="59" spans="1:22" ht="12.5" x14ac:dyDescent="0.25">
      <c r="A59" s="75">
        <f t="shared" si="60"/>
        <v>57</v>
      </c>
      <c r="B59" s="76">
        <v>44253</v>
      </c>
      <c r="C59" s="75">
        <v>2386</v>
      </c>
      <c r="D59" s="75">
        <v>31908</v>
      </c>
      <c r="E59" s="75">
        <f t="shared" si="0"/>
        <v>34294</v>
      </c>
      <c r="F59" s="77">
        <f t="shared" si="1"/>
        <v>6.9574852743920224E-2</v>
      </c>
      <c r="G59" s="75">
        <v>0</v>
      </c>
      <c r="H59" s="75">
        <v>0</v>
      </c>
      <c r="I59" s="75">
        <f t="shared" si="2"/>
        <v>0</v>
      </c>
      <c r="J59" s="78" t="e">
        <f t="shared" si="3"/>
        <v>#DIV/0!</v>
      </c>
      <c r="K59" s="75">
        <v>42</v>
      </c>
      <c r="L59" s="75">
        <v>974</v>
      </c>
      <c r="M59" s="79">
        <f t="shared" si="4"/>
        <v>1016</v>
      </c>
      <c r="N59" s="77">
        <f t="shared" si="5"/>
        <v>4.1338582677165357E-2</v>
      </c>
      <c r="O59" s="81">
        <f t="shared" ref="O59:P59" si="69">S59-S58</f>
        <v>1798</v>
      </c>
      <c r="P59" s="81">
        <f t="shared" si="69"/>
        <v>71</v>
      </c>
      <c r="Q59" s="81">
        <f t="shared" si="7"/>
        <v>1727</v>
      </c>
      <c r="R59" s="77">
        <f t="shared" si="8"/>
        <v>3.9488320355951054E-2</v>
      </c>
      <c r="S59" s="79">
        <f t="shared" si="9"/>
        <v>35310</v>
      </c>
      <c r="T59" s="75">
        <f t="shared" si="10"/>
        <v>2428</v>
      </c>
      <c r="U59" s="75">
        <f t="shared" si="11"/>
        <v>32882</v>
      </c>
      <c r="V59" s="77">
        <f t="shared" si="12"/>
        <v>6.8762390257717354E-2</v>
      </c>
    </row>
    <row r="60" spans="1:22" ht="12.5" x14ac:dyDescent="0.25">
      <c r="A60" s="75">
        <f t="shared" si="60"/>
        <v>58</v>
      </c>
      <c r="B60" s="76">
        <v>44254</v>
      </c>
      <c r="C60" s="75">
        <v>2420</v>
      </c>
      <c r="D60" s="75">
        <v>32507</v>
      </c>
      <c r="E60" s="75">
        <f t="shared" si="0"/>
        <v>34927</v>
      </c>
      <c r="F60" s="77">
        <f t="shared" si="1"/>
        <v>6.9287370801958376E-2</v>
      </c>
      <c r="G60" s="75">
        <v>0</v>
      </c>
      <c r="H60" s="75">
        <v>0</v>
      </c>
      <c r="I60" s="75">
        <v>0</v>
      </c>
      <c r="J60" s="85">
        <v>0</v>
      </c>
      <c r="K60" s="75">
        <v>42</v>
      </c>
      <c r="L60" s="75">
        <v>974</v>
      </c>
      <c r="M60" s="79">
        <f t="shared" si="4"/>
        <v>1016</v>
      </c>
      <c r="N60" s="77">
        <f t="shared" si="5"/>
        <v>4.1338582677165357E-2</v>
      </c>
      <c r="O60" s="81">
        <f t="shared" ref="O60:P60" si="70">S60-S59</f>
        <v>633</v>
      </c>
      <c r="P60" s="81">
        <f t="shared" si="70"/>
        <v>34</v>
      </c>
      <c r="Q60" s="81">
        <f t="shared" si="7"/>
        <v>599</v>
      </c>
      <c r="R60" s="77">
        <f t="shared" si="8"/>
        <v>5.3712480252764615E-2</v>
      </c>
      <c r="S60" s="79">
        <f t="shared" si="9"/>
        <v>35943</v>
      </c>
      <c r="T60" s="75">
        <f t="shared" si="10"/>
        <v>2462</v>
      </c>
      <c r="U60" s="75">
        <f t="shared" si="11"/>
        <v>33481</v>
      </c>
      <c r="V60" s="77">
        <f t="shared" si="12"/>
        <v>6.8497343015329823E-2</v>
      </c>
    </row>
    <row r="61" spans="1:22" ht="12.5" x14ac:dyDescent="0.25">
      <c r="A61" s="75">
        <f t="shared" si="60"/>
        <v>59</v>
      </c>
      <c r="B61" s="76">
        <v>44255</v>
      </c>
      <c r="C61" s="75">
        <v>2459</v>
      </c>
      <c r="D61" s="75">
        <v>33082</v>
      </c>
      <c r="E61" s="75">
        <f t="shared" si="0"/>
        <v>35541</v>
      </c>
      <c r="F61" s="77">
        <f t="shared" si="1"/>
        <v>6.9187698714161111E-2</v>
      </c>
      <c r="G61" s="75">
        <v>32</v>
      </c>
      <c r="H61" s="75">
        <v>1225</v>
      </c>
      <c r="I61" s="75">
        <f t="shared" ref="I61:I199" si="71">G61+H61</f>
        <v>1257</v>
      </c>
      <c r="J61" s="86">
        <f t="shared" ref="J61:J199" si="72">G61/I61</f>
        <v>2.5457438345266509E-2</v>
      </c>
      <c r="K61" s="75">
        <v>42</v>
      </c>
      <c r="L61" s="75">
        <v>974</v>
      </c>
      <c r="M61" s="79">
        <f t="shared" si="4"/>
        <v>1016</v>
      </c>
      <c r="N61" s="77">
        <f t="shared" si="5"/>
        <v>4.1338582677165357E-2</v>
      </c>
      <c r="O61" s="81">
        <f t="shared" ref="O61:P61" si="73">S61-S60</f>
        <v>1871</v>
      </c>
      <c r="P61" s="81">
        <f t="shared" si="73"/>
        <v>71</v>
      </c>
      <c r="Q61" s="81">
        <f t="shared" si="7"/>
        <v>1800</v>
      </c>
      <c r="R61" s="77">
        <f t="shared" si="8"/>
        <v>3.7947621592731157E-2</v>
      </c>
      <c r="S61" s="79">
        <f t="shared" si="9"/>
        <v>37814</v>
      </c>
      <c r="T61" s="75">
        <f t="shared" si="10"/>
        <v>2533</v>
      </c>
      <c r="U61" s="75">
        <f t="shared" si="11"/>
        <v>35281</v>
      </c>
      <c r="V61" s="77">
        <f t="shared" si="12"/>
        <v>6.6985772465224525E-2</v>
      </c>
    </row>
    <row r="62" spans="1:22" ht="12.5" x14ac:dyDescent="0.25">
      <c r="A62" s="75">
        <f t="shared" si="60"/>
        <v>60</v>
      </c>
      <c r="B62" s="76">
        <v>44256</v>
      </c>
      <c r="C62" s="75">
        <v>2473</v>
      </c>
      <c r="D62" s="75">
        <v>33431</v>
      </c>
      <c r="E62" s="75">
        <f t="shared" si="0"/>
        <v>35904</v>
      </c>
      <c r="F62" s="77">
        <f t="shared" si="1"/>
        <v>6.8878119429590018E-2</v>
      </c>
      <c r="G62" s="75">
        <v>83</v>
      </c>
      <c r="H62" s="75">
        <v>2281</v>
      </c>
      <c r="I62" s="75">
        <f t="shared" si="71"/>
        <v>2364</v>
      </c>
      <c r="J62" s="86">
        <f t="shared" si="72"/>
        <v>3.5109983079526223E-2</v>
      </c>
      <c r="K62" s="75">
        <v>42</v>
      </c>
      <c r="L62" s="75">
        <v>974</v>
      </c>
      <c r="M62" s="79">
        <f t="shared" si="4"/>
        <v>1016</v>
      </c>
      <c r="N62" s="77">
        <f t="shared" si="5"/>
        <v>4.1338582677165357E-2</v>
      </c>
      <c r="O62" s="81">
        <f t="shared" ref="O62:P62" si="74">S62-S61</f>
        <v>1470</v>
      </c>
      <c r="P62" s="81">
        <f t="shared" si="74"/>
        <v>65</v>
      </c>
      <c r="Q62" s="81">
        <f t="shared" si="7"/>
        <v>1405</v>
      </c>
      <c r="R62" s="77">
        <f t="shared" si="8"/>
        <v>4.4217687074829932E-2</v>
      </c>
      <c r="S62" s="79">
        <f t="shared" si="9"/>
        <v>39284</v>
      </c>
      <c r="T62" s="75">
        <f t="shared" si="10"/>
        <v>2598</v>
      </c>
      <c r="U62" s="75">
        <f t="shared" si="11"/>
        <v>36686</v>
      </c>
      <c r="V62" s="77">
        <f t="shared" si="12"/>
        <v>6.6133794929233269E-2</v>
      </c>
    </row>
    <row r="63" spans="1:22" ht="12.5" x14ac:dyDescent="0.25">
      <c r="A63" s="75">
        <f t="shared" si="60"/>
        <v>61</v>
      </c>
      <c r="B63" s="76">
        <v>44257</v>
      </c>
      <c r="C63" s="75">
        <v>2500</v>
      </c>
      <c r="D63" s="75">
        <v>33680</v>
      </c>
      <c r="E63" s="75">
        <f t="shared" si="0"/>
        <v>36180</v>
      </c>
      <c r="F63" s="77">
        <f t="shared" si="1"/>
        <v>6.9098949695964626E-2</v>
      </c>
      <c r="G63" s="75">
        <v>110</v>
      </c>
      <c r="H63" s="75">
        <v>2474</v>
      </c>
      <c r="I63" s="75">
        <f t="shared" si="71"/>
        <v>2584</v>
      </c>
      <c r="J63" s="86">
        <f t="shared" si="72"/>
        <v>4.2569659442724457E-2</v>
      </c>
      <c r="K63" s="75">
        <v>42</v>
      </c>
      <c r="L63" s="75">
        <v>974</v>
      </c>
      <c r="M63" s="79">
        <f t="shared" si="4"/>
        <v>1016</v>
      </c>
      <c r="N63" s="77">
        <f t="shared" si="5"/>
        <v>4.1338582677165357E-2</v>
      </c>
      <c r="O63" s="81">
        <f t="shared" ref="O63:P63" si="75">S63-S62</f>
        <v>496</v>
      </c>
      <c r="P63" s="81">
        <f t="shared" si="75"/>
        <v>54</v>
      </c>
      <c r="Q63" s="81">
        <f t="shared" si="7"/>
        <v>442</v>
      </c>
      <c r="R63" s="77">
        <f t="shared" si="8"/>
        <v>0.10887096774193548</v>
      </c>
      <c r="S63" s="79">
        <f t="shared" si="9"/>
        <v>39780</v>
      </c>
      <c r="T63" s="75">
        <f t="shared" si="10"/>
        <v>2652</v>
      </c>
      <c r="U63" s="75">
        <f t="shared" si="11"/>
        <v>37128</v>
      </c>
      <c r="V63" s="77">
        <f t="shared" si="12"/>
        <v>6.6666666666666666E-2</v>
      </c>
    </row>
    <row r="64" spans="1:22" ht="12.5" x14ac:dyDescent="0.25">
      <c r="A64" s="75">
        <f t="shared" si="60"/>
        <v>62</v>
      </c>
      <c r="B64" s="76">
        <v>44258</v>
      </c>
      <c r="C64" s="75">
        <v>2535</v>
      </c>
      <c r="D64" s="75">
        <v>34443</v>
      </c>
      <c r="E64" s="75">
        <f t="shared" si="0"/>
        <v>36978</v>
      </c>
      <c r="F64" s="77">
        <f t="shared" si="1"/>
        <v>6.8554275515171181E-2</v>
      </c>
      <c r="G64" s="75">
        <v>141</v>
      </c>
      <c r="H64" s="75">
        <v>3304</v>
      </c>
      <c r="I64" s="75">
        <f t="shared" si="71"/>
        <v>3445</v>
      </c>
      <c r="J64" s="86">
        <f t="shared" si="72"/>
        <v>4.0928882438316404E-2</v>
      </c>
      <c r="K64" s="75">
        <v>42</v>
      </c>
      <c r="L64" s="75">
        <v>974</v>
      </c>
      <c r="M64" s="79">
        <f t="shared" si="4"/>
        <v>1016</v>
      </c>
      <c r="N64" s="77">
        <f t="shared" si="5"/>
        <v>4.1338582677165357E-2</v>
      </c>
      <c r="O64" s="81">
        <f t="shared" ref="O64:P64" si="76">S64-S63</f>
        <v>1659</v>
      </c>
      <c r="P64" s="81">
        <f t="shared" si="76"/>
        <v>66</v>
      </c>
      <c r="Q64" s="81">
        <f t="shared" si="7"/>
        <v>1593</v>
      </c>
      <c r="R64" s="77">
        <f t="shared" si="8"/>
        <v>3.9783001808318265E-2</v>
      </c>
      <c r="S64" s="79">
        <f t="shared" si="9"/>
        <v>41439</v>
      </c>
      <c r="T64" s="75">
        <f t="shared" si="10"/>
        <v>2718</v>
      </c>
      <c r="U64" s="75">
        <f t="shared" si="11"/>
        <v>38721</v>
      </c>
      <c r="V64" s="77">
        <f t="shared" si="12"/>
        <v>6.5590385868384851E-2</v>
      </c>
    </row>
    <row r="65" spans="1:22" ht="12.5" x14ac:dyDescent="0.25">
      <c r="A65" s="75">
        <f t="shared" si="60"/>
        <v>63</v>
      </c>
      <c r="B65" s="76">
        <v>44259</v>
      </c>
      <c r="C65" s="75">
        <v>2571</v>
      </c>
      <c r="D65" s="75">
        <v>35040</v>
      </c>
      <c r="E65" s="75">
        <f t="shared" si="0"/>
        <v>37611</v>
      </c>
      <c r="F65" s="77">
        <f t="shared" si="1"/>
        <v>6.8357661322485441E-2</v>
      </c>
      <c r="G65" s="75">
        <v>163</v>
      </c>
      <c r="H65" s="75">
        <v>4027</v>
      </c>
      <c r="I65" s="75">
        <f t="shared" si="71"/>
        <v>4190</v>
      </c>
      <c r="J65" s="86">
        <f t="shared" si="72"/>
        <v>3.8902147971360379E-2</v>
      </c>
      <c r="K65" s="75">
        <v>42</v>
      </c>
      <c r="L65" s="75">
        <v>974</v>
      </c>
      <c r="M65" s="79">
        <f t="shared" si="4"/>
        <v>1016</v>
      </c>
      <c r="N65" s="77">
        <f t="shared" si="5"/>
        <v>4.1338582677165357E-2</v>
      </c>
      <c r="O65" s="81">
        <f t="shared" ref="O65:P65" si="77">S65-S64</f>
        <v>1378</v>
      </c>
      <c r="P65" s="81">
        <f t="shared" si="77"/>
        <v>58</v>
      </c>
      <c r="Q65" s="81">
        <f t="shared" si="7"/>
        <v>1320</v>
      </c>
      <c r="R65" s="77">
        <f t="shared" si="8"/>
        <v>4.2089985486211901E-2</v>
      </c>
      <c r="S65" s="79">
        <f t="shared" si="9"/>
        <v>42817</v>
      </c>
      <c r="T65" s="75">
        <f t="shared" si="10"/>
        <v>2776</v>
      </c>
      <c r="U65" s="75">
        <f t="shared" si="11"/>
        <v>40041</v>
      </c>
      <c r="V65" s="77">
        <f t="shared" si="12"/>
        <v>6.4834061237358992E-2</v>
      </c>
    </row>
    <row r="66" spans="1:22" ht="12.5" x14ac:dyDescent="0.25">
      <c r="A66" s="75">
        <f t="shared" si="60"/>
        <v>64</v>
      </c>
      <c r="B66" s="76">
        <v>44260</v>
      </c>
      <c r="C66" s="75">
        <v>2592</v>
      </c>
      <c r="D66" s="75">
        <v>35562</v>
      </c>
      <c r="E66" s="75">
        <f t="shared" si="0"/>
        <v>38154</v>
      </c>
      <c r="F66" s="77">
        <f t="shared" si="1"/>
        <v>6.7935209938669597E-2</v>
      </c>
      <c r="G66" s="75">
        <v>191</v>
      </c>
      <c r="H66" s="75">
        <v>4753</v>
      </c>
      <c r="I66" s="75">
        <f t="shared" si="71"/>
        <v>4944</v>
      </c>
      <c r="J66" s="86">
        <f t="shared" si="72"/>
        <v>3.8632686084142394E-2</v>
      </c>
      <c r="K66" s="75">
        <v>42</v>
      </c>
      <c r="L66" s="75">
        <v>974</v>
      </c>
      <c r="M66" s="79">
        <f t="shared" si="4"/>
        <v>1016</v>
      </c>
      <c r="N66" s="77">
        <f t="shared" si="5"/>
        <v>4.1338582677165357E-2</v>
      </c>
      <c r="O66" s="81">
        <f t="shared" ref="O66:P66" si="78">S66-S65</f>
        <v>1297</v>
      </c>
      <c r="P66" s="81">
        <f t="shared" si="78"/>
        <v>49</v>
      </c>
      <c r="Q66" s="81">
        <f t="shared" si="7"/>
        <v>1248</v>
      </c>
      <c r="R66" s="77">
        <f t="shared" si="8"/>
        <v>3.7779491133384732E-2</v>
      </c>
      <c r="S66" s="79">
        <f t="shared" si="9"/>
        <v>44114</v>
      </c>
      <c r="T66" s="75">
        <f t="shared" si="10"/>
        <v>2825</v>
      </c>
      <c r="U66" s="75">
        <f t="shared" si="11"/>
        <v>41289</v>
      </c>
      <c r="V66" s="77">
        <f t="shared" si="12"/>
        <v>6.4038627193181305E-2</v>
      </c>
    </row>
    <row r="67" spans="1:22" ht="12.5" x14ac:dyDescent="0.25">
      <c r="A67" s="75">
        <f t="shared" si="60"/>
        <v>65</v>
      </c>
      <c r="B67" s="76">
        <v>44261</v>
      </c>
      <c r="C67" s="75">
        <v>2624</v>
      </c>
      <c r="D67" s="75">
        <v>36155</v>
      </c>
      <c r="E67" s="75">
        <f t="shared" si="0"/>
        <v>38779</v>
      </c>
      <c r="F67" s="77">
        <f t="shared" si="1"/>
        <v>6.7665489053353622E-2</v>
      </c>
      <c r="G67" s="75">
        <v>219</v>
      </c>
      <c r="H67" s="75">
        <v>5525</v>
      </c>
      <c r="I67" s="75">
        <f t="shared" si="71"/>
        <v>5744</v>
      </c>
      <c r="J67" s="86">
        <f t="shared" si="72"/>
        <v>3.8126740947075209E-2</v>
      </c>
      <c r="K67" s="75">
        <v>42</v>
      </c>
      <c r="L67" s="75">
        <v>974</v>
      </c>
      <c r="M67" s="79">
        <f t="shared" si="4"/>
        <v>1016</v>
      </c>
      <c r="N67" s="77">
        <f t="shared" si="5"/>
        <v>4.1338582677165357E-2</v>
      </c>
      <c r="O67" s="81">
        <f t="shared" ref="O67:P67" si="79">S67-S66</f>
        <v>1425</v>
      </c>
      <c r="P67" s="81">
        <f t="shared" si="79"/>
        <v>60</v>
      </c>
      <c r="Q67" s="81">
        <f t="shared" si="7"/>
        <v>1365</v>
      </c>
      <c r="R67" s="77">
        <f t="shared" si="8"/>
        <v>4.2105263157894736E-2</v>
      </c>
      <c r="S67" s="79">
        <f t="shared" si="9"/>
        <v>45539</v>
      </c>
      <c r="T67" s="75">
        <f t="shared" si="10"/>
        <v>2885</v>
      </c>
      <c r="U67" s="75">
        <f t="shared" si="11"/>
        <v>42654</v>
      </c>
      <c r="V67" s="77">
        <f t="shared" si="12"/>
        <v>6.3352291442499833E-2</v>
      </c>
    </row>
    <row r="68" spans="1:22" ht="12.5" x14ac:dyDescent="0.25">
      <c r="A68" s="75">
        <f t="shared" si="60"/>
        <v>66</v>
      </c>
      <c r="B68" s="76">
        <v>44262</v>
      </c>
      <c r="C68" s="75">
        <v>2686</v>
      </c>
      <c r="D68" s="75">
        <v>36563</v>
      </c>
      <c r="E68" s="75">
        <f t="shared" si="0"/>
        <v>39249</v>
      </c>
      <c r="F68" s="77">
        <f t="shared" si="1"/>
        <v>6.8434864582537142E-2</v>
      </c>
      <c r="G68" s="75">
        <v>254</v>
      </c>
      <c r="H68" s="75">
        <v>6391</v>
      </c>
      <c r="I68" s="75">
        <f t="shared" si="71"/>
        <v>6645</v>
      </c>
      <c r="J68" s="86">
        <f t="shared" si="72"/>
        <v>3.8224228743416105E-2</v>
      </c>
      <c r="K68" s="75">
        <v>42</v>
      </c>
      <c r="L68" s="75">
        <v>974</v>
      </c>
      <c r="M68" s="79">
        <f t="shared" si="4"/>
        <v>1016</v>
      </c>
      <c r="N68" s="77">
        <f t="shared" si="5"/>
        <v>4.1338582677165357E-2</v>
      </c>
      <c r="O68" s="81">
        <f t="shared" ref="O68:P68" si="80">S68-S67</f>
        <v>1371</v>
      </c>
      <c r="P68" s="81">
        <f t="shared" si="80"/>
        <v>97</v>
      </c>
      <c r="Q68" s="81">
        <f t="shared" si="7"/>
        <v>1274</v>
      </c>
      <c r="R68" s="77">
        <f t="shared" si="8"/>
        <v>7.0751276440554345E-2</v>
      </c>
      <c r="S68" s="79">
        <f t="shared" si="9"/>
        <v>46910</v>
      </c>
      <c r="T68" s="75">
        <f t="shared" si="10"/>
        <v>2982</v>
      </c>
      <c r="U68" s="75">
        <f t="shared" si="11"/>
        <v>43928</v>
      </c>
      <c r="V68" s="77">
        <f t="shared" si="12"/>
        <v>6.3568535493498182E-2</v>
      </c>
    </row>
    <row r="69" spans="1:22" ht="12.5" x14ac:dyDescent="0.25">
      <c r="A69" s="75">
        <f t="shared" si="60"/>
        <v>67</v>
      </c>
      <c r="B69" s="76">
        <v>44263</v>
      </c>
      <c r="C69" s="75">
        <v>2704</v>
      </c>
      <c r="D69" s="75">
        <v>36741</v>
      </c>
      <c r="E69" s="75">
        <f t="shared" si="0"/>
        <v>39445</v>
      </c>
      <c r="F69" s="77">
        <f t="shared" si="1"/>
        <v>6.8551147166941315E-2</v>
      </c>
      <c r="G69" s="75">
        <v>269</v>
      </c>
      <c r="H69" s="75">
        <v>6917</v>
      </c>
      <c r="I69" s="75">
        <f t="shared" si="71"/>
        <v>7186</v>
      </c>
      <c r="J69" s="86">
        <f t="shared" si="72"/>
        <v>3.7433899248538828E-2</v>
      </c>
      <c r="K69" s="75">
        <v>42</v>
      </c>
      <c r="L69" s="75">
        <v>974</v>
      </c>
      <c r="M69" s="79">
        <f t="shared" si="4"/>
        <v>1016</v>
      </c>
      <c r="N69" s="77">
        <f t="shared" si="5"/>
        <v>4.1338582677165357E-2</v>
      </c>
      <c r="O69" s="81">
        <f t="shared" ref="O69:P69" si="81">S69-S68</f>
        <v>737</v>
      </c>
      <c r="P69" s="81">
        <f t="shared" si="81"/>
        <v>33</v>
      </c>
      <c r="Q69" s="81">
        <f t="shared" si="7"/>
        <v>704</v>
      </c>
      <c r="R69" s="77">
        <f t="shared" si="8"/>
        <v>4.4776119402985072E-2</v>
      </c>
      <c r="S69" s="79">
        <f t="shared" si="9"/>
        <v>47647</v>
      </c>
      <c r="T69" s="75">
        <f t="shared" si="10"/>
        <v>3015</v>
      </c>
      <c r="U69" s="75">
        <f t="shared" si="11"/>
        <v>44632</v>
      </c>
      <c r="V69" s="77">
        <f t="shared" si="12"/>
        <v>6.3277855898587532E-2</v>
      </c>
    </row>
    <row r="70" spans="1:22" ht="12.5" x14ac:dyDescent="0.25">
      <c r="A70" s="75">
        <f t="shared" si="60"/>
        <v>68</v>
      </c>
      <c r="B70" s="76">
        <v>44264</v>
      </c>
      <c r="C70" s="75">
        <v>2711</v>
      </c>
      <c r="D70" s="75">
        <v>36894</v>
      </c>
      <c r="E70" s="75">
        <f t="shared" si="0"/>
        <v>39605</v>
      </c>
      <c r="F70" s="77">
        <f t="shared" si="1"/>
        <v>6.8450953162479483E-2</v>
      </c>
      <c r="G70" s="75">
        <v>280</v>
      </c>
      <c r="H70" s="75">
        <v>7248</v>
      </c>
      <c r="I70" s="75">
        <f t="shared" si="71"/>
        <v>7528</v>
      </c>
      <c r="J70" s="86">
        <f t="shared" si="72"/>
        <v>3.7194473963868227E-2</v>
      </c>
      <c r="K70" s="75">
        <v>42</v>
      </c>
      <c r="L70" s="75">
        <v>974</v>
      </c>
      <c r="M70" s="79">
        <f t="shared" si="4"/>
        <v>1016</v>
      </c>
      <c r="N70" s="77">
        <f t="shared" si="5"/>
        <v>4.1338582677165357E-2</v>
      </c>
      <c r="O70" s="81">
        <f t="shared" ref="O70:P70" si="82">S70-S69</f>
        <v>502</v>
      </c>
      <c r="P70" s="81">
        <f t="shared" si="82"/>
        <v>18</v>
      </c>
      <c r="Q70" s="81">
        <f t="shared" si="7"/>
        <v>484</v>
      </c>
      <c r="R70" s="77">
        <f t="shared" si="8"/>
        <v>3.5856573705179286E-2</v>
      </c>
      <c r="S70" s="79">
        <f t="shared" si="9"/>
        <v>48149</v>
      </c>
      <c r="T70" s="75">
        <f t="shared" si="10"/>
        <v>3033</v>
      </c>
      <c r="U70" s="75">
        <f t="shared" si="11"/>
        <v>45116</v>
      </c>
      <c r="V70" s="77">
        <f t="shared" si="12"/>
        <v>6.299196244989512E-2</v>
      </c>
    </row>
    <row r="71" spans="1:22" ht="12.5" x14ac:dyDescent="0.25">
      <c r="A71" s="75">
        <f t="shared" si="60"/>
        <v>69</v>
      </c>
      <c r="B71" s="76">
        <v>44265</v>
      </c>
      <c r="C71" s="75">
        <v>2749</v>
      </c>
      <c r="D71" s="75">
        <v>37316</v>
      </c>
      <c r="E71" s="75">
        <f t="shared" si="0"/>
        <v>40065</v>
      </c>
      <c r="F71" s="77">
        <f t="shared" si="1"/>
        <v>6.8613503057531514E-2</v>
      </c>
      <c r="G71" s="75">
        <v>504</v>
      </c>
      <c r="H71" s="75">
        <v>14724</v>
      </c>
      <c r="I71" s="75">
        <f t="shared" si="71"/>
        <v>15228</v>
      </c>
      <c r="J71" s="86">
        <f t="shared" si="72"/>
        <v>3.309692671394799E-2</v>
      </c>
      <c r="K71" s="75">
        <v>42</v>
      </c>
      <c r="L71" s="75">
        <v>974</v>
      </c>
      <c r="M71" s="79">
        <f t="shared" si="4"/>
        <v>1016</v>
      </c>
      <c r="N71" s="77">
        <f t="shared" si="5"/>
        <v>4.1338582677165357E-2</v>
      </c>
      <c r="O71" s="81">
        <f t="shared" ref="O71:P71" si="83">S71-S70</f>
        <v>8160</v>
      </c>
      <c r="P71" s="81">
        <f t="shared" si="83"/>
        <v>262</v>
      </c>
      <c r="Q71" s="81">
        <f t="shared" si="7"/>
        <v>7898</v>
      </c>
      <c r="R71" s="77">
        <f t="shared" si="8"/>
        <v>3.2107843137254899E-2</v>
      </c>
      <c r="S71" s="79">
        <f t="shared" si="9"/>
        <v>56309</v>
      </c>
      <c r="T71" s="75">
        <f t="shared" si="10"/>
        <v>3295</v>
      </c>
      <c r="U71" s="75">
        <f t="shared" si="11"/>
        <v>53014</v>
      </c>
      <c r="V71" s="77">
        <f t="shared" si="12"/>
        <v>5.851640057539647E-2</v>
      </c>
    </row>
    <row r="72" spans="1:22" ht="12.5" x14ac:dyDescent="0.25">
      <c r="A72" s="75">
        <f t="shared" si="60"/>
        <v>70</v>
      </c>
      <c r="B72" s="76">
        <v>44266</v>
      </c>
      <c r="C72" s="75">
        <v>2808</v>
      </c>
      <c r="D72" s="75">
        <v>38103</v>
      </c>
      <c r="E72" s="75">
        <f t="shared" si="0"/>
        <v>40911</v>
      </c>
      <c r="F72" s="77">
        <f t="shared" si="1"/>
        <v>6.8636796949475692E-2</v>
      </c>
      <c r="G72" s="75">
        <v>556</v>
      </c>
      <c r="H72" s="75">
        <v>16352</v>
      </c>
      <c r="I72" s="75">
        <f t="shared" si="71"/>
        <v>16908</v>
      </c>
      <c r="J72" s="86">
        <f t="shared" si="72"/>
        <v>3.2883841968299028E-2</v>
      </c>
      <c r="K72" s="75">
        <v>42</v>
      </c>
      <c r="L72" s="75">
        <v>974</v>
      </c>
      <c r="M72" s="79">
        <f t="shared" si="4"/>
        <v>1016</v>
      </c>
      <c r="N72" s="77">
        <f t="shared" si="5"/>
        <v>4.1338582677165357E-2</v>
      </c>
      <c r="O72" s="81">
        <f t="shared" ref="O72:P72" si="84">S72-S71</f>
        <v>2526</v>
      </c>
      <c r="P72" s="81">
        <f t="shared" si="84"/>
        <v>111</v>
      </c>
      <c r="Q72" s="81">
        <f t="shared" si="7"/>
        <v>2415</v>
      </c>
      <c r="R72" s="77">
        <f t="shared" si="8"/>
        <v>4.3942992874109264E-2</v>
      </c>
      <c r="S72" s="79">
        <f t="shared" si="9"/>
        <v>58835</v>
      </c>
      <c r="T72" s="75">
        <f t="shared" si="10"/>
        <v>3406</v>
      </c>
      <c r="U72" s="75">
        <f t="shared" si="11"/>
        <v>55429</v>
      </c>
      <c r="V72" s="77">
        <f t="shared" si="12"/>
        <v>5.78907113112943E-2</v>
      </c>
    </row>
    <row r="73" spans="1:22" ht="12.5" x14ac:dyDescent="0.25">
      <c r="A73" s="75">
        <f t="shared" si="60"/>
        <v>71</v>
      </c>
      <c r="B73" s="76">
        <v>44267</v>
      </c>
      <c r="C73" s="75">
        <v>2878</v>
      </c>
      <c r="D73" s="75">
        <v>38635</v>
      </c>
      <c r="E73" s="75">
        <f t="shared" si="0"/>
        <v>41513</v>
      </c>
      <c r="F73" s="77">
        <f t="shared" si="1"/>
        <v>6.932768048563101E-2</v>
      </c>
      <c r="G73" s="75">
        <v>603</v>
      </c>
      <c r="H73" s="75">
        <v>17822</v>
      </c>
      <c r="I73" s="75">
        <f t="shared" si="71"/>
        <v>18425</v>
      </c>
      <c r="J73" s="86">
        <f t="shared" si="72"/>
        <v>3.272727272727273E-2</v>
      </c>
      <c r="K73" s="75">
        <v>42</v>
      </c>
      <c r="L73" s="75">
        <v>974</v>
      </c>
      <c r="M73" s="79">
        <f t="shared" si="4"/>
        <v>1016</v>
      </c>
      <c r="N73" s="77">
        <f t="shared" si="5"/>
        <v>4.1338582677165357E-2</v>
      </c>
      <c r="O73" s="81">
        <f t="shared" ref="O73:P73" si="85">S73-S72</f>
        <v>2119</v>
      </c>
      <c r="P73" s="81">
        <f t="shared" si="85"/>
        <v>117</v>
      </c>
      <c r="Q73" s="81">
        <f t="shared" si="7"/>
        <v>2002</v>
      </c>
      <c r="R73" s="77">
        <f t="shared" si="8"/>
        <v>5.5214723926380369E-2</v>
      </c>
      <c r="S73" s="79">
        <f t="shared" si="9"/>
        <v>60954</v>
      </c>
      <c r="T73" s="75">
        <f t="shared" si="10"/>
        <v>3523</v>
      </c>
      <c r="U73" s="75">
        <f t="shared" si="11"/>
        <v>57431</v>
      </c>
      <c r="V73" s="77">
        <f t="shared" si="12"/>
        <v>5.7797683499032054E-2</v>
      </c>
    </row>
    <row r="74" spans="1:22" ht="12.5" x14ac:dyDescent="0.25">
      <c r="A74" s="75">
        <f t="shared" si="60"/>
        <v>72</v>
      </c>
      <c r="B74" s="76">
        <v>44268</v>
      </c>
      <c r="C74" s="75">
        <v>2892</v>
      </c>
      <c r="D74" s="75">
        <v>38857</v>
      </c>
      <c r="E74" s="75">
        <f t="shared" si="0"/>
        <v>41749</v>
      </c>
      <c r="F74" s="77">
        <f t="shared" si="1"/>
        <v>6.9271120266353681E-2</v>
      </c>
      <c r="G74" s="75">
        <v>644</v>
      </c>
      <c r="H74" s="75">
        <v>19192</v>
      </c>
      <c r="I74" s="75">
        <f t="shared" si="71"/>
        <v>19836</v>
      </c>
      <c r="J74" s="86">
        <f t="shared" si="72"/>
        <v>3.2466223028836456E-2</v>
      </c>
      <c r="K74" s="75">
        <v>42</v>
      </c>
      <c r="L74" s="75">
        <v>974</v>
      </c>
      <c r="M74" s="79">
        <f t="shared" si="4"/>
        <v>1016</v>
      </c>
      <c r="N74" s="77">
        <f t="shared" si="5"/>
        <v>4.1338582677165357E-2</v>
      </c>
      <c r="O74" s="81">
        <f t="shared" ref="O74:P74" si="86">S74-S73</f>
        <v>1647</v>
      </c>
      <c r="P74" s="81">
        <f t="shared" si="86"/>
        <v>55</v>
      </c>
      <c r="Q74" s="81">
        <f t="shared" si="7"/>
        <v>1592</v>
      </c>
      <c r="R74" s="77">
        <f t="shared" si="8"/>
        <v>3.3394049787492414E-2</v>
      </c>
      <c r="S74" s="79">
        <f t="shared" si="9"/>
        <v>62601</v>
      </c>
      <c r="T74" s="75">
        <f t="shared" si="10"/>
        <v>3578</v>
      </c>
      <c r="U74" s="75">
        <f t="shared" si="11"/>
        <v>59023</v>
      </c>
      <c r="V74" s="77">
        <f t="shared" si="12"/>
        <v>5.7155636491429851E-2</v>
      </c>
    </row>
    <row r="75" spans="1:22" ht="12.5" x14ac:dyDescent="0.25">
      <c r="A75" s="75">
        <f t="shared" si="60"/>
        <v>73</v>
      </c>
      <c r="B75" s="76">
        <v>44269</v>
      </c>
      <c r="C75" s="75">
        <v>2930</v>
      </c>
      <c r="D75" s="75">
        <v>39389</v>
      </c>
      <c r="E75" s="75">
        <f t="shared" si="0"/>
        <v>42319</v>
      </c>
      <c r="F75" s="77">
        <f t="shared" si="1"/>
        <v>6.9236040549162312E-2</v>
      </c>
      <c r="G75" s="75">
        <v>713</v>
      </c>
      <c r="H75" s="75">
        <v>21170</v>
      </c>
      <c r="I75" s="75">
        <f t="shared" si="71"/>
        <v>21883</v>
      </c>
      <c r="J75" s="86">
        <f t="shared" si="72"/>
        <v>3.2582369876159575E-2</v>
      </c>
      <c r="K75" s="75">
        <v>42</v>
      </c>
      <c r="L75" s="75">
        <v>974</v>
      </c>
      <c r="M75" s="79">
        <f t="shared" si="4"/>
        <v>1016</v>
      </c>
      <c r="N75" s="77">
        <f t="shared" si="5"/>
        <v>4.1338582677165357E-2</v>
      </c>
      <c r="O75" s="81">
        <f t="shared" ref="O75:P75" si="87">S75-S74</f>
        <v>2617</v>
      </c>
      <c r="P75" s="81">
        <f t="shared" si="87"/>
        <v>107</v>
      </c>
      <c r="Q75" s="81">
        <f t="shared" si="7"/>
        <v>2510</v>
      </c>
      <c r="R75" s="77">
        <f t="shared" si="8"/>
        <v>4.0886511272449369E-2</v>
      </c>
      <c r="S75" s="79">
        <f t="shared" si="9"/>
        <v>65218</v>
      </c>
      <c r="T75" s="75">
        <f t="shared" si="10"/>
        <v>3685</v>
      </c>
      <c r="U75" s="75">
        <f t="shared" si="11"/>
        <v>61533</v>
      </c>
      <c r="V75" s="77">
        <f t="shared" si="12"/>
        <v>5.650280597381091E-2</v>
      </c>
    </row>
    <row r="76" spans="1:22" ht="12.5" x14ac:dyDescent="0.25">
      <c r="A76" s="75">
        <f t="shared" si="60"/>
        <v>74</v>
      </c>
      <c r="B76" s="76">
        <v>44270</v>
      </c>
      <c r="C76" s="75">
        <v>2947</v>
      </c>
      <c r="D76" s="75">
        <v>39652</v>
      </c>
      <c r="E76" s="75">
        <f t="shared" si="0"/>
        <v>42599</v>
      </c>
      <c r="F76" s="77">
        <f t="shared" si="1"/>
        <v>6.9180027700180752E-2</v>
      </c>
      <c r="G76" s="75">
        <v>747</v>
      </c>
      <c r="H76" s="75">
        <v>22369</v>
      </c>
      <c r="I76" s="75">
        <f t="shared" si="71"/>
        <v>23116</v>
      </c>
      <c r="J76" s="86">
        <f t="shared" si="72"/>
        <v>3.2315279460114206E-2</v>
      </c>
      <c r="K76" s="75">
        <v>42</v>
      </c>
      <c r="L76" s="75">
        <v>974</v>
      </c>
      <c r="M76" s="79">
        <f t="shared" si="4"/>
        <v>1016</v>
      </c>
      <c r="N76" s="77">
        <f t="shared" si="5"/>
        <v>4.1338582677165357E-2</v>
      </c>
      <c r="O76" s="81">
        <f t="shared" ref="O76:P76" si="88">S76-S75</f>
        <v>1513</v>
      </c>
      <c r="P76" s="81">
        <f t="shared" si="88"/>
        <v>51</v>
      </c>
      <c r="Q76" s="81">
        <f t="shared" si="7"/>
        <v>1462</v>
      </c>
      <c r="R76" s="77">
        <f t="shared" si="8"/>
        <v>3.3707865168539325E-2</v>
      </c>
      <c r="S76" s="79">
        <f t="shared" si="9"/>
        <v>66731</v>
      </c>
      <c r="T76" s="75">
        <f t="shared" si="10"/>
        <v>3736</v>
      </c>
      <c r="U76" s="75">
        <f t="shared" si="11"/>
        <v>62995</v>
      </c>
      <c r="V76" s="77">
        <f t="shared" si="12"/>
        <v>5.5985973535538205E-2</v>
      </c>
    </row>
    <row r="77" spans="1:22" ht="12.5" x14ac:dyDescent="0.25">
      <c r="A77" s="75">
        <f t="shared" si="60"/>
        <v>75</v>
      </c>
      <c r="B77" s="76">
        <v>44271</v>
      </c>
      <c r="C77" s="75">
        <v>2953</v>
      </c>
      <c r="D77" s="75">
        <v>39706</v>
      </c>
      <c r="E77" s="75">
        <f t="shared" si="0"/>
        <v>42659</v>
      </c>
      <c r="F77" s="77">
        <f t="shared" si="1"/>
        <v>6.9223376075388546E-2</v>
      </c>
      <c r="G77" s="75">
        <v>855</v>
      </c>
      <c r="H77" s="75">
        <v>26316</v>
      </c>
      <c r="I77" s="75">
        <f t="shared" si="71"/>
        <v>27171</v>
      </c>
      <c r="J77" s="86">
        <f t="shared" si="72"/>
        <v>3.1467373302418021E-2</v>
      </c>
      <c r="K77" s="75">
        <v>42</v>
      </c>
      <c r="L77" s="75">
        <v>974</v>
      </c>
      <c r="M77" s="79">
        <f t="shared" si="4"/>
        <v>1016</v>
      </c>
      <c r="N77" s="77">
        <f t="shared" si="5"/>
        <v>4.1338582677165357E-2</v>
      </c>
      <c r="O77" s="81">
        <f t="shared" ref="O77:P77" si="89">S77-S76</f>
        <v>4115</v>
      </c>
      <c r="P77" s="81">
        <f t="shared" si="89"/>
        <v>114</v>
      </c>
      <c r="Q77" s="81">
        <f t="shared" si="7"/>
        <v>4001</v>
      </c>
      <c r="R77" s="77">
        <f t="shared" si="8"/>
        <v>2.7703523693803158E-2</v>
      </c>
      <c r="S77" s="79">
        <f t="shared" si="9"/>
        <v>70846</v>
      </c>
      <c r="T77" s="75">
        <f t="shared" si="10"/>
        <v>3850</v>
      </c>
      <c r="U77" s="75">
        <f t="shared" si="11"/>
        <v>66996</v>
      </c>
      <c r="V77" s="77">
        <f t="shared" si="12"/>
        <v>5.43432233294752E-2</v>
      </c>
    </row>
    <row r="78" spans="1:22" ht="12.5" x14ac:dyDescent="0.25">
      <c r="A78" s="75">
        <f t="shared" si="60"/>
        <v>76</v>
      </c>
      <c r="B78" s="76">
        <v>44272</v>
      </c>
      <c r="C78" s="75">
        <v>2976</v>
      </c>
      <c r="D78" s="75">
        <v>40240</v>
      </c>
      <c r="E78" s="75">
        <f t="shared" si="0"/>
        <v>43216</v>
      </c>
      <c r="F78" s="77">
        <f t="shared" si="1"/>
        <v>6.8863383931877076E-2</v>
      </c>
      <c r="G78" s="75">
        <v>936</v>
      </c>
      <c r="H78" s="75">
        <v>29151</v>
      </c>
      <c r="I78" s="75">
        <f t="shared" si="71"/>
        <v>30087</v>
      </c>
      <c r="J78" s="86">
        <f t="shared" si="72"/>
        <v>3.1109781633263535E-2</v>
      </c>
      <c r="K78" s="75">
        <v>42</v>
      </c>
      <c r="L78" s="75">
        <v>974</v>
      </c>
      <c r="M78" s="79">
        <f t="shared" si="4"/>
        <v>1016</v>
      </c>
      <c r="N78" s="77">
        <f t="shared" si="5"/>
        <v>4.1338582677165357E-2</v>
      </c>
      <c r="O78" s="81">
        <f t="shared" ref="O78:P78" si="90">S78-S77</f>
        <v>3473</v>
      </c>
      <c r="P78" s="81">
        <f t="shared" si="90"/>
        <v>104</v>
      </c>
      <c r="Q78" s="81">
        <f t="shared" si="7"/>
        <v>3369</v>
      </c>
      <c r="R78" s="77">
        <f t="shared" si="8"/>
        <v>2.9945292254534985E-2</v>
      </c>
      <c r="S78" s="79">
        <f t="shared" si="9"/>
        <v>74319</v>
      </c>
      <c r="T78" s="75">
        <f t="shared" si="10"/>
        <v>3954</v>
      </c>
      <c r="U78" s="75">
        <f t="shared" si="11"/>
        <v>70365</v>
      </c>
      <c r="V78" s="77">
        <f t="shared" si="12"/>
        <v>5.3203084002744927E-2</v>
      </c>
    </row>
    <row r="79" spans="1:22" ht="12.5" x14ac:dyDescent="0.25">
      <c r="A79" s="75">
        <f t="shared" si="60"/>
        <v>77</v>
      </c>
      <c r="B79" s="76">
        <v>44273</v>
      </c>
      <c r="C79" s="75">
        <v>2997</v>
      </c>
      <c r="D79" s="75">
        <v>40754</v>
      </c>
      <c r="E79" s="75">
        <f t="shared" si="0"/>
        <v>43751</v>
      </c>
      <c r="F79" s="77">
        <f t="shared" si="1"/>
        <v>6.850129139905374E-2</v>
      </c>
      <c r="G79" s="75">
        <v>1048</v>
      </c>
      <c r="H79" s="75">
        <v>32677</v>
      </c>
      <c r="I79" s="75">
        <f t="shared" si="71"/>
        <v>33725</v>
      </c>
      <c r="J79" s="86">
        <f t="shared" si="72"/>
        <v>3.1074870274277241E-2</v>
      </c>
      <c r="K79" s="75">
        <v>42</v>
      </c>
      <c r="L79" s="75">
        <v>974</v>
      </c>
      <c r="M79" s="79">
        <f t="shared" si="4"/>
        <v>1016</v>
      </c>
      <c r="N79" s="77">
        <f t="shared" si="5"/>
        <v>4.1338582677165357E-2</v>
      </c>
      <c r="O79" s="81">
        <f t="shared" ref="O79:P79" si="91">S79-S78</f>
        <v>4173</v>
      </c>
      <c r="P79" s="81">
        <f t="shared" si="91"/>
        <v>133</v>
      </c>
      <c r="Q79" s="81">
        <f t="shared" si="7"/>
        <v>4040</v>
      </c>
      <c r="R79" s="77">
        <f t="shared" si="8"/>
        <v>3.1871555236041217E-2</v>
      </c>
      <c r="S79" s="79">
        <f t="shared" si="9"/>
        <v>78492</v>
      </c>
      <c r="T79" s="75">
        <f t="shared" si="10"/>
        <v>4087</v>
      </c>
      <c r="U79" s="75">
        <f t="shared" si="11"/>
        <v>74405</v>
      </c>
      <c r="V79" s="77">
        <f t="shared" si="12"/>
        <v>5.2069000662487895E-2</v>
      </c>
    </row>
    <row r="80" spans="1:22" ht="12.5" x14ac:dyDescent="0.25">
      <c r="A80" s="75">
        <f t="shared" si="60"/>
        <v>78</v>
      </c>
      <c r="B80" s="76">
        <v>44274</v>
      </c>
      <c r="C80" s="75">
        <v>3022</v>
      </c>
      <c r="D80" s="75">
        <v>41613</v>
      </c>
      <c r="E80" s="75">
        <f t="shared" si="0"/>
        <v>44635</v>
      </c>
      <c r="F80" s="77">
        <f t="shared" si="1"/>
        <v>6.7704716030021289E-2</v>
      </c>
      <c r="G80" s="75">
        <v>1114</v>
      </c>
      <c r="H80" s="75">
        <v>34941</v>
      </c>
      <c r="I80" s="75">
        <f t="shared" si="71"/>
        <v>36055</v>
      </c>
      <c r="J80" s="86">
        <f t="shared" si="72"/>
        <v>3.089724032727777E-2</v>
      </c>
      <c r="K80" s="75">
        <v>42</v>
      </c>
      <c r="L80" s="75">
        <v>974</v>
      </c>
      <c r="M80" s="79">
        <f t="shared" si="4"/>
        <v>1016</v>
      </c>
      <c r="N80" s="77">
        <f t="shared" si="5"/>
        <v>4.1338582677165357E-2</v>
      </c>
      <c r="O80" s="81">
        <f t="shared" ref="O80:P80" si="92">S80-S79</f>
        <v>3214</v>
      </c>
      <c r="P80" s="81">
        <f t="shared" si="92"/>
        <v>91</v>
      </c>
      <c r="Q80" s="81">
        <f t="shared" si="7"/>
        <v>3123</v>
      </c>
      <c r="R80" s="77">
        <f t="shared" si="8"/>
        <v>2.8313627878033602E-2</v>
      </c>
      <c r="S80" s="79">
        <f t="shared" si="9"/>
        <v>81706</v>
      </c>
      <c r="T80" s="75">
        <f t="shared" si="10"/>
        <v>4178</v>
      </c>
      <c r="U80" s="75">
        <f t="shared" si="11"/>
        <v>77528</v>
      </c>
      <c r="V80" s="77">
        <f t="shared" si="12"/>
        <v>5.1134555601791788E-2</v>
      </c>
    </row>
    <row r="81" spans="1:22" ht="12.5" x14ac:dyDescent="0.25">
      <c r="A81" s="75">
        <f t="shared" si="60"/>
        <v>79</v>
      </c>
      <c r="B81" s="76">
        <v>44275</v>
      </c>
      <c r="C81" s="75">
        <v>3050</v>
      </c>
      <c r="D81" s="75">
        <v>42222</v>
      </c>
      <c r="E81" s="75">
        <f t="shared" si="0"/>
        <v>45272</v>
      </c>
      <c r="F81" s="77">
        <f t="shared" si="1"/>
        <v>6.7370560169641283E-2</v>
      </c>
      <c r="G81" s="75">
        <v>1179</v>
      </c>
      <c r="H81" s="75">
        <v>37641</v>
      </c>
      <c r="I81" s="75">
        <f t="shared" si="71"/>
        <v>38820</v>
      </c>
      <c r="J81" s="86">
        <f t="shared" si="72"/>
        <v>3.0370942812982998E-2</v>
      </c>
      <c r="K81" s="75">
        <v>42</v>
      </c>
      <c r="L81" s="75">
        <v>974</v>
      </c>
      <c r="M81" s="79">
        <f t="shared" si="4"/>
        <v>1016</v>
      </c>
      <c r="N81" s="77">
        <f t="shared" si="5"/>
        <v>4.1338582677165357E-2</v>
      </c>
      <c r="O81" s="81">
        <f t="shared" ref="O81:P81" si="93">S81-S80</f>
        <v>3402</v>
      </c>
      <c r="P81" s="81">
        <f t="shared" si="93"/>
        <v>93</v>
      </c>
      <c r="Q81" s="81">
        <f t="shared" si="7"/>
        <v>3309</v>
      </c>
      <c r="R81" s="77">
        <f t="shared" si="8"/>
        <v>2.7336860670194002E-2</v>
      </c>
      <c r="S81" s="79">
        <f t="shared" si="9"/>
        <v>85108</v>
      </c>
      <c r="T81" s="75">
        <f t="shared" si="10"/>
        <v>4271</v>
      </c>
      <c r="U81" s="75">
        <f t="shared" si="11"/>
        <v>80837</v>
      </c>
      <c r="V81" s="77">
        <f t="shared" si="12"/>
        <v>5.0183296517366173E-2</v>
      </c>
    </row>
    <row r="82" spans="1:22" ht="12.5" x14ac:dyDescent="0.25">
      <c r="A82" s="75">
        <f t="shared" si="60"/>
        <v>80</v>
      </c>
      <c r="B82" s="76">
        <v>44276</v>
      </c>
      <c r="C82" s="75">
        <v>3077</v>
      </c>
      <c r="D82" s="75">
        <v>42726</v>
      </c>
      <c r="E82" s="75">
        <f t="shared" si="0"/>
        <v>45803</v>
      </c>
      <c r="F82" s="77">
        <f t="shared" si="1"/>
        <v>6.7179005741981962E-2</v>
      </c>
      <c r="G82" s="75">
        <v>1223</v>
      </c>
      <c r="H82" s="75">
        <v>39376</v>
      </c>
      <c r="I82" s="75">
        <f t="shared" si="71"/>
        <v>40599</v>
      </c>
      <c r="J82" s="86">
        <f t="shared" si="72"/>
        <v>3.0123894677208798E-2</v>
      </c>
      <c r="K82" s="75">
        <v>42</v>
      </c>
      <c r="L82" s="75">
        <v>974</v>
      </c>
      <c r="M82" s="79">
        <f t="shared" si="4"/>
        <v>1016</v>
      </c>
      <c r="N82" s="77">
        <f t="shared" si="5"/>
        <v>4.1338582677165357E-2</v>
      </c>
      <c r="O82" s="81">
        <f t="shared" ref="O82:P82" si="94">S82-S81</f>
        <v>2310</v>
      </c>
      <c r="P82" s="81">
        <f t="shared" si="94"/>
        <v>71</v>
      </c>
      <c r="Q82" s="81">
        <f t="shared" si="7"/>
        <v>2239</v>
      </c>
      <c r="R82" s="77">
        <f t="shared" si="8"/>
        <v>3.0735930735930735E-2</v>
      </c>
      <c r="S82" s="79">
        <f t="shared" si="9"/>
        <v>87418</v>
      </c>
      <c r="T82" s="75">
        <f t="shared" si="10"/>
        <v>4342</v>
      </c>
      <c r="U82" s="75">
        <f t="shared" si="11"/>
        <v>83076</v>
      </c>
      <c r="V82" s="77">
        <f t="shared" si="12"/>
        <v>4.9669404470475187E-2</v>
      </c>
    </row>
    <row r="83" spans="1:22" ht="12.5" x14ac:dyDescent="0.25">
      <c r="A83" s="75">
        <f t="shared" si="60"/>
        <v>81</v>
      </c>
      <c r="B83" s="76">
        <v>44277</v>
      </c>
      <c r="C83" s="75">
        <v>3098</v>
      </c>
      <c r="D83" s="75">
        <v>43204</v>
      </c>
      <c r="E83" s="75">
        <f t="shared" si="0"/>
        <v>46302</v>
      </c>
      <c r="F83" s="77">
        <f t="shared" si="1"/>
        <v>6.6908556865794139E-2</v>
      </c>
      <c r="G83" s="75">
        <v>1247</v>
      </c>
      <c r="H83" s="75">
        <v>40121</v>
      </c>
      <c r="I83" s="75">
        <f t="shared" si="71"/>
        <v>41368</v>
      </c>
      <c r="J83" s="86">
        <f t="shared" si="72"/>
        <v>3.0144072713208278E-2</v>
      </c>
      <c r="K83" s="75">
        <v>42</v>
      </c>
      <c r="L83" s="75">
        <v>974</v>
      </c>
      <c r="M83" s="79">
        <f t="shared" si="4"/>
        <v>1016</v>
      </c>
      <c r="N83" s="77">
        <f t="shared" si="5"/>
        <v>4.1338582677165357E-2</v>
      </c>
      <c r="O83" s="81">
        <f t="shared" ref="O83:P83" si="95">S83-S82</f>
        <v>1268</v>
      </c>
      <c r="P83" s="81">
        <f t="shared" si="95"/>
        <v>45</v>
      </c>
      <c r="Q83" s="81">
        <f t="shared" si="7"/>
        <v>1223</v>
      </c>
      <c r="R83" s="77">
        <f t="shared" si="8"/>
        <v>3.5488958990536279E-2</v>
      </c>
      <c r="S83" s="79">
        <f t="shared" si="9"/>
        <v>88686</v>
      </c>
      <c r="T83" s="75">
        <f t="shared" si="10"/>
        <v>4387</v>
      </c>
      <c r="U83" s="75">
        <f t="shared" si="11"/>
        <v>84299</v>
      </c>
      <c r="V83" s="77">
        <f t="shared" si="12"/>
        <v>4.9466657646077168E-2</v>
      </c>
    </row>
    <row r="84" spans="1:22" ht="12.5" x14ac:dyDescent="0.25">
      <c r="A84" s="75">
        <f t="shared" si="60"/>
        <v>82</v>
      </c>
      <c r="B84" s="76">
        <v>44278</v>
      </c>
      <c r="C84" s="75">
        <v>3122</v>
      </c>
      <c r="D84" s="75">
        <v>43657</v>
      </c>
      <c r="E84" s="75">
        <f t="shared" si="0"/>
        <v>46779</v>
      </c>
      <c r="F84" s="77">
        <f t="shared" si="1"/>
        <v>6.6739348853117858E-2</v>
      </c>
      <c r="G84" s="75">
        <v>1322</v>
      </c>
      <c r="H84" s="75">
        <v>43102</v>
      </c>
      <c r="I84" s="75">
        <f t="shared" si="71"/>
        <v>44424</v>
      </c>
      <c r="J84" s="86">
        <f t="shared" si="72"/>
        <v>2.9758688996938593E-2</v>
      </c>
      <c r="K84" s="75">
        <v>42</v>
      </c>
      <c r="L84" s="75">
        <v>974</v>
      </c>
      <c r="M84" s="79">
        <f t="shared" si="4"/>
        <v>1016</v>
      </c>
      <c r="N84" s="77">
        <f t="shared" si="5"/>
        <v>4.1338582677165357E-2</v>
      </c>
      <c r="O84" s="81">
        <f t="shared" ref="O84:P84" si="96">S84-S83</f>
        <v>3533</v>
      </c>
      <c r="P84" s="81">
        <f t="shared" si="96"/>
        <v>99</v>
      </c>
      <c r="Q84" s="81">
        <f t="shared" si="7"/>
        <v>3434</v>
      </c>
      <c r="R84" s="77">
        <f t="shared" si="8"/>
        <v>2.8021511463345597E-2</v>
      </c>
      <c r="S84" s="79">
        <f t="shared" si="9"/>
        <v>92219</v>
      </c>
      <c r="T84" s="75">
        <f t="shared" si="10"/>
        <v>4486</v>
      </c>
      <c r="U84" s="75">
        <f t="shared" si="11"/>
        <v>87733</v>
      </c>
      <c r="V84" s="77">
        <f t="shared" si="12"/>
        <v>4.8645073141109753E-2</v>
      </c>
    </row>
    <row r="85" spans="1:22" ht="12.5" x14ac:dyDescent="0.25">
      <c r="A85" s="75">
        <f t="shared" si="60"/>
        <v>83</v>
      </c>
      <c r="B85" s="76">
        <v>44279</v>
      </c>
      <c r="C85" s="75">
        <v>3155</v>
      </c>
      <c r="D85" s="75">
        <v>44374</v>
      </c>
      <c r="E85" s="75">
        <f t="shared" si="0"/>
        <v>47529</v>
      </c>
      <c r="F85" s="77">
        <f t="shared" si="1"/>
        <v>6.6380525573860164E-2</v>
      </c>
      <c r="G85" s="75">
        <v>1410</v>
      </c>
      <c r="H85" s="75">
        <v>46218</v>
      </c>
      <c r="I85" s="75">
        <f t="shared" si="71"/>
        <v>47628</v>
      </c>
      <c r="J85" s="86">
        <f t="shared" si="72"/>
        <v>2.9604434366339128E-2</v>
      </c>
      <c r="K85" s="75">
        <v>42</v>
      </c>
      <c r="L85" s="75">
        <v>974</v>
      </c>
      <c r="M85" s="79">
        <f t="shared" si="4"/>
        <v>1016</v>
      </c>
      <c r="N85" s="77">
        <f t="shared" si="5"/>
        <v>4.1338582677165357E-2</v>
      </c>
      <c r="O85" s="81">
        <f t="shared" ref="O85:P85" si="97">S85-S84</f>
        <v>3954</v>
      </c>
      <c r="P85" s="81">
        <f t="shared" si="97"/>
        <v>121</v>
      </c>
      <c r="Q85" s="81">
        <f t="shared" si="7"/>
        <v>3833</v>
      </c>
      <c r="R85" s="77">
        <f t="shared" si="8"/>
        <v>3.0601922104198279E-2</v>
      </c>
      <c r="S85" s="79">
        <f t="shared" si="9"/>
        <v>96173</v>
      </c>
      <c r="T85" s="75">
        <f t="shared" si="10"/>
        <v>4607</v>
      </c>
      <c r="U85" s="75">
        <f t="shared" si="11"/>
        <v>91566</v>
      </c>
      <c r="V85" s="77">
        <f t="shared" si="12"/>
        <v>4.7903257671071925E-2</v>
      </c>
    </row>
    <row r="86" spans="1:22" ht="12.5" x14ac:dyDescent="0.25">
      <c r="A86" s="75">
        <f t="shared" si="60"/>
        <v>84</v>
      </c>
      <c r="B86" s="76">
        <v>44280</v>
      </c>
      <c r="C86" s="75">
        <v>3188</v>
      </c>
      <c r="D86" s="75">
        <v>45111</v>
      </c>
      <c r="E86" s="75">
        <f t="shared" si="0"/>
        <v>48299</v>
      </c>
      <c r="F86" s="77">
        <f t="shared" si="1"/>
        <v>6.6005507360400839E-2</v>
      </c>
      <c r="G86" s="75">
        <v>1476</v>
      </c>
      <c r="H86" s="75">
        <v>49101</v>
      </c>
      <c r="I86" s="75">
        <f t="shared" si="71"/>
        <v>50577</v>
      </c>
      <c r="J86" s="86">
        <f t="shared" si="72"/>
        <v>2.918322557684323E-2</v>
      </c>
      <c r="K86" s="75">
        <v>42</v>
      </c>
      <c r="L86" s="75">
        <v>974</v>
      </c>
      <c r="M86" s="79">
        <f t="shared" si="4"/>
        <v>1016</v>
      </c>
      <c r="N86" s="77">
        <f t="shared" si="5"/>
        <v>4.1338582677165357E-2</v>
      </c>
      <c r="O86" s="81">
        <f t="shared" ref="O86:P86" si="98">S86-S85</f>
        <v>3719</v>
      </c>
      <c r="P86" s="81">
        <f t="shared" si="98"/>
        <v>99</v>
      </c>
      <c r="Q86" s="81">
        <f t="shared" si="7"/>
        <v>3620</v>
      </c>
      <c r="R86" s="77">
        <f t="shared" si="8"/>
        <v>2.6620059155687013E-2</v>
      </c>
      <c r="S86" s="79">
        <f t="shared" si="9"/>
        <v>99892</v>
      </c>
      <c r="T86" s="75">
        <f t="shared" si="10"/>
        <v>4706</v>
      </c>
      <c r="U86" s="75">
        <f t="shared" si="11"/>
        <v>95186</v>
      </c>
      <c r="V86" s="77">
        <f t="shared" si="12"/>
        <v>4.711087975013014E-2</v>
      </c>
    </row>
    <row r="87" spans="1:22" ht="12.5" x14ac:dyDescent="0.25">
      <c r="A87" s="75">
        <f t="shared" si="60"/>
        <v>85</v>
      </c>
      <c r="B87" s="76">
        <v>44281</v>
      </c>
      <c r="C87" s="75">
        <v>3212</v>
      </c>
      <c r="D87" s="75">
        <v>45653</v>
      </c>
      <c r="E87" s="75">
        <f t="shared" si="0"/>
        <v>48865</v>
      </c>
      <c r="F87" s="77">
        <f t="shared" si="1"/>
        <v>6.5732119103652925E-2</v>
      </c>
      <c r="G87" s="75">
        <v>1558</v>
      </c>
      <c r="H87" s="75">
        <v>52324</v>
      </c>
      <c r="I87" s="75">
        <f t="shared" si="71"/>
        <v>53882</v>
      </c>
      <c r="J87" s="86">
        <f t="shared" si="72"/>
        <v>2.8915036561374854E-2</v>
      </c>
      <c r="K87" s="75">
        <v>42</v>
      </c>
      <c r="L87" s="75">
        <v>974</v>
      </c>
      <c r="M87" s="79">
        <f t="shared" si="4"/>
        <v>1016</v>
      </c>
      <c r="N87" s="77">
        <f t="shared" si="5"/>
        <v>4.1338582677165357E-2</v>
      </c>
      <c r="O87" s="81">
        <f t="shared" ref="O87:P87" si="99">S87-S86</f>
        <v>3871</v>
      </c>
      <c r="P87" s="81">
        <f t="shared" si="99"/>
        <v>106</v>
      </c>
      <c r="Q87" s="81">
        <f t="shared" si="7"/>
        <v>3765</v>
      </c>
      <c r="R87" s="77">
        <f t="shared" si="8"/>
        <v>2.7383105140790492E-2</v>
      </c>
      <c r="S87" s="79">
        <f t="shared" si="9"/>
        <v>103763</v>
      </c>
      <c r="T87" s="75">
        <f t="shared" si="10"/>
        <v>4812</v>
      </c>
      <c r="U87" s="75">
        <f t="shared" si="11"/>
        <v>98951</v>
      </c>
      <c r="V87" s="77">
        <f t="shared" si="12"/>
        <v>4.6374912059211855E-2</v>
      </c>
    </row>
    <row r="88" spans="1:22" ht="12.5" x14ac:dyDescent="0.25">
      <c r="A88" s="75">
        <f t="shared" si="60"/>
        <v>86</v>
      </c>
      <c r="B88" s="76">
        <v>44282</v>
      </c>
      <c r="C88" s="75">
        <v>3236</v>
      </c>
      <c r="D88" s="75">
        <v>46280</v>
      </c>
      <c r="E88" s="75">
        <f t="shared" si="0"/>
        <v>49516</v>
      </c>
      <c r="F88" s="77">
        <f t="shared" si="1"/>
        <v>6.5352613296712173E-2</v>
      </c>
      <c r="G88" s="75">
        <v>1638</v>
      </c>
      <c r="H88" s="75">
        <v>55383</v>
      </c>
      <c r="I88" s="75">
        <f t="shared" si="71"/>
        <v>57021</v>
      </c>
      <c r="J88" s="86">
        <f t="shared" si="72"/>
        <v>2.8726258746777502E-2</v>
      </c>
      <c r="K88" s="75">
        <v>42</v>
      </c>
      <c r="L88" s="75">
        <v>974</v>
      </c>
      <c r="M88" s="79">
        <f t="shared" si="4"/>
        <v>1016</v>
      </c>
      <c r="N88" s="77">
        <f t="shared" si="5"/>
        <v>4.1338582677165357E-2</v>
      </c>
      <c r="O88" s="81">
        <f t="shared" ref="O88:P88" si="100">S88-S87</f>
        <v>3790</v>
      </c>
      <c r="P88" s="81">
        <f t="shared" si="100"/>
        <v>104</v>
      </c>
      <c r="Q88" s="81">
        <f t="shared" si="7"/>
        <v>3686</v>
      </c>
      <c r="R88" s="77">
        <f t="shared" si="8"/>
        <v>2.7440633245382585E-2</v>
      </c>
      <c r="S88" s="79">
        <f t="shared" si="9"/>
        <v>107553</v>
      </c>
      <c r="T88" s="75">
        <f t="shared" si="10"/>
        <v>4916</v>
      </c>
      <c r="U88" s="75">
        <f t="shared" si="11"/>
        <v>102637</v>
      </c>
      <c r="V88" s="77">
        <f t="shared" si="12"/>
        <v>4.5707697600252901E-2</v>
      </c>
    </row>
    <row r="89" spans="1:22" ht="12.5" x14ac:dyDescent="0.25">
      <c r="A89" s="75">
        <f t="shared" si="60"/>
        <v>87</v>
      </c>
      <c r="B89" s="76">
        <v>44283</v>
      </c>
      <c r="C89" s="75">
        <v>3262</v>
      </c>
      <c r="D89" s="75">
        <v>46712</v>
      </c>
      <c r="E89" s="75">
        <f t="shared" si="0"/>
        <v>49974</v>
      </c>
      <c r="F89" s="77">
        <f t="shared" si="1"/>
        <v>6.5273942450074035E-2</v>
      </c>
      <c r="G89" s="75">
        <v>1669</v>
      </c>
      <c r="H89" s="75">
        <v>56539</v>
      </c>
      <c r="I89" s="75">
        <f t="shared" si="71"/>
        <v>58208</v>
      </c>
      <c r="J89" s="86">
        <f t="shared" si="72"/>
        <v>2.8673034634414514E-2</v>
      </c>
      <c r="K89" s="75">
        <v>42</v>
      </c>
      <c r="L89" s="75">
        <v>974</v>
      </c>
      <c r="M89" s="79">
        <f t="shared" si="4"/>
        <v>1016</v>
      </c>
      <c r="N89" s="77">
        <f t="shared" si="5"/>
        <v>4.1338582677165357E-2</v>
      </c>
      <c r="O89" s="81">
        <f t="shared" ref="O89:P89" si="101">S89-S88</f>
        <v>1645</v>
      </c>
      <c r="P89" s="81">
        <f t="shared" si="101"/>
        <v>57</v>
      </c>
      <c r="Q89" s="81">
        <f t="shared" si="7"/>
        <v>1588</v>
      </c>
      <c r="R89" s="77">
        <f t="shared" si="8"/>
        <v>3.4650455927051675E-2</v>
      </c>
      <c r="S89" s="79">
        <f t="shared" si="9"/>
        <v>109198</v>
      </c>
      <c r="T89" s="75">
        <f t="shared" si="10"/>
        <v>4973</v>
      </c>
      <c r="U89" s="75">
        <f t="shared" si="11"/>
        <v>104225</v>
      </c>
      <c r="V89" s="77">
        <f t="shared" si="12"/>
        <v>4.5541127126870452E-2</v>
      </c>
    </row>
    <row r="90" spans="1:22" ht="12.5" x14ac:dyDescent="0.25">
      <c r="A90" s="75">
        <f t="shared" si="60"/>
        <v>88</v>
      </c>
      <c r="B90" s="76">
        <v>44284</v>
      </c>
      <c r="C90" s="75">
        <v>3279</v>
      </c>
      <c r="D90" s="75">
        <v>47144</v>
      </c>
      <c r="E90" s="75">
        <f t="shared" si="0"/>
        <v>50423</v>
      </c>
      <c r="F90" s="77">
        <f t="shared" si="1"/>
        <v>6.5029847490232634E-2</v>
      </c>
      <c r="G90" s="75">
        <v>1700</v>
      </c>
      <c r="H90" s="75">
        <v>58019</v>
      </c>
      <c r="I90" s="75">
        <f t="shared" si="71"/>
        <v>59719</v>
      </c>
      <c r="J90" s="86">
        <f t="shared" si="72"/>
        <v>2.8466652154255763E-2</v>
      </c>
      <c r="K90" s="75">
        <v>42</v>
      </c>
      <c r="L90" s="75">
        <v>974</v>
      </c>
      <c r="M90" s="79">
        <f t="shared" si="4"/>
        <v>1016</v>
      </c>
      <c r="N90" s="77">
        <f t="shared" si="5"/>
        <v>4.1338582677165357E-2</v>
      </c>
      <c r="O90" s="81">
        <f t="shared" ref="O90:P90" si="102">S90-S89</f>
        <v>1960</v>
      </c>
      <c r="P90" s="81">
        <f t="shared" si="102"/>
        <v>48</v>
      </c>
      <c r="Q90" s="81">
        <f t="shared" si="7"/>
        <v>1912</v>
      </c>
      <c r="R90" s="77">
        <f t="shared" si="8"/>
        <v>2.4489795918367346E-2</v>
      </c>
      <c r="S90" s="79">
        <f t="shared" si="9"/>
        <v>111158</v>
      </c>
      <c r="T90" s="75">
        <f t="shared" si="10"/>
        <v>5021</v>
      </c>
      <c r="U90" s="75">
        <f t="shared" si="11"/>
        <v>106137</v>
      </c>
      <c r="V90" s="77">
        <f t="shared" si="12"/>
        <v>4.5169938286043293E-2</v>
      </c>
    </row>
    <row r="91" spans="1:22" ht="12.5" x14ac:dyDescent="0.25">
      <c r="A91" s="75">
        <f t="shared" si="60"/>
        <v>89</v>
      </c>
      <c r="B91" s="76">
        <v>44285</v>
      </c>
      <c r="C91" s="75">
        <v>3282</v>
      </c>
      <c r="D91" s="75">
        <v>47244</v>
      </c>
      <c r="E91" s="75">
        <f t="shared" si="0"/>
        <v>50526</v>
      </c>
      <c r="F91" s="77">
        <f t="shared" si="1"/>
        <v>6.4956655979099873E-2</v>
      </c>
      <c r="G91" s="75">
        <v>1766</v>
      </c>
      <c r="H91" s="75">
        <v>61581</v>
      </c>
      <c r="I91" s="75">
        <f t="shared" si="71"/>
        <v>63347</v>
      </c>
      <c r="J91" s="86">
        <f t="shared" si="72"/>
        <v>2.7878194705353056E-2</v>
      </c>
      <c r="K91" s="75">
        <v>42</v>
      </c>
      <c r="L91" s="75">
        <v>974</v>
      </c>
      <c r="M91" s="79">
        <f t="shared" si="4"/>
        <v>1016</v>
      </c>
      <c r="N91" s="77">
        <f t="shared" si="5"/>
        <v>4.1338582677165357E-2</v>
      </c>
      <c r="O91" s="81">
        <f t="shared" ref="O91:P91" si="103">S91-S90</f>
        <v>3731</v>
      </c>
      <c r="P91" s="81">
        <f t="shared" si="103"/>
        <v>69</v>
      </c>
      <c r="Q91" s="81">
        <f t="shared" si="7"/>
        <v>3662</v>
      </c>
      <c r="R91" s="77">
        <f t="shared" si="8"/>
        <v>1.8493701420530688E-2</v>
      </c>
      <c r="S91" s="79">
        <f t="shared" si="9"/>
        <v>114889</v>
      </c>
      <c r="T91" s="75">
        <f t="shared" si="10"/>
        <v>5090</v>
      </c>
      <c r="U91" s="75">
        <f t="shared" si="11"/>
        <v>109799</v>
      </c>
      <c r="V91" s="77">
        <f t="shared" si="12"/>
        <v>4.4303632201516244E-2</v>
      </c>
    </row>
    <row r="92" spans="1:22" ht="12.5" x14ac:dyDescent="0.25">
      <c r="A92" s="75">
        <f t="shared" si="60"/>
        <v>90</v>
      </c>
      <c r="B92" s="76">
        <v>44286</v>
      </c>
      <c r="C92" s="75">
        <v>3309</v>
      </c>
      <c r="D92" s="75">
        <v>47837</v>
      </c>
      <c r="E92" s="75">
        <f t="shared" si="0"/>
        <v>51146</v>
      </c>
      <c r="F92" s="77">
        <f t="shared" si="1"/>
        <v>6.4697141516443124E-2</v>
      </c>
      <c r="G92" s="75">
        <v>1827</v>
      </c>
      <c r="H92" s="75">
        <v>64697</v>
      </c>
      <c r="I92" s="75">
        <f t="shared" si="71"/>
        <v>66524</v>
      </c>
      <c r="J92" s="86">
        <f t="shared" si="72"/>
        <v>2.7463772473092417E-2</v>
      </c>
      <c r="K92" s="75">
        <v>42</v>
      </c>
      <c r="L92" s="75">
        <v>974</v>
      </c>
      <c r="M92" s="79">
        <f t="shared" si="4"/>
        <v>1016</v>
      </c>
      <c r="N92" s="77">
        <f t="shared" si="5"/>
        <v>4.1338582677165357E-2</v>
      </c>
      <c r="O92" s="81">
        <f t="shared" ref="O92:P92" si="104">S92-S91</f>
        <v>3797</v>
      </c>
      <c r="P92" s="81">
        <f t="shared" si="104"/>
        <v>88</v>
      </c>
      <c r="Q92" s="81">
        <f t="shared" si="7"/>
        <v>3709</v>
      </c>
      <c r="R92" s="77">
        <f t="shared" si="8"/>
        <v>2.3176191730313406E-2</v>
      </c>
      <c r="S92" s="79">
        <f t="shared" si="9"/>
        <v>118686</v>
      </c>
      <c r="T92" s="75">
        <f t="shared" si="10"/>
        <v>5178</v>
      </c>
      <c r="U92" s="75">
        <f t="shared" si="11"/>
        <v>113508</v>
      </c>
      <c r="V92" s="77">
        <f t="shared" si="12"/>
        <v>4.3627723573125728E-2</v>
      </c>
    </row>
    <row r="93" spans="1:22" ht="12.5" x14ac:dyDescent="0.25">
      <c r="A93" s="75">
        <f t="shared" si="60"/>
        <v>91</v>
      </c>
      <c r="B93" s="76">
        <v>44287</v>
      </c>
      <c r="C93" s="75">
        <v>3332</v>
      </c>
      <c r="D93" s="75">
        <v>48305</v>
      </c>
      <c r="E93" s="75">
        <f t="shared" si="0"/>
        <v>51637</v>
      </c>
      <c r="F93" s="77">
        <f t="shared" si="1"/>
        <v>6.4527373782365352E-2</v>
      </c>
      <c r="G93" s="75">
        <v>1882</v>
      </c>
      <c r="H93" s="75">
        <v>67806</v>
      </c>
      <c r="I93" s="75">
        <f t="shared" si="71"/>
        <v>69688</v>
      </c>
      <c r="J93" s="86">
        <f t="shared" si="72"/>
        <v>2.7006084261278842E-2</v>
      </c>
      <c r="K93" s="75">
        <v>42</v>
      </c>
      <c r="L93" s="75">
        <v>974</v>
      </c>
      <c r="M93" s="79">
        <f t="shared" si="4"/>
        <v>1016</v>
      </c>
      <c r="N93" s="77">
        <f t="shared" si="5"/>
        <v>4.1338582677165357E-2</v>
      </c>
      <c r="O93" s="81">
        <f t="shared" ref="O93:P93" si="105">S93-S92</f>
        <v>3655</v>
      </c>
      <c r="P93" s="81">
        <f t="shared" si="105"/>
        <v>78</v>
      </c>
      <c r="Q93" s="81">
        <f t="shared" si="7"/>
        <v>3577</v>
      </c>
      <c r="R93" s="77">
        <f t="shared" si="8"/>
        <v>2.13406292749658E-2</v>
      </c>
      <c r="S93" s="79">
        <f t="shared" si="9"/>
        <v>122341</v>
      </c>
      <c r="T93" s="75">
        <f t="shared" si="10"/>
        <v>5256</v>
      </c>
      <c r="U93" s="75">
        <f t="shared" si="11"/>
        <v>117085</v>
      </c>
      <c r="V93" s="77">
        <f t="shared" si="12"/>
        <v>4.2961885222452E-2</v>
      </c>
    </row>
    <row r="94" spans="1:22" ht="12.5" x14ac:dyDescent="0.25">
      <c r="A94" s="75">
        <f t="shared" si="60"/>
        <v>92</v>
      </c>
      <c r="B94" s="76">
        <v>44288</v>
      </c>
      <c r="C94" s="75">
        <v>3350</v>
      </c>
      <c r="D94" s="75">
        <v>48819</v>
      </c>
      <c r="E94" s="75">
        <f t="shared" si="0"/>
        <v>52169</v>
      </c>
      <c r="F94" s="77">
        <f t="shared" si="1"/>
        <v>6.4214380187467654E-2</v>
      </c>
      <c r="G94" s="75">
        <v>1932</v>
      </c>
      <c r="H94" s="75">
        <v>70607</v>
      </c>
      <c r="I94" s="75">
        <f t="shared" si="71"/>
        <v>72539</v>
      </c>
      <c r="J94" s="86">
        <f t="shared" si="72"/>
        <v>2.6633948634527633E-2</v>
      </c>
      <c r="K94" s="75">
        <v>42</v>
      </c>
      <c r="L94" s="75">
        <v>974</v>
      </c>
      <c r="M94" s="79">
        <f t="shared" si="4"/>
        <v>1016</v>
      </c>
      <c r="N94" s="77">
        <f t="shared" si="5"/>
        <v>4.1338582677165357E-2</v>
      </c>
      <c r="O94" s="81">
        <f t="shared" ref="O94:P94" si="106">S94-S93</f>
        <v>3383</v>
      </c>
      <c r="P94" s="81">
        <f t="shared" si="106"/>
        <v>68</v>
      </c>
      <c r="Q94" s="81">
        <f t="shared" si="7"/>
        <v>3315</v>
      </c>
      <c r="R94" s="77">
        <f t="shared" si="8"/>
        <v>2.0100502512562814E-2</v>
      </c>
      <c r="S94" s="79">
        <f t="shared" si="9"/>
        <v>125724</v>
      </c>
      <c r="T94" s="75">
        <f t="shared" si="10"/>
        <v>5324</v>
      </c>
      <c r="U94" s="75">
        <f t="shared" si="11"/>
        <v>120400</v>
      </c>
      <c r="V94" s="77">
        <f t="shared" si="12"/>
        <v>4.2346727752855459E-2</v>
      </c>
    </row>
    <row r="95" spans="1:22" ht="12.5" x14ac:dyDescent="0.25">
      <c r="A95" s="75">
        <f t="shared" si="60"/>
        <v>93</v>
      </c>
      <c r="B95" s="76">
        <v>44289</v>
      </c>
      <c r="C95" s="75">
        <v>3359</v>
      </c>
      <c r="D95" s="75">
        <v>49151</v>
      </c>
      <c r="E95" s="75">
        <f t="shared" si="0"/>
        <v>52510</v>
      </c>
      <c r="F95" s="77">
        <f t="shared" si="1"/>
        <v>6.3968767853742142E-2</v>
      </c>
      <c r="G95" s="75">
        <v>1953</v>
      </c>
      <c r="H95" s="75">
        <v>71876</v>
      </c>
      <c r="I95" s="75">
        <f t="shared" si="71"/>
        <v>73829</v>
      </c>
      <c r="J95" s="86">
        <f t="shared" si="72"/>
        <v>2.6453019816061438E-2</v>
      </c>
      <c r="K95" s="75">
        <v>42</v>
      </c>
      <c r="L95" s="75">
        <v>974</v>
      </c>
      <c r="M95" s="79">
        <f t="shared" si="4"/>
        <v>1016</v>
      </c>
      <c r="N95" s="77">
        <f t="shared" si="5"/>
        <v>4.1338582677165357E-2</v>
      </c>
      <c r="O95" s="81">
        <f t="shared" ref="O95:P95" si="107">S95-S94</f>
        <v>1631</v>
      </c>
      <c r="P95" s="81">
        <f t="shared" si="107"/>
        <v>30</v>
      </c>
      <c r="Q95" s="81">
        <f t="shared" si="7"/>
        <v>1601</v>
      </c>
      <c r="R95" s="77">
        <f t="shared" si="8"/>
        <v>1.8393623543838136E-2</v>
      </c>
      <c r="S95" s="79">
        <f t="shared" si="9"/>
        <v>127355</v>
      </c>
      <c r="T95" s="75">
        <f t="shared" si="10"/>
        <v>5354</v>
      </c>
      <c r="U95" s="75">
        <f t="shared" si="11"/>
        <v>122001</v>
      </c>
      <c r="V95" s="77">
        <f t="shared" si="12"/>
        <v>4.2039967021318361E-2</v>
      </c>
    </row>
    <row r="96" spans="1:22" ht="12.5" x14ac:dyDescent="0.25">
      <c r="A96" s="75">
        <f t="shared" si="60"/>
        <v>94</v>
      </c>
      <c r="B96" s="76">
        <v>44290</v>
      </c>
      <c r="C96" s="75">
        <v>3362</v>
      </c>
      <c r="D96" s="75">
        <v>49225</v>
      </c>
      <c r="E96" s="75">
        <f t="shared" si="0"/>
        <v>52587</v>
      </c>
      <c r="F96" s="77">
        <f t="shared" si="1"/>
        <v>6.3932150531500184E-2</v>
      </c>
      <c r="G96" s="75">
        <v>2001</v>
      </c>
      <c r="H96" s="75">
        <v>73967</v>
      </c>
      <c r="I96" s="75">
        <f t="shared" si="71"/>
        <v>75968</v>
      </c>
      <c r="J96" s="86">
        <f t="shared" si="72"/>
        <v>2.6340037910699242E-2</v>
      </c>
      <c r="K96" s="75">
        <v>42</v>
      </c>
      <c r="L96" s="75">
        <v>974</v>
      </c>
      <c r="M96" s="79">
        <f t="shared" si="4"/>
        <v>1016</v>
      </c>
      <c r="N96" s="77">
        <f t="shared" si="5"/>
        <v>4.1338582677165357E-2</v>
      </c>
      <c r="O96" s="81">
        <f t="shared" ref="O96:P96" si="108">S96-S95</f>
        <v>2216</v>
      </c>
      <c r="P96" s="81">
        <f t="shared" si="108"/>
        <v>51</v>
      </c>
      <c r="Q96" s="81">
        <f t="shared" si="7"/>
        <v>2165</v>
      </c>
      <c r="R96" s="77">
        <f t="shared" si="8"/>
        <v>2.3014440433212997E-2</v>
      </c>
      <c r="S96" s="79">
        <f t="shared" si="9"/>
        <v>129571</v>
      </c>
      <c r="T96" s="75">
        <f t="shared" si="10"/>
        <v>5405</v>
      </c>
      <c r="U96" s="75">
        <f t="shared" si="11"/>
        <v>124166</v>
      </c>
      <c r="V96" s="77">
        <f t="shared" si="12"/>
        <v>4.1714581194866138E-2</v>
      </c>
    </row>
    <row r="97" spans="1:22" ht="12.5" x14ac:dyDescent="0.25">
      <c r="A97" s="75">
        <f t="shared" si="60"/>
        <v>95</v>
      </c>
      <c r="B97" s="76">
        <v>44291</v>
      </c>
      <c r="C97" s="75">
        <v>3367</v>
      </c>
      <c r="D97" s="75">
        <v>49415</v>
      </c>
      <c r="E97" s="75">
        <f t="shared" si="0"/>
        <v>52782</v>
      </c>
      <c r="F97" s="77">
        <f t="shared" si="1"/>
        <v>6.379068621878671E-2</v>
      </c>
      <c r="G97" s="75">
        <v>2016</v>
      </c>
      <c r="H97" s="75">
        <v>75543</v>
      </c>
      <c r="I97" s="75">
        <f t="shared" si="71"/>
        <v>77559</v>
      </c>
      <c r="J97" s="86">
        <f t="shared" si="72"/>
        <v>2.5993114918964916E-2</v>
      </c>
      <c r="K97" s="75">
        <v>42</v>
      </c>
      <c r="L97" s="75">
        <v>974</v>
      </c>
      <c r="M97" s="79">
        <f t="shared" si="4"/>
        <v>1016</v>
      </c>
      <c r="N97" s="77">
        <f t="shared" si="5"/>
        <v>4.1338582677165357E-2</v>
      </c>
      <c r="O97" s="81">
        <f t="shared" ref="O97:P97" si="109">S97-S96</f>
        <v>1786</v>
      </c>
      <c r="P97" s="81">
        <f t="shared" si="109"/>
        <v>20</v>
      </c>
      <c r="Q97" s="81">
        <f t="shared" si="7"/>
        <v>1766</v>
      </c>
      <c r="R97" s="77">
        <f t="shared" si="8"/>
        <v>1.1198208286674132E-2</v>
      </c>
      <c r="S97" s="79">
        <f t="shared" si="9"/>
        <v>131357</v>
      </c>
      <c r="T97" s="75">
        <f t="shared" si="10"/>
        <v>5425</v>
      </c>
      <c r="U97" s="75">
        <f t="shared" si="11"/>
        <v>125932</v>
      </c>
      <c r="V97" s="77">
        <f t="shared" si="12"/>
        <v>4.1299664273696871E-2</v>
      </c>
    </row>
    <row r="98" spans="1:22" ht="12.5" x14ac:dyDescent="0.25">
      <c r="A98" s="75">
        <f t="shared" si="60"/>
        <v>96</v>
      </c>
      <c r="B98" s="76">
        <v>44292</v>
      </c>
      <c r="C98" s="75">
        <v>3369</v>
      </c>
      <c r="D98" s="75">
        <v>49475</v>
      </c>
      <c r="E98" s="75">
        <f t="shared" si="0"/>
        <v>52844</v>
      </c>
      <c r="F98" s="77">
        <f t="shared" si="1"/>
        <v>6.3753690106729238E-2</v>
      </c>
      <c r="G98" s="75">
        <v>2089</v>
      </c>
      <c r="H98" s="75">
        <v>79781</v>
      </c>
      <c r="I98" s="75">
        <f t="shared" si="71"/>
        <v>81870</v>
      </c>
      <c r="J98" s="86">
        <f t="shared" si="72"/>
        <v>2.5516062049590813E-2</v>
      </c>
      <c r="K98" s="75">
        <v>42</v>
      </c>
      <c r="L98" s="75">
        <v>974</v>
      </c>
      <c r="M98" s="79">
        <f t="shared" si="4"/>
        <v>1016</v>
      </c>
      <c r="N98" s="77">
        <f t="shared" si="5"/>
        <v>4.1338582677165357E-2</v>
      </c>
      <c r="O98" s="81">
        <f t="shared" ref="O98:P98" si="110">S98-S97</f>
        <v>4373</v>
      </c>
      <c r="P98" s="81">
        <f t="shared" si="110"/>
        <v>75</v>
      </c>
      <c r="Q98" s="81">
        <f t="shared" si="7"/>
        <v>4298</v>
      </c>
      <c r="R98" s="77">
        <f t="shared" si="8"/>
        <v>1.7150697461696774E-2</v>
      </c>
      <c r="S98" s="79">
        <f t="shared" si="9"/>
        <v>135730</v>
      </c>
      <c r="T98" s="75">
        <f t="shared" si="10"/>
        <v>5500</v>
      </c>
      <c r="U98" s="75">
        <f t="shared" si="11"/>
        <v>130230</v>
      </c>
      <c r="V98" s="77">
        <f t="shared" si="12"/>
        <v>4.0521623811979664E-2</v>
      </c>
    </row>
    <row r="99" spans="1:22" ht="12.5" x14ac:dyDescent="0.25">
      <c r="A99" s="75">
        <f t="shared" si="60"/>
        <v>97</v>
      </c>
      <c r="B99" s="76">
        <v>44293</v>
      </c>
      <c r="C99" s="75">
        <v>3387</v>
      </c>
      <c r="D99" s="75">
        <v>49908</v>
      </c>
      <c r="E99" s="75">
        <f t="shared" si="0"/>
        <v>53295</v>
      </c>
      <c r="F99" s="77">
        <f t="shared" si="1"/>
        <v>6.355192794821278E-2</v>
      </c>
      <c r="G99" s="75">
        <v>2145</v>
      </c>
      <c r="H99" s="75">
        <v>82939</v>
      </c>
      <c r="I99" s="75">
        <f t="shared" si="71"/>
        <v>85084</v>
      </c>
      <c r="J99" s="86">
        <f t="shared" si="72"/>
        <v>2.5210380330026799E-2</v>
      </c>
      <c r="K99" s="75">
        <v>42</v>
      </c>
      <c r="L99" s="75">
        <v>974</v>
      </c>
      <c r="M99" s="79">
        <f t="shared" si="4"/>
        <v>1016</v>
      </c>
      <c r="N99" s="77">
        <f t="shared" si="5"/>
        <v>4.1338582677165357E-2</v>
      </c>
      <c r="O99" s="81">
        <f t="shared" ref="O99:P99" si="111">S99-S98</f>
        <v>3665</v>
      </c>
      <c r="P99" s="81">
        <f t="shared" si="111"/>
        <v>74</v>
      </c>
      <c r="Q99" s="81">
        <f t="shared" si="7"/>
        <v>3591</v>
      </c>
      <c r="R99" s="77">
        <f t="shared" si="8"/>
        <v>2.0190995907230558E-2</v>
      </c>
      <c r="S99" s="79">
        <f t="shared" si="9"/>
        <v>139395</v>
      </c>
      <c r="T99" s="75">
        <f t="shared" si="10"/>
        <v>5574</v>
      </c>
      <c r="U99" s="75">
        <f t="shared" si="11"/>
        <v>133821</v>
      </c>
      <c r="V99" s="77">
        <f t="shared" si="12"/>
        <v>3.9987087054772406E-2</v>
      </c>
    </row>
    <row r="100" spans="1:22" ht="12.5" x14ac:dyDescent="0.25">
      <c r="A100" s="75">
        <f t="shared" si="60"/>
        <v>98</v>
      </c>
      <c r="B100" s="76">
        <v>44294</v>
      </c>
      <c r="C100" s="75">
        <v>3410</v>
      </c>
      <c r="D100" s="75">
        <v>50411</v>
      </c>
      <c r="E100" s="75">
        <f t="shared" si="0"/>
        <v>53821</v>
      </c>
      <c r="F100" s="77">
        <f t="shared" si="1"/>
        <v>6.3358168744542087E-2</v>
      </c>
      <c r="G100" s="75">
        <v>2218</v>
      </c>
      <c r="H100" s="75">
        <v>86646</v>
      </c>
      <c r="I100" s="75">
        <f t="shared" si="71"/>
        <v>88864</v>
      </c>
      <c r="J100" s="86">
        <f t="shared" si="72"/>
        <v>2.495948865682391E-2</v>
      </c>
      <c r="K100" s="75">
        <v>42</v>
      </c>
      <c r="L100" s="75">
        <v>974</v>
      </c>
      <c r="M100" s="79">
        <f t="shared" si="4"/>
        <v>1016</v>
      </c>
      <c r="N100" s="77">
        <f t="shared" si="5"/>
        <v>4.1338582677165357E-2</v>
      </c>
      <c r="O100" s="81">
        <f t="shared" ref="O100:P100" si="112">S100-S99</f>
        <v>4306</v>
      </c>
      <c r="P100" s="81">
        <f t="shared" si="112"/>
        <v>96</v>
      </c>
      <c r="Q100" s="81">
        <f t="shared" si="7"/>
        <v>4210</v>
      </c>
      <c r="R100" s="77">
        <f t="shared" si="8"/>
        <v>2.2294472828611241E-2</v>
      </c>
      <c r="S100" s="79">
        <f t="shared" si="9"/>
        <v>143701</v>
      </c>
      <c r="T100" s="75">
        <f t="shared" si="10"/>
        <v>5670</v>
      </c>
      <c r="U100" s="75">
        <f t="shared" si="11"/>
        <v>138031</v>
      </c>
      <c r="V100" s="77">
        <f t="shared" si="12"/>
        <v>3.9456927926736766E-2</v>
      </c>
    </row>
    <row r="101" spans="1:22" ht="12.5" x14ac:dyDescent="0.25">
      <c r="A101" s="75">
        <f t="shared" si="60"/>
        <v>99</v>
      </c>
      <c r="B101" s="76">
        <v>44295</v>
      </c>
      <c r="C101" s="75">
        <v>3431</v>
      </c>
      <c r="D101" s="75">
        <v>50905</v>
      </c>
      <c r="E101" s="75">
        <f t="shared" si="0"/>
        <v>54336</v>
      </c>
      <c r="F101" s="77">
        <f t="shared" si="1"/>
        <v>6.3144140164899887E-2</v>
      </c>
      <c r="G101" s="75">
        <v>2301</v>
      </c>
      <c r="H101" s="75">
        <v>90667</v>
      </c>
      <c r="I101" s="75">
        <f t="shared" si="71"/>
        <v>92968</v>
      </c>
      <c r="J101" s="86">
        <f t="shared" si="72"/>
        <v>2.47504517683504E-2</v>
      </c>
      <c r="K101" s="75">
        <v>42</v>
      </c>
      <c r="L101" s="75">
        <v>974</v>
      </c>
      <c r="M101" s="79">
        <f t="shared" si="4"/>
        <v>1016</v>
      </c>
      <c r="N101" s="77">
        <f t="shared" si="5"/>
        <v>4.1338582677165357E-2</v>
      </c>
      <c r="O101" s="81">
        <f t="shared" ref="O101:P101" si="113">S101-S100</f>
        <v>4619</v>
      </c>
      <c r="P101" s="81">
        <f t="shared" si="113"/>
        <v>104</v>
      </c>
      <c r="Q101" s="81">
        <f t="shared" si="7"/>
        <v>4515</v>
      </c>
      <c r="R101" s="77">
        <f t="shared" si="8"/>
        <v>2.2515696038103484E-2</v>
      </c>
      <c r="S101" s="79">
        <f t="shared" si="9"/>
        <v>148320</v>
      </c>
      <c r="T101" s="75">
        <f t="shared" si="10"/>
        <v>5774</v>
      </c>
      <c r="U101" s="75">
        <f t="shared" si="11"/>
        <v>142546</v>
      </c>
      <c r="V101" s="77">
        <f t="shared" si="12"/>
        <v>3.8929341963322546E-2</v>
      </c>
    </row>
    <row r="102" spans="1:22" ht="12.5" x14ac:dyDescent="0.25">
      <c r="A102" s="75">
        <f t="shared" si="60"/>
        <v>100</v>
      </c>
      <c r="B102" s="76">
        <v>44296</v>
      </c>
      <c r="C102" s="75">
        <v>3451</v>
      </c>
      <c r="D102" s="75">
        <v>51413</v>
      </c>
      <c r="E102" s="75">
        <f t="shared" si="0"/>
        <v>54864</v>
      </c>
      <c r="F102" s="77">
        <f t="shared" si="1"/>
        <v>6.2900991542723828E-2</v>
      </c>
      <c r="G102" s="75">
        <v>2346</v>
      </c>
      <c r="H102" s="75">
        <v>94175</v>
      </c>
      <c r="I102" s="75">
        <f t="shared" si="71"/>
        <v>96521</v>
      </c>
      <c r="J102" s="86">
        <f t="shared" si="72"/>
        <v>2.4305591529304504E-2</v>
      </c>
      <c r="K102" s="75">
        <v>42</v>
      </c>
      <c r="L102" s="75">
        <v>974</v>
      </c>
      <c r="M102" s="79">
        <f t="shared" si="4"/>
        <v>1016</v>
      </c>
      <c r="N102" s="77">
        <f t="shared" si="5"/>
        <v>4.1338582677165357E-2</v>
      </c>
      <c r="O102" s="81">
        <f t="shared" ref="O102:P102" si="114">S102-S101</f>
        <v>4081</v>
      </c>
      <c r="P102" s="81">
        <f t="shared" si="114"/>
        <v>65</v>
      </c>
      <c r="Q102" s="81">
        <f t="shared" si="7"/>
        <v>4016</v>
      </c>
      <c r="R102" s="77">
        <f t="shared" si="8"/>
        <v>1.5927468757657437E-2</v>
      </c>
      <c r="S102" s="79">
        <f t="shared" si="9"/>
        <v>152401</v>
      </c>
      <c r="T102" s="75">
        <f t="shared" si="10"/>
        <v>5839</v>
      </c>
      <c r="U102" s="75">
        <f t="shared" si="11"/>
        <v>146562</v>
      </c>
      <c r="V102" s="77">
        <f t="shared" si="12"/>
        <v>3.8313396893721173E-2</v>
      </c>
    </row>
    <row r="103" spans="1:22" ht="12.5" x14ac:dyDescent="0.25">
      <c r="A103" s="75">
        <f t="shared" si="60"/>
        <v>101</v>
      </c>
      <c r="B103" s="76">
        <v>44297</v>
      </c>
      <c r="C103" s="75">
        <v>3474</v>
      </c>
      <c r="D103" s="75">
        <v>52050</v>
      </c>
      <c r="E103" s="75">
        <f t="shared" si="0"/>
        <v>55524</v>
      </c>
      <c r="F103" s="77">
        <f t="shared" si="1"/>
        <v>6.2567538361789493E-2</v>
      </c>
      <c r="G103" s="75">
        <v>2382</v>
      </c>
      <c r="H103" s="75">
        <v>96029</v>
      </c>
      <c r="I103" s="75">
        <f t="shared" si="71"/>
        <v>98411</v>
      </c>
      <c r="J103" s="86">
        <f t="shared" si="72"/>
        <v>2.4204611273130037E-2</v>
      </c>
      <c r="K103" s="75">
        <v>42</v>
      </c>
      <c r="L103" s="75">
        <v>974</v>
      </c>
      <c r="M103" s="79">
        <f t="shared" si="4"/>
        <v>1016</v>
      </c>
      <c r="N103" s="77">
        <f t="shared" si="5"/>
        <v>4.1338582677165357E-2</v>
      </c>
      <c r="O103" s="81">
        <f t="shared" ref="O103:P103" si="115">S103-S102</f>
        <v>2550</v>
      </c>
      <c r="P103" s="81">
        <f t="shared" si="115"/>
        <v>59</v>
      </c>
      <c r="Q103" s="81">
        <f t="shared" si="7"/>
        <v>2491</v>
      </c>
      <c r="R103" s="77">
        <f t="shared" si="8"/>
        <v>2.3137254901960783E-2</v>
      </c>
      <c r="S103" s="79">
        <f t="shared" si="9"/>
        <v>154951</v>
      </c>
      <c r="T103" s="75">
        <f t="shared" si="10"/>
        <v>5898</v>
      </c>
      <c r="U103" s="75">
        <f t="shared" si="11"/>
        <v>149053</v>
      </c>
      <c r="V103" s="77">
        <f t="shared" si="12"/>
        <v>3.806364592677685E-2</v>
      </c>
    </row>
    <row r="104" spans="1:22" ht="12.5" x14ac:dyDescent="0.25">
      <c r="A104" s="75">
        <f t="shared" si="60"/>
        <v>102</v>
      </c>
      <c r="B104" s="76">
        <v>44298</v>
      </c>
      <c r="C104" s="75">
        <v>3498</v>
      </c>
      <c r="D104" s="75">
        <v>52247</v>
      </c>
      <c r="E104" s="75">
        <f t="shared" si="0"/>
        <v>55745</v>
      </c>
      <c r="F104" s="77">
        <f t="shared" si="1"/>
        <v>6.2750022423535737E-2</v>
      </c>
      <c r="G104" s="75">
        <v>2407</v>
      </c>
      <c r="H104" s="75">
        <v>97594</v>
      </c>
      <c r="I104" s="75">
        <f t="shared" si="71"/>
        <v>100001</v>
      </c>
      <c r="J104" s="86">
        <f t="shared" si="72"/>
        <v>2.4069759302406978E-2</v>
      </c>
      <c r="K104" s="75">
        <v>42</v>
      </c>
      <c r="L104" s="75">
        <v>974</v>
      </c>
      <c r="M104" s="79">
        <f t="shared" si="4"/>
        <v>1016</v>
      </c>
      <c r="N104" s="77">
        <f t="shared" si="5"/>
        <v>4.1338582677165357E-2</v>
      </c>
      <c r="O104" s="81">
        <f t="shared" ref="O104:P104" si="116">S104-S103</f>
        <v>1811</v>
      </c>
      <c r="P104" s="81">
        <f t="shared" si="116"/>
        <v>49</v>
      </c>
      <c r="Q104" s="81">
        <f t="shared" si="7"/>
        <v>1762</v>
      </c>
      <c r="R104" s="77">
        <f t="shared" si="8"/>
        <v>2.7056874654886803E-2</v>
      </c>
      <c r="S104" s="79">
        <f t="shared" si="9"/>
        <v>156762</v>
      </c>
      <c r="T104" s="75">
        <f t="shared" si="10"/>
        <v>5947</v>
      </c>
      <c r="U104" s="75">
        <f t="shared" si="11"/>
        <v>150815</v>
      </c>
      <c r="V104" s="77">
        <f t="shared" si="12"/>
        <v>3.793648971051658E-2</v>
      </c>
    </row>
    <row r="105" spans="1:22" ht="12.5" x14ac:dyDescent="0.25">
      <c r="A105" s="75">
        <f t="shared" si="60"/>
        <v>103</v>
      </c>
      <c r="B105" s="76">
        <v>44299</v>
      </c>
      <c r="C105" s="75">
        <v>3499</v>
      </c>
      <c r="D105" s="75">
        <v>52558</v>
      </c>
      <c r="E105" s="75">
        <f t="shared" si="0"/>
        <v>56057</v>
      </c>
      <c r="F105" s="77">
        <f t="shared" si="1"/>
        <v>6.2418609629484277E-2</v>
      </c>
      <c r="G105" s="75">
        <v>2472</v>
      </c>
      <c r="H105" s="75">
        <v>101106</v>
      </c>
      <c r="I105" s="75">
        <f t="shared" si="71"/>
        <v>103578</v>
      </c>
      <c r="J105" s="86">
        <f t="shared" si="72"/>
        <v>2.3866071945779992E-2</v>
      </c>
      <c r="K105" s="75">
        <v>42</v>
      </c>
      <c r="L105" s="75">
        <v>974</v>
      </c>
      <c r="M105" s="79">
        <f t="shared" si="4"/>
        <v>1016</v>
      </c>
      <c r="N105" s="77">
        <f t="shared" si="5"/>
        <v>4.1338582677165357E-2</v>
      </c>
      <c r="O105" s="81">
        <f t="shared" ref="O105:P105" si="117">S105-S104</f>
        <v>3889</v>
      </c>
      <c r="P105" s="81">
        <f t="shared" si="117"/>
        <v>66</v>
      </c>
      <c r="Q105" s="81">
        <f t="shared" si="7"/>
        <v>3823</v>
      </c>
      <c r="R105" s="77">
        <f t="shared" si="8"/>
        <v>1.6970943687323218E-2</v>
      </c>
      <c r="S105" s="79">
        <f t="shared" si="9"/>
        <v>160651</v>
      </c>
      <c r="T105" s="75">
        <f t="shared" si="10"/>
        <v>6013</v>
      </c>
      <c r="U105" s="75">
        <f t="shared" si="11"/>
        <v>154638</v>
      </c>
      <c r="V105" s="77">
        <f t="shared" si="12"/>
        <v>3.742896091527597E-2</v>
      </c>
    </row>
    <row r="106" spans="1:22" ht="12.5" x14ac:dyDescent="0.25">
      <c r="A106" s="75">
        <f t="shared" si="60"/>
        <v>104</v>
      </c>
      <c r="B106" s="76">
        <v>44300</v>
      </c>
      <c r="C106" s="75">
        <v>3524</v>
      </c>
      <c r="D106" s="75">
        <v>53336</v>
      </c>
      <c r="E106" s="75">
        <f t="shared" si="0"/>
        <v>56860</v>
      </c>
      <c r="F106" s="77">
        <f t="shared" si="1"/>
        <v>6.1976785086176572E-2</v>
      </c>
      <c r="G106" s="75">
        <v>2533</v>
      </c>
      <c r="H106" s="75">
        <v>104284</v>
      </c>
      <c r="I106" s="75">
        <f t="shared" si="71"/>
        <v>106817</v>
      </c>
      <c r="J106" s="86">
        <f t="shared" si="72"/>
        <v>2.3713453850978776E-2</v>
      </c>
      <c r="K106" s="75">
        <v>42</v>
      </c>
      <c r="L106" s="75">
        <v>974</v>
      </c>
      <c r="M106" s="79">
        <f t="shared" si="4"/>
        <v>1016</v>
      </c>
      <c r="N106" s="77">
        <f t="shared" si="5"/>
        <v>4.1338582677165357E-2</v>
      </c>
      <c r="O106" s="81">
        <f t="shared" ref="O106:P106" si="118">S106-S105</f>
        <v>4042</v>
      </c>
      <c r="P106" s="81">
        <f t="shared" si="118"/>
        <v>86</v>
      </c>
      <c r="Q106" s="81">
        <f t="shared" si="7"/>
        <v>3956</v>
      </c>
      <c r="R106" s="77">
        <f t="shared" si="8"/>
        <v>2.1276595744680851E-2</v>
      </c>
      <c r="S106" s="79">
        <f t="shared" si="9"/>
        <v>164693</v>
      </c>
      <c r="T106" s="75">
        <f t="shared" si="10"/>
        <v>6099</v>
      </c>
      <c r="U106" s="75">
        <f t="shared" si="11"/>
        <v>158594</v>
      </c>
      <c r="V106" s="77">
        <f t="shared" si="12"/>
        <v>3.7032539330754802E-2</v>
      </c>
    </row>
    <row r="107" spans="1:22" ht="12.5" x14ac:dyDescent="0.25">
      <c r="A107" s="75">
        <f t="shared" si="60"/>
        <v>105</v>
      </c>
      <c r="B107" s="76">
        <v>44301</v>
      </c>
      <c r="C107" s="75">
        <v>3538</v>
      </c>
      <c r="D107" s="75">
        <v>54047</v>
      </c>
      <c r="E107" s="75">
        <f t="shared" si="0"/>
        <v>57585</v>
      </c>
      <c r="F107" s="77">
        <f t="shared" si="1"/>
        <v>6.143961100981158E-2</v>
      </c>
      <c r="G107" s="75">
        <v>2585</v>
      </c>
      <c r="H107" s="75">
        <v>106768</v>
      </c>
      <c r="I107" s="75">
        <f t="shared" si="71"/>
        <v>109353</v>
      </c>
      <c r="J107" s="86">
        <f t="shared" si="72"/>
        <v>2.363904053843973E-2</v>
      </c>
      <c r="K107" s="75">
        <v>42</v>
      </c>
      <c r="L107" s="75">
        <v>974</v>
      </c>
      <c r="M107" s="79">
        <f t="shared" si="4"/>
        <v>1016</v>
      </c>
      <c r="N107" s="77">
        <f t="shared" si="5"/>
        <v>4.1338582677165357E-2</v>
      </c>
      <c r="O107" s="81">
        <f t="shared" ref="O107:P107" si="119">S107-S106</f>
        <v>3261</v>
      </c>
      <c r="P107" s="81">
        <f t="shared" si="119"/>
        <v>66</v>
      </c>
      <c r="Q107" s="81">
        <f t="shared" si="7"/>
        <v>3195</v>
      </c>
      <c r="R107" s="77">
        <f t="shared" si="8"/>
        <v>2.0239190432382703E-2</v>
      </c>
      <c r="S107" s="79">
        <f t="shared" si="9"/>
        <v>167954</v>
      </c>
      <c r="T107" s="75">
        <f t="shared" si="10"/>
        <v>6165</v>
      </c>
      <c r="U107" s="75">
        <f t="shared" si="11"/>
        <v>161789</v>
      </c>
      <c r="V107" s="77">
        <f t="shared" si="12"/>
        <v>3.670647915500673E-2</v>
      </c>
    </row>
    <row r="108" spans="1:22" ht="12.5" x14ac:dyDescent="0.25">
      <c r="A108" s="75">
        <f t="shared" si="60"/>
        <v>106</v>
      </c>
      <c r="B108" s="76">
        <v>44302</v>
      </c>
      <c r="C108" s="75">
        <v>3554</v>
      </c>
      <c r="D108" s="75">
        <v>54754</v>
      </c>
      <c r="E108" s="75">
        <f t="shared" si="0"/>
        <v>58308</v>
      </c>
      <c r="F108" s="77">
        <f t="shared" si="1"/>
        <v>6.0952184948892089E-2</v>
      </c>
      <c r="G108" s="75">
        <v>2637</v>
      </c>
      <c r="H108" s="75">
        <v>110575</v>
      </c>
      <c r="I108" s="75">
        <f t="shared" si="71"/>
        <v>113212</v>
      </c>
      <c r="J108" s="86">
        <f t="shared" si="72"/>
        <v>2.3292583825036215E-2</v>
      </c>
      <c r="K108" s="75">
        <v>42</v>
      </c>
      <c r="L108" s="75">
        <v>974</v>
      </c>
      <c r="M108" s="79">
        <f t="shared" si="4"/>
        <v>1016</v>
      </c>
      <c r="N108" s="77">
        <f t="shared" si="5"/>
        <v>4.1338582677165357E-2</v>
      </c>
      <c r="O108" s="81">
        <f t="shared" ref="O108:P108" si="120">S108-S107</f>
        <v>4582</v>
      </c>
      <c r="P108" s="81">
        <f t="shared" si="120"/>
        <v>68</v>
      </c>
      <c r="Q108" s="81">
        <f t="shared" si="7"/>
        <v>4514</v>
      </c>
      <c r="R108" s="77">
        <f t="shared" si="8"/>
        <v>1.4840680925360105E-2</v>
      </c>
      <c r="S108" s="79">
        <f t="shared" si="9"/>
        <v>172536</v>
      </c>
      <c r="T108" s="75">
        <f t="shared" si="10"/>
        <v>6233</v>
      </c>
      <c r="U108" s="75">
        <f t="shared" si="11"/>
        <v>166303</v>
      </c>
      <c r="V108" s="77">
        <f t="shared" si="12"/>
        <v>3.6125794037186444E-2</v>
      </c>
    </row>
    <row r="109" spans="1:22" ht="12.5" x14ac:dyDescent="0.25">
      <c r="A109" s="75">
        <f t="shared" si="60"/>
        <v>107</v>
      </c>
      <c r="B109" s="76">
        <v>44303</v>
      </c>
      <c r="C109" s="75">
        <v>3570</v>
      </c>
      <c r="D109" s="75">
        <v>55572</v>
      </c>
      <c r="E109" s="75">
        <f t="shared" si="0"/>
        <v>59142</v>
      </c>
      <c r="F109" s="77">
        <f t="shared" si="1"/>
        <v>6.0363193669473472E-2</v>
      </c>
      <c r="G109" s="75">
        <v>2694</v>
      </c>
      <c r="H109" s="75">
        <v>113134</v>
      </c>
      <c r="I109" s="75">
        <f t="shared" si="71"/>
        <v>115828</v>
      </c>
      <c r="J109" s="86">
        <f t="shared" si="72"/>
        <v>2.3258624857547396E-2</v>
      </c>
      <c r="K109" s="75">
        <v>42</v>
      </c>
      <c r="L109" s="75">
        <v>974</v>
      </c>
      <c r="M109" s="79">
        <f t="shared" si="4"/>
        <v>1016</v>
      </c>
      <c r="N109" s="77">
        <f t="shared" si="5"/>
        <v>4.1338582677165357E-2</v>
      </c>
      <c r="O109" s="81">
        <f t="shared" ref="O109:P109" si="121">S109-S108</f>
        <v>3450</v>
      </c>
      <c r="P109" s="81">
        <f t="shared" si="121"/>
        <v>73</v>
      </c>
      <c r="Q109" s="81">
        <f t="shared" si="7"/>
        <v>3377</v>
      </c>
      <c r="R109" s="77">
        <f t="shared" si="8"/>
        <v>2.1159420289855072E-2</v>
      </c>
      <c r="S109" s="79">
        <f t="shared" si="9"/>
        <v>175986</v>
      </c>
      <c r="T109" s="75">
        <f t="shared" si="10"/>
        <v>6306</v>
      </c>
      <c r="U109" s="75">
        <f t="shared" si="11"/>
        <v>169680</v>
      </c>
      <c r="V109" s="77">
        <f t="shared" si="12"/>
        <v>3.5832395758753535E-2</v>
      </c>
    </row>
    <row r="110" spans="1:22" ht="12.5" x14ac:dyDescent="0.25">
      <c r="A110" s="75">
        <f t="shared" si="60"/>
        <v>108</v>
      </c>
      <c r="B110" s="76">
        <v>44304</v>
      </c>
      <c r="C110" s="75">
        <v>3596</v>
      </c>
      <c r="D110" s="75">
        <v>56164</v>
      </c>
      <c r="E110" s="75">
        <f t="shared" si="0"/>
        <v>59760</v>
      </c>
      <c r="F110" s="77">
        <f t="shared" si="1"/>
        <v>6.0174029451137888E-2</v>
      </c>
      <c r="G110" s="75">
        <v>2756</v>
      </c>
      <c r="H110" s="75">
        <v>115455</v>
      </c>
      <c r="I110" s="75">
        <f t="shared" si="71"/>
        <v>118211</v>
      </c>
      <c r="J110" s="86">
        <f t="shared" si="72"/>
        <v>2.3314243175339013E-2</v>
      </c>
      <c r="K110" s="75">
        <v>42</v>
      </c>
      <c r="L110" s="75">
        <v>974</v>
      </c>
      <c r="M110" s="79">
        <f t="shared" si="4"/>
        <v>1016</v>
      </c>
      <c r="N110" s="77">
        <f t="shared" si="5"/>
        <v>4.1338582677165357E-2</v>
      </c>
      <c r="O110" s="81">
        <f t="shared" ref="O110:P110" si="122">S110-S109</f>
        <v>3001</v>
      </c>
      <c r="P110" s="81">
        <f t="shared" si="122"/>
        <v>88</v>
      </c>
      <c r="Q110" s="81">
        <f t="shared" si="7"/>
        <v>2913</v>
      </c>
      <c r="R110" s="77">
        <f t="shared" si="8"/>
        <v>2.9323558813728758E-2</v>
      </c>
      <c r="S110" s="79">
        <f t="shared" si="9"/>
        <v>178987</v>
      </c>
      <c r="T110" s="75">
        <f t="shared" si="10"/>
        <v>6394</v>
      </c>
      <c r="U110" s="75">
        <f t="shared" si="11"/>
        <v>172593</v>
      </c>
      <c r="V110" s="77">
        <f t="shared" si="12"/>
        <v>3.5723264818115281E-2</v>
      </c>
    </row>
    <row r="111" spans="1:22" ht="12.5" x14ac:dyDescent="0.25">
      <c r="A111" s="75">
        <f t="shared" si="60"/>
        <v>109</v>
      </c>
      <c r="B111" s="76">
        <v>44305</v>
      </c>
      <c r="C111" s="75">
        <v>3604</v>
      </c>
      <c r="D111" s="75">
        <v>56605</v>
      </c>
      <c r="E111" s="75">
        <f t="shared" si="0"/>
        <v>60209</v>
      </c>
      <c r="F111" s="77">
        <f t="shared" si="1"/>
        <v>5.9858160740088692E-2</v>
      </c>
      <c r="G111" s="75">
        <v>2805</v>
      </c>
      <c r="H111" s="75">
        <v>117810</v>
      </c>
      <c r="I111" s="75">
        <f t="shared" si="71"/>
        <v>120615</v>
      </c>
      <c r="J111" s="86">
        <f t="shared" si="72"/>
        <v>2.3255813953488372E-2</v>
      </c>
      <c r="K111" s="75">
        <v>42</v>
      </c>
      <c r="L111" s="75">
        <v>974</v>
      </c>
      <c r="M111" s="79">
        <f t="shared" si="4"/>
        <v>1016</v>
      </c>
      <c r="N111" s="77">
        <f t="shared" si="5"/>
        <v>4.1338582677165357E-2</v>
      </c>
      <c r="O111" s="81">
        <f t="shared" ref="O111:P111" si="123">S111-S110</f>
        <v>2853</v>
      </c>
      <c r="P111" s="81">
        <f t="shared" si="123"/>
        <v>57</v>
      </c>
      <c r="Q111" s="81">
        <f t="shared" si="7"/>
        <v>2796</v>
      </c>
      <c r="R111" s="77">
        <f t="shared" si="8"/>
        <v>1.9978969505783387E-2</v>
      </c>
      <c r="S111" s="79">
        <f t="shared" si="9"/>
        <v>181840</v>
      </c>
      <c r="T111" s="75">
        <f t="shared" si="10"/>
        <v>6451</v>
      </c>
      <c r="U111" s="75">
        <f t="shared" si="11"/>
        <v>175389</v>
      </c>
      <c r="V111" s="77">
        <f t="shared" si="12"/>
        <v>3.5476242850857896E-2</v>
      </c>
    </row>
    <row r="112" spans="1:22" ht="12.5" x14ac:dyDescent="0.25">
      <c r="A112" s="75">
        <f t="shared" si="60"/>
        <v>110</v>
      </c>
      <c r="B112" s="76">
        <v>44306</v>
      </c>
      <c r="C112" s="75">
        <v>3613</v>
      </c>
      <c r="D112" s="75">
        <v>56918</v>
      </c>
      <c r="E112" s="75">
        <f t="shared" si="0"/>
        <v>60531</v>
      </c>
      <c r="F112" s="77">
        <f t="shared" si="1"/>
        <v>5.9688424113264277E-2</v>
      </c>
      <c r="G112" s="75">
        <v>2882</v>
      </c>
      <c r="H112" s="75">
        <v>121337</v>
      </c>
      <c r="I112" s="75">
        <f t="shared" si="71"/>
        <v>124219</v>
      </c>
      <c r="J112" s="86">
        <f t="shared" si="72"/>
        <v>2.3200959595553017E-2</v>
      </c>
      <c r="K112" s="75">
        <v>42</v>
      </c>
      <c r="L112" s="75">
        <v>974</v>
      </c>
      <c r="M112" s="79">
        <f t="shared" si="4"/>
        <v>1016</v>
      </c>
      <c r="N112" s="77">
        <f t="shared" si="5"/>
        <v>4.1338582677165357E-2</v>
      </c>
      <c r="O112" s="81">
        <f t="shared" ref="O112:P112" si="124">S112-S111</f>
        <v>3926</v>
      </c>
      <c r="P112" s="81">
        <f t="shared" si="124"/>
        <v>86</v>
      </c>
      <c r="Q112" s="81">
        <f t="shared" si="7"/>
        <v>3840</v>
      </c>
      <c r="R112" s="77">
        <f t="shared" si="8"/>
        <v>2.1905247070809986E-2</v>
      </c>
      <c r="S112" s="79">
        <f t="shared" si="9"/>
        <v>185766</v>
      </c>
      <c r="T112" s="75">
        <f t="shared" si="10"/>
        <v>6537</v>
      </c>
      <c r="U112" s="75">
        <f t="shared" si="11"/>
        <v>179229</v>
      </c>
      <c r="V112" s="77">
        <f t="shared" si="12"/>
        <v>3.5189431865895807E-2</v>
      </c>
    </row>
    <row r="113" spans="1:22" ht="12.5" x14ac:dyDescent="0.25">
      <c r="A113" s="75">
        <f t="shared" si="60"/>
        <v>111</v>
      </c>
      <c r="B113" s="76">
        <v>44307</v>
      </c>
      <c r="C113" s="75">
        <v>3635</v>
      </c>
      <c r="D113" s="75">
        <v>57331</v>
      </c>
      <c r="E113" s="75">
        <f t="shared" si="0"/>
        <v>60966</v>
      </c>
      <c r="F113" s="77">
        <f t="shared" si="1"/>
        <v>5.9623396647311616E-2</v>
      </c>
      <c r="G113" s="75">
        <v>2978</v>
      </c>
      <c r="H113" s="75">
        <v>126046</v>
      </c>
      <c r="I113" s="75">
        <f t="shared" si="71"/>
        <v>129024</v>
      </c>
      <c r="J113" s="86">
        <f t="shared" si="72"/>
        <v>2.3080977182539684E-2</v>
      </c>
      <c r="K113" s="75">
        <v>42</v>
      </c>
      <c r="L113" s="75">
        <v>974</v>
      </c>
      <c r="M113" s="79">
        <f t="shared" si="4"/>
        <v>1016</v>
      </c>
      <c r="N113" s="77">
        <f t="shared" si="5"/>
        <v>4.1338582677165357E-2</v>
      </c>
      <c r="O113" s="81">
        <f t="shared" ref="O113:P113" si="125">S113-S112</f>
        <v>5240</v>
      </c>
      <c r="P113" s="81">
        <f t="shared" si="125"/>
        <v>118</v>
      </c>
      <c r="Q113" s="81">
        <f t="shared" si="7"/>
        <v>5122</v>
      </c>
      <c r="R113" s="77">
        <f t="shared" si="8"/>
        <v>2.2519083969465649E-2</v>
      </c>
      <c r="S113" s="79">
        <f t="shared" si="9"/>
        <v>191006</v>
      </c>
      <c r="T113" s="75">
        <f t="shared" si="10"/>
        <v>6655</v>
      </c>
      <c r="U113" s="75">
        <f t="shared" si="11"/>
        <v>184351</v>
      </c>
      <c r="V113" s="77">
        <f t="shared" si="12"/>
        <v>3.4841837429190704E-2</v>
      </c>
    </row>
    <row r="114" spans="1:22" ht="12.5" x14ac:dyDescent="0.25">
      <c r="A114" s="75">
        <f t="shared" si="60"/>
        <v>112</v>
      </c>
      <c r="B114" s="76">
        <v>44308</v>
      </c>
      <c r="C114" s="75">
        <v>3659</v>
      </c>
      <c r="D114" s="75">
        <v>57789</v>
      </c>
      <c r="E114" s="75">
        <f t="shared" si="0"/>
        <v>61448</v>
      </c>
      <c r="F114" s="77">
        <f t="shared" si="1"/>
        <v>5.9546283036063012E-2</v>
      </c>
      <c r="G114" s="75">
        <v>3042</v>
      </c>
      <c r="H114" s="75">
        <v>129868</v>
      </c>
      <c r="I114" s="75">
        <f t="shared" si="71"/>
        <v>132910</v>
      </c>
      <c r="J114" s="86">
        <f t="shared" si="72"/>
        <v>2.2887668347001729E-2</v>
      </c>
      <c r="K114" s="75">
        <v>42</v>
      </c>
      <c r="L114" s="75">
        <v>974</v>
      </c>
      <c r="M114" s="79">
        <f t="shared" si="4"/>
        <v>1016</v>
      </c>
      <c r="N114" s="77">
        <f t="shared" si="5"/>
        <v>4.1338582677165357E-2</v>
      </c>
      <c r="O114" s="81">
        <f t="shared" ref="O114:P114" si="126">S114-S113</f>
        <v>4368</v>
      </c>
      <c r="P114" s="81">
        <f t="shared" si="126"/>
        <v>88</v>
      </c>
      <c r="Q114" s="81">
        <f t="shared" si="7"/>
        <v>4280</v>
      </c>
      <c r="R114" s="77">
        <f t="shared" si="8"/>
        <v>2.0146520146520148E-2</v>
      </c>
      <c r="S114" s="79">
        <f t="shared" si="9"/>
        <v>195374</v>
      </c>
      <c r="T114" s="75">
        <f t="shared" si="10"/>
        <v>6743</v>
      </c>
      <c r="U114" s="75">
        <f t="shared" si="11"/>
        <v>188631</v>
      </c>
      <c r="V114" s="77">
        <f t="shared" si="12"/>
        <v>3.4513292454471933E-2</v>
      </c>
    </row>
    <row r="115" spans="1:22" ht="12.5" x14ac:dyDescent="0.25">
      <c r="A115" s="75">
        <f t="shared" si="60"/>
        <v>113</v>
      </c>
      <c r="B115" s="76">
        <v>44309</v>
      </c>
      <c r="C115" s="75">
        <v>3666</v>
      </c>
      <c r="D115" s="75">
        <v>58225</v>
      </c>
      <c r="E115" s="75">
        <f t="shared" si="0"/>
        <v>61891</v>
      </c>
      <c r="F115" s="77">
        <f t="shared" si="1"/>
        <v>5.923316798888368E-2</v>
      </c>
      <c r="G115" s="75">
        <v>3104</v>
      </c>
      <c r="H115" s="75">
        <v>133206</v>
      </c>
      <c r="I115" s="75">
        <f t="shared" si="71"/>
        <v>136310</v>
      </c>
      <c r="J115" s="86">
        <f t="shared" si="72"/>
        <v>2.2771623505245395E-2</v>
      </c>
      <c r="K115" s="75">
        <v>42</v>
      </c>
      <c r="L115" s="75">
        <v>974</v>
      </c>
      <c r="M115" s="79">
        <f t="shared" si="4"/>
        <v>1016</v>
      </c>
      <c r="N115" s="77">
        <f t="shared" si="5"/>
        <v>4.1338582677165357E-2</v>
      </c>
      <c r="O115" s="81">
        <f t="shared" ref="O115:P115" si="127">S115-S114</f>
        <v>3843</v>
      </c>
      <c r="P115" s="81">
        <f t="shared" si="127"/>
        <v>69</v>
      </c>
      <c r="Q115" s="81">
        <f t="shared" si="7"/>
        <v>3774</v>
      </c>
      <c r="R115" s="77">
        <f t="shared" si="8"/>
        <v>1.7954722872755659E-2</v>
      </c>
      <c r="S115" s="79">
        <f t="shared" si="9"/>
        <v>199217</v>
      </c>
      <c r="T115" s="75">
        <f t="shared" si="10"/>
        <v>6812</v>
      </c>
      <c r="U115" s="75">
        <f t="shared" si="11"/>
        <v>192405</v>
      </c>
      <c r="V115" s="77">
        <f t="shared" si="12"/>
        <v>3.419386899712374E-2</v>
      </c>
    </row>
    <row r="116" spans="1:22" ht="12.5" x14ac:dyDescent="0.25">
      <c r="A116" s="75">
        <f t="shared" si="60"/>
        <v>114</v>
      </c>
      <c r="B116" s="76">
        <v>44310</v>
      </c>
      <c r="C116" s="75">
        <v>3682</v>
      </c>
      <c r="D116" s="75">
        <v>58939</v>
      </c>
      <c r="E116" s="75">
        <f t="shared" si="0"/>
        <v>62621</v>
      </c>
      <c r="F116" s="77">
        <f t="shared" si="1"/>
        <v>5.8798166749173597E-2</v>
      </c>
      <c r="G116" s="75">
        <v>3195</v>
      </c>
      <c r="H116" s="75">
        <v>136901</v>
      </c>
      <c r="I116" s="75">
        <f t="shared" si="71"/>
        <v>140096</v>
      </c>
      <c r="J116" s="86">
        <f t="shared" si="72"/>
        <v>2.2805790315212425E-2</v>
      </c>
      <c r="K116" s="75">
        <v>42</v>
      </c>
      <c r="L116" s="75">
        <v>974</v>
      </c>
      <c r="M116" s="79">
        <f t="shared" si="4"/>
        <v>1016</v>
      </c>
      <c r="N116" s="77">
        <f t="shared" si="5"/>
        <v>4.1338582677165357E-2</v>
      </c>
      <c r="O116" s="81">
        <f t="shared" ref="O116:P116" si="128">S116-S115</f>
        <v>4516</v>
      </c>
      <c r="P116" s="81">
        <f t="shared" si="128"/>
        <v>107</v>
      </c>
      <c r="Q116" s="81">
        <f t="shared" si="7"/>
        <v>4409</v>
      </c>
      <c r="R116" s="77">
        <f t="shared" si="8"/>
        <v>2.3693534100974314E-2</v>
      </c>
      <c r="S116" s="79">
        <f t="shared" si="9"/>
        <v>203733</v>
      </c>
      <c r="T116" s="75">
        <f t="shared" si="10"/>
        <v>6919</v>
      </c>
      <c r="U116" s="75">
        <f t="shared" si="11"/>
        <v>196814</v>
      </c>
      <c r="V116" s="77">
        <f t="shared" si="12"/>
        <v>3.3961115774076858E-2</v>
      </c>
    </row>
    <row r="117" spans="1:22" ht="12.5" x14ac:dyDescent="0.25">
      <c r="A117" s="75">
        <f t="shared" si="60"/>
        <v>115</v>
      </c>
      <c r="B117" s="76">
        <v>44311</v>
      </c>
      <c r="C117" s="75">
        <v>3713</v>
      </c>
      <c r="D117" s="75">
        <v>59525</v>
      </c>
      <c r="E117" s="75">
        <f t="shared" si="0"/>
        <v>63238</v>
      </c>
      <c r="F117" s="77">
        <f t="shared" si="1"/>
        <v>5.8714696859483224E-2</v>
      </c>
      <c r="G117" s="75">
        <v>3230</v>
      </c>
      <c r="H117" s="75">
        <v>139133</v>
      </c>
      <c r="I117" s="75">
        <f t="shared" si="71"/>
        <v>142363</v>
      </c>
      <c r="J117" s="86">
        <f t="shared" si="72"/>
        <v>2.2688479450418998E-2</v>
      </c>
      <c r="K117" s="75">
        <v>42</v>
      </c>
      <c r="L117" s="75">
        <v>974</v>
      </c>
      <c r="M117" s="79">
        <f t="shared" si="4"/>
        <v>1016</v>
      </c>
      <c r="N117" s="77">
        <f t="shared" si="5"/>
        <v>4.1338582677165357E-2</v>
      </c>
      <c r="O117" s="81">
        <f t="shared" ref="O117:P117" si="129">S117-S116</f>
        <v>2884</v>
      </c>
      <c r="P117" s="81">
        <f t="shared" si="129"/>
        <v>66</v>
      </c>
      <c r="Q117" s="81">
        <f t="shared" si="7"/>
        <v>2818</v>
      </c>
      <c r="R117" s="77">
        <f t="shared" si="8"/>
        <v>2.2884882108183079E-2</v>
      </c>
      <c r="S117" s="79">
        <f t="shared" si="9"/>
        <v>206617</v>
      </c>
      <c r="T117" s="75">
        <f t="shared" si="10"/>
        <v>6985</v>
      </c>
      <c r="U117" s="75">
        <f t="shared" si="11"/>
        <v>199632</v>
      </c>
      <c r="V117" s="77">
        <f t="shared" si="12"/>
        <v>3.3806511564876074E-2</v>
      </c>
    </row>
    <row r="118" spans="1:22" ht="12.5" x14ac:dyDescent="0.25">
      <c r="A118" s="75">
        <f t="shared" si="60"/>
        <v>116</v>
      </c>
      <c r="B118" s="76">
        <v>44312</v>
      </c>
      <c r="C118" s="75">
        <v>3728</v>
      </c>
      <c r="D118" s="75">
        <v>59963</v>
      </c>
      <c r="E118" s="75">
        <f t="shared" si="0"/>
        <v>63691</v>
      </c>
      <c r="F118" s="77">
        <f t="shared" si="1"/>
        <v>5.8532602722519665E-2</v>
      </c>
      <c r="G118" s="75">
        <v>3260</v>
      </c>
      <c r="H118" s="75">
        <v>141133</v>
      </c>
      <c r="I118" s="75">
        <f t="shared" si="71"/>
        <v>144393</v>
      </c>
      <c r="J118" s="86">
        <f t="shared" si="72"/>
        <v>2.2577271751400691E-2</v>
      </c>
      <c r="K118" s="75">
        <v>42</v>
      </c>
      <c r="L118" s="75">
        <v>974</v>
      </c>
      <c r="M118" s="79">
        <f t="shared" si="4"/>
        <v>1016</v>
      </c>
      <c r="N118" s="77">
        <f t="shared" si="5"/>
        <v>4.1338582677165357E-2</v>
      </c>
      <c r="O118" s="81">
        <f t="shared" ref="O118:P118" si="130">S118-S117</f>
        <v>2483</v>
      </c>
      <c r="P118" s="81">
        <f t="shared" si="130"/>
        <v>45</v>
      </c>
      <c r="Q118" s="81">
        <f t="shared" si="7"/>
        <v>2438</v>
      </c>
      <c r="R118" s="77">
        <f t="shared" si="8"/>
        <v>1.8123238018525976E-2</v>
      </c>
      <c r="S118" s="79">
        <f t="shared" si="9"/>
        <v>209100</v>
      </c>
      <c r="T118" s="75">
        <f t="shared" si="10"/>
        <v>7030</v>
      </c>
      <c r="U118" s="75">
        <f t="shared" si="11"/>
        <v>202070</v>
      </c>
      <c r="V118" s="77">
        <f t="shared" si="12"/>
        <v>3.3620277379244383E-2</v>
      </c>
    </row>
    <row r="119" spans="1:22" ht="12.5" x14ac:dyDescent="0.25">
      <c r="A119" s="75">
        <f t="shared" si="60"/>
        <v>117</v>
      </c>
      <c r="B119" s="76">
        <v>44313</v>
      </c>
      <c r="C119" s="75">
        <v>3747</v>
      </c>
      <c r="D119" s="75">
        <v>60543</v>
      </c>
      <c r="E119" s="75">
        <f t="shared" si="0"/>
        <v>64290</v>
      </c>
      <c r="F119" s="77">
        <f t="shared" si="1"/>
        <v>5.8282781147923471E-2</v>
      </c>
      <c r="G119" s="75">
        <v>3326</v>
      </c>
      <c r="H119" s="75">
        <v>146265</v>
      </c>
      <c r="I119" s="75">
        <f t="shared" si="71"/>
        <v>149591</v>
      </c>
      <c r="J119" s="86">
        <f t="shared" si="72"/>
        <v>2.2233957925276254E-2</v>
      </c>
      <c r="K119" s="75">
        <v>42</v>
      </c>
      <c r="L119" s="75">
        <v>974</v>
      </c>
      <c r="M119" s="79">
        <f t="shared" si="4"/>
        <v>1016</v>
      </c>
      <c r="N119" s="77">
        <f t="shared" si="5"/>
        <v>4.1338582677165357E-2</v>
      </c>
      <c r="O119" s="81">
        <f t="shared" ref="O119:P119" si="131">S119-S118</f>
        <v>5797</v>
      </c>
      <c r="P119" s="81">
        <f t="shared" si="131"/>
        <v>85</v>
      </c>
      <c r="Q119" s="81">
        <f t="shared" si="7"/>
        <v>5712</v>
      </c>
      <c r="R119" s="77">
        <f t="shared" si="8"/>
        <v>1.466275659824047E-2</v>
      </c>
      <c r="S119" s="79">
        <f t="shared" si="9"/>
        <v>214897</v>
      </c>
      <c r="T119" s="75">
        <f t="shared" si="10"/>
        <v>7115</v>
      </c>
      <c r="U119" s="75">
        <f t="shared" si="11"/>
        <v>207782</v>
      </c>
      <c r="V119" s="77">
        <f t="shared" si="12"/>
        <v>3.3108884721517753E-2</v>
      </c>
    </row>
    <row r="120" spans="1:22" ht="12.5" x14ac:dyDescent="0.25">
      <c r="A120" s="75">
        <f t="shared" si="60"/>
        <v>118</v>
      </c>
      <c r="B120" s="76">
        <v>44314</v>
      </c>
      <c r="C120" s="75">
        <v>3763</v>
      </c>
      <c r="D120" s="75">
        <v>61329</v>
      </c>
      <c r="E120" s="75">
        <f t="shared" si="0"/>
        <v>65092</v>
      </c>
      <c r="F120" s="77">
        <f t="shared" si="1"/>
        <v>5.7810483623179497E-2</v>
      </c>
      <c r="G120" s="75">
        <v>3387</v>
      </c>
      <c r="H120" s="75">
        <v>150467</v>
      </c>
      <c r="I120" s="75">
        <f t="shared" si="71"/>
        <v>153854</v>
      </c>
      <c r="J120" s="86">
        <f t="shared" si="72"/>
        <v>2.2014377266759394E-2</v>
      </c>
      <c r="K120" s="75">
        <v>42</v>
      </c>
      <c r="L120" s="75">
        <v>974</v>
      </c>
      <c r="M120" s="79">
        <f t="shared" si="4"/>
        <v>1016</v>
      </c>
      <c r="N120" s="77">
        <f t="shared" si="5"/>
        <v>4.1338582677165357E-2</v>
      </c>
      <c r="O120" s="81">
        <f t="shared" ref="O120:P120" si="132">S120-S119</f>
        <v>5065</v>
      </c>
      <c r="P120" s="81">
        <f t="shared" si="132"/>
        <v>77</v>
      </c>
      <c r="Q120" s="81">
        <f t="shared" si="7"/>
        <v>4988</v>
      </c>
      <c r="R120" s="77">
        <f t="shared" si="8"/>
        <v>1.5202369200394866E-2</v>
      </c>
      <c r="S120" s="79">
        <f t="shared" si="9"/>
        <v>219962</v>
      </c>
      <c r="T120" s="75">
        <f t="shared" si="10"/>
        <v>7192</v>
      </c>
      <c r="U120" s="75">
        <f t="shared" si="11"/>
        <v>212770</v>
      </c>
      <c r="V120" s="77">
        <f t="shared" si="12"/>
        <v>3.2696556677971653E-2</v>
      </c>
    </row>
    <row r="121" spans="1:22" ht="12.5" x14ac:dyDescent="0.25">
      <c r="A121" s="75">
        <f t="shared" si="60"/>
        <v>119</v>
      </c>
      <c r="B121" s="76">
        <v>44315</v>
      </c>
      <c r="C121" s="75">
        <v>3789</v>
      </c>
      <c r="D121" s="75">
        <v>62183</v>
      </c>
      <c r="E121" s="75">
        <f t="shared" si="0"/>
        <v>65972</v>
      </c>
      <c r="F121" s="77">
        <f t="shared" si="1"/>
        <v>5.7433456617959136E-2</v>
      </c>
      <c r="G121" s="75">
        <v>3436</v>
      </c>
      <c r="H121" s="75">
        <v>154321</v>
      </c>
      <c r="I121" s="75">
        <f t="shared" si="71"/>
        <v>157757</v>
      </c>
      <c r="J121" s="86">
        <f t="shared" si="72"/>
        <v>2.1780333043858593E-2</v>
      </c>
      <c r="K121" s="75">
        <v>42</v>
      </c>
      <c r="L121" s="75">
        <v>974</v>
      </c>
      <c r="M121" s="79">
        <f t="shared" si="4"/>
        <v>1016</v>
      </c>
      <c r="N121" s="77">
        <f t="shared" si="5"/>
        <v>4.1338582677165357E-2</v>
      </c>
      <c r="O121" s="81">
        <f t="shared" ref="O121:P121" si="133">S121-S120</f>
        <v>4783</v>
      </c>
      <c r="P121" s="81">
        <f t="shared" si="133"/>
        <v>75</v>
      </c>
      <c r="Q121" s="81">
        <f t="shared" si="7"/>
        <v>4708</v>
      </c>
      <c r="R121" s="77">
        <f t="shared" si="8"/>
        <v>1.5680535228935814E-2</v>
      </c>
      <c r="S121" s="79">
        <f t="shared" si="9"/>
        <v>224745</v>
      </c>
      <c r="T121" s="75">
        <f t="shared" si="10"/>
        <v>7267</v>
      </c>
      <c r="U121" s="75">
        <f t="shared" si="11"/>
        <v>217478</v>
      </c>
      <c r="V121" s="77">
        <f t="shared" si="12"/>
        <v>3.23344234576965E-2</v>
      </c>
    </row>
    <row r="122" spans="1:22" ht="12.5" x14ac:dyDescent="0.25">
      <c r="A122" s="75">
        <f t="shared" si="60"/>
        <v>120</v>
      </c>
      <c r="B122" s="76">
        <v>44316</v>
      </c>
      <c r="C122" s="75">
        <v>3806</v>
      </c>
      <c r="D122" s="75">
        <v>62954</v>
      </c>
      <c r="E122" s="75">
        <f t="shared" si="0"/>
        <v>66760</v>
      </c>
      <c r="F122" s="77">
        <f t="shared" si="1"/>
        <v>5.7010185739964053E-2</v>
      </c>
      <c r="G122" s="75">
        <v>3495</v>
      </c>
      <c r="H122" s="75">
        <v>158231</v>
      </c>
      <c r="I122" s="75">
        <f t="shared" si="71"/>
        <v>161726</v>
      </c>
      <c r="J122" s="86">
        <f t="shared" si="72"/>
        <v>2.1610625378726982E-2</v>
      </c>
      <c r="K122" s="75">
        <v>42</v>
      </c>
      <c r="L122" s="75">
        <v>974</v>
      </c>
      <c r="M122" s="79">
        <f t="shared" si="4"/>
        <v>1016</v>
      </c>
      <c r="N122" s="77">
        <f t="shared" si="5"/>
        <v>4.1338582677165357E-2</v>
      </c>
      <c r="O122" s="81">
        <f t="shared" ref="O122:P122" si="134">S122-S121</f>
        <v>4757</v>
      </c>
      <c r="P122" s="81">
        <f t="shared" si="134"/>
        <v>76</v>
      </c>
      <c r="Q122" s="81">
        <f t="shared" si="7"/>
        <v>4681</v>
      </c>
      <c r="R122" s="77">
        <f t="shared" si="8"/>
        <v>1.5976455749421904E-2</v>
      </c>
      <c r="S122" s="79">
        <f t="shared" si="9"/>
        <v>229502</v>
      </c>
      <c r="T122" s="75">
        <f t="shared" si="10"/>
        <v>7343</v>
      </c>
      <c r="U122" s="75">
        <f t="shared" si="11"/>
        <v>222159</v>
      </c>
      <c r="V122" s="77">
        <f t="shared" si="12"/>
        <v>3.1995363874824621E-2</v>
      </c>
    </row>
    <row r="123" spans="1:22" ht="12.5" x14ac:dyDescent="0.25">
      <c r="A123" s="75">
        <f t="shared" si="60"/>
        <v>121</v>
      </c>
      <c r="B123" s="76">
        <v>44317</v>
      </c>
      <c r="C123" s="75">
        <v>3833</v>
      </c>
      <c r="D123" s="75">
        <v>63743</v>
      </c>
      <c r="E123" s="75">
        <f t="shared" si="0"/>
        <v>67576</v>
      </c>
      <c r="F123" s="77">
        <f t="shared" si="1"/>
        <v>5.6721321179116845E-2</v>
      </c>
      <c r="G123" s="75">
        <v>3542</v>
      </c>
      <c r="H123" s="75">
        <v>162513</v>
      </c>
      <c r="I123" s="75">
        <f t="shared" si="71"/>
        <v>166055</v>
      </c>
      <c r="J123" s="86">
        <f t="shared" si="72"/>
        <v>2.1330282135437053E-2</v>
      </c>
      <c r="K123" s="75">
        <v>42</v>
      </c>
      <c r="L123" s="75">
        <v>974</v>
      </c>
      <c r="M123" s="79">
        <f t="shared" si="4"/>
        <v>1016</v>
      </c>
      <c r="N123" s="77">
        <f t="shared" si="5"/>
        <v>4.1338582677165357E-2</v>
      </c>
      <c r="O123" s="81">
        <f t="shared" ref="O123:P123" si="135">S123-S122</f>
        <v>5145</v>
      </c>
      <c r="P123" s="81">
        <f t="shared" si="135"/>
        <v>74</v>
      </c>
      <c r="Q123" s="81">
        <f t="shared" si="7"/>
        <v>5071</v>
      </c>
      <c r="R123" s="77">
        <f t="shared" si="8"/>
        <v>1.4382896015549077E-2</v>
      </c>
      <c r="S123" s="79">
        <f t="shared" si="9"/>
        <v>234647</v>
      </c>
      <c r="T123" s="75">
        <f t="shared" si="10"/>
        <v>7417</v>
      </c>
      <c r="U123" s="75">
        <f t="shared" si="11"/>
        <v>227230</v>
      </c>
      <c r="V123" s="77">
        <f t="shared" si="12"/>
        <v>3.1609183155974718E-2</v>
      </c>
    </row>
    <row r="124" spans="1:22" ht="12.5" x14ac:dyDescent="0.25">
      <c r="A124" s="75">
        <f t="shared" si="60"/>
        <v>122</v>
      </c>
      <c r="B124" s="76">
        <v>44318</v>
      </c>
      <c r="C124" s="75">
        <v>3845</v>
      </c>
      <c r="D124" s="75">
        <v>64314</v>
      </c>
      <c r="E124" s="75">
        <f t="shared" si="0"/>
        <v>68159</v>
      </c>
      <c r="F124" s="77">
        <f t="shared" si="1"/>
        <v>5.6412212620490322E-2</v>
      </c>
      <c r="G124" s="75">
        <v>3562</v>
      </c>
      <c r="H124" s="75">
        <v>164403</v>
      </c>
      <c r="I124" s="75">
        <f t="shared" si="71"/>
        <v>167965</v>
      </c>
      <c r="J124" s="86">
        <f t="shared" si="72"/>
        <v>2.1206799035513351E-2</v>
      </c>
      <c r="K124" s="75">
        <v>42</v>
      </c>
      <c r="L124" s="75">
        <v>974</v>
      </c>
      <c r="M124" s="79">
        <f t="shared" si="4"/>
        <v>1016</v>
      </c>
      <c r="N124" s="77">
        <f t="shared" si="5"/>
        <v>4.1338582677165357E-2</v>
      </c>
      <c r="O124" s="81">
        <f t="shared" ref="O124:P124" si="136">S124-S123</f>
        <v>2493</v>
      </c>
      <c r="P124" s="81">
        <f t="shared" si="136"/>
        <v>32</v>
      </c>
      <c r="Q124" s="81">
        <f t="shared" si="7"/>
        <v>2461</v>
      </c>
      <c r="R124" s="77">
        <f t="shared" si="8"/>
        <v>1.2835940633774568E-2</v>
      </c>
      <c r="S124" s="79">
        <f t="shared" si="9"/>
        <v>237140</v>
      </c>
      <c r="T124" s="75">
        <f t="shared" si="10"/>
        <v>7449</v>
      </c>
      <c r="U124" s="75">
        <f t="shared" si="11"/>
        <v>229691</v>
      </c>
      <c r="V124" s="77">
        <f t="shared" si="12"/>
        <v>3.1411824238846253E-2</v>
      </c>
    </row>
    <row r="125" spans="1:22" ht="12.5" x14ac:dyDescent="0.25">
      <c r="A125" s="75">
        <f t="shared" si="60"/>
        <v>123</v>
      </c>
      <c r="B125" s="76">
        <v>44319</v>
      </c>
      <c r="C125" s="75">
        <v>3850</v>
      </c>
      <c r="D125" s="75">
        <v>64780</v>
      </c>
      <c r="E125" s="75">
        <f t="shared" si="0"/>
        <v>68630</v>
      </c>
      <c r="F125" s="77">
        <f t="shared" si="1"/>
        <v>5.6097916363106515E-2</v>
      </c>
      <c r="G125" s="75">
        <v>3601</v>
      </c>
      <c r="H125" s="75">
        <v>167271</v>
      </c>
      <c r="I125" s="75">
        <f t="shared" si="71"/>
        <v>170872</v>
      </c>
      <c r="J125" s="86">
        <f t="shared" si="72"/>
        <v>2.1074254412659768E-2</v>
      </c>
      <c r="K125" s="75">
        <v>42</v>
      </c>
      <c r="L125" s="75">
        <v>974</v>
      </c>
      <c r="M125" s="79">
        <f t="shared" si="4"/>
        <v>1016</v>
      </c>
      <c r="N125" s="77">
        <f t="shared" si="5"/>
        <v>4.1338582677165357E-2</v>
      </c>
      <c r="O125" s="81">
        <f t="shared" ref="O125:P125" si="137">S125-S124</f>
        <v>3378</v>
      </c>
      <c r="P125" s="81">
        <f t="shared" si="137"/>
        <v>44</v>
      </c>
      <c r="Q125" s="81">
        <f t="shared" si="7"/>
        <v>3334</v>
      </c>
      <c r="R125" s="77">
        <f t="shared" si="8"/>
        <v>1.3025458851391355E-2</v>
      </c>
      <c r="S125" s="79">
        <f t="shared" si="9"/>
        <v>240518</v>
      </c>
      <c r="T125" s="75">
        <f t="shared" si="10"/>
        <v>7493</v>
      </c>
      <c r="U125" s="75">
        <f t="shared" si="11"/>
        <v>233025</v>
      </c>
      <c r="V125" s="77">
        <f t="shared" si="12"/>
        <v>3.1153593494042026E-2</v>
      </c>
    </row>
    <row r="126" spans="1:22" ht="12.5" x14ac:dyDescent="0.25">
      <c r="A126" s="75">
        <f t="shared" si="60"/>
        <v>124</v>
      </c>
      <c r="B126" s="76">
        <v>44320</v>
      </c>
      <c r="C126" s="75">
        <v>3864</v>
      </c>
      <c r="D126" s="75">
        <v>65381</v>
      </c>
      <c r="E126" s="75">
        <f t="shared" si="0"/>
        <v>69245</v>
      </c>
      <c r="F126" s="77">
        <f t="shared" si="1"/>
        <v>5.5801862950393528E-2</v>
      </c>
      <c r="G126" s="75">
        <v>3662</v>
      </c>
      <c r="H126" s="75">
        <v>171270</v>
      </c>
      <c r="I126" s="75">
        <f t="shared" si="71"/>
        <v>174932</v>
      </c>
      <c r="J126" s="86">
        <f t="shared" si="72"/>
        <v>2.0933848581162966E-2</v>
      </c>
      <c r="K126" s="75">
        <v>42</v>
      </c>
      <c r="L126" s="75">
        <v>974</v>
      </c>
      <c r="M126" s="79">
        <f t="shared" si="4"/>
        <v>1016</v>
      </c>
      <c r="N126" s="77">
        <f t="shared" si="5"/>
        <v>4.1338582677165357E-2</v>
      </c>
      <c r="O126" s="81">
        <f t="shared" ref="O126:P126" si="138">S126-S125</f>
        <v>4675</v>
      </c>
      <c r="P126" s="81">
        <f t="shared" si="138"/>
        <v>75</v>
      </c>
      <c r="Q126" s="81">
        <f t="shared" si="7"/>
        <v>4600</v>
      </c>
      <c r="R126" s="77">
        <f t="shared" si="8"/>
        <v>1.6042780748663103E-2</v>
      </c>
      <c r="S126" s="79">
        <f t="shared" si="9"/>
        <v>245193</v>
      </c>
      <c r="T126" s="75">
        <f t="shared" si="10"/>
        <v>7568</v>
      </c>
      <c r="U126" s="75">
        <f t="shared" si="11"/>
        <v>237625</v>
      </c>
      <c r="V126" s="77">
        <f t="shared" si="12"/>
        <v>3.086548147785622E-2</v>
      </c>
    </row>
    <row r="127" spans="1:22" ht="12.5" x14ac:dyDescent="0.25">
      <c r="A127" s="75">
        <f t="shared" si="60"/>
        <v>125</v>
      </c>
      <c r="B127" s="76">
        <v>44321</v>
      </c>
      <c r="C127" s="75">
        <v>3878</v>
      </c>
      <c r="D127" s="75">
        <v>65977</v>
      </c>
      <c r="E127" s="75">
        <f t="shared" si="0"/>
        <v>69855</v>
      </c>
      <c r="F127" s="77">
        <f t="shared" si="1"/>
        <v>5.551499534750555E-2</v>
      </c>
      <c r="G127" s="75">
        <v>3716</v>
      </c>
      <c r="H127" s="75">
        <v>175645</v>
      </c>
      <c r="I127" s="75">
        <f t="shared" si="71"/>
        <v>179361</v>
      </c>
      <c r="J127" s="86">
        <f t="shared" si="72"/>
        <v>2.0717993320733048E-2</v>
      </c>
      <c r="K127" s="75">
        <v>42</v>
      </c>
      <c r="L127" s="75">
        <v>974</v>
      </c>
      <c r="M127" s="79">
        <f t="shared" si="4"/>
        <v>1016</v>
      </c>
      <c r="N127" s="77">
        <f t="shared" si="5"/>
        <v>4.1338582677165357E-2</v>
      </c>
      <c r="O127" s="81">
        <f t="shared" ref="O127:P127" si="139">S127-S126</f>
        <v>5039</v>
      </c>
      <c r="P127" s="81">
        <f t="shared" si="139"/>
        <v>68</v>
      </c>
      <c r="Q127" s="81">
        <f t="shared" si="7"/>
        <v>4971</v>
      </c>
      <c r="R127" s="77">
        <f t="shared" si="8"/>
        <v>1.3494741020043659E-2</v>
      </c>
      <c r="S127" s="79">
        <f t="shared" si="9"/>
        <v>250232</v>
      </c>
      <c r="T127" s="75">
        <f t="shared" si="10"/>
        <v>7636</v>
      </c>
      <c r="U127" s="75">
        <f t="shared" si="11"/>
        <v>242596</v>
      </c>
      <c r="V127" s="77">
        <f t="shared" si="12"/>
        <v>3.0515681447616613E-2</v>
      </c>
    </row>
    <row r="128" spans="1:22" ht="12.5" x14ac:dyDescent="0.25">
      <c r="A128" s="75">
        <f t="shared" si="60"/>
        <v>126</v>
      </c>
      <c r="B128" s="76">
        <v>44322</v>
      </c>
      <c r="C128" s="75">
        <v>3889</v>
      </c>
      <c r="D128" s="75">
        <v>66418</v>
      </c>
      <c r="E128" s="75">
        <f t="shared" si="0"/>
        <v>70307</v>
      </c>
      <c r="F128" s="77">
        <f t="shared" si="1"/>
        <v>5.5314549049170068E-2</v>
      </c>
      <c r="G128" s="75">
        <v>3766</v>
      </c>
      <c r="H128" s="75">
        <v>178987</v>
      </c>
      <c r="I128" s="75">
        <f t="shared" si="71"/>
        <v>182753</v>
      </c>
      <c r="J128" s="86">
        <f t="shared" si="72"/>
        <v>2.0607048858295077E-2</v>
      </c>
      <c r="K128" s="75">
        <v>42</v>
      </c>
      <c r="L128" s="75">
        <v>974</v>
      </c>
      <c r="M128" s="79">
        <f t="shared" si="4"/>
        <v>1016</v>
      </c>
      <c r="N128" s="77">
        <f t="shared" si="5"/>
        <v>4.1338582677165357E-2</v>
      </c>
      <c r="O128" s="81">
        <f t="shared" ref="O128:P128" si="140">S128-S127</f>
        <v>3844</v>
      </c>
      <c r="P128" s="81">
        <f t="shared" si="140"/>
        <v>61</v>
      </c>
      <c r="Q128" s="81">
        <f t="shared" si="7"/>
        <v>3783</v>
      </c>
      <c r="R128" s="77">
        <f t="shared" si="8"/>
        <v>1.5868886576482829E-2</v>
      </c>
      <c r="S128" s="79">
        <f t="shared" si="9"/>
        <v>254076</v>
      </c>
      <c r="T128" s="75">
        <f t="shared" si="10"/>
        <v>7697</v>
      </c>
      <c r="U128" s="75">
        <f t="shared" si="11"/>
        <v>246379</v>
      </c>
      <c r="V128" s="77">
        <f t="shared" si="12"/>
        <v>3.0294085234339331E-2</v>
      </c>
    </row>
    <row r="129" spans="1:22" ht="12.5" x14ac:dyDescent="0.25">
      <c r="A129" s="75">
        <f t="shared" si="60"/>
        <v>127</v>
      </c>
      <c r="B129" s="76">
        <v>44323</v>
      </c>
      <c r="C129" s="75">
        <v>3898</v>
      </c>
      <c r="D129" s="75">
        <v>67019</v>
      </c>
      <c r="E129" s="75">
        <f t="shared" si="0"/>
        <v>70917</v>
      </c>
      <c r="F129" s="77">
        <f t="shared" si="1"/>
        <v>5.4965664086185258E-2</v>
      </c>
      <c r="G129" s="75">
        <v>3843</v>
      </c>
      <c r="H129" s="75">
        <v>183749</v>
      </c>
      <c r="I129" s="75">
        <f t="shared" si="71"/>
        <v>187592</v>
      </c>
      <c r="J129" s="86">
        <f t="shared" si="72"/>
        <v>2.0485948228069428E-2</v>
      </c>
      <c r="K129" s="75">
        <v>42</v>
      </c>
      <c r="L129" s="75">
        <v>974</v>
      </c>
      <c r="M129" s="79">
        <f t="shared" si="4"/>
        <v>1016</v>
      </c>
      <c r="N129" s="77">
        <f t="shared" si="5"/>
        <v>4.1338582677165357E-2</v>
      </c>
      <c r="O129" s="81">
        <f t="shared" ref="O129:P129" si="141">S129-S128</f>
        <v>5449</v>
      </c>
      <c r="P129" s="81">
        <f t="shared" si="141"/>
        <v>86</v>
      </c>
      <c r="Q129" s="81">
        <f t="shared" si="7"/>
        <v>5363</v>
      </c>
      <c r="R129" s="77">
        <f t="shared" si="8"/>
        <v>1.5782712424298035E-2</v>
      </c>
      <c r="S129" s="79">
        <f t="shared" si="9"/>
        <v>259525</v>
      </c>
      <c r="T129" s="75">
        <f t="shared" si="10"/>
        <v>7783</v>
      </c>
      <c r="U129" s="75">
        <f t="shared" si="11"/>
        <v>251742</v>
      </c>
      <c r="V129" s="77">
        <f t="shared" si="12"/>
        <v>2.9989403718331566E-2</v>
      </c>
    </row>
    <row r="130" spans="1:22" ht="12.5" x14ac:dyDescent="0.25">
      <c r="A130" s="75">
        <f t="shared" si="60"/>
        <v>128</v>
      </c>
      <c r="B130" s="76">
        <v>44324</v>
      </c>
      <c r="C130" s="75">
        <v>3911</v>
      </c>
      <c r="D130" s="75">
        <v>67613</v>
      </c>
      <c r="E130" s="75">
        <f t="shared" si="0"/>
        <v>71524</v>
      </c>
      <c r="F130" s="77">
        <f t="shared" si="1"/>
        <v>5.4680946255802249E-2</v>
      </c>
      <c r="G130" s="75">
        <v>3912</v>
      </c>
      <c r="H130" s="75">
        <v>187852</v>
      </c>
      <c r="I130" s="75">
        <f t="shared" si="71"/>
        <v>191764</v>
      </c>
      <c r="J130" s="86">
        <f t="shared" si="72"/>
        <v>2.0400075092300952E-2</v>
      </c>
      <c r="K130" s="75">
        <v>42</v>
      </c>
      <c r="L130" s="75">
        <v>974</v>
      </c>
      <c r="M130" s="79">
        <f t="shared" si="4"/>
        <v>1016</v>
      </c>
      <c r="N130" s="77">
        <f t="shared" si="5"/>
        <v>4.1338582677165357E-2</v>
      </c>
      <c r="O130" s="81">
        <f t="shared" ref="O130:P130" si="142">S130-S129</f>
        <v>4779</v>
      </c>
      <c r="P130" s="81">
        <f t="shared" si="142"/>
        <v>82</v>
      </c>
      <c r="Q130" s="81">
        <f t="shared" si="7"/>
        <v>4697</v>
      </c>
      <c r="R130" s="77">
        <f t="shared" si="8"/>
        <v>1.7158401339192299E-2</v>
      </c>
      <c r="S130" s="79">
        <f t="shared" si="9"/>
        <v>264304</v>
      </c>
      <c r="T130" s="75">
        <f t="shared" si="10"/>
        <v>7865</v>
      </c>
      <c r="U130" s="75">
        <f t="shared" si="11"/>
        <v>256439</v>
      </c>
      <c r="V130" s="77">
        <f t="shared" si="12"/>
        <v>2.9757400569041709E-2</v>
      </c>
    </row>
    <row r="131" spans="1:22" ht="12.5" x14ac:dyDescent="0.25">
      <c r="A131" s="75">
        <f t="shared" si="60"/>
        <v>129</v>
      </c>
      <c r="B131" s="76">
        <v>44325</v>
      </c>
      <c r="C131" s="75">
        <v>3928</v>
      </c>
      <c r="D131" s="75">
        <v>68120</v>
      </c>
      <c r="E131" s="75">
        <f t="shared" si="0"/>
        <v>72048</v>
      </c>
      <c r="F131" s="77">
        <f t="shared" si="1"/>
        <v>5.4519209415944923E-2</v>
      </c>
      <c r="G131" s="75">
        <v>3950</v>
      </c>
      <c r="H131" s="75">
        <v>189766</v>
      </c>
      <c r="I131" s="75">
        <f t="shared" si="71"/>
        <v>193716</v>
      </c>
      <c r="J131" s="86">
        <f t="shared" si="72"/>
        <v>2.0390675008775734E-2</v>
      </c>
      <c r="K131" s="75">
        <v>42</v>
      </c>
      <c r="L131" s="75">
        <v>974</v>
      </c>
      <c r="M131" s="79">
        <f t="shared" si="4"/>
        <v>1016</v>
      </c>
      <c r="N131" s="77">
        <f t="shared" si="5"/>
        <v>4.1338582677165357E-2</v>
      </c>
      <c r="O131" s="81">
        <f t="shared" ref="O131:P131" si="143">S131-S130</f>
        <v>2476</v>
      </c>
      <c r="P131" s="81">
        <f t="shared" si="143"/>
        <v>55</v>
      </c>
      <c r="Q131" s="81">
        <f t="shared" si="7"/>
        <v>2421</v>
      </c>
      <c r="R131" s="77">
        <f t="shared" si="8"/>
        <v>2.2213247172859451E-2</v>
      </c>
      <c r="S131" s="79">
        <f t="shared" si="9"/>
        <v>266780</v>
      </c>
      <c r="T131" s="75">
        <f t="shared" si="10"/>
        <v>7920</v>
      </c>
      <c r="U131" s="75">
        <f t="shared" si="11"/>
        <v>258860</v>
      </c>
      <c r="V131" s="77">
        <f t="shared" si="12"/>
        <v>2.9687382862283531E-2</v>
      </c>
    </row>
    <row r="132" spans="1:22" ht="12.5" x14ac:dyDescent="0.25">
      <c r="A132" s="75">
        <f t="shared" si="60"/>
        <v>130</v>
      </c>
      <c r="B132" s="76">
        <v>44326</v>
      </c>
      <c r="C132" s="75">
        <v>3949</v>
      </c>
      <c r="D132" s="75">
        <v>68723</v>
      </c>
      <c r="E132" s="75">
        <f t="shared" si="0"/>
        <v>72672</v>
      </c>
      <c r="F132" s="77">
        <f t="shared" si="1"/>
        <v>5.4340048436811977E-2</v>
      </c>
      <c r="G132" s="75">
        <v>3962</v>
      </c>
      <c r="H132" s="75">
        <v>191359</v>
      </c>
      <c r="I132" s="75">
        <f t="shared" si="71"/>
        <v>195321</v>
      </c>
      <c r="J132" s="86">
        <f t="shared" si="72"/>
        <v>2.0284557216069955E-2</v>
      </c>
      <c r="K132" s="75">
        <v>42</v>
      </c>
      <c r="L132" s="75">
        <v>974</v>
      </c>
      <c r="M132" s="79">
        <f t="shared" si="4"/>
        <v>1016</v>
      </c>
      <c r="N132" s="77">
        <f t="shared" si="5"/>
        <v>4.1338582677165357E-2</v>
      </c>
      <c r="O132" s="81">
        <f t="shared" ref="O132:P132" si="144">S132-S131</f>
        <v>2229</v>
      </c>
      <c r="P132" s="81">
        <f t="shared" si="144"/>
        <v>33</v>
      </c>
      <c r="Q132" s="81">
        <f t="shared" si="7"/>
        <v>2196</v>
      </c>
      <c r="R132" s="77">
        <f t="shared" si="8"/>
        <v>1.4804845222072678E-2</v>
      </c>
      <c r="S132" s="79">
        <f t="shared" si="9"/>
        <v>269009</v>
      </c>
      <c r="T132" s="75">
        <f t="shared" si="10"/>
        <v>7953</v>
      </c>
      <c r="U132" s="75">
        <f t="shared" si="11"/>
        <v>261056</v>
      </c>
      <c r="V132" s="77">
        <f t="shared" si="12"/>
        <v>2.9564066629741013E-2</v>
      </c>
    </row>
    <row r="133" spans="1:22" ht="12.5" x14ac:dyDescent="0.25">
      <c r="A133" s="75">
        <f t="shared" si="60"/>
        <v>131</v>
      </c>
      <c r="B133" s="76">
        <v>44327</v>
      </c>
      <c r="C133" s="75">
        <v>3963</v>
      </c>
      <c r="D133" s="75">
        <v>69248</v>
      </c>
      <c r="E133" s="75">
        <f t="shared" si="0"/>
        <v>73211</v>
      </c>
      <c r="F133" s="77">
        <f t="shared" si="1"/>
        <v>5.4131209790878418E-2</v>
      </c>
      <c r="G133" s="75">
        <v>4027</v>
      </c>
      <c r="H133" s="75">
        <v>195542</v>
      </c>
      <c r="I133" s="75">
        <f t="shared" si="71"/>
        <v>199569</v>
      </c>
      <c r="J133" s="86">
        <f t="shared" si="72"/>
        <v>2.0178484634387105E-2</v>
      </c>
      <c r="K133" s="75">
        <v>42</v>
      </c>
      <c r="L133" s="75">
        <v>974</v>
      </c>
      <c r="M133" s="79">
        <f t="shared" si="4"/>
        <v>1016</v>
      </c>
      <c r="N133" s="77">
        <f t="shared" si="5"/>
        <v>4.1338582677165357E-2</v>
      </c>
      <c r="O133" s="81">
        <f t="shared" ref="O133:P133" si="145">S133-S132</f>
        <v>4787</v>
      </c>
      <c r="P133" s="81">
        <f t="shared" si="145"/>
        <v>79</v>
      </c>
      <c r="Q133" s="81">
        <f t="shared" si="7"/>
        <v>4708</v>
      </c>
      <c r="R133" s="77">
        <f t="shared" si="8"/>
        <v>1.6503029036975141E-2</v>
      </c>
      <c r="S133" s="79">
        <f t="shared" si="9"/>
        <v>273796</v>
      </c>
      <c r="T133" s="75">
        <f t="shared" si="10"/>
        <v>8032</v>
      </c>
      <c r="U133" s="75">
        <f t="shared" si="11"/>
        <v>265764</v>
      </c>
      <c r="V133" s="77">
        <f t="shared" si="12"/>
        <v>2.9335709798536138E-2</v>
      </c>
    </row>
    <row r="134" spans="1:22" ht="12.5" x14ac:dyDescent="0.25">
      <c r="A134" s="75">
        <f t="shared" si="60"/>
        <v>132</v>
      </c>
      <c r="B134" s="76">
        <v>44328</v>
      </c>
      <c r="C134" s="75">
        <v>3980</v>
      </c>
      <c r="D134" s="75">
        <v>69808</v>
      </c>
      <c r="E134" s="75">
        <f t="shared" si="0"/>
        <v>73788</v>
      </c>
      <c r="F134" s="77">
        <f t="shared" si="1"/>
        <v>5.3938309752263242E-2</v>
      </c>
      <c r="G134" s="75">
        <v>4078</v>
      </c>
      <c r="H134" s="75">
        <v>199372</v>
      </c>
      <c r="I134" s="75">
        <f t="shared" si="71"/>
        <v>203450</v>
      </c>
      <c r="J134" s="86">
        <f t="shared" si="72"/>
        <v>2.0044236913246499E-2</v>
      </c>
      <c r="K134" s="75">
        <v>42</v>
      </c>
      <c r="L134" s="75">
        <v>974</v>
      </c>
      <c r="M134" s="79">
        <f t="shared" si="4"/>
        <v>1016</v>
      </c>
      <c r="N134" s="77">
        <f t="shared" si="5"/>
        <v>4.1338582677165357E-2</v>
      </c>
      <c r="O134" s="81">
        <f t="shared" ref="O134:P134" si="146">S134-S133</f>
        <v>4458</v>
      </c>
      <c r="P134" s="81">
        <f t="shared" si="146"/>
        <v>68</v>
      </c>
      <c r="Q134" s="81">
        <f t="shared" si="7"/>
        <v>4390</v>
      </c>
      <c r="R134" s="77">
        <f t="shared" si="8"/>
        <v>1.5253476895468821E-2</v>
      </c>
      <c r="S134" s="79">
        <f t="shared" si="9"/>
        <v>278254</v>
      </c>
      <c r="T134" s="75">
        <f t="shared" si="10"/>
        <v>8100</v>
      </c>
      <c r="U134" s="75">
        <f t="shared" si="11"/>
        <v>270154</v>
      </c>
      <c r="V134" s="77">
        <f t="shared" si="12"/>
        <v>2.9110093655437118E-2</v>
      </c>
    </row>
    <row r="135" spans="1:22" ht="12.5" x14ac:dyDescent="0.25">
      <c r="A135" s="75">
        <f t="shared" si="60"/>
        <v>133</v>
      </c>
      <c r="B135" s="76">
        <v>44329</v>
      </c>
      <c r="C135" s="75">
        <v>3992</v>
      </c>
      <c r="D135" s="75">
        <v>70376</v>
      </c>
      <c r="E135" s="75">
        <f t="shared" si="0"/>
        <v>74368</v>
      </c>
      <c r="F135" s="77">
        <f t="shared" si="1"/>
        <v>5.3679001721170398E-2</v>
      </c>
      <c r="G135" s="75">
        <v>4134</v>
      </c>
      <c r="H135" s="75">
        <v>201256</v>
      </c>
      <c r="I135" s="75">
        <f t="shared" si="71"/>
        <v>205390</v>
      </c>
      <c r="J135" s="86">
        <f t="shared" si="72"/>
        <v>2.0127562198743853E-2</v>
      </c>
      <c r="K135" s="75">
        <v>42</v>
      </c>
      <c r="L135" s="75">
        <v>974</v>
      </c>
      <c r="M135" s="79">
        <f t="shared" si="4"/>
        <v>1016</v>
      </c>
      <c r="N135" s="77">
        <f t="shared" si="5"/>
        <v>4.1338582677165357E-2</v>
      </c>
      <c r="O135" s="81">
        <f t="shared" ref="O135:P135" si="147">S135-S134</f>
        <v>2520</v>
      </c>
      <c r="P135" s="81">
        <f t="shared" si="147"/>
        <v>68</v>
      </c>
      <c r="Q135" s="81">
        <f t="shared" si="7"/>
        <v>2452</v>
      </c>
      <c r="R135" s="77">
        <f t="shared" si="8"/>
        <v>2.6984126984126985E-2</v>
      </c>
      <c r="S135" s="79">
        <f t="shared" si="9"/>
        <v>280774</v>
      </c>
      <c r="T135" s="75">
        <f t="shared" si="10"/>
        <v>8168</v>
      </c>
      <c r="U135" s="75">
        <f t="shared" si="11"/>
        <v>272606</v>
      </c>
      <c r="V135" s="77">
        <f t="shared" si="12"/>
        <v>2.909101270060618E-2</v>
      </c>
    </row>
    <row r="136" spans="1:22" ht="12.5" x14ac:dyDescent="0.25">
      <c r="A136" s="75">
        <f t="shared" si="60"/>
        <v>134</v>
      </c>
      <c r="B136" s="76">
        <v>44330</v>
      </c>
      <c r="C136" s="75">
        <v>4007</v>
      </c>
      <c r="D136" s="75">
        <v>71063</v>
      </c>
      <c r="E136" s="75">
        <f t="shared" si="0"/>
        <v>75070</v>
      </c>
      <c r="F136" s="77">
        <f t="shared" si="1"/>
        <v>5.3376848274943385E-2</v>
      </c>
      <c r="G136" s="75">
        <v>4157</v>
      </c>
      <c r="H136" s="75">
        <v>201961</v>
      </c>
      <c r="I136" s="75">
        <f t="shared" si="71"/>
        <v>206118</v>
      </c>
      <c r="J136" s="86">
        <f t="shared" si="72"/>
        <v>2.0168059072958208E-2</v>
      </c>
      <c r="K136" s="75">
        <v>42</v>
      </c>
      <c r="L136" s="75">
        <v>974</v>
      </c>
      <c r="M136" s="79">
        <f t="shared" si="4"/>
        <v>1016</v>
      </c>
      <c r="N136" s="77">
        <f t="shared" si="5"/>
        <v>4.1338582677165357E-2</v>
      </c>
      <c r="O136" s="81">
        <f t="shared" ref="O136:P136" si="148">S136-S135</f>
        <v>1430</v>
      </c>
      <c r="P136" s="81">
        <f t="shared" si="148"/>
        <v>38</v>
      </c>
      <c r="Q136" s="81">
        <f t="shared" si="7"/>
        <v>1392</v>
      </c>
      <c r="R136" s="77">
        <f t="shared" si="8"/>
        <v>2.6573426573426574E-2</v>
      </c>
      <c r="S136" s="79">
        <f t="shared" si="9"/>
        <v>282204</v>
      </c>
      <c r="T136" s="75">
        <f t="shared" si="10"/>
        <v>8206</v>
      </c>
      <c r="U136" s="75">
        <f t="shared" si="11"/>
        <v>273998</v>
      </c>
      <c r="V136" s="77">
        <f t="shared" si="12"/>
        <v>2.9078255446414649E-2</v>
      </c>
    </row>
    <row r="137" spans="1:22" ht="12.5" x14ac:dyDescent="0.25">
      <c r="A137" s="75">
        <f t="shared" si="60"/>
        <v>135</v>
      </c>
      <c r="B137" s="76">
        <v>44331</v>
      </c>
      <c r="C137" s="75">
        <v>4013</v>
      </c>
      <c r="D137" s="75">
        <v>71305</v>
      </c>
      <c r="E137" s="75">
        <f t="shared" si="0"/>
        <v>75318</v>
      </c>
      <c r="F137" s="77">
        <f t="shared" si="1"/>
        <v>5.3280756260123741E-2</v>
      </c>
      <c r="G137" s="75">
        <v>4201</v>
      </c>
      <c r="H137" s="75">
        <v>203060</v>
      </c>
      <c r="I137" s="75">
        <f t="shared" si="71"/>
        <v>207261</v>
      </c>
      <c r="J137" s="86">
        <f t="shared" si="72"/>
        <v>2.0269129262138075E-2</v>
      </c>
      <c r="K137" s="75">
        <v>42</v>
      </c>
      <c r="L137" s="75">
        <v>974</v>
      </c>
      <c r="M137" s="79">
        <f t="shared" si="4"/>
        <v>1016</v>
      </c>
      <c r="N137" s="77">
        <f t="shared" si="5"/>
        <v>4.1338582677165357E-2</v>
      </c>
      <c r="O137" s="81">
        <f t="shared" ref="O137:P137" si="149">S137-S136</f>
        <v>1391</v>
      </c>
      <c r="P137" s="81">
        <f t="shared" si="149"/>
        <v>50</v>
      </c>
      <c r="Q137" s="81">
        <f t="shared" si="7"/>
        <v>1341</v>
      </c>
      <c r="R137" s="77">
        <f t="shared" si="8"/>
        <v>3.5945363048166784E-2</v>
      </c>
      <c r="S137" s="79">
        <f t="shared" si="9"/>
        <v>283595</v>
      </c>
      <c r="T137" s="75">
        <f t="shared" si="10"/>
        <v>8256</v>
      </c>
      <c r="U137" s="75">
        <f t="shared" si="11"/>
        <v>275339</v>
      </c>
      <c r="V137" s="77">
        <f t="shared" si="12"/>
        <v>2.9111937798621274E-2</v>
      </c>
    </row>
    <row r="138" spans="1:22" ht="12.5" x14ac:dyDescent="0.25">
      <c r="A138" s="75">
        <f t="shared" si="60"/>
        <v>136</v>
      </c>
      <c r="B138" s="76">
        <v>44332</v>
      </c>
      <c r="C138" s="75">
        <v>4027</v>
      </c>
      <c r="D138" s="75">
        <v>71944</v>
      </c>
      <c r="E138" s="75">
        <f t="shared" si="0"/>
        <v>75971</v>
      </c>
      <c r="F138" s="77">
        <f t="shared" si="1"/>
        <v>5.3007068486659384E-2</v>
      </c>
      <c r="G138" s="75">
        <v>4273</v>
      </c>
      <c r="H138" s="75">
        <v>205749</v>
      </c>
      <c r="I138" s="75">
        <f t="shared" si="71"/>
        <v>210022</v>
      </c>
      <c r="J138" s="86">
        <f t="shared" si="72"/>
        <v>2.0345487615583129E-2</v>
      </c>
      <c r="K138" s="75">
        <v>42</v>
      </c>
      <c r="L138" s="75">
        <v>974</v>
      </c>
      <c r="M138" s="79">
        <f t="shared" si="4"/>
        <v>1016</v>
      </c>
      <c r="N138" s="77">
        <f t="shared" si="5"/>
        <v>4.1338582677165357E-2</v>
      </c>
      <c r="O138" s="81">
        <f t="shared" ref="O138:P138" si="150">S138-S137</f>
        <v>3414</v>
      </c>
      <c r="P138" s="81">
        <f t="shared" si="150"/>
        <v>86</v>
      </c>
      <c r="Q138" s="81">
        <f t="shared" si="7"/>
        <v>3328</v>
      </c>
      <c r="R138" s="77">
        <f t="shared" si="8"/>
        <v>2.5190392501464556E-2</v>
      </c>
      <c r="S138" s="79">
        <f t="shared" si="9"/>
        <v>287009</v>
      </c>
      <c r="T138" s="75">
        <f t="shared" si="10"/>
        <v>8342</v>
      </c>
      <c r="U138" s="75">
        <f t="shared" si="11"/>
        <v>278667</v>
      </c>
      <c r="V138" s="77">
        <f t="shared" si="12"/>
        <v>2.9065290635485297E-2</v>
      </c>
    </row>
    <row r="139" spans="1:22" ht="12.5" x14ac:dyDescent="0.25">
      <c r="A139" s="75">
        <f t="shared" si="60"/>
        <v>137</v>
      </c>
      <c r="B139" s="76">
        <v>44333</v>
      </c>
      <c r="C139" s="75">
        <v>4030</v>
      </c>
      <c r="D139" s="75">
        <v>72425</v>
      </c>
      <c r="E139" s="75">
        <f t="shared" si="0"/>
        <v>76455</v>
      </c>
      <c r="F139" s="77">
        <f t="shared" si="1"/>
        <v>5.2710744882610683E-2</v>
      </c>
      <c r="G139" s="75">
        <v>4315</v>
      </c>
      <c r="H139" s="75">
        <v>207958</v>
      </c>
      <c r="I139" s="75">
        <f t="shared" si="71"/>
        <v>212273</v>
      </c>
      <c r="J139" s="86">
        <f t="shared" si="72"/>
        <v>2.0327597009511335E-2</v>
      </c>
      <c r="K139" s="75">
        <v>42</v>
      </c>
      <c r="L139" s="75">
        <v>974</v>
      </c>
      <c r="M139" s="79">
        <f t="shared" si="4"/>
        <v>1016</v>
      </c>
      <c r="N139" s="77">
        <f t="shared" si="5"/>
        <v>4.1338582677165357E-2</v>
      </c>
      <c r="O139" s="81">
        <f t="shared" ref="O139:P139" si="151">S139-S138</f>
        <v>2735</v>
      </c>
      <c r="P139" s="81">
        <f t="shared" si="151"/>
        <v>45</v>
      </c>
      <c r="Q139" s="81">
        <f t="shared" si="7"/>
        <v>2690</v>
      </c>
      <c r="R139" s="77">
        <f t="shared" si="8"/>
        <v>1.6453382084095063E-2</v>
      </c>
      <c r="S139" s="79">
        <f t="shared" si="9"/>
        <v>289744</v>
      </c>
      <c r="T139" s="75">
        <f t="shared" si="10"/>
        <v>8387</v>
      </c>
      <c r="U139" s="75">
        <f t="shared" si="11"/>
        <v>281357</v>
      </c>
      <c r="V139" s="77">
        <f t="shared" si="12"/>
        <v>2.8946242200011043E-2</v>
      </c>
    </row>
    <row r="140" spans="1:22" ht="12.5" x14ac:dyDescent="0.25">
      <c r="A140" s="75">
        <f t="shared" si="60"/>
        <v>138</v>
      </c>
      <c r="B140" s="76">
        <v>44334</v>
      </c>
      <c r="C140" s="75">
        <v>4032</v>
      </c>
      <c r="D140" s="75">
        <v>72618</v>
      </c>
      <c r="E140" s="75">
        <f t="shared" si="0"/>
        <v>76650</v>
      </c>
      <c r="F140" s="77">
        <f t="shared" si="1"/>
        <v>5.26027397260274E-2</v>
      </c>
      <c r="G140" s="75">
        <v>4381</v>
      </c>
      <c r="H140" s="75">
        <v>212799</v>
      </c>
      <c r="I140" s="75">
        <f t="shared" si="71"/>
        <v>217180</v>
      </c>
      <c r="J140" s="86">
        <f t="shared" si="72"/>
        <v>2.0172207385578782E-2</v>
      </c>
      <c r="K140" s="75">
        <v>42</v>
      </c>
      <c r="L140" s="75">
        <v>974</v>
      </c>
      <c r="M140" s="79">
        <f t="shared" si="4"/>
        <v>1016</v>
      </c>
      <c r="N140" s="77">
        <f t="shared" si="5"/>
        <v>4.1338582677165357E-2</v>
      </c>
      <c r="O140" s="81">
        <f t="shared" ref="O140:P140" si="152">S140-S139</f>
        <v>5102</v>
      </c>
      <c r="P140" s="81">
        <f t="shared" si="152"/>
        <v>68</v>
      </c>
      <c r="Q140" s="81">
        <f t="shared" si="7"/>
        <v>5034</v>
      </c>
      <c r="R140" s="77">
        <f t="shared" si="8"/>
        <v>1.3328106624852998E-2</v>
      </c>
      <c r="S140" s="79">
        <f t="shared" si="9"/>
        <v>294846</v>
      </c>
      <c r="T140" s="75">
        <f t="shared" si="10"/>
        <v>8455</v>
      </c>
      <c r="U140" s="75">
        <f t="shared" si="11"/>
        <v>286391</v>
      </c>
      <c r="V140" s="77">
        <f t="shared" si="12"/>
        <v>2.8675986786322352E-2</v>
      </c>
    </row>
    <row r="141" spans="1:22" ht="12.5" x14ac:dyDescent="0.25">
      <c r="A141" s="75">
        <f t="shared" si="60"/>
        <v>139</v>
      </c>
      <c r="B141" s="76">
        <v>44335</v>
      </c>
      <c r="C141" s="75">
        <v>4043</v>
      </c>
      <c r="D141" s="75">
        <v>73362</v>
      </c>
      <c r="E141" s="75">
        <f t="shared" si="0"/>
        <v>77405</v>
      </c>
      <c r="F141" s="77">
        <f t="shared" si="1"/>
        <v>5.2231767973645114E-2</v>
      </c>
      <c r="G141" s="75">
        <v>4484</v>
      </c>
      <c r="H141" s="75">
        <v>219035</v>
      </c>
      <c r="I141" s="75">
        <f t="shared" si="71"/>
        <v>223519</v>
      </c>
      <c r="J141" s="86">
        <f t="shared" si="72"/>
        <v>2.0060934417208381E-2</v>
      </c>
      <c r="K141" s="75">
        <v>42</v>
      </c>
      <c r="L141" s="75">
        <v>974</v>
      </c>
      <c r="M141" s="79">
        <f t="shared" si="4"/>
        <v>1016</v>
      </c>
      <c r="N141" s="77">
        <f t="shared" si="5"/>
        <v>4.1338582677165357E-2</v>
      </c>
      <c r="O141" s="81">
        <f t="shared" ref="O141:P141" si="153">S141-S140</f>
        <v>7094</v>
      </c>
      <c r="P141" s="81">
        <f t="shared" si="153"/>
        <v>114</v>
      </c>
      <c r="Q141" s="81">
        <f t="shared" si="7"/>
        <v>6980</v>
      </c>
      <c r="R141" s="77">
        <f t="shared" si="8"/>
        <v>1.6069918240766846E-2</v>
      </c>
      <c r="S141" s="79">
        <f t="shared" si="9"/>
        <v>301940</v>
      </c>
      <c r="T141" s="75">
        <f t="shared" si="10"/>
        <v>8569</v>
      </c>
      <c r="U141" s="75">
        <f t="shared" si="11"/>
        <v>293371</v>
      </c>
      <c r="V141" s="77">
        <f t="shared" si="12"/>
        <v>2.8379810558389083E-2</v>
      </c>
    </row>
    <row r="142" spans="1:22" ht="12.5" x14ac:dyDescent="0.25">
      <c r="A142" s="75">
        <f t="shared" si="60"/>
        <v>140</v>
      </c>
      <c r="B142" s="76">
        <v>44336</v>
      </c>
      <c r="C142" s="75">
        <v>4051</v>
      </c>
      <c r="D142" s="75">
        <v>74114</v>
      </c>
      <c r="E142" s="75">
        <f t="shared" si="0"/>
        <v>78165</v>
      </c>
      <c r="F142" s="77">
        <f t="shared" si="1"/>
        <v>5.1826264952344402E-2</v>
      </c>
      <c r="G142" s="75">
        <v>4552</v>
      </c>
      <c r="H142" s="75">
        <v>225368</v>
      </c>
      <c r="I142" s="75">
        <f t="shared" si="71"/>
        <v>229920</v>
      </c>
      <c r="J142" s="86">
        <f t="shared" si="72"/>
        <v>1.9798190675017396E-2</v>
      </c>
      <c r="K142" s="75">
        <v>42</v>
      </c>
      <c r="L142" s="75">
        <v>974</v>
      </c>
      <c r="M142" s="79">
        <f t="shared" si="4"/>
        <v>1016</v>
      </c>
      <c r="N142" s="77">
        <f t="shared" si="5"/>
        <v>4.1338582677165357E-2</v>
      </c>
      <c r="O142" s="81">
        <f t="shared" ref="O142:P142" si="154">S142-S141</f>
        <v>7161</v>
      </c>
      <c r="P142" s="81">
        <f t="shared" si="154"/>
        <v>76</v>
      </c>
      <c r="Q142" s="81">
        <f t="shared" si="7"/>
        <v>7085</v>
      </c>
      <c r="R142" s="77">
        <f t="shared" si="8"/>
        <v>1.0613042871107387E-2</v>
      </c>
      <c r="S142" s="79">
        <f t="shared" si="9"/>
        <v>309101</v>
      </c>
      <c r="T142" s="75">
        <f t="shared" si="10"/>
        <v>8645</v>
      </c>
      <c r="U142" s="75">
        <f t="shared" si="11"/>
        <v>300456</v>
      </c>
      <c r="V142" s="77">
        <f t="shared" si="12"/>
        <v>2.7968204567439123E-2</v>
      </c>
    </row>
    <row r="143" spans="1:22" ht="12.5" x14ac:dyDescent="0.25">
      <c r="A143" s="75">
        <f t="shared" si="60"/>
        <v>141</v>
      </c>
      <c r="B143" s="76">
        <v>44337</v>
      </c>
      <c r="C143" s="75">
        <v>4055</v>
      </c>
      <c r="D143" s="75">
        <v>74996</v>
      </c>
      <c r="E143" s="75">
        <f t="shared" si="0"/>
        <v>79051</v>
      </c>
      <c r="F143" s="77">
        <f t="shared" si="1"/>
        <v>5.1295998785594113E-2</v>
      </c>
      <c r="G143" s="75">
        <v>4631</v>
      </c>
      <c r="H143" s="75">
        <v>232017</v>
      </c>
      <c r="I143" s="75">
        <f t="shared" si="71"/>
        <v>236648</v>
      </c>
      <c r="J143" s="86">
        <f t="shared" si="72"/>
        <v>1.9569149115986614E-2</v>
      </c>
      <c r="K143" s="75">
        <v>42</v>
      </c>
      <c r="L143" s="75">
        <v>974</v>
      </c>
      <c r="M143" s="79">
        <f t="shared" si="4"/>
        <v>1016</v>
      </c>
      <c r="N143" s="77">
        <f t="shared" si="5"/>
        <v>4.1338582677165357E-2</v>
      </c>
      <c r="O143" s="81">
        <f t="shared" ref="O143:P143" si="155">S143-S142</f>
        <v>7614</v>
      </c>
      <c r="P143" s="81">
        <f t="shared" si="155"/>
        <v>83</v>
      </c>
      <c r="Q143" s="81">
        <f t="shared" si="7"/>
        <v>7531</v>
      </c>
      <c r="R143" s="77">
        <f t="shared" si="8"/>
        <v>1.0900971893879695E-2</v>
      </c>
      <c r="S143" s="79">
        <f t="shared" si="9"/>
        <v>316715</v>
      </c>
      <c r="T143" s="75">
        <f t="shared" si="10"/>
        <v>8728</v>
      </c>
      <c r="U143" s="75">
        <f t="shared" si="11"/>
        <v>307987</v>
      </c>
      <c r="V143" s="77">
        <f t="shared" si="12"/>
        <v>2.7557899057512273E-2</v>
      </c>
    </row>
    <row r="144" spans="1:22" ht="12.5" x14ac:dyDescent="0.25">
      <c r="A144" s="75">
        <f t="shared" si="60"/>
        <v>142</v>
      </c>
      <c r="B144" s="76">
        <v>44338</v>
      </c>
      <c r="C144" s="75">
        <v>4074</v>
      </c>
      <c r="D144" s="75">
        <v>75979</v>
      </c>
      <c r="E144" s="75">
        <f t="shared" si="0"/>
        <v>80053</v>
      </c>
      <c r="F144" s="77">
        <f t="shared" si="1"/>
        <v>5.089128452400285E-2</v>
      </c>
      <c r="G144" s="75">
        <v>4726</v>
      </c>
      <c r="H144" s="75">
        <v>240832</v>
      </c>
      <c r="I144" s="75">
        <f t="shared" si="71"/>
        <v>245558</v>
      </c>
      <c r="J144" s="86">
        <f t="shared" si="72"/>
        <v>1.9245962257389292E-2</v>
      </c>
      <c r="K144" s="75">
        <v>42</v>
      </c>
      <c r="L144" s="75">
        <v>974</v>
      </c>
      <c r="M144" s="79">
        <f t="shared" si="4"/>
        <v>1016</v>
      </c>
      <c r="N144" s="77">
        <f t="shared" si="5"/>
        <v>4.1338582677165357E-2</v>
      </c>
      <c r="O144" s="81">
        <f t="shared" ref="O144:P144" si="156">S144-S143</f>
        <v>9912</v>
      </c>
      <c r="P144" s="81">
        <f t="shared" si="156"/>
        <v>114</v>
      </c>
      <c r="Q144" s="81">
        <f t="shared" si="7"/>
        <v>9798</v>
      </c>
      <c r="R144" s="77">
        <f t="shared" si="8"/>
        <v>1.1501210653753027E-2</v>
      </c>
      <c r="S144" s="79">
        <f t="shared" si="9"/>
        <v>326627</v>
      </c>
      <c r="T144" s="75">
        <f t="shared" si="10"/>
        <v>8842</v>
      </c>
      <c r="U144" s="75">
        <f t="shared" si="11"/>
        <v>317785</v>
      </c>
      <c r="V144" s="77">
        <f t="shared" si="12"/>
        <v>2.7070634087200385E-2</v>
      </c>
    </row>
    <row r="145" spans="1:22" ht="12.5" x14ac:dyDescent="0.25">
      <c r="A145" s="75">
        <f t="shared" si="60"/>
        <v>143</v>
      </c>
      <c r="B145" s="76">
        <v>44339</v>
      </c>
      <c r="C145" s="75">
        <v>4111</v>
      </c>
      <c r="D145" s="75">
        <v>77230</v>
      </c>
      <c r="E145" s="75">
        <f t="shared" si="0"/>
        <v>81341</v>
      </c>
      <c r="F145" s="77">
        <f t="shared" si="1"/>
        <v>5.0540317920851723E-2</v>
      </c>
      <c r="G145" s="75">
        <v>4825</v>
      </c>
      <c r="H145" s="75">
        <v>249785</v>
      </c>
      <c r="I145" s="75">
        <f t="shared" si="71"/>
        <v>254610</v>
      </c>
      <c r="J145" s="86">
        <f t="shared" si="72"/>
        <v>1.8950551824358824E-2</v>
      </c>
      <c r="K145" s="75">
        <v>42</v>
      </c>
      <c r="L145" s="75">
        <v>974</v>
      </c>
      <c r="M145" s="79">
        <f t="shared" si="4"/>
        <v>1016</v>
      </c>
      <c r="N145" s="77">
        <f t="shared" si="5"/>
        <v>4.1338582677165357E-2</v>
      </c>
      <c r="O145" s="81">
        <f t="shared" ref="O145:P145" si="157">S145-S144</f>
        <v>10340</v>
      </c>
      <c r="P145" s="81">
        <f t="shared" si="157"/>
        <v>136</v>
      </c>
      <c r="Q145" s="81">
        <f t="shared" si="7"/>
        <v>10204</v>
      </c>
      <c r="R145" s="77">
        <f t="shared" si="8"/>
        <v>1.3152804642166345E-2</v>
      </c>
      <c r="S145" s="79">
        <f t="shared" si="9"/>
        <v>336967</v>
      </c>
      <c r="T145" s="75">
        <f t="shared" si="10"/>
        <v>8978</v>
      </c>
      <c r="U145" s="75">
        <f t="shared" si="11"/>
        <v>327989</v>
      </c>
      <c r="V145" s="77">
        <f t="shared" si="12"/>
        <v>2.6643558568049692E-2</v>
      </c>
    </row>
    <row r="146" spans="1:22" ht="12.5" x14ac:dyDescent="0.25">
      <c r="A146" s="75">
        <f t="shared" si="60"/>
        <v>144</v>
      </c>
      <c r="B146" s="76">
        <v>44340</v>
      </c>
      <c r="C146" s="75">
        <v>4113</v>
      </c>
      <c r="D146" s="75">
        <v>77584</v>
      </c>
      <c r="E146" s="75">
        <f t="shared" si="0"/>
        <v>81697</v>
      </c>
      <c r="F146" s="77">
        <f t="shared" si="1"/>
        <v>5.034456589593253E-2</v>
      </c>
      <c r="G146" s="75">
        <v>4949</v>
      </c>
      <c r="H146" s="75">
        <v>260215</v>
      </c>
      <c r="I146" s="75">
        <f t="shared" si="71"/>
        <v>265164</v>
      </c>
      <c r="J146" s="86">
        <f t="shared" si="72"/>
        <v>1.8663921195939116E-2</v>
      </c>
      <c r="K146" s="75">
        <v>42</v>
      </c>
      <c r="L146" s="75">
        <v>974</v>
      </c>
      <c r="M146" s="79">
        <f t="shared" si="4"/>
        <v>1016</v>
      </c>
      <c r="N146" s="77">
        <f t="shared" si="5"/>
        <v>4.1338582677165357E-2</v>
      </c>
      <c r="O146" s="81">
        <f t="shared" ref="O146:P146" si="158">S146-S145</f>
        <v>10910</v>
      </c>
      <c r="P146" s="81">
        <f t="shared" si="158"/>
        <v>126</v>
      </c>
      <c r="Q146" s="81">
        <f t="shared" si="7"/>
        <v>10784</v>
      </c>
      <c r="R146" s="77">
        <f t="shared" si="8"/>
        <v>1.154903758020165E-2</v>
      </c>
      <c r="S146" s="79">
        <f t="shared" si="9"/>
        <v>347877</v>
      </c>
      <c r="T146" s="75">
        <f t="shared" si="10"/>
        <v>9104</v>
      </c>
      <c r="U146" s="75">
        <f t="shared" si="11"/>
        <v>338773</v>
      </c>
      <c r="V146" s="77">
        <f t="shared" si="12"/>
        <v>2.6170169341462643E-2</v>
      </c>
    </row>
    <row r="147" spans="1:22" ht="12.5" x14ac:dyDescent="0.25">
      <c r="A147" s="75">
        <f t="shared" si="60"/>
        <v>145</v>
      </c>
      <c r="B147" s="76">
        <v>44341</v>
      </c>
      <c r="C147" s="75">
        <v>4113</v>
      </c>
      <c r="D147" s="75">
        <v>77934</v>
      </c>
      <c r="E147" s="75">
        <f t="shared" si="0"/>
        <v>82047</v>
      </c>
      <c r="F147" s="77">
        <f t="shared" si="1"/>
        <v>5.0129803649127939E-2</v>
      </c>
      <c r="G147" s="75">
        <v>5037</v>
      </c>
      <c r="H147" s="75">
        <v>267718</v>
      </c>
      <c r="I147" s="75">
        <f t="shared" si="71"/>
        <v>272755</v>
      </c>
      <c r="J147" s="86">
        <f t="shared" si="72"/>
        <v>1.8467122509211564E-2</v>
      </c>
      <c r="K147" s="75">
        <v>42</v>
      </c>
      <c r="L147" s="75">
        <v>974</v>
      </c>
      <c r="M147" s="79">
        <f t="shared" si="4"/>
        <v>1016</v>
      </c>
      <c r="N147" s="77">
        <f t="shared" si="5"/>
        <v>4.1338582677165357E-2</v>
      </c>
      <c r="O147" s="81">
        <f t="shared" ref="O147:P147" si="159">S147-S146</f>
        <v>7941</v>
      </c>
      <c r="P147" s="81">
        <f t="shared" si="159"/>
        <v>88</v>
      </c>
      <c r="Q147" s="81">
        <f t="shared" si="7"/>
        <v>7853</v>
      </c>
      <c r="R147" s="77">
        <f t="shared" si="8"/>
        <v>1.1081727742097973E-2</v>
      </c>
      <c r="S147" s="79">
        <f t="shared" si="9"/>
        <v>355818</v>
      </c>
      <c r="T147" s="75">
        <f t="shared" si="10"/>
        <v>9192</v>
      </c>
      <c r="U147" s="75">
        <f t="shared" si="11"/>
        <v>346626</v>
      </c>
      <c r="V147" s="77">
        <f t="shared" si="12"/>
        <v>2.5833431698227747E-2</v>
      </c>
    </row>
    <row r="148" spans="1:22" ht="12.5" x14ac:dyDescent="0.25">
      <c r="A148" s="75">
        <f t="shared" si="60"/>
        <v>146</v>
      </c>
      <c r="B148" s="76">
        <v>44342</v>
      </c>
      <c r="C148" s="75">
        <v>4125</v>
      </c>
      <c r="D148" s="75">
        <v>78888</v>
      </c>
      <c r="E148" s="75">
        <f t="shared" si="0"/>
        <v>83013</v>
      </c>
      <c r="F148" s="77">
        <f t="shared" si="1"/>
        <v>4.9691012251093201E-2</v>
      </c>
      <c r="G148" s="75">
        <v>5102</v>
      </c>
      <c r="H148" s="75">
        <v>272694</v>
      </c>
      <c r="I148" s="75">
        <f t="shared" si="71"/>
        <v>277796</v>
      </c>
      <c r="J148" s="86">
        <f t="shared" si="72"/>
        <v>1.8365995190715488E-2</v>
      </c>
      <c r="K148" s="75">
        <v>42</v>
      </c>
      <c r="L148" s="75">
        <v>974</v>
      </c>
      <c r="M148" s="79">
        <f t="shared" si="4"/>
        <v>1016</v>
      </c>
      <c r="N148" s="77">
        <f t="shared" si="5"/>
        <v>4.1338582677165357E-2</v>
      </c>
      <c r="O148" s="81">
        <f t="shared" ref="O148:P148" si="160">S148-S147</f>
        <v>6007</v>
      </c>
      <c r="P148" s="81">
        <f t="shared" si="160"/>
        <v>77</v>
      </c>
      <c r="Q148" s="81">
        <f t="shared" si="7"/>
        <v>5930</v>
      </c>
      <c r="R148" s="77">
        <f t="shared" si="8"/>
        <v>1.2818378558348593E-2</v>
      </c>
      <c r="S148" s="79">
        <f t="shared" si="9"/>
        <v>361825</v>
      </c>
      <c r="T148" s="75">
        <f t="shared" si="10"/>
        <v>9269</v>
      </c>
      <c r="U148" s="75">
        <f t="shared" si="11"/>
        <v>352556</v>
      </c>
      <c r="V148" s="77">
        <f t="shared" si="12"/>
        <v>2.5617356456850687E-2</v>
      </c>
    </row>
    <row r="149" spans="1:22" ht="12.5" x14ac:dyDescent="0.25">
      <c r="A149" s="75">
        <f t="shared" si="60"/>
        <v>147</v>
      </c>
      <c r="B149" s="76">
        <v>44343</v>
      </c>
      <c r="C149" s="75">
        <v>4143</v>
      </c>
      <c r="D149" s="75">
        <v>79974</v>
      </c>
      <c r="E149" s="75">
        <f t="shared" si="0"/>
        <v>84117</v>
      </c>
      <c r="F149" s="77">
        <f t="shared" si="1"/>
        <v>4.9252826420343093E-2</v>
      </c>
      <c r="G149" s="75">
        <v>5159</v>
      </c>
      <c r="H149" s="75">
        <v>278800</v>
      </c>
      <c r="I149" s="75">
        <f t="shared" si="71"/>
        <v>283959</v>
      </c>
      <c r="J149" s="86">
        <f t="shared" si="72"/>
        <v>1.8168115819537329E-2</v>
      </c>
      <c r="K149" s="75">
        <v>42</v>
      </c>
      <c r="L149" s="75">
        <v>974</v>
      </c>
      <c r="M149" s="79">
        <f t="shared" si="4"/>
        <v>1016</v>
      </c>
      <c r="N149" s="77">
        <f t="shared" si="5"/>
        <v>4.1338582677165357E-2</v>
      </c>
      <c r="O149" s="81">
        <f t="shared" ref="O149:P149" si="161">S149-S148</f>
        <v>7267</v>
      </c>
      <c r="P149" s="81">
        <f t="shared" si="161"/>
        <v>75</v>
      </c>
      <c r="Q149" s="81">
        <f t="shared" si="7"/>
        <v>7192</v>
      </c>
      <c r="R149" s="77">
        <f t="shared" si="8"/>
        <v>1.0320627494151644E-2</v>
      </c>
      <c r="S149" s="79">
        <f t="shared" si="9"/>
        <v>369092</v>
      </c>
      <c r="T149" s="75">
        <f t="shared" si="10"/>
        <v>9344</v>
      </c>
      <c r="U149" s="75">
        <f t="shared" si="11"/>
        <v>359748</v>
      </c>
      <c r="V149" s="77">
        <f t="shared" si="12"/>
        <v>2.531618133148375E-2</v>
      </c>
    </row>
    <row r="150" spans="1:22" ht="12.5" x14ac:dyDescent="0.25">
      <c r="A150" s="75">
        <f t="shared" si="60"/>
        <v>148</v>
      </c>
      <c r="B150" s="76">
        <v>44344</v>
      </c>
      <c r="C150" s="75">
        <v>4144</v>
      </c>
      <c r="D150" s="75">
        <v>80158</v>
      </c>
      <c r="E150" s="75">
        <f t="shared" si="0"/>
        <v>84302</v>
      </c>
      <c r="F150" s="77">
        <f t="shared" si="1"/>
        <v>4.9156603639296817E-2</v>
      </c>
      <c r="G150" s="75">
        <v>5306</v>
      </c>
      <c r="H150" s="75">
        <v>287040</v>
      </c>
      <c r="I150" s="75">
        <f t="shared" si="71"/>
        <v>292346</v>
      </c>
      <c r="J150" s="86">
        <f t="shared" si="72"/>
        <v>1.8149726693712245E-2</v>
      </c>
      <c r="K150" s="75">
        <v>42</v>
      </c>
      <c r="L150" s="75">
        <v>974</v>
      </c>
      <c r="M150" s="79">
        <f t="shared" si="4"/>
        <v>1016</v>
      </c>
      <c r="N150" s="77">
        <f t="shared" si="5"/>
        <v>4.1338582677165357E-2</v>
      </c>
      <c r="O150" s="81">
        <f t="shared" ref="O150:P150" si="162">S150-S149</f>
        <v>8572</v>
      </c>
      <c r="P150" s="81">
        <f t="shared" si="162"/>
        <v>148</v>
      </c>
      <c r="Q150" s="81">
        <f t="shared" si="7"/>
        <v>8424</v>
      </c>
      <c r="R150" s="77">
        <f t="shared" si="8"/>
        <v>1.726551563229118E-2</v>
      </c>
      <c r="S150" s="79">
        <f t="shared" si="9"/>
        <v>377664</v>
      </c>
      <c r="T150" s="75">
        <f t="shared" si="10"/>
        <v>9492</v>
      </c>
      <c r="U150" s="75">
        <f t="shared" si="11"/>
        <v>368172</v>
      </c>
      <c r="V150" s="77">
        <f t="shared" si="12"/>
        <v>2.5133451957295373E-2</v>
      </c>
    </row>
    <row r="151" spans="1:22" ht="12.5" x14ac:dyDescent="0.25">
      <c r="A151" s="75">
        <f t="shared" si="60"/>
        <v>149</v>
      </c>
      <c r="B151" s="76">
        <v>44345</v>
      </c>
      <c r="C151" s="75">
        <v>4153</v>
      </c>
      <c r="D151" s="75">
        <v>81075</v>
      </c>
      <c r="E151" s="75">
        <f t="shared" si="0"/>
        <v>85228</v>
      </c>
      <c r="F151" s="77">
        <f t="shared" si="1"/>
        <v>4.8728117520063827E-2</v>
      </c>
      <c r="G151" s="75">
        <v>5371</v>
      </c>
      <c r="H151" s="75">
        <v>291016</v>
      </c>
      <c r="I151" s="75">
        <f t="shared" si="71"/>
        <v>296387</v>
      </c>
      <c r="J151" s="86">
        <f t="shared" si="72"/>
        <v>1.8121577532077993E-2</v>
      </c>
      <c r="K151" s="75">
        <v>42</v>
      </c>
      <c r="L151" s="75">
        <v>974</v>
      </c>
      <c r="M151" s="79">
        <f t="shared" si="4"/>
        <v>1016</v>
      </c>
      <c r="N151" s="77">
        <f t="shared" si="5"/>
        <v>4.1338582677165357E-2</v>
      </c>
      <c r="O151" s="81">
        <f t="shared" ref="O151:P151" si="163">S151-S150</f>
        <v>4967</v>
      </c>
      <c r="P151" s="81">
        <f t="shared" si="163"/>
        <v>74</v>
      </c>
      <c r="Q151" s="81">
        <f t="shared" si="7"/>
        <v>4893</v>
      </c>
      <c r="R151" s="77">
        <f t="shared" si="8"/>
        <v>1.4898328971209986E-2</v>
      </c>
      <c r="S151" s="79">
        <f t="shared" si="9"/>
        <v>382631</v>
      </c>
      <c r="T151" s="75">
        <f t="shared" si="10"/>
        <v>9566</v>
      </c>
      <c r="U151" s="75">
        <f t="shared" si="11"/>
        <v>373065</v>
      </c>
      <c r="V151" s="77">
        <f t="shared" si="12"/>
        <v>2.5000588033902114E-2</v>
      </c>
    </row>
    <row r="152" spans="1:22" ht="12.5" x14ac:dyDescent="0.25">
      <c r="A152" s="75">
        <f t="shared" si="60"/>
        <v>150</v>
      </c>
      <c r="B152" s="76">
        <v>44346</v>
      </c>
      <c r="C152" s="75">
        <v>4168</v>
      </c>
      <c r="D152" s="75">
        <v>82247</v>
      </c>
      <c r="E152" s="75">
        <f t="shared" si="0"/>
        <v>86415</v>
      </c>
      <c r="F152" s="77">
        <f t="shared" si="1"/>
        <v>4.8232367065902913E-2</v>
      </c>
      <c r="G152" s="75">
        <v>5444</v>
      </c>
      <c r="H152" s="75">
        <v>297323</v>
      </c>
      <c r="I152" s="75">
        <f t="shared" si="71"/>
        <v>302767</v>
      </c>
      <c r="J152" s="86">
        <f t="shared" si="72"/>
        <v>1.7980823537571796E-2</v>
      </c>
      <c r="K152" s="75">
        <v>42</v>
      </c>
      <c r="L152" s="75">
        <v>974</v>
      </c>
      <c r="M152" s="79">
        <f t="shared" si="4"/>
        <v>1016</v>
      </c>
      <c r="N152" s="77">
        <f t="shared" si="5"/>
        <v>4.1338582677165357E-2</v>
      </c>
      <c r="O152" s="81">
        <f t="shared" ref="O152:P152" si="164">S152-S151</f>
        <v>7567</v>
      </c>
      <c r="P152" s="81">
        <f t="shared" si="164"/>
        <v>88</v>
      </c>
      <c r="Q152" s="81">
        <f t="shared" si="7"/>
        <v>7479</v>
      </c>
      <c r="R152" s="77">
        <f t="shared" si="8"/>
        <v>1.1629443636844192E-2</v>
      </c>
      <c r="S152" s="79">
        <f t="shared" si="9"/>
        <v>390198</v>
      </c>
      <c r="T152" s="75">
        <f t="shared" si="10"/>
        <v>9654</v>
      </c>
      <c r="U152" s="75">
        <f t="shared" si="11"/>
        <v>380544</v>
      </c>
      <c r="V152" s="77">
        <f t="shared" si="12"/>
        <v>2.4741285193670904E-2</v>
      </c>
    </row>
    <row r="153" spans="1:22" ht="12.5" x14ac:dyDescent="0.25">
      <c r="A153" s="75">
        <f t="shared" si="60"/>
        <v>151</v>
      </c>
      <c r="B153" s="76">
        <v>44347</v>
      </c>
      <c r="C153" s="75">
        <v>4192</v>
      </c>
      <c r="D153" s="75">
        <v>82985</v>
      </c>
      <c r="E153" s="75">
        <f t="shared" si="0"/>
        <v>87177</v>
      </c>
      <c r="F153" s="77">
        <f t="shared" si="1"/>
        <v>4.8086077749865216E-2</v>
      </c>
      <c r="G153" s="75">
        <v>5475</v>
      </c>
      <c r="H153" s="75">
        <v>299924</v>
      </c>
      <c r="I153" s="75">
        <f t="shared" si="71"/>
        <v>305399</v>
      </c>
      <c r="J153" s="86">
        <f t="shared" si="72"/>
        <v>1.7927367149204811E-2</v>
      </c>
      <c r="K153" s="75">
        <v>42</v>
      </c>
      <c r="L153" s="75">
        <v>974</v>
      </c>
      <c r="M153" s="79">
        <f t="shared" si="4"/>
        <v>1016</v>
      </c>
      <c r="N153" s="77">
        <f t="shared" si="5"/>
        <v>4.1338582677165357E-2</v>
      </c>
      <c r="O153" s="81">
        <f t="shared" ref="O153:P153" si="165">S153-S152</f>
        <v>3394</v>
      </c>
      <c r="P153" s="81">
        <f t="shared" si="165"/>
        <v>55</v>
      </c>
      <c r="Q153" s="81">
        <f t="shared" si="7"/>
        <v>3339</v>
      </c>
      <c r="R153" s="77">
        <f t="shared" si="8"/>
        <v>1.6205067766647024E-2</v>
      </c>
      <c r="S153" s="79">
        <f t="shared" si="9"/>
        <v>393592</v>
      </c>
      <c r="T153" s="75">
        <f t="shared" si="10"/>
        <v>9709</v>
      </c>
      <c r="U153" s="75">
        <f t="shared" si="11"/>
        <v>383883</v>
      </c>
      <c r="V153" s="77">
        <f t="shared" si="12"/>
        <v>2.4667676172279926E-2</v>
      </c>
    </row>
    <row r="154" spans="1:22" ht="12.5" x14ac:dyDescent="0.25">
      <c r="A154" s="75">
        <f t="shared" si="60"/>
        <v>152</v>
      </c>
      <c r="B154" s="76">
        <v>44348</v>
      </c>
      <c r="C154" s="75">
        <v>4194</v>
      </c>
      <c r="D154" s="75">
        <v>83396</v>
      </c>
      <c r="E154" s="75">
        <f t="shared" si="0"/>
        <v>87590</v>
      </c>
      <c r="F154" s="77">
        <f t="shared" si="1"/>
        <v>4.7882178330859684E-2</v>
      </c>
      <c r="G154" s="75">
        <v>5578</v>
      </c>
      <c r="H154" s="75">
        <v>306788</v>
      </c>
      <c r="I154" s="75">
        <f t="shared" si="71"/>
        <v>312366</v>
      </c>
      <c r="J154" s="86">
        <f t="shared" si="72"/>
        <v>1.7857257191883878E-2</v>
      </c>
      <c r="K154" s="75">
        <v>42</v>
      </c>
      <c r="L154" s="75">
        <v>974</v>
      </c>
      <c r="M154" s="79">
        <f t="shared" si="4"/>
        <v>1016</v>
      </c>
      <c r="N154" s="77">
        <f t="shared" si="5"/>
        <v>4.1338582677165357E-2</v>
      </c>
      <c r="O154" s="81">
        <f t="shared" ref="O154:P154" si="166">S154-S153</f>
        <v>7380</v>
      </c>
      <c r="P154" s="81">
        <f t="shared" si="166"/>
        <v>105</v>
      </c>
      <c r="Q154" s="81">
        <f t="shared" si="7"/>
        <v>7275</v>
      </c>
      <c r="R154" s="77">
        <f t="shared" si="8"/>
        <v>1.4227642276422764E-2</v>
      </c>
      <c r="S154" s="79">
        <f t="shared" si="9"/>
        <v>400972</v>
      </c>
      <c r="T154" s="75">
        <f t="shared" si="10"/>
        <v>9814</v>
      </c>
      <c r="U154" s="75">
        <f t="shared" si="11"/>
        <v>391158</v>
      </c>
      <c r="V154" s="77">
        <f t="shared" si="12"/>
        <v>2.4475524475524476E-2</v>
      </c>
    </row>
    <row r="155" spans="1:22" ht="12.5" x14ac:dyDescent="0.25">
      <c r="A155" s="75">
        <f t="shared" si="60"/>
        <v>153</v>
      </c>
      <c r="B155" s="76">
        <v>44349</v>
      </c>
      <c r="C155" s="75">
        <v>4207</v>
      </c>
      <c r="D155" s="75">
        <v>84136</v>
      </c>
      <c r="E155" s="75">
        <f t="shared" si="0"/>
        <v>88343</v>
      </c>
      <c r="F155" s="77">
        <f t="shared" si="1"/>
        <v>4.7621203717329044E-2</v>
      </c>
      <c r="G155" s="75">
        <v>5649</v>
      </c>
      <c r="H155" s="75">
        <v>311181</v>
      </c>
      <c r="I155" s="75">
        <f t="shared" si="71"/>
        <v>316830</v>
      </c>
      <c r="J155" s="86">
        <f t="shared" si="72"/>
        <v>1.7829750970552029E-2</v>
      </c>
      <c r="K155" s="75">
        <v>42</v>
      </c>
      <c r="L155" s="75">
        <v>974</v>
      </c>
      <c r="M155" s="79">
        <f t="shared" si="4"/>
        <v>1016</v>
      </c>
      <c r="N155" s="77">
        <f t="shared" si="5"/>
        <v>4.1338582677165357E-2</v>
      </c>
      <c r="O155" s="81">
        <f t="shared" ref="O155:P155" si="167">S155-S154</f>
        <v>5217</v>
      </c>
      <c r="P155" s="81">
        <f t="shared" si="167"/>
        <v>84</v>
      </c>
      <c r="Q155" s="81">
        <f t="shared" si="7"/>
        <v>5133</v>
      </c>
      <c r="R155" s="77">
        <f t="shared" si="8"/>
        <v>1.6101207590569294E-2</v>
      </c>
      <c r="S155" s="79">
        <f t="shared" si="9"/>
        <v>406189</v>
      </c>
      <c r="T155" s="75">
        <f t="shared" si="10"/>
        <v>9898</v>
      </c>
      <c r="U155" s="75">
        <f t="shared" si="11"/>
        <v>396291</v>
      </c>
      <c r="V155" s="77">
        <f t="shared" si="12"/>
        <v>2.436796663622107E-2</v>
      </c>
    </row>
    <row r="156" spans="1:22" ht="12.5" x14ac:dyDescent="0.25">
      <c r="A156" s="75">
        <f t="shared" si="60"/>
        <v>154</v>
      </c>
      <c r="B156" s="76">
        <v>44350</v>
      </c>
      <c r="C156" s="75">
        <v>4209</v>
      </c>
      <c r="D156" s="75">
        <v>84259</v>
      </c>
      <c r="E156" s="75">
        <f t="shared" si="0"/>
        <v>88468</v>
      </c>
      <c r="F156" s="77">
        <f t="shared" si="1"/>
        <v>4.7576524845141743E-2</v>
      </c>
      <c r="G156" s="75">
        <v>5803</v>
      </c>
      <c r="H156" s="75">
        <v>318546</v>
      </c>
      <c r="I156" s="75">
        <f t="shared" si="71"/>
        <v>324349</v>
      </c>
      <c r="J156" s="86">
        <f t="shared" si="72"/>
        <v>1.7891222109517834E-2</v>
      </c>
      <c r="K156" s="75">
        <v>42</v>
      </c>
      <c r="L156" s="75">
        <v>974</v>
      </c>
      <c r="M156" s="79">
        <f t="shared" si="4"/>
        <v>1016</v>
      </c>
      <c r="N156" s="77">
        <f t="shared" si="5"/>
        <v>4.1338582677165357E-2</v>
      </c>
      <c r="O156" s="81">
        <f t="shared" ref="O156:P156" si="168">S156-S155</f>
        <v>7644</v>
      </c>
      <c r="P156" s="81">
        <f t="shared" si="168"/>
        <v>156</v>
      </c>
      <c r="Q156" s="81">
        <f t="shared" si="7"/>
        <v>7488</v>
      </c>
      <c r="R156" s="77">
        <f t="shared" si="8"/>
        <v>2.0408163265306121E-2</v>
      </c>
      <c r="S156" s="79">
        <f t="shared" si="9"/>
        <v>413833</v>
      </c>
      <c r="T156" s="75">
        <f t="shared" si="10"/>
        <v>10054</v>
      </c>
      <c r="U156" s="75">
        <f t="shared" si="11"/>
        <v>403779</v>
      </c>
      <c r="V156" s="77">
        <f t="shared" si="12"/>
        <v>2.4294824240696126E-2</v>
      </c>
    </row>
    <row r="157" spans="1:22" ht="12.5" x14ac:dyDescent="0.25">
      <c r="A157" s="75">
        <f t="shared" si="60"/>
        <v>155</v>
      </c>
      <c r="B157" s="76">
        <v>44351</v>
      </c>
      <c r="C157" s="75">
        <v>4230</v>
      </c>
      <c r="D157" s="75">
        <v>85145</v>
      </c>
      <c r="E157" s="75">
        <f t="shared" si="0"/>
        <v>89375</v>
      </c>
      <c r="F157" s="77">
        <f t="shared" si="1"/>
        <v>4.7328671328671329E-2</v>
      </c>
      <c r="G157" s="75">
        <v>5926</v>
      </c>
      <c r="H157" s="75">
        <v>324090</v>
      </c>
      <c r="I157" s="75">
        <f t="shared" si="71"/>
        <v>330016</v>
      </c>
      <c r="J157" s="86">
        <f t="shared" si="72"/>
        <v>1.7956705129448268E-2</v>
      </c>
      <c r="K157" s="75">
        <v>42</v>
      </c>
      <c r="L157" s="75">
        <v>974</v>
      </c>
      <c r="M157" s="79">
        <f t="shared" si="4"/>
        <v>1016</v>
      </c>
      <c r="N157" s="77">
        <f t="shared" si="5"/>
        <v>4.1338582677165357E-2</v>
      </c>
      <c r="O157" s="81">
        <f t="shared" ref="O157:P157" si="169">S157-S156</f>
        <v>6574</v>
      </c>
      <c r="P157" s="81">
        <f t="shared" si="169"/>
        <v>144</v>
      </c>
      <c r="Q157" s="81">
        <f t="shared" si="7"/>
        <v>6430</v>
      </c>
      <c r="R157" s="77">
        <f t="shared" si="8"/>
        <v>2.1904472163066627E-2</v>
      </c>
      <c r="S157" s="79">
        <f t="shared" si="9"/>
        <v>420407</v>
      </c>
      <c r="T157" s="75">
        <f t="shared" si="10"/>
        <v>10198</v>
      </c>
      <c r="U157" s="75">
        <f t="shared" si="11"/>
        <v>410209</v>
      </c>
      <c r="V157" s="77">
        <f t="shared" si="12"/>
        <v>2.4257445760893611E-2</v>
      </c>
    </row>
    <row r="158" spans="1:22" ht="12.5" x14ac:dyDescent="0.25">
      <c r="A158" s="75">
        <f t="shared" si="60"/>
        <v>156</v>
      </c>
      <c r="B158" s="76">
        <v>44352</v>
      </c>
      <c r="C158" s="75">
        <v>4250</v>
      </c>
      <c r="D158" s="75">
        <v>85851</v>
      </c>
      <c r="E158" s="75">
        <f t="shared" si="0"/>
        <v>90101</v>
      </c>
      <c r="F158" s="77">
        <f t="shared" si="1"/>
        <v>4.7169287799247513E-2</v>
      </c>
      <c r="G158" s="75">
        <v>6076</v>
      </c>
      <c r="H158" s="75">
        <v>329732</v>
      </c>
      <c r="I158" s="75">
        <f t="shared" si="71"/>
        <v>335808</v>
      </c>
      <c r="J158" s="86">
        <f t="shared" si="72"/>
        <v>1.809367257480465E-2</v>
      </c>
      <c r="K158" s="75">
        <v>42</v>
      </c>
      <c r="L158" s="75">
        <v>974</v>
      </c>
      <c r="M158" s="79">
        <f t="shared" si="4"/>
        <v>1016</v>
      </c>
      <c r="N158" s="77">
        <f t="shared" si="5"/>
        <v>4.1338582677165357E-2</v>
      </c>
      <c r="O158" s="81">
        <f t="shared" ref="O158:P158" si="170">S158-S157</f>
        <v>6518</v>
      </c>
      <c r="P158" s="81">
        <f t="shared" si="170"/>
        <v>170</v>
      </c>
      <c r="Q158" s="81">
        <f t="shared" si="7"/>
        <v>6348</v>
      </c>
      <c r="R158" s="77">
        <f t="shared" si="8"/>
        <v>2.6081620128873887E-2</v>
      </c>
      <c r="S158" s="79">
        <f t="shared" si="9"/>
        <v>426925</v>
      </c>
      <c r="T158" s="75">
        <f t="shared" si="10"/>
        <v>10368</v>
      </c>
      <c r="U158" s="75">
        <f t="shared" si="11"/>
        <v>416557</v>
      </c>
      <c r="V158" s="77">
        <f t="shared" si="12"/>
        <v>2.4285296012180126E-2</v>
      </c>
    </row>
    <row r="159" spans="1:22" ht="12.5" x14ac:dyDescent="0.25">
      <c r="A159" s="75">
        <f t="shared" si="60"/>
        <v>157</v>
      </c>
      <c r="B159" s="76">
        <v>44353</v>
      </c>
      <c r="C159" s="75">
        <v>4269</v>
      </c>
      <c r="D159" s="75">
        <v>86322</v>
      </c>
      <c r="E159" s="75">
        <f t="shared" si="0"/>
        <v>90591</v>
      </c>
      <c r="F159" s="77">
        <f t="shared" si="1"/>
        <v>4.7123886478789283E-2</v>
      </c>
      <c r="G159" s="75">
        <v>6208</v>
      </c>
      <c r="H159" s="75">
        <v>333896</v>
      </c>
      <c r="I159" s="75">
        <f t="shared" si="71"/>
        <v>340104</v>
      </c>
      <c r="J159" s="86">
        <f t="shared" si="72"/>
        <v>1.8253240185355069E-2</v>
      </c>
      <c r="K159" s="75">
        <v>42</v>
      </c>
      <c r="L159" s="75">
        <v>974</v>
      </c>
      <c r="M159" s="79">
        <f t="shared" si="4"/>
        <v>1016</v>
      </c>
      <c r="N159" s="77">
        <f t="shared" si="5"/>
        <v>4.1338582677165357E-2</v>
      </c>
      <c r="O159" s="81">
        <f t="shared" ref="O159:P159" si="171">S159-S158</f>
        <v>4786</v>
      </c>
      <c r="P159" s="81">
        <f t="shared" si="171"/>
        <v>151</v>
      </c>
      <c r="Q159" s="81">
        <f t="shared" si="7"/>
        <v>4635</v>
      </c>
      <c r="R159" s="77">
        <f t="shared" si="8"/>
        <v>3.155035520267447E-2</v>
      </c>
      <c r="S159" s="79">
        <f t="shared" si="9"/>
        <v>431711</v>
      </c>
      <c r="T159" s="75">
        <f t="shared" si="10"/>
        <v>10519</v>
      </c>
      <c r="U159" s="75">
        <f t="shared" si="11"/>
        <v>421192</v>
      </c>
      <c r="V159" s="77">
        <f t="shared" si="12"/>
        <v>2.4365837330992263E-2</v>
      </c>
    </row>
    <row r="160" spans="1:22" ht="12.5" x14ac:dyDescent="0.25">
      <c r="A160" s="75">
        <f t="shared" si="60"/>
        <v>158</v>
      </c>
      <c r="B160" s="76">
        <v>44354</v>
      </c>
      <c r="C160" s="75">
        <v>4277</v>
      </c>
      <c r="D160" s="75">
        <v>86660</v>
      </c>
      <c r="E160" s="75">
        <f t="shared" si="0"/>
        <v>90937</v>
      </c>
      <c r="F160" s="77">
        <f t="shared" si="1"/>
        <v>4.7032561003771844E-2</v>
      </c>
      <c r="G160" s="75">
        <v>6303</v>
      </c>
      <c r="H160" s="75">
        <v>336755</v>
      </c>
      <c r="I160" s="75">
        <f t="shared" si="71"/>
        <v>343058</v>
      </c>
      <c r="J160" s="86">
        <f t="shared" si="72"/>
        <v>1.8372986492080058E-2</v>
      </c>
      <c r="K160" s="75">
        <v>42</v>
      </c>
      <c r="L160" s="75">
        <v>974</v>
      </c>
      <c r="M160" s="79">
        <f t="shared" si="4"/>
        <v>1016</v>
      </c>
      <c r="N160" s="77">
        <f t="shared" si="5"/>
        <v>4.1338582677165357E-2</v>
      </c>
      <c r="O160" s="81">
        <f t="shared" ref="O160:P160" si="172">S160-S159</f>
        <v>3300</v>
      </c>
      <c r="P160" s="81">
        <f t="shared" si="172"/>
        <v>103</v>
      </c>
      <c r="Q160" s="81">
        <f t="shared" si="7"/>
        <v>3197</v>
      </c>
      <c r="R160" s="77">
        <f t="shared" si="8"/>
        <v>3.1212121212121212E-2</v>
      </c>
      <c r="S160" s="79">
        <f t="shared" si="9"/>
        <v>435011</v>
      </c>
      <c r="T160" s="75">
        <f t="shared" si="10"/>
        <v>10622</v>
      </c>
      <c r="U160" s="75">
        <f t="shared" si="11"/>
        <v>424389</v>
      </c>
      <c r="V160" s="77">
        <f t="shared" si="12"/>
        <v>2.4417773343662574E-2</v>
      </c>
    </row>
    <row r="161" spans="1:22" ht="12.5" x14ac:dyDescent="0.25">
      <c r="A161" s="75">
        <f t="shared" si="60"/>
        <v>159</v>
      </c>
      <c r="B161" s="76">
        <v>44355</v>
      </c>
      <c r="C161" s="75">
        <v>4280</v>
      </c>
      <c r="D161" s="75">
        <v>87024</v>
      </c>
      <c r="E161" s="75">
        <f t="shared" si="0"/>
        <v>91304</v>
      </c>
      <c r="F161" s="77">
        <f t="shared" si="1"/>
        <v>4.6876369052834488E-2</v>
      </c>
      <c r="G161" s="75">
        <v>6533</v>
      </c>
      <c r="H161" s="75">
        <v>343835</v>
      </c>
      <c r="I161" s="75">
        <f t="shared" si="71"/>
        <v>350368</v>
      </c>
      <c r="J161" s="86">
        <f t="shared" si="72"/>
        <v>1.8646109233719975E-2</v>
      </c>
      <c r="K161" s="75">
        <v>42</v>
      </c>
      <c r="L161" s="75">
        <v>974</v>
      </c>
      <c r="M161" s="79">
        <f t="shared" si="4"/>
        <v>1016</v>
      </c>
      <c r="N161" s="77">
        <f t="shared" si="5"/>
        <v>4.1338582677165357E-2</v>
      </c>
      <c r="O161" s="81">
        <f t="shared" ref="O161:P161" si="173">S161-S160</f>
        <v>7677</v>
      </c>
      <c r="P161" s="81">
        <f t="shared" si="173"/>
        <v>233</v>
      </c>
      <c r="Q161" s="81">
        <f t="shared" si="7"/>
        <v>7444</v>
      </c>
      <c r="R161" s="77">
        <f t="shared" si="8"/>
        <v>3.0350397290608309E-2</v>
      </c>
      <c r="S161" s="79">
        <f t="shared" si="9"/>
        <v>442688</v>
      </c>
      <c r="T161" s="75">
        <f t="shared" si="10"/>
        <v>10855</v>
      </c>
      <c r="U161" s="75">
        <f t="shared" si="11"/>
        <v>431833</v>
      </c>
      <c r="V161" s="77">
        <f t="shared" si="12"/>
        <v>2.4520655631053927E-2</v>
      </c>
    </row>
    <row r="162" spans="1:22" ht="12.5" x14ac:dyDescent="0.25">
      <c r="A162" s="75">
        <f t="shared" si="60"/>
        <v>160</v>
      </c>
      <c r="B162" s="76">
        <v>44356</v>
      </c>
      <c r="C162" s="75">
        <v>4284</v>
      </c>
      <c r="D162" s="75">
        <v>87350</v>
      </c>
      <c r="E162" s="75">
        <f t="shared" si="0"/>
        <v>91634</v>
      </c>
      <c r="F162" s="77">
        <f t="shared" si="1"/>
        <v>4.6751205884278758E-2</v>
      </c>
      <c r="G162" s="75">
        <v>6766</v>
      </c>
      <c r="H162" s="75">
        <v>349404</v>
      </c>
      <c r="I162" s="75">
        <f t="shared" si="71"/>
        <v>356170</v>
      </c>
      <c r="J162" s="86">
        <f t="shared" si="72"/>
        <v>1.8996546592919113E-2</v>
      </c>
      <c r="K162" s="75">
        <v>42</v>
      </c>
      <c r="L162" s="75">
        <v>974</v>
      </c>
      <c r="M162" s="79">
        <f t="shared" si="4"/>
        <v>1016</v>
      </c>
      <c r="N162" s="77">
        <f t="shared" si="5"/>
        <v>4.1338582677165357E-2</v>
      </c>
      <c r="O162" s="81">
        <f t="shared" ref="O162:P162" si="174">S162-S161</f>
        <v>6132</v>
      </c>
      <c r="P162" s="81">
        <f t="shared" si="174"/>
        <v>237</v>
      </c>
      <c r="Q162" s="81">
        <f t="shared" si="7"/>
        <v>5895</v>
      </c>
      <c r="R162" s="77">
        <f t="shared" si="8"/>
        <v>3.8649706457925634E-2</v>
      </c>
      <c r="S162" s="79">
        <f t="shared" si="9"/>
        <v>448820</v>
      </c>
      <c r="T162" s="75">
        <f t="shared" si="10"/>
        <v>11092</v>
      </c>
      <c r="U162" s="75">
        <f t="shared" si="11"/>
        <v>437728</v>
      </c>
      <c r="V162" s="77">
        <f t="shared" si="12"/>
        <v>2.4713693685664631E-2</v>
      </c>
    </row>
    <row r="163" spans="1:22" ht="12.5" x14ac:dyDescent="0.25">
      <c r="A163" s="75">
        <f t="shared" si="60"/>
        <v>161</v>
      </c>
      <c r="B163" s="76">
        <v>44357</v>
      </c>
      <c r="C163" s="75">
        <v>4288</v>
      </c>
      <c r="D163" s="75">
        <v>87673</v>
      </c>
      <c r="E163" s="75">
        <f t="shared" si="0"/>
        <v>91961</v>
      </c>
      <c r="F163" s="77">
        <f t="shared" si="1"/>
        <v>4.6628462065440787E-2</v>
      </c>
      <c r="G163" s="75">
        <v>6992</v>
      </c>
      <c r="H163" s="75">
        <v>354247</v>
      </c>
      <c r="I163" s="75">
        <f t="shared" si="71"/>
        <v>361239</v>
      </c>
      <c r="J163" s="86">
        <f t="shared" si="72"/>
        <v>1.9355606675912622E-2</v>
      </c>
      <c r="K163" s="75">
        <v>42</v>
      </c>
      <c r="L163" s="75">
        <v>974</v>
      </c>
      <c r="M163" s="79">
        <f t="shared" si="4"/>
        <v>1016</v>
      </c>
      <c r="N163" s="77">
        <f t="shared" si="5"/>
        <v>4.1338582677165357E-2</v>
      </c>
      <c r="O163" s="81">
        <f t="shared" ref="O163:P163" si="175">S163-S162</f>
        <v>5396</v>
      </c>
      <c r="P163" s="81">
        <f t="shared" si="175"/>
        <v>230</v>
      </c>
      <c r="Q163" s="81">
        <f t="shared" si="7"/>
        <v>5166</v>
      </c>
      <c r="R163" s="77">
        <f t="shared" si="8"/>
        <v>4.2624166048925133E-2</v>
      </c>
      <c r="S163" s="79">
        <f t="shared" si="9"/>
        <v>454216</v>
      </c>
      <c r="T163" s="75">
        <f t="shared" si="10"/>
        <v>11322</v>
      </c>
      <c r="U163" s="75">
        <f t="shared" si="11"/>
        <v>442894</v>
      </c>
      <c r="V163" s="77">
        <f t="shared" si="12"/>
        <v>2.4926466703066384E-2</v>
      </c>
    </row>
    <row r="164" spans="1:22" ht="12.5" x14ac:dyDescent="0.25">
      <c r="A164" s="75">
        <f t="shared" si="60"/>
        <v>162</v>
      </c>
      <c r="B164" s="76">
        <v>44358</v>
      </c>
      <c r="C164" s="75">
        <v>4303</v>
      </c>
      <c r="D164" s="75">
        <v>88271</v>
      </c>
      <c r="E164" s="75">
        <f t="shared" si="0"/>
        <v>92574</v>
      </c>
      <c r="F164" s="77">
        <f t="shared" si="1"/>
        <v>4.6481733532093242E-2</v>
      </c>
      <c r="G164" s="75">
        <v>7193</v>
      </c>
      <c r="H164" s="75">
        <v>359659</v>
      </c>
      <c r="I164" s="75">
        <f t="shared" si="71"/>
        <v>366852</v>
      </c>
      <c r="J164" s="86">
        <f t="shared" si="72"/>
        <v>1.9607362096976437E-2</v>
      </c>
      <c r="K164" s="75">
        <v>42</v>
      </c>
      <c r="L164" s="75">
        <v>974</v>
      </c>
      <c r="M164" s="79">
        <f t="shared" si="4"/>
        <v>1016</v>
      </c>
      <c r="N164" s="77">
        <f t="shared" si="5"/>
        <v>4.1338582677165357E-2</v>
      </c>
      <c r="O164" s="81">
        <f t="shared" ref="O164:P164" si="176">S164-S163</f>
        <v>6226</v>
      </c>
      <c r="P164" s="81">
        <f t="shared" si="176"/>
        <v>216</v>
      </c>
      <c r="Q164" s="81">
        <f t="shared" si="7"/>
        <v>6010</v>
      </c>
      <c r="R164" s="77">
        <f t="shared" si="8"/>
        <v>3.4693221972373914E-2</v>
      </c>
      <c r="S164" s="79">
        <f t="shared" si="9"/>
        <v>460442</v>
      </c>
      <c r="T164" s="75">
        <f t="shared" si="10"/>
        <v>11538</v>
      </c>
      <c r="U164" s="75">
        <f t="shared" si="11"/>
        <v>448904</v>
      </c>
      <c r="V164" s="77">
        <f t="shared" si="12"/>
        <v>2.5058530716137971E-2</v>
      </c>
    </row>
    <row r="165" spans="1:22" ht="12.5" x14ac:dyDescent="0.25">
      <c r="A165" s="75">
        <f t="shared" si="60"/>
        <v>163</v>
      </c>
      <c r="B165" s="76">
        <v>44359</v>
      </c>
      <c r="C165" s="75">
        <v>4325</v>
      </c>
      <c r="D165" s="75">
        <v>88905</v>
      </c>
      <c r="E165" s="75">
        <f t="shared" si="0"/>
        <v>93230</v>
      </c>
      <c r="F165" s="77">
        <f t="shared" si="1"/>
        <v>4.6390646787514749E-2</v>
      </c>
      <c r="G165" s="75">
        <v>7481</v>
      </c>
      <c r="H165" s="75">
        <v>364204</v>
      </c>
      <c r="I165" s="75">
        <f t="shared" si="71"/>
        <v>371685</v>
      </c>
      <c r="J165" s="86">
        <f t="shared" si="72"/>
        <v>2.012725829667595E-2</v>
      </c>
      <c r="K165" s="75">
        <v>42</v>
      </c>
      <c r="L165" s="75">
        <v>974</v>
      </c>
      <c r="M165" s="79">
        <f t="shared" si="4"/>
        <v>1016</v>
      </c>
      <c r="N165" s="77">
        <f t="shared" si="5"/>
        <v>4.1338582677165357E-2</v>
      </c>
      <c r="O165" s="81">
        <f t="shared" ref="O165:P165" si="177">S165-S164</f>
        <v>5489</v>
      </c>
      <c r="P165" s="81">
        <f t="shared" si="177"/>
        <v>310</v>
      </c>
      <c r="Q165" s="81">
        <f t="shared" si="7"/>
        <v>5179</v>
      </c>
      <c r="R165" s="77">
        <f t="shared" si="8"/>
        <v>5.6476589542721806E-2</v>
      </c>
      <c r="S165" s="79">
        <f t="shared" si="9"/>
        <v>465931</v>
      </c>
      <c r="T165" s="75">
        <f t="shared" si="10"/>
        <v>11848</v>
      </c>
      <c r="U165" s="75">
        <f t="shared" si="11"/>
        <v>454083</v>
      </c>
      <c r="V165" s="77">
        <f t="shared" si="12"/>
        <v>2.542865789140452E-2</v>
      </c>
    </row>
    <row r="166" spans="1:22" ht="12.5" x14ac:dyDescent="0.25">
      <c r="A166" s="75">
        <f t="shared" si="60"/>
        <v>164</v>
      </c>
      <c r="B166" s="76">
        <v>44360</v>
      </c>
      <c r="C166" s="75">
        <v>4342</v>
      </c>
      <c r="D166" s="75">
        <v>89305</v>
      </c>
      <c r="E166" s="75">
        <f t="shared" si="0"/>
        <v>93647</v>
      </c>
      <c r="F166" s="77">
        <f t="shared" si="1"/>
        <v>4.6365607013572244E-2</v>
      </c>
      <c r="G166" s="75">
        <v>7713</v>
      </c>
      <c r="H166" s="75">
        <v>367162</v>
      </c>
      <c r="I166" s="75">
        <f t="shared" si="71"/>
        <v>374875</v>
      </c>
      <c r="J166" s="86">
        <f t="shared" si="72"/>
        <v>2.0574858286095364E-2</v>
      </c>
      <c r="K166" s="75">
        <v>42</v>
      </c>
      <c r="L166" s="75">
        <v>974</v>
      </c>
      <c r="M166" s="79">
        <f t="shared" si="4"/>
        <v>1016</v>
      </c>
      <c r="N166" s="77">
        <f t="shared" si="5"/>
        <v>4.1338582677165357E-2</v>
      </c>
      <c r="O166" s="81">
        <f t="shared" ref="O166:P166" si="178">S166-S165</f>
        <v>3607</v>
      </c>
      <c r="P166" s="81">
        <f t="shared" si="178"/>
        <v>249</v>
      </c>
      <c r="Q166" s="81">
        <f t="shared" si="7"/>
        <v>3358</v>
      </c>
      <c r="R166" s="77">
        <f t="shared" si="8"/>
        <v>6.9032436928195176E-2</v>
      </c>
      <c r="S166" s="79">
        <f t="shared" si="9"/>
        <v>469538</v>
      </c>
      <c r="T166" s="75">
        <f t="shared" si="10"/>
        <v>12097</v>
      </c>
      <c r="U166" s="75">
        <f t="shared" si="11"/>
        <v>457441</v>
      </c>
      <c r="V166" s="77">
        <f t="shared" si="12"/>
        <v>2.5763622965553373E-2</v>
      </c>
    </row>
    <row r="167" spans="1:22" ht="12.5" x14ac:dyDescent="0.25">
      <c r="A167" s="75">
        <f t="shared" si="60"/>
        <v>165</v>
      </c>
      <c r="B167" s="76">
        <v>44361</v>
      </c>
      <c r="C167" s="75">
        <v>4347</v>
      </c>
      <c r="D167" s="75">
        <v>89526</v>
      </c>
      <c r="E167" s="75">
        <f t="shared" si="0"/>
        <v>93873</v>
      </c>
      <c r="F167" s="77">
        <f t="shared" si="1"/>
        <v>4.6307244894698153E-2</v>
      </c>
      <c r="G167" s="75">
        <v>7909</v>
      </c>
      <c r="H167" s="75">
        <v>369718</v>
      </c>
      <c r="I167" s="75">
        <f t="shared" si="71"/>
        <v>377627</v>
      </c>
      <c r="J167" s="86">
        <f t="shared" si="72"/>
        <v>2.0943947334274297E-2</v>
      </c>
      <c r="K167" s="75">
        <v>42</v>
      </c>
      <c r="L167" s="75">
        <v>974</v>
      </c>
      <c r="M167" s="79">
        <f t="shared" si="4"/>
        <v>1016</v>
      </c>
      <c r="N167" s="77">
        <f t="shared" si="5"/>
        <v>4.1338582677165357E-2</v>
      </c>
      <c r="O167" s="81">
        <f t="shared" ref="O167:P167" si="179">S167-S166</f>
        <v>2978</v>
      </c>
      <c r="P167" s="81">
        <f t="shared" si="179"/>
        <v>201</v>
      </c>
      <c r="Q167" s="81">
        <f t="shared" si="7"/>
        <v>2777</v>
      </c>
      <c r="R167" s="77">
        <f t="shared" si="8"/>
        <v>6.749496306245803E-2</v>
      </c>
      <c r="S167" s="79">
        <f t="shared" si="9"/>
        <v>472516</v>
      </c>
      <c r="T167" s="75">
        <f t="shared" si="10"/>
        <v>12298</v>
      </c>
      <c r="U167" s="75">
        <f t="shared" si="11"/>
        <v>460218</v>
      </c>
      <c r="V167" s="77">
        <f t="shared" si="12"/>
        <v>2.6026631902411772E-2</v>
      </c>
    </row>
    <row r="168" spans="1:22" ht="12.5" x14ac:dyDescent="0.25">
      <c r="A168" s="75">
        <f t="shared" si="60"/>
        <v>166</v>
      </c>
      <c r="B168" s="76">
        <v>44362</v>
      </c>
      <c r="C168" s="75">
        <v>4349</v>
      </c>
      <c r="D168" s="75">
        <v>89609</v>
      </c>
      <c r="E168" s="75">
        <f t="shared" si="0"/>
        <v>93958</v>
      </c>
      <c r="F168" s="77">
        <f t="shared" si="1"/>
        <v>4.6286638710913389E-2</v>
      </c>
      <c r="G168" s="75">
        <v>8335</v>
      </c>
      <c r="H168" s="75">
        <v>374839</v>
      </c>
      <c r="I168" s="75">
        <f t="shared" si="71"/>
        <v>383174</v>
      </c>
      <c r="J168" s="86">
        <f t="shared" si="72"/>
        <v>2.1752519742988825E-2</v>
      </c>
      <c r="K168" s="75">
        <v>42</v>
      </c>
      <c r="L168" s="75">
        <v>974</v>
      </c>
      <c r="M168" s="79">
        <f t="shared" si="4"/>
        <v>1016</v>
      </c>
      <c r="N168" s="77">
        <f t="shared" si="5"/>
        <v>4.1338582677165357E-2</v>
      </c>
      <c r="O168" s="81">
        <f t="shared" ref="O168:P168" si="180">S168-S167</f>
        <v>5632</v>
      </c>
      <c r="P168" s="81">
        <f t="shared" si="180"/>
        <v>428</v>
      </c>
      <c r="Q168" s="81">
        <f t="shared" si="7"/>
        <v>5204</v>
      </c>
      <c r="R168" s="77">
        <f t="shared" si="8"/>
        <v>7.5994318181818177E-2</v>
      </c>
      <c r="S168" s="79">
        <f t="shared" si="9"/>
        <v>478148</v>
      </c>
      <c r="T168" s="75">
        <f t="shared" si="10"/>
        <v>12726</v>
      </c>
      <c r="U168" s="75">
        <f t="shared" si="11"/>
        <v>465422</v>
      </c>
      <c r="V168" s="77">
        <f t="shared" si="12"/>
        <v>2.6615190275814184E-2</v>
      </c>
    </row>
    <row r="169" spans="1:22" ht="12.5" x14ac:dyDescent="0.25">
      <c r="A169" s="75">
        <f t="shared" si="60"/>
        <v>167</v>
      </c>
      <c r="B169" s="76">
        <v>44363</v>
      </c>
      <c r="C169" s="75">
        <v>4354</v>
      </c>
      <c r="D169" s="75">
        <v>89796</v>
      </c>
      <c r="E169" s="75">
        <f t="shared" si="0"/>
        <v>94150</v>
      </c>
      <c r="F169" s="77">
        <f t="shared" si="1"/>
        <v>4.6245353159851302E-2</v>
      </c>
      <c r="G169" s="75">
        <v>8527</v>
      </c>
      <c r="H169" s="75">
        <v>377050</v>
      </c>
      <c r="I169" s="75">
        <f t="shared" si="71"/>
        <v>385577</v>
      </c>
      <c r="J169" s="86">
        <f t="shared" si="72"/>
        <v>2.2114908306252706E-2</v>
      </c>
      <c r="K169" s="75">
        <v>42</v>
      </c>
      <c r="L169" s="75">
        <v>974</v>
      </c>
      <c r="M169" s="79">
        <f t="shared" si="4"/>
        <v>1016</v>
      </c>
      <c r="N169" s="77">
        <f t="shared" si="5"/>
        <v>4.1338582677165357E-2</v>
      </c>
      <c r="O169" s="81">
        <f t="shared" ref="O169:P169" si="181">S169-S168</f>
        <v>2595</v>
      </c>
      <c r="P169" s="81">
        <f t="shared" si="181"/>
        <v>197</v>
      </c>
      <c r="Q169" s="81">
        <f t="shared" si="7"/>
        <v>2398</v>
      </c>
      <c r="R169" s="77">
        <f t="shared" si="8"/>
        <v>7.5915221579961459E-2</v>
      </c>
      <c r="S169" s="79">
        <f t="shared" si="9"/>
        <v>480743</v>
      </c>
      <c r="T169" s="75">
        <f t="shared" si="10"/>
        <v>12923</v>
      </c>
      <c r="U169" s="75">
        <f t="shared" si="11"/>
        <v>467820</v>
      </c>
      <c r="V169" s="77">
        <f t="shared" si="12"/>
        <v>2.68813066440905E-2</v>
      </c>
    </row>
    <row r="170" spans="1:22" ht="12.5" x14ac:dyDescent="0.25">
      <c r="A170" s="75">
        <f t="shared" si="60"/>
        <v>168</v>
      </c>
      <c r="B170" s="76">
        <v>44364</v>
      </c>
      <c r="C170" s="75">
        <v>4376</v>
      </c>
      <c r="D170" s="75">
        <v>90196</v>
      </c>
      <c r="E170" s="75">
        <f t="shared" si="0"/>
        <v>94572</v>
      </c>
      <c r="F170" s="77">
        <f t="shared" si="1"/>
        <v>4.6271623736412471E-2</v>
      </c>
      <c r="G170" s="75">
        <v>8875</v>
      </c>
      <c r="H170" s="75">
        <v>381192</v>
      </c>
      <c r="I170" s="75">
        <f t="shared" si="71"/>
        <v>390067</v>
      </c>
      <c r="J170" s="86">
        <f t="shared" si="72"/>
        <v>2.2752501493333195E-2</v>
      </c>
      <c r="K170" s="75">
        <v>42</v>
      </c>
      <c r="L170" s="75">
        <v>974</v>
      </c>
      <c r="M170" s="79">
        <f t="shared" si="4"/>
        <v>1016</v>
      </c>
      <c r="N170" s="77">
        <f t="shared" si="5"/>
        <v>4.1338582677165357E-2</v>
      </c>
      <c r="O170" s="81">
        <f t="shared" ref="O170:P170" si="182">S170-S169</f>
        <v>4912</v>
      </c>
      <c r="P170" s="81">
        <f t="shared" si="182"/>
        <v>370</v>
      </c>
      <c r="Q170" s="81">
        <f t="shared" si="7"/>
        <v>4542</v>
      </c>
      <c r="R170" s="77">
        <f t="shared" si="8"/>
        <v>7.5325732899022807E-2</v>
      </c>
      <c r="S170" s="79">
        <f t="shared" si="9"/>
        <v>485655</v>
      </c>
      <c r="T170" s="75">
        <f t="shared" si="10"/>
        <v>13293</v>
      </c>
      <c r="U170" s="75">
        <f t="shared" si="11"/>
        <v>472362</v>
      </c>
      <c r="V170" s="77">
        <f t="shared" si="12"/>
        <v>2.7371282082960125E-2</v>
      </c>
    </row>
    <row r="171" spans="1:22" ht="12.5" x14ac:dyDescent="0.25">
      <c r="A171" s="75">
        <f t="shared" si="60"/>
        <v>169</v>
      </c>
      <c r="B171" s="76">
        <v>44365</v>
      </c>
      <c r="C171" s="75">
        <v>4402</v>
      </c>
      <c r="D171" s="75">
        <v>90504</v>
      </c>
      <c r="E171" s="75">
        <f t="shared" si="0"/>
        <v>94906</v>
      </c>
      <c r="F171" s="77">
        <f t="shared" si="1"/>
        <v>4.6382736602533031E-2</v>
      </c>
      <c r="G171" s="75">
        <v>9304</v>
      </c>
      <c r="H171" s="75">
        <v>384983</v>
      </c>
      <c r="I171" s="75">
        <f t="shared" si="71"/>
        <v>394287</v>
      </c>
      <c r="J171" s="86">
        <f t="shared" si="72"/>
        <v>2.3597024502456331E-2</v>
      </c>
      <c r="K171" s="75">
        <v>42</v>
      </c>
      <c r="L171" s="75">
        <v>974</v>
      </c>
      <c r="M171" s="79">
        <f t="shared" si="4"/>
        <v>1016</v>
      </c>
      <c r="N171" s="77">
        <f t="shared" si="5"/>
        <v>4.1338582677165357E-2</v>
      </c>
      <c r="O171" s="81">
        <f t="shared" ref="O171:P171" si="183">S171-S170</f>
        <v>4554</v>
      </c>
      <c r="P171" s="81">
        <f t="shared" si="183"/>
        <v>455</v>
      </c>
      <c r="Q171" s="81">
        <f t="shared" si="7"/>
        <v>4099</v>
      </c>
      <c r="R171" s="77">
        <f t="shared" si="8"/>
        <v>9.9912165129556432E-2</v>
      </c>
      <c r="S171" s="79">
        <f t="shared" si="9"/>
        <v>490209</v>
      </c>
      <c r="T171" s="75">
        <f t="shared" si="10"/>
        <v>13748</v>
      </c>
      <c r="U171" s="75">
        <f t="shared" si="11"/>
        <v>476461</v>
      </c>
      <c r="V171" s="77">
        <f t="shared" si="12"/>
        <v>2.8045180729035984E-2</v>
      </c>
    </row>
    <row r="172" spans="1:22" ht="12.5" x14ac:dyDescent="0.25">
      <c r="A172" s="75">
        <f t="shared" si="60"/>
        <v>170</v>
      </c>
      <c r="B172" s="76">
        <v>44366</v>
      </c>
      <c r="C172" s="75">
        <v>4437</v>
      </c>
      <c r="D172" s="75">
        <v>91096</v>
      </c>
      <c r="E172" s="75">
        <f t="shared" si="0"/>
        <v>95533</v>
      </c>
      <c r="F172" s="77">
        <f t="shared" si="1"/>
        <v>4.6444684035882887E-2</v>
      </c>
      <c r="G172" s="75">
        <v>9703</v>
      </c>
      <c r="H172" s="75">
        <v>388765</v>
      </c>
      <c r="I172" s="75">
        <f t="shared" si="71"/>
        <v>398468</v>
      </c>
      <c r="J172" s="86">
        <f t="shared" si="72"/>
        <v>2.4350763423913589E-2</v>
      </c>
      <c r="K172" s="75">
        <v>42</v>
      </c>
      <c r="L172" s="75">
        <v>974</v>
      </c>
      <c r="M172" s="79">
        <f t="shared" si="4"/>
        <v>1016</v>
      </c>
      <c r="N172" s="77">
        <f t="shared" si="5"/>
        <v>4.1338582677165357E-2</v>
      </c>
      <c r="O172" s="81">
        <f t="shared" ref="O172:P172" si="184">S172-S171</f>
        <v>4808</v>
      </c>
      <c r="P172" s="81">
        <f t="shared" si="184"/>
        <v>434</v>
      </c>
      <c r="Q172" s="81">
        <f t="shared" si="7"/>
        <v>4374</v>
      </c>
      <c r="R172" s="77">
        <f t="shared" si="8"/>
        <v>9.0266222961730452E-2</v>
      </c>
      <c r="S172" s="79">
        <f t="shared" si="9"/>
        <v>495017</v>
      </c>
      <c r="T172" s="75">
        <f t="shared" si="10"/>
        <v>14182</v>
      </c>
      <c r="U172" s="75">
        <f t="shared" si="11"/>
        <v>480835</v>
      </c>
      <c r="V172" s="77">
        <f t="shared" si="12"/>
        <v>2.8649521127557236E-2</v>
      </c>
    </row>
    <row r="173" spans="1:22" ht="12.5" x14ac:dyDescent="0.25">
      <c r="A173" s="75">
        <f t="shared" si="60"/>
        <v>171</v>
      </c>
      <c r="B173" s="76">
        <v>44367</v>
      </c>
      <c r="C173" s="75">
        <v>4472</v>
      </c>
      <c r="D173" s="75">
        <v>91728</v>
      </c>
      <c r="E173" s="75">
        <f t="shared" si="0"/>
        <v>96200</v>
      </c>
      <c r="F173" s="77">
        <f t="shared" si="1"/>
        <v>4.6486486486486484E-2</v>
      </c>
      <c r="G173" s="75">
        <v>10202</v>
      </c>
      <c r="H173" s="75">
        <v>392234</v>
      </c>
      <c r="I173" s="75">
        <f t="shared" si="71"/>
        <v>402436</v>
      </c>
      <c r="J173" s="86">
        <f t="shared" si="72"/>
        <v>2.5350614756135138E-2</v>
      </c>
      <c r="K173" s="75">
        <v>42</v>
      </c>
      <c r="L173" s="75">
        <v>974</v>
      </c>
      <c r="M173" s="79">
        <f t="shared" si="4"/>
        <v>1016</v>
      </c>
      <c r="N173" s="77">
        <f t="shared" si="5"/>
        <v>4.1338582677165357E-2</v>
      </c>
      <c r="O173" s="81">
        <f t="shared" ref="O173:P173" si="185">S173-S172</f>
        <v>4635</v>
      </c>
      <c r="P173" s="81">
        <f t="shared" si="185"/>
        <v>534</v>
      </c>
      <c r="Q173" s="81">
        <f t="shared" si="7"/>
        <v>4101</v>
      </c>
      <c r="R173" s="77">
        <f t="shared" si="8"/>
        <v>0.11521035598705502</v>
      </c>
      <c r="S173" s="79">
        <f t="shared" si="9"/>
        <v>499652</v>
      </c>
      <c r="T173" s="75">
        <f t="shared" si="10"/>
        <v>14716</v>
      </c>
      <c r="U173" s="75">
        <f t="shared" si="11"/>
        <v>484936</v>
      </c>
      <c r="V173" s="77">
        <f t="shared" si="12"/>
        <v>2.9452498939261725E-2</v>
      </c>
    </row>
    <row r="174" spans="1:22" ht="12.5" x14ac:dyDescent="0.25">
      <c r="A174" s="75">
        <f t="shared" si="60"/>
        <v>172</v>
      </c>
      <c r="B174" s="76">
        <v>44368</v>
      </c>
      <c r="C174" s="75">
        <v>4508</v>
      </c>
      <c r="D174" s="75">
        <v>91987</v>
      </c>
      <c r="E174" s="75">
        <f t="shared" si="0"/>
        <v>96495</v>
      </c>
      <c r="F174" s="77">
        <f t="shared" si="1"/>
        <v>4.6717446499818641E-2</v>
      </c>
      <c r="G174" s="75">
        <v>10480</v>
      </c>
      <c r="H174" s="75">
        <v>394512</v>
      </c>
      <c r="I174" s="75">
        <f t="shared" si="71"/>
        <v>404992</v>
      </c>
      <c r="J174" s="86">
        <f t="shared" si="72"/>
        <v>2.5877054361567637E-2</v>
      </c>
      <c r="K174" s="75">
        <v>42</v>
      </c>
      <c r="L174" s="75">
        <v>974</v>
      </c>
      <c r="M174" s="79">
        <f t="shared" si="4"/>
        <v>1016</v>
      </c>
      <c r="N174" s="77">
        <f t="shared" si="5"/>
        <v>4.1338582677165357E-2</v>
      </c>
      <c r="O174" s="81">
        <f t="shared" ref="O174:P174" si="186">S174-S173</f>
        <v>2851</v>
      </c>
      <c r="P174" s="81">
        <f t="shared" si="186"/>
        <v>314</v>
      </c>
      <c r="Q174" s="81">
        <f t="shared" si="7"/>
        <v>2537</v>
      </c>
      <c r="R174" s="77">
        <f t="shared" si="8"/>
        <v>0.11013679410733077</v>
      </c>
      <c r="S174" s="79">
        <f t="shared" si="9"/>
        <v>502503</v>
      </c>
      <c r="T174" s="75">
        <f t="shared" si="10"/>
        <v>15030</v>
      </c>
      <c r="U174" s="75">
        <f t="shared" si="11"/>
        <v>487473</v>
      </c>
      <c r="V174" s="77">
        <f t="shared" si="12"/>
        <v>2.991026919242273E-2</v>
      </c>
    </row>
    <row r="175" spans="1:22" ht="12.5" x14ac:dyDescent="0.25">
      <c r="A175" s="75">
        <f t="shared" si="60"/>
        <v>173</v>
      </c>
      <c r="B175" s="76">
        <v>44369</v>
      </c>
      <c r="C175" s="75">
        <v>4547</v>
      </c>
      <c r="D175" s="75">
        <v>92169</v>
      </c>
      <c r="E175" s="75">
        <f t="shared" si="0"/>
        <v>96716</v>
      </c>
      <c r="F175" s="77">
        <f t="shared" si="1"/>
        <v>4.7013937714545678E-2</v>
      </c>
      <c r="G175" s="75">
        <v>11038</v>
      </c>
      <c r="H175" s="75">
        <v>398173</v>
      </c>
      <c r="I175" s="75">
        <f t="shared" si="71"/>
        <v>409211</v>
      </c>
      <c r="J175" s="86">
        <f t="shared" si="72"/>
        <v>2.6973859451481022E-2</v>
      </c>
      <c r="K175" s="75">
        <v>42</v>
      </c>
      <c r="L175" s="75">
        <v>974</v>
      </c>
      <c r="M175" s="79">
        <f t="shared" si="4"/>
        <v>1016</v>
      </c>
      <c r="N175" s="77">
        <f t="shared" si="5"/>
        <v>4.1338582677165357E-2</v>
      </c>
      <c r="O175" s="81">
        <f t="shared" ref="O175:P175" si="187">S175-S174</f>
        <v>4440</v>
      </c>
      <c r="P175" s="81">
        <f t="shared" si="187"/>
        <v>597</v>
      </c>
      <c r="Q175" s="81">
        <f t="shared" si="7"/>
        <v>3843</v>
      </c>
      <c r="R175" s="77">
        <f t="shared" si="8"/>
        <v>0.13445945945945945</v>
      </c>
      <c r="S175" s="79">
        <f t="shared" si="9"/>
        <v>506943</v>
      </c>
      <c r="T175" s="75">
        <f t="shared" si="10"/>
        <v>15627</v>
      </c>
      <c r="U175" s="75">
        <f t="shared" si="11"/>
        <v>491316</v>
      </c>
      <c r="V175" s="77">
        <f t="shared" si="12"/>
        <v>3.0825950846544877E-2</v>
      </c>
    </row>
    <row r="176" spans="1:22" ht="12.5" x14ac:dyDescent="0.25">
      <c r="A176" s="75">
        <f t="shared" si="60"/>
        <v>174</v>
      </c>
      <c r="B176" s="76">
        <v>44370</v>
      </c>
      <c r="C176" s="75">
        <v>4568</v>
      </c>
      <c r="D176" s="75">
        <v>92431</v>
      </c>
      <c r="E176" s="75">
        <f t="shared" si="0"/>
        <v>96999</v>
      </c>
      <c r="F176" s="77">
        <f t="shared" si="1"/>
        <v>4.7093269002773226E-2</v>
      </c>
      <c r="G176" s="75">
        <v>11742</v>
      </c>
      <c r="H176" s="75">
        <v>401322</v>
      </c>
      <c r="I176" s="75">
        <f t="shared" si="71"/>
        <v>413064</v>
      </c>
      <c r="J176" s="86">
        <f t="shared" si="72"/>
        <v>2.8426587647434779E-2</v>
      </c>
      <c r="K176" s="75">
        <v>42</v>
      </c>
      <c r="L176" s="75">
        <v>974</v>
      </c>
      <c r="M176" s="79">
        <f t="shared" si="4"/>
        <v>1016</v>
      </c>
      <c r="N176" s="77">
        <f t="shared" si="5"/>
        <v>4.1338582677165357E-2</v>
      </c>
      <c r="O176" s="81">
        <f t="shared" ref="O176:P176" si="188">S176-S175</f>
        <v>4136</v>
      </c>
      <c r="P176" s="81">
        <f t="shared" si="188"/>
        <v>725</v>
      </c>
      <c r="Q176" s="81">
        <f t="shared" si="7"/>
        <v>3411</v>
      </c>
      <c r="R176" s="77">
        <f t="shared" si="8"/>
        <v>0.17529013539651839</v>
      </c>
      <c r="S176" s="79">
        <f t="shared" si="9"/>
        <v>511079</v>
      </c>
      <c r="T176" s="75">
        <f t="shared" si="10"/>
        <v>16352</v>
      </c>
      <c r="U176" s="75">
        <f t="shared" si="11"/>
        <v>494727</v>
      </c>
      <c r="V176" s="77">
        <f t="shared" si="12"/>
        <v>3.1995053602280665E-2</v>
      </c>
    </row>
    <row r="177" spans="1:22" ht="12.5" x14ac:dyDescent="0.25">
      <c r="A177" s="75">
        <f t="shared" si="60"/>
        <v>175</v>
      </c>
      <c r="B177" s="76">
        <v>44371</v>
      </c>
      <c r="C177" s="75">
        <v>4629</v>
      </c>
      <c r="D177" s="75">
        <v>92831</v>
      </c>
      <c r="E177" s="75">
        <f t="shared" si="0"/>
        <v>97460</v>
      </c>
      <c r="F177" s="77">
        <f t="shared" si="1"/>
        <v>4.7496408783090499E-2</v>
      </c>
      <c r="G177" s="75">
        <v>12457</v>
      </c>
      <c r="H177" s="75">
        <v>405199</v>
      </c>
      <c r="I177" s="75">
        <f t="shared" si="71"/>
        <v>417656</v>
      </c>
      <c r="J177" s="86">
        <f t="shared" si="72"/>
        <v>2.9825981190261842E-2</v>
      </c>
      <c r="K177" s="75">
        <v>42</v>
      </c>
      <c r="L177" s="75">
        <v>974</v>
      </c>
      <c r="M177" s="79">
        <f t="shared" si="4"/>
        <v>1016</v>
      </c>
      <c r="N177" s="77">
        <f t="shared" si="5"/>
        <v>4.1338582677165357E-2</v>
      </c>
      <c r="O177" s="81">
        <f t="shared" ref="O177:P177" si="189">S177-S176</f>
        <v>5053</v>
      </c>
      <c r="P177" s="81">
        <f t="shared" si="189"/>
        <v>776</v>
      </c>
      <c r="Q177" s="81">
        <f t="shared" si="7"/>
        <v>4277</v>
      </c>
      <c r="R177" s="77">
        <f t="shared" si="8"/>
        <v>0.15357213536512962</v>
      </c>
      <c r="S177" s="79">
        <f t="shared" si="9"/>
        <v>516132</v>
      </c>
      <c r="T177" s="75">
        <f t="shared" si="10"/>
        <v>17128</v>
      </c>
      <c r="U177" s="75">
        <f t="shared" si="11"/>
        <v>499004</v>
      </c>
      <c r="V177" s="77">
        <f t="shared" si="12"/>
        <v>3.3185309184472191E-2</v>
      </c>
    </row>
    <row r="178" spans="1:22" ht="12.5" x14ac:dyDescent="0.25">
      <c r="A178" s="75">
        <f t="shared" si="60"/>
        <v>176</v>
      </c>
      <c r="B178" s="76">
        <v>44372</v>
      </c>
      <c r="C178" s="75">
        <v>4708</v>
      </c>
      <c r="D178" s="75">
        <v>93453</v>
      </c>
      <c r="E178" s="75">
        <f t="shared" si="0"/>
        <v>98161</v>
      </c>
      <c r="F178" s="77">
        <f t="shared" si="1"/>
        <v>4.7962021576797305E-2</v>
      </c>
      <c r="G178" s="75">
        <v>13117</v>
      </c>
      <c r="H178" s="75">
        <v>408235</v>
      </c>
      <c r="I178" s="75">
        <f t="shared" si="71"/>
        <v>421352</v>
      </c>
      <c r="J178" s="86">
        <f t="shared" si="72"/>
        <v>3.1130741043118342E-2</v>
      </c>
      <c r="K178" s="75">
        <v>42</v>
      </c>
      <c r="L178" s="75">
        <v>974</v>
      </c>
      <c r="M178" s="79">
        <f t="shared" si="4"/>
        <v>1016</v>
      </c>
      <c r="N178" s="77">
        <f t="shared" si="5"/>
        <v>4.1338582677165357E-2</v>
      </c>
      <c r="O178" s="81">
        <f t="shared" ref="O178:P178" si="190">S178-S177</f>
        <v>4397</v>
      </c>
      <c r="P178" s="81">
        <f t="shared" si="190"/>
        <v>739</v>
      </c>
      <c r="Q178" s="81">
        <f t="shared" si="7"/>
        <v>3658</v>
      </c>
      <c r="R178" s="77">
        <f t="shared" si="8"/>
        <v>0.16806913804866955</v>
      </c>
      <c r="S178" s="79">
        <f t="shared" si="9"/>
        <v>520529</v>
      </c>
      <c r="T178" s="75">
        <f t="shared" si="10"/>
        <v>17867</v>
      </c>
      <c r="U178" s="75">
        <f t="shared" si="11"/>
        <v>502662</v>
      </c>
      <c r="V178" s="77">
        <f t="shared" si="12"/>
        <v>3.4324696606721238E-2</v>
      </c>
    </row>
    <row r="179" spans="1:22" ht="12.5" x14ac:dyDescent="0.25">
      <c r="A179" s="75">
        <f t="shared" si="60"/>
        <v>177</v>
      </c>
      <c r="B179" s="76">
        <v>44373</v>
      </c>
      <c r="C179" s="75">
        <v>4767</v>
      </c>
      <c r="D179" s="75">
        <v>93890</v>
      </c>
      <c r="E179" s="75">
        <f t="shared" si="0"/>
        <v>98657</v>
      </c>
      <c r="F179" s="77">
        <f t="shared" si="1"/>
        <v>4.8318923137739847E-2</v>
      </c>
      <c r="G179" s="75">
        <v>13775</v>
      </c>
      <c r="H179" s="75">
        <v>411174</v>
      </c>
      <c r="I179" s="75">
        <f t="shared" si="71"/>
        <v>424949</v>
      </c>
      <c r="J179" s="86">
        <f t="shared" si="72"/>
        <v>3.2415654584432484E-2</v>
      </c>
      <c r="K179" s="75">
        <v>42</v>
      </c>
      <c r="L179" s="75">
        <v>974</v>
      </c>
      <c r="M179" s="79">
        <f t="shared" si="4"/>
        <v>1016</v>
      </c>
      <c r="N179" s="77">
        <f t="shared" si="5"/>
        <v>4.1338582677165357E-2</v>
      </c>
      <c r="O179" s="81">
        <f t="shared" ref="O179:P179" si="191">S179-S178</f>
        <v>4093</v>
      </c>
      <c r="P179" s="81">
        <f t="shared" si="191"/>
        <v>717</v>
      </c>
      <c r="Q179" s="81">
        <f t="shared" si="7"/>
        <v>3376</v>
      </c>
      <c r="R179" s="77">
        <f t="shared" si="8"/>
        <v>0.17517713168824822</v>
      </c>
      <c r="S179" s="79">
        <f t="shared" si="9"/>
        <v>524622</v>
      </c>
      <c r="T179" s="75">
        <f t="shared" si="10"/>
        <v>18584</v>
      </c>
      <c r="U179" s="75">
        <f t="shared" si="11"/>
        <v>506038</v>
      </c>
      <c r="V179" s="77">
        <f t="shared" si="12"/>
        <v>3.5423600230261025E-2</v>
      </c>
    </row>
    <row r="180" spans="1:22" ht="12.5" x14ac:dyDescent="0.25">
      <c r="A180" s="75">
        <f t="shared" si="60"/>
        <v>178</v>
      </c>
      <c r="B180" s="76">
        <v>44374</v>
      </c>
      <c r="C180" s="75">
        <v>4839</v>
      </c>
      <c r="D180" s="75">
        <v>94292</v>
      </c>
      <c r="E180" s="75">
        <f t="shared" si="0"/>
        <v>99131</v>
      </c>
      <c r="F180" s="77">
        <f t="shared" si="1"/>
        <v>4.8814195357658047E-2</v>
      </c>
      <c r="G180" s="75">
        <v>14431</v>
      </c>
      <c r="H180" s="75">
        <v>413745</v>
      </c>
      <c r="I180" s="75">
        <f t="shared" si="71"/>
        <v>428176</v>
      </c>
      <c r="J180" s="86">
        <f t="shared" si="72"/>
        <v>3.3703430365083518E-2</v>
      </c>
      <c r="K180" s="75">
        <v>42</v>
      </c>
      <c r="L180" s="75">
        <v>974</v>
      </c>
      <c r="M180" s="79">
        <f t="shared" si="4"/>
        <v>1016</v>
      </c>
      <c r="N180" s="77">
        <f t="shared" si="5"/>
        <v>4.1338582677165357E-2</v>
      </c>
      <c r="O180" s="81">
        <f t="shared" ref="O180:P180" si="192">S180-S179</f>
        <v>3701</v>
      </c>
      <c r="P180" s="81">
        <f t="shared" si="192"/>
        <v>728</v>
      </c>
      <c r="Q180" s="81">
        <f t="shared" si="7"/>
        <v>2973</v>
      </c>
      <c r="R180" s="77">
        <f t="shared" si="8"/>
        <v>0.19670359362334505</v>
      </c>
      <c r="S180" s="79">
        <f t="shared" si="9"/>
        <v>528323</v>
      </c>
      <c r="T180" s="75">
        <f t="shared" si="10"/>
        <v>19312</v>
      </c>
      <c r="U180" s="75">
        <f t="shared" si="11"/>
        <v>509011</v>
      </c>
      <c r="V180" s="77">
        <f t="shared" si="12"/>
        <v>3.6553396312483083E-2</v>
      </c>
    </row>
    <row r="181" spans="1:22" ht="12.5" x14ac:dyDescent="0.25">
      <c r="A181" s="75">
        <f t="shared" si="60"/>
        <v>179</v>
      </c>
      <c r="B181" s="76">
        <v>44375</v>
      </c>
      <c r="C181" s="75">
        <v>4906</v>
      </c>
      <c r="D181" s="75">
        <v>94505</v>
      </c>
      <c r="E181" s="75">
        <f t="shared" si="0"/>
        <v>99411</v>
      </c>
      <c r="F181" s="77">
        <f t="shared" si="1"/>
        <v>4.9350675478568772E-2</v>
      </c>
      <c r="G181" s="75">
        <v>15071</v>
      </c>
      <c r="H181" s="75">
        <v>415866</v>
      </c>
      <c r="I181" s="75">
        <f t="shared" si="71"/>
        <v>430937</v>
      </c>
      <c r="J181" s="86">
        <f t="shared" si="72"/>
        <v>3.4972629409867333E-2</v>
      </c>
      <c r="K181" s="75">
        <v>42</v>
      </c>
      <c r="L181" s="75">
        <v>974</v>
      </c>
      <c r="M181" s="79">
        <f t="shared" si="4"/>
        <v>1016</v>
      </c>
      <c r="N181" s="77">
        <f t="shared" si="5"/>
        <v>4.1338582677165357E-2</v>
      </c>
      <c r="O181" s="81">
        <f t="shared" ref="O181:P181" si="193">S181-S180</f>
        <v>3041</v>
      </c>
      <c r="P181" s="81">
        <f t="shared" si="193"/>
        <v>707</v>
      </c>
      <c r="Q181" s="81">
        <f t="shared" si="7"/>
        <v>2334</v>
      </c>
      <c r="R181" s="77">
        <f t="shared" si="8"/>
        <v>0.23248931272607695</v>
      </c>
      <c r="S181" s="79">
        <f t="shared" si="9"/>
        <v>531364</v>
      </c>
      <c r="T181" s="75">
        <f t="shared" si="10"/>
        <v>20019</v>
      </c>
      <c r="U181" s="75">
        <f t="shared" si="11"/>
        <v>511345</v>
      </c>
      <c r="V181" s="77">
        <f t="shared" si="12"/>
        <v>3.7674738973660242E-2</v>
      </c>
    </row>
    <row r="182" spans="1:22" ht="12.5" x14ac:dyDescent="0.25">
      <c r="A182" s="75">
        <f t="shared" si="60"/>
        <v>180</v>
      </c>
      <c r="B182" s="76">
        <v>44376</v>
      </c>
      <c r="C182" s="75">
        <v>4988</v>
      </c>
      <c r="D182" s="75">
        <v>94556</v>
      </c>
      <c r="E182" s="75">
        <f t="shared" si="0"/>
        <v>99544</v>
      </c>
      <c r="F182" s="77">
        <f t="shared" si="1"/>
        <v>5.0108494735996142E-2</v>
      </c>
      <c r="G182" s="75">
        <v>15799</v>
      </c>
      <c r="H182" s="75">
        <v>418744</v>
      </c>
      <c r="I182" s="75">
        <f t="shared" si="71"/>
        <v>434543</v>
      </c>
      <c r="J182" s="86">
        <f t="shared" si="72"/>
        <v>3.6357736748722218E-2</v>
      </c>
      <c r="K182" s="75">
        <v>42</v>
      </c>
      <c r="L182" s="75">
        <v>974</v>
      </c>
      <c r="M182" s="79">
        <f t="shared" si="4"/>
        <v>1016</v>
      </c>
      <c r="N182" s="77">
        <f t="shared" si="5"/>
        <v>4.1338582677165357E-2</v>
      </c>
      <c r="O182" s="81">
        <f t="shared" ref="O182:P182" si="194">S182-S181</f>
        <v>3739</v>
      </c>
      <c r="P182" s="81">
        <f t="shared" si="194"/>
        <v>810</v>
      </c>
      <c r="Q182" s="81">
        <f t="shared" si="7"/>
        <v>2929</v>
      </c>
      <c r="R182" s="77">
        <f t="shared" si="8"/>
        <v>0.21663546402781492</v>
      </c>
      <c r="S182" s="79">
        <f t="shared" si="9"/>
        <v>535103</v>
      </c>
      <c r="T182" s="75">
        <f t="shared" si="10"/>
        <v>20829</v>
      </c>
      <c r="U182" s="75">
        <f t="shared" si="11"/>
        <v>514274</v>
      </c>
      <c r="V182" s="77">
        <f t="shared" si="12"/>
        <v>3.8925216266774809E-2</v>
      </c>
    </row>
    <row r="183" spans="1:22" ht="12.5" x14ac:dyDescent="0.25">
      <c r="A183" s="75">
        <f t="shared" si="60"/>
        <v>181</v>
      </c>
      <c r="B183" s="76">
        <v>44377</v>
      </c>
      <c r="C183" s="75">
        <v>5071</v>
      </c>
      <c r="D183" s="75">
        <v>94911</v>
      </c>
      <c r="E183" s="75">
        <f t="shared" si="0"/>
        <v>99982</v>
      </c>
      <c r="F183" s="77">
        <f t="shared" si="1"/>
        <v>5.0719129443299794E-2</v>
      </c>
      <c r="G183" s="75">
        <v>16723</v>
      </c>
      <c r="H183" s="75">
        <v>422801</v>
      </c>
      <c r="I183" s="75">
        <f t="shared" si="71"/>
        <v>439524</v>
      </c>
      <c r="J183" s="86">
        <f t="shared" si="72"/>
        <v>3.8047979177473816E-2</v>
      </c>
      <c r="K183" s="75">
        <v>42</v>
      </c>
      <c r="L183" s="75">
        <v>974</v>
      </c>
      <c r="M183" s="79">
        <f t="shared" si="4"/>
        <v>1016</v>
      </c>
      <c r="N183" s="77">
        <f t="shared" si="5"/>
        <v>4.1338582677165357E-2</v>
      </c>
      <c r="O183" s="81">
        <f t="shared" ref="O183:P183" si="195">S183-S182</f>
        <v>5419</v>
      </c>
      <c r="P183" s="81">
        <f t="shared" si="195"/>
        <v>1007</v>
      </c>
      <c r="Q183" s="81">
        <f t="shared" si="7"/>
        <v>4412</v>
      </c>
      <c r="R183" s="77">
        <f t="shared" si="8"/>
        <v>0.1858276434766562</v>
      </c>
      <c r="S183" s="79">
        <f t="shared" si="9"/>
        <v>540522</v>
      </c>
      <c r="T183" s="75">
        <f t="shared" si="10"/>
        <v>21836</v>
      </c>
      <c r="U183" s="75">
        <f t="shared" si="11"/>
        <v>518686</v>
      </c>
      <c r="V183" s="77">
        <f t="shared" si="12"/>
        <v>4.0397985650907825E-2</v>
      </c>
    </row>
    <row r="184" spans="1:22" ht="12.5" x14ac:dyDescent="0.25">
      <c r="A184" s="75">
        <f t="shared" si="60"/>
        <v>182</v>
      </c>
      <c r="B184" s="76">
        <v>44378</v>
      </c>
      <c r="C184" s="75">
        <v>5131</v>
      </c>
      <c r="D184" s="75">
        <v>95293</v>
      </c>
      <c r="E184" s="75">
        <f t="shared" si="0"/>
        <v>100424</v>
      </c>
      <c r="F184" s="77">
        <f t="shared" si="1"/>
        <v>5.1093364136063094E-2</v>
      </c>
      <c r="G184" s="75">
        <v>17545</v>
      </c>
      <c r="H184" s="75">
        <v>426165</v>
      </c>
      <c r="I184" s="75">
        <f t="shared" si="71"/>
        <v>443710</v>
      </c>
      <c r="J184" s="86">
        <f t="shared" si="72"/>
        <v>3.9541592481575807E-2</v>
      </c>
      <c r="K184" s="75">
        <v>42</v>
      </c>
      <c r="L184" s="75">
        <v>974</v>
      </c>
      <c r="M184" s="79">
        <f t="shared" si="4"/>
        <v>1016</v>
      </c>
      <c r="N184" s="77">
        <f t="shared" si="5"/>
        <v>4.1338582677165357E-2</v>
      </c>
      <c r="O184" s="81">
        <f t="shared" ref="O184:P184" si="196">S184-S183</f>
        <v>4628</v>
      </c>
      <c r="P184" s="81">
        <f t="shared" si="196"/>
        <v>882</v>
      </c>
      <c r="Q184" s="81">
        <f t="shared" si="7"/>
        <v>3746</v>
      </c>
      <c r="R184" s="77">
        <f t="shared" si="8"/>
        <v>0.19057908383751079</v>
      </c>
      <c r="S184" s="79">
        <f t="shared" si="9"/>
        <v>545150</v>
      </c>
      <c r="T184" s="75">
        <f t="shared" si="10"/>
        <v>22718</v>
      </c>
      <c r="U184" s="75">
        <f t="shared" si="11"/>
        <v>522432</v>
      </c>
      <c r="V184" s="77">
        <f t="shared" si="12"/>
        <v>4.1672934054847288E-2</v>
      </c>
    </row>
    <row r="185" spans="1:22" ht="15" customHeight="1" x14ac:dyDescent="0.25">
      <c r="A185" s="75">
        <f t="shared" si="60"/>
        <v>183</v>
      </c>
      <c r="B185" s="76">
        <v>44379</v>
      </c>
      <c r="C185" s="75">
        <v>5301</v>
      </c>
      <c r="D185" s="75">
        <v>95837</v>
      </c>
      <c r="E185" s="75">
        <f t="shared" si="0"/>
        <v>101138</v>
      </c>
      <c r="F185" s="77">
        <f t="shared" si="1"/>
        <v>5.241353398327038E-2</v>
      </c>
      <c r="G185" s="75">
        <v>18408</v>
      </c>
      <c r="H185" s="75">
        <v>428882</v>
      </c>
      <c r="I185" s="75">
        <f t="shared" si="71"/>
        <v>447290</v>
      </c>
      <c r="J185" s="86">
        <f t="shared" si="72"/>
        <v>4.1154508260859847E-2</v>
      </c>
      <c r="K185" s="75">
        <v>42</v>
      </c>
      <c r="L185" s="75">
        <v>974</v>
      </c>
      <c r="M185" s="79">
        <f t="shared" si="4"/>
        <v>1016</v>
      </c>
      <c r="N185" s="77">
        <f t="shared" si="5"/>
        <v>4.1338582677165357E-2</v>
      </c>
      <c r="O185" s="81">
        <f t="shared" ref="O185:P185" si="197">S185-S184</f>
        <v>4294</v>
      </c>
      <c r="P185" s="81">
        <f t="shared" si="197"/>
        <v>1033</v>
      </c>
      <c r="Q185" s="81">
        <f t="shared" si="7"/>
        <v>3261</v>
      </c>
      <c r="R185" s="77">
        <f t="shared" si="8"/>
        <v>0.24056823474615743</v>
      </c>
      <c r="S185" s="79">
        <f t="shared" si="9"/>
        <v>549444</v>
      </c>
      <c r="T185" s="75">
        <f t="shared" si="10"/>
        <v>23751</v>
      </c>
      <c r="U185" s="75">
        <f t="shared" si="11"/>
        <v>525693</v>
      </c>
      <c r="V185" s="77">
        <f t="shared" si="12"/>
        <v>4.3227335269836416E-2</v>
      </c>
    </row>
    <row r="186" spans="1:22" ht="12.5" x14ac:dyDescent="0.25">
      <c r="A186" s="75">
        <f t="shared" si="60"/>
        <v>184</v>
      </c>
      <c r="B186" s="76">
        <v>44380</v>
      </c>
      <c r="C186" s="75">
        <v>5406</v>
      </c>
      <c r="D186" s="75">
        <v>96196</v>
      </c>
      <c r="E186" s="75">
        <f t="shared" si="0"/>
        <v>101602</v>
      </c>
      <c r="F186" s="77">
        <f t="shared" si="1"/>
        <v>5.3207614023345999E-2</v>
      </c>
      <c r="G186" s="75">
        <v>19193</v>
      </c>
      <c r="H186" s="75">
        <v>431990</v>
      </c>
      <c r="I186" s="75">
        <f t="shared" si="71"/>
        <v>451183</v>
      </c>
      <c r="J186" s="86">
        <f t="shared" si="72"/>
        <v>4.2539280070392725E-2</v>
      </c>
      <c r="K186" s="75">
        <v>42</v>
      </c>
      <c r="L186" s="75">
        <v>974</v>
      </c>
      <c r="M186" s="79">
        <f t="shared" si="4"/>
        <v>1016</v>
      </c>
      <c r="N186" s="77">
        <f t="shared" si="5"/>
        <v>4.1338582677165357E-2</v>
      </c>
      <c r="O186" s="81">
        <f t="shared" ref="O186:P186" si="198">S186-S185</f>
        <v>4357</v>
      </c>
      <c r="P186" s="81">
        <f t="shared" si="198"/>
        <v>890</v>
      </c>
      <c r="Q186" s="81">
        <f t="shared" si="7"/>
        <v>3467</v>
      </c>
      <c r="R186" s="77">
        <f t="shared" si="8"/>
        <v>0.20426899242598118</v>
      </c>
      <c r="S186" s="79">
        <f t="shared" si="9"/>
        <v>553801</v>
      </c>
      <c r="T186" s="75">
        <f t="shared" si="10"/>
        <v>24641</v>
      </c>
      <c r="U186" s="75">
        <f t="shared" si="11"/>
        <v>529160</v>
      </c>
      <c r="V186" s="77">
        <f t="shared" si="12"/>
        <v>4.4494321967638195E-2</v>
      </c>
    </row>
    <row r="187" spans="1:22" ht="12.5" x14ac:dyDescent="0.25">
      <c r="A187" s="75">
        <f t="shared" si="60"/>
        <v>185</v>
      </c>
      <c r="B187" s="76">
        <v>44381</v>
      </c>
      <c r="C187" s="75">
        <v>5537</v>
      </c>
      <c r="D187" s="75">
        <v>96537</v>
      </c>
      <c r="E187" s="75">
        <f t="shared" si="0"/>
        <v>102074</v>
      </c>
      <c r="F187" s="77">
        <f t="shared" si="1"/>
        <v>5.4244959539157867E-2</v>
      </c>
      <c r="G187" s="75">
        <v>20014</v>
      </c>
      <c r="H187" s="75">
        <v>433636</v>
      </c>
      <c r="I187" s="75">
        <f t="shared" si="71"/>
        <v>453650</v>
      </c>
      <c r="J187" s="86">
        <f t="shared" si="72"/>
        <v>4.4117711892428087E-2</v>
      </c>
      <c r="K187" s="75">
        <v>42</v>
      </c>
      <c r="L187" s="75">
        <v>974</v>
      </c>
      <c r="M187" s="79">
        <f t="shared" si="4"/>
        <v>1016</v>
      </c>
      <c r="N187" s="77">
        <f t="shared" si="5"/>
        <v>4.1338582677165357E-2</v>
      </c>
      <c r="O187" s="81">
        <f t="shared" ref="O187:P187" si="199">S187-S186</f>
        <v>2939</v>
      </c>
      <c r="P187" s="81">
        <f t="shared" si="199"/>
        <v>952</v>
      </c>
      <c r="Q187" s="81">
        <f t="shared" si="7"/>
        <v>1987</v>
      </c>
      <c r="R187" s="77">
        <f t="shared" si="8"/>
        <v>0.32391970057842806</v>
      </c>
      <c r="S187" s="79">
        <f t="shared" si="9"/>
        <v>556740</v>
      </c>
      <c r="T187" s="75">
        <f t="shared" si="10"/>
        <v>25593</v>
      </c>
      <c r="U187" s="75">
        <f t="shared" si="11"/>
        <v>531147</v>
      </c>
      <c r="V187" s="77">
        <f t="shared" si="12"/>
        <v>4.596939325358336E-2</v>
      </c>
    </row>
    <row r="188" spans="1:22" ht="12.5" x14ac:dyDescent="0.25">
      <c r="A188" s="75">
        <f t="shared" si="60"/>
        <v>186</v>
      </c>
      <c r="B188" s="76">
        <v>44382</v>
      </c>
      <c r="C188" s="75">
        <v>5603</v>
      </c>
      <c r="D188" s="75">
        <v>96980</v>
      </c>
      <c r="E188" s="75">
        <f t="shared" si="0"/>
        <v>102583</v>
      </c>
      <c r="F188" s="77">
        <f t="shared" si="1"/>
        <v>5.4619186414903056E-2</v>
      </c>
      <c r="G188" s="75">
        <v>20842</v>
      </c>
      <c r="H188" s="75">
        <v>436254</v>
      </c>
      <c r="I188" s="75">
        <f t="shared" si="71"/>
        <v>457096</v>
      </c>
      <c r="J188" s="86">
        <f t="shared" si="72"/>
        <v>4.5596548646236239E-2</v>
      </c>
      <c r="K188" s="75">
        <v>42</v>
      </c>
      <c r="L188" s="75">
        <v>974</v>
      </c>
      <c r="M188" s="79">
        <f t="shared" si="4"/>
        <v>1016</v>
      </c>
      <c r="N188" s="77">
        <f t="shared" si="5"/>
        <v>4.1338582677165357E-2</v>
      </c>
      <c r="O188" s="81">
        <f t="shared" ref="O188:P188" si="200">S188-S187</f>
        <v>3955</v>
      </c>
      <c r="P188" s="81">
        <f t="shared" si="200"/>
        <v>894</v>
      </c>
      <c r="Q188" s="81">
        <f t="shared" si="7"/>
        <v>3061</v>
      </c>
      <c r="R188" s="77">
        <f t="shared" si="8"/>
        <v>0.22604298356510746</v>
      </c>
      <c r="S188" s="79">
        <f t="shared" si="9"/>
        <v>560695</v>
      </c>
      <c r="T188" s="75">
        <f t="shared" si="10"/>
        <v>26487</v>
      </c>
      <c r="U188" s="75">
        <f t="shared" si="11"/>
        <v>534208</v>
      </c>
      <c r="V188" s="77">
        <f t="shared" si="12"/>
        <v>4.7239586584506728E-2</v>
      </c>
    </row>
    <row r="189" spans="1:22" ht="12.5" x14ac:dyDescent="0.25">
      <c r="A189" s="75">
        <f t="shared" si="60"/>
        <v>187</v>
      </c>
      <c r="B189" s="76">
        <v>44383</v>
      </c>
      <c r="C189" s="75">
        <v>5641</v>
      </c>
      <c r="D189" s="75">
        <v>97211</v>
      </c>
      <c r="E189" s="75">
        <f t="shared" si="0"/>
        <v>102852</v>
      </c>
      <c r="F189" s="77">
        <f t="shared" si="1"/>
        <v>5.4845797845447825E-2</v>
      </c>
      <c r="G189" s="75">
        <v>21624</v>
      </c>
      <c r="H189" s="75">
        <v>439169</v>
      </c>
      <c r="I189" s="75">
        <f t="shared" si="71"/>
        <v>460793</v>
      </c>
      <c r="J189" s="86">
        <f t="shared" si="72"/>
        <v>4.6927796212182044E-2</v>
      </c>
      <c r="K189" s="75">
        <v>42</v>
      </c>
      <c r="L189" s="75">
        <v>974</v>
      </c>
      <c r="M189" s="79">
        <f t="shared" si="4"/>
        <v>1016</v>
      </c>
      <c r="N189" s="77">
        <f t="shared" si="5"/>
        <v>4.1338582677165357E-2</v>
      </c>
      <c r="O189" s="81">
        <f t="shared" ref="O189:P189" si="201">S189-S188</f>
        <v>3966</v>
      </c>
      <c r="P189" s="81">
        <f t="shared" si="201"/>
        <v>820</v>
      </c>
      <c r="Q189" s="81">
        <f t="shared" si="7"/>
        <v>3146</v>
      </c>
      <c r="R189" s="77">
        <f t="shared" si="8"/>
        <v>0.20675743822491174</v>
      </c>
      <c r="S189" s="79">
        <f t="shared" si="9"/>
        <v>564661</v>
      </c>
      <c r="T189" s="75">
        <f t="shared" si="10"/>
        <v>27307</v>
      </c>
      <c r="U189" s="75">
        <f t="shared" si="11"/>
        <v>537354</v>
      </c>
      <c r="V189" s="77">
        <f t="shared" si="12"/>
        <v>4.8359989444994429E-2</v>
      </c>
    </row>
    <row r="190" spans="1:22" ht="12.5" x14ac:dyDescent="0.25">
      <c r="A190" s="75">
        <f t="shared" si="60"/>
        <v>188</v>
      </c>
      <c r="B190" s="76">
        <v>44384</v>
      </c>
      <c r="C190" s="75">
        <v>5748</v>
      </c>
      <c r="D190" s="75">
        <v>97787</v>
      </c>
      <c r="E190" s="75">
        <f t="shared" si="0"/>
        <v>103535</v>
      </c>
      <c r="F190" s="77">
        <f t="shared" si="1"/>
        <v>5.551745786449027E-2</v>
      </c>
      <c r="G190" s="75">
        <v>22663</v>
      </c>
      <c r="H190" s="75">
        <v>442865</v>
      </c>
      <c r="I190" s="75">
        <f t="shared" si="71"/>
        <v>465528</v>
      </c>
      <c r="J190" s="86">
        <f t="shared" si="72"/>
        <v>4.8682356378134076E-2</v>
      </c>
      <c r="K190" s="75">
        <v>42</v>
      </c>
      <c r="L190" s="75">
        <v>974</v>
      </c>
      <c r="M190" s="79">
        <f t="shared" si="4"/>
        <v>1016</v>
      </c>
      <c r="N190" s="77">
        <f t="shared" si="5"/>
        <v>4.1338582677165357E-2</v>
      </c>
      <c r="O190" s="81">
        <f t="shared" ref="O190:P190" si="202">S190-S189</f>
        <v>5418</v>
      </c>
      <c r="P190" s="81">
        <f t="shared" si="202"/>
        <v>1146</v>
      </c>
      <c r="Q190" s="81">
        <f t="shared" si="7"/>
        <v>4272</v>
      </c>
      <c r="R190" s="77">
        <f t="shared" si="8"/>
        <v>0.21151716500553711</v>
      </c>
      <c r="S190" s="79">
        <f t="shared" si="9"/>
        <v>570079</v>
      </c>
      <c r="T190" s="75">
        <f t="shared" si="10"/>
        <v>28453</v>
      </c>
      <c r="U190" s="75">
        <f t="shared" si="11"/>
        <v>541626</v>
      </c>
      <c r="V190" s="77">
        <f t="shared" si="12"/>
        <v>4.9910626421952042E-2</v>
      </c>
    </row>
    <row r="191" spans="1:22" ht="12.5" x14ac:dyDescent="0.25">
      <c r="A191" s="75">
        <f t="shared" si="60"/>
        <v>189</v>
      </c>
      <c r="B191" s="76">
        <v>44385</v>
      </c>
      <c r="C191" s="75">
        <v>5826</v>
      </c>
      <c r="D191" s="75">
        <v>98461</v>
      </c>
      <c r="E191" s="75">
        <f t="shared" si="0"/>
        <v>104287</v>
      </c>
      <c r="F191" s="77">
        <f t="shared" si="1"/>
        <v>5.5865064677284804E-2</v>
      </c>
      <c r="G191" s="75">
        <v>23704</v>
      </c>
      <c r="H191" s="75">
        <v>446157</v>
      </c>
      <c r="I191" s="75">
        <f t="shared" si="71"/>
        <v>469861</v>
      </c>
      <c r="J191" s="86">
        <f t="shared" si="72"/>
        <v>5.0448962565524696E-2</v>
      </c>
      <c r="K191" s="75">
        <v>42</v>
      </c>
      <c r="L191" s="75">
        <v>974</v>
      </c>
      <c r="M191" s="79">
        <f t="shared" si="4"/>
        <v>1016</v>
      </c>
      <c r="N191" s="77">
        <f t="shared" si="5"/>
        <v>4.1338582677165357E-2</v>
      </c>
      <c r="O191" s="81">
        <f t="shared" ref="O191:P191" si="203">S191-S190</f>
        <v>5085</v>
      </c>
      <c r="P191" s="81">
        <f t="shared" si="203"/>
        <v>1119</v>
      </c>
      <c r="Q191" s="81">
        <f t="shared" si="7"/>
        <v>3966</v>
      </c>
      <c r="R191" s="77">
        <f t="shared" si="8"/>
        <v>0.2200589970501475</v>
      </c>
      <c r="S191" s="79">
        <f t="shared" si="9"/>
        <v>575164</v>
      </c>
      <c r="T191" s="75">
        <f t="shared" si="10"/>
        <v>29572</v>
      </c>
      <c r="U191" s="75">
        <f t="shared" si="11"/>
        <v>545592</v>
      </c>
      <c r="V191" s="77">
        <f t="shared" si="12"/>
        <v>5.1414900793512804E-2</v>
      </c>
    </row>
    <row r="192" spans="1:22" ht="12.5" x14ac:dyDescent="0.25">
      <c r="A192" s="75">
        <f t="shared" si="60"/>
        <v>190</v>
      </c>
      <c r="B192" s="76">
        <v>44386</v>
      </c>
      <c r="C192" s="75">
        <v>5964</v>
      </c>
      <c r="D192" s="75">
        <v>99157</v>
      </c>
      <c r="E192" s="75">
        <f t="shared" si="0"/>
        <v>105121</v>
      </c>
      <c r="F192" s="77">
        <f t="shared" si="1"/>
        <v>5.6734620104451058E-2</v>
      </c>
      <c r="G192" s="75">
        <v>24503</v>
      </c>
      <c r="H192" s="75">
        <v>450163</v>
      </c>
      <c r="I192" s="75">
        <f t="shared" si="71"/>
        <v>474666</v>
      </c>
      <c r="J192" s="86">
        <f t="shared" si="72"/>
        <v>5.1621561266237737E-2</v>
      </c>
      <c r="K192" s="75">
        <v>42</v>
      </c>
      <c r="L192" s="75">
        <v>974</v>
      </c>
      <c r="M192" s="79">
        <f t="shared" si="4"/>
        <v>1016</v>
      </c>
      <c r="N192" s="77">
        <f t="shared" si="5"/>
        <v>4.1338582677165357E-2</v>
      </c>
      <c r="O192" s="81">
        <f t="shared" ref="O192:P192" si="204">S192-S191</f>
        <v>5639</v>
      </c>
      <c r="P192" s="81">
        <f t="shared" si="204"/>
        <v>937</v>
      </c>
      <c r="Q192" s="81">
        <f t="shared" si="7"/>
        <v>4702</v>
      </c>
      <c r="R192" s="77">
        <f t="shared" si="8"/>
        <v>0.16616421351303423</v>
      </c>
      <c r="S192" s="79">
        <f t="shared" si="9"/>
        <v>580803</v>
      </c>
      <c r="T192" s="75">
        <f t="shared" si="10"/>
        <v>30509</v>
      </c>
      <c r="U192" s="75">
        <f t="shared" si="11"/>
        <v>550294</v>
      </c>
      <c r="V192" s="77">
        <f t="shared" si="12"/>
        <v>5.2528998644979452E-2</v>
      </c>
    </row>
    <row r="193" spans="1:22" ht="12.5" x14ac:dyDescent="0.25">
      <c r="A193" s="75">
        <f t="shared" si="60"/>
        <v>191</v>
      </c>
      <c r="B193" s="76">
        <v>44387</v>
      </c>
      <c r="C193" s="75">
        <v>6104</v>
      </c>
      <c r="D193" s="75">
        <v>99914</v>
      </c>
      <c r="E193" s="75">
        <f t="shared" si="0"/>
        <v>106018</v>
      </c>
      <c r="F193" s="77">
        <f t="shared" si="1"/>
        <v>5.7575128751721404E-2</v>
      </c>
      <c r="G193" s="75">
        <v>25397</v>
      </c>
      <c r="H193" s="75">
        <v>454200</v>
      </c>
      <c r="I193" s="75">
        <f t="shared" si="71"/>
        <v>479597</v>
      </c>
      <c r="J193" s="86">
        <f t="shared" si="72"/>
        <v>5.2954876698561498E-2</v>
      </c>
      <c r="K193" s="75">
        <v>42</v>
      </c>
      <c r="L193" s="75">
        <v>974</v>
      </c>
      <c r="M193" s="79">
        <f t="shared" si="4"/>
        <v>1016</v>
      </c>
      <c r="N193" s="77">
        <f t="shared" si="5"/>
        <v>4.1338582677165357E-2</v>
      </c>
      <c r="O193" s="81">
        <f t="shared" ref="O193:P193" si="205">S193-S192</f>
        <v>5828</v>
      </c>
      <c r="P193" s="81">
        <f t="shared" si="205"/>
        <v>1034</v>
      </c>
      <c r="Q193" s="81">
        <f t="shared" si="7"/>
        <v>4794</v>
      </c>
      <c r="R193" s="77">
        <f t="shared" si="8"/>
        <v>0.17741935483870969</v>
      </c>
      <c r="S193" s="79">
        <f t="shared" si="9"/>
        <v>586631</v>
      </c>
      <c r="T193" s="75">
        <f t="shared" si="10"/>
        <v>31543</v>
      </c>
      <c r="U193" s="75">
        <f t="shared" si="11"/>
        <v>555088</v>
      </c>
      <c r="V193" s="77">
        <f t="shared" si="12"/>
        <v>5.3769746228890053E-2</v>
      </c>
    </row>
    <row r="194" spans="1:22" ht="12.5" x14ac:dyDescent="0.25">
      <c r="A194" s="75">
        <f t="shared" si="60"/>
        <v>192</v>
      </c>
      <c r="B194" s="76">
        <v>44388</v>
      </c>
      <c r="C194" s="75">
        <v>6203</v>
      </c>
      <c r="D194" s="75">
        <v>100618</v>
      </c>
      <c r="E194" s="75">
        <f t="shared" si="0"/>
        <v>106821</v>
      </c>
      <c r="F194" s="77">
        <f t="shared" si="1"/>
        <v>5.8069106261877348E-2</v>
      </c>
      <c r="G194" s="75">
        <v>26276</v>
      </c>
      <c r="H194" s="75">
        <v>458690</v>
      </c>
      <c r="I194" s="75">
        <f t="shared" si="71"/>
        <v>484966</v>
      </c>
      <c r="J194" s="86">
        <f t="shared" si="72"/>
        <v>5.4181117851560726E-2</v>
      </c>
      <c r="K194" s="75">
        <v>42</v>
      </c>
      <c r="L194" s="75">
        <v>974</v>
      </c>
      <c r="M194" s="79">
        <f t="shared" si="4"/>
        <v>1016</v>
      </c>
      <c r="N194" s="77">
        <f t="shared" si="5"/>
        <v>4.1338582677165357E-2</v>
      </c>
      <c r="O194" s="81">
        <f t="shared" ref="O194:P194" si="206">S194-S193</f>
        <v>6172</v>
      </c>
      <c r="P194" s="81">
        <f t="shared" si="206"/>
        <v>978</v>
      </c>
      <c r="Q194" s="81">
        <f t="shared" si="7"/>
        <v>5194</v>
      </c>
      <c r="R194" s="77">
        <f t="shared" si="8"/>
        <v>0.15845755022683086</v>
      </c>
      <c r="S194" s="79">
        <f t="shared" si="9"/>
        <v>592803</v>
      </c>
      <c r="T194" s="75">
        <f t="shared" si="10"/>
        <v>32521</v>
      </c>
      <c r="U194" s="75">
        <f t="shared" si="11"/>
        <v>560282</v>
      </c>
      <c r="V194" s="77">
        <f t="shared" si="12"/>
        <v>5.4859708874617705E-2</v>
      </c>
    </row>
    <row r="195" spans="1:22" ht="12.5" x14ac:dyDescent="0.25">
      <c r="A195" s="75">
        <f t="shared" si="60"/>
        <v>193</v>
      </c>
      <c r="B195" s="76">
        <v>44389</v>
      </c>
      <c r="C195" s="75">
        <v>6297</v>
      </c>
      <c r="D195" s="75">
        <v>101076</v>
      </c>
      <c r="E195" s="75">
        <f t="shared" si="0"/>
        <v>107373</v>
      </c>
      <c r="F195" s="77">
        <f t="shared" si="1"/>
        <v>5.8646028331144698E-2</v>
      </c>
      <c r="G195" s="75">
        <v>26803</v>
      </c>
      <c r="H195" s="75">
        <v>461384</v>
      </c>
      <c r="I195" s="75">
        <f t="shared" si="71"/>
        <v>488187</v>
      </c>
      <c r="J195" s="86">
        <f t="shared" si="72"/>
        <v>5.4903141624008833E-2</v>
      </c>
      <c r="K195" s="75">
        <v>42</v>
      </c>
      <c r="L195" s="75">
        <v>974</v>
      </c>
      <c r="M195" s="79">
        <f t="shared" si="4"/>
        <v>1016</v>
      </c>
      <c r="N195" s="77">
        <f t="shared" si="5"/>
        <v>4.1338582677165357E-2</v>
      </c>
      <c r="O195" s="81">
        <f t="shared" ref="O195:P195" si="207">S195-S194</f>
        <v>3773</v>
      </c>
      <c r="P195" s="81">
        <f t="shared" si="207"/>
        <v>621</v>
      </c>
      <c r="Q195" s="81">
        <f t="shared" si="7"/>
        <v>3152</v>
      </c>
      <c r="R195" s="77">
        <f t="shared" si="8"/>
        <v>0.16459051152928703</v>
      </c>
      <c r="S195" s="79">
        <f t="shared" si="9"/>
        <v>596576</v>
      </c>
      <c r="T195" s="75">
        <f t="shared" si="10"/>
        <v>33142</v>
      </c>
      <c r="U195" s="75">
        <f t="shared" si="11"/>
        <v>563434</v>
      </c>
      <c r="V195" s="77">
        <f t="shared" si="12"/>
        <v>5.5553693075148847E-2</v>
      </c>
    </row>
    <row r="196" spans="1:22" ht="12.5" x14ac:dyDescent="0.25">
      <c r="A196" s="75">
        <f t="shared" si="60"/>
        <v>194</v>
      </c>
      <c r="B196" s="76">
        <v>44390</v>
      </c>
      <c r="C196" s="75">
        <v>6427</v>
      </c>
      <c r="D196" s="75">
        <v>101603</v>
      </c>
      <c r="E196" s="75">
        <f t="shared" si="0"/>
        <v>108030</v>
      </c>
      <c r="F196" s="77">
        <f t="shared" si="1"/>
        <v>5.9492733499953716E-2</v>
      </c>
      <c r="G196" s="75">
        <v>27753</v>
      </c>
      <c r="H196" s="75">
        <v>467065</v>
      </c>
      <c r="I196" s="75">
        <f t="shared" si="71"/>
        <v>494818</v>
      </c>
      <c r="J196" s="86">
        <f t="shared" si="72"/>
        <v>5.6087288659668805E-2</v>
      </c>
      <c r="K196" s="75">
        <v>42</v>
      </c>
      <c r="L196" s="75">
        <v>974</v>
      </c>
      <c r="M196" s="79">
        <f t="shared" si="4"/>
        <v>1016</v>
      </c>
      <c r="N196" s="77">
        <f t="shared" si="5"/>
        <v>4.1338582677165357E-2</v>
      </c>
      <c r="O196" s="81">
        <f t="shared" ref="O196:P196" si="208">S196-S195</f>
        <v>7288</v>
      </c>
      <c r="P196" s="81">
        <f t="shared" si="208"/>
        <v>1080</v>
      </c>
      <c r="Q196" s="81">
        <f t="shared" si="7"/>
        <v>6208</v>
      </c>
      <c r="R196" s="77">
        <f t="shared" si="8"/>
        <v>0.14818880351262348</v>
      </c>
      <c r="S196" s="79">
        <f t="shared" si="9"/>
        <v>603864</v>
      </c>
      <c r="T196" s="75">
        <f t="shared" si="10"/>
        <v>34222</v>
      </c>
      <c r="U196" s="75">
        <f t="shared" si="11"/>
        <v>569642</v>
      </c>
      <c r="V196" s="77">
        <f t="shared" si="12"/>
        <v>5.6671700912788309E-2</v>
      </c>
    </row>
    <row r="197" spans="1:22" ht="12.5" x14ac:dyDescent="0.25">
      <c r="A197" s="75">
        <f t="shared" si="60"/>
        <v>195</v>
      </c>
      <c r="B197" s="76">
        <v>44391</v>
      </c>
      <c r="C197" s="75">
        <v>6547</v>
      </c>
      <c r="D197" s="75">
        <v>102042</v>
      </c>
      <c r="E197" s="75">
        <f t="shared" si="0"/>
        <v>108589</v>
      </c>
      <c r="F197" s="77">
        <f t="shared" si="1"/>
        <v>6.0291558076784942E-2</v>
      </c>
      <c r="G197" s="75">
        <v>28429</v>
      </c>
      <c r="H197" s="75">
        <v>471503</v>
      </c>
      <c r="I197" s="75">
        <f t="shared" si="71"/>
        <v>499932</v>
      </c>
      <c r="J197" s="86">
        <f t="shared" si="72"/>
        <v>5.6865733739788614E-2</v>
      </c>
      <c r="K197" s="75">
        <v>42</v>
      </c>
      <c r="L197" s="75">
        <v>974</v>
      </c>
      <c r="M197" s="79">
        <f t="shared" si="4"/>
        <v>1016</v>
      </c>
      <c r="N197" s="77">
        <f t="shared" si="5"/>
        <v>4.1338582677165357E-2</v>
      </c>
      <c r="O197" s="81">
        <f t="shared" ref="O197:P197" si="209">S197-S196</f>
        <v>5673</v>
      </c>
      <c r="P197" s="81">
        <f t="shared" si="209"/>
        <v>796</v>
      </c>
      <c r="Q197" s="81">
        <f t="shared" si="7"/>
        <v>4877</v>
      </c>
      <c r="R197" s="77">
        <f t="shared" si="8"/>
        <v>0.14031376696633174</v>
      </c>
      <c r="S197" s="79">
        <f t="shared" si="9"/>
        <v>609537</v>
      </c>
      <c r="T197" s="75">
        <f t="shared" si="10"/>
        <v>35018</v>
      </c>
      <c r="U197" s="75">
        <f t="shared" si="11"/>
        <v>574519</v>
      </c>
      <c r="V197" s="77">
        <f t="shared" si="12"/>
        <v>5.7450162992566486E-2</v>
      </c>
    </row>
    <row r="198" spans="1:22" ht="12.5" x14ac:dyDescent="0.25">
      <c r="A198" s="75">
        <f t="shared" si="60"/>
        <v>196</v>
      </c>
      <c r="B198" s="76">
        <v>44392</v>
      </c>
      <c r="C198" s="75">
        <v>6640</v>
      </c>
      <c r="D198" s="75">
        <v>102533</v>
      </c>
      <c r="E198" s="75">
        <f t="shared" si="0"/>
        <v>109173</v>
      </c>
      <c r="F198" s="77">
        <f t="shared" si="1"/>
        <v>6.0820898940214155E-2</v>
      </c>
      <c r="G198" s="75">
        <v>29117</v>
      </c>
      <c r="H198" s="75">
        <v>476288</v>
      </c>
      <c r="I198" s="75">
        <f t="shared" si="71"/>
        <v>505405</v>
      </c>
      <c r="J198" s="86">
        <f t="shared" si="72"/>
        <v>5.7611222682798946E-2</v>
      </c>
      <c r="K198" s="75">
        <v>42</v>
      </c>
      <c r="L198" s="75">
        <v>974</v>
      </c>
      <c r="M198" s="79">
        <f t="shared" si="4"/>
        <v>1016</v>
      </c>
      <c r="N198" s="77">
        <f t="shared" si="5"/>
        <v>4.1338582677165357E-2</v>
      </c>
      <c r="O198" s="81">
        <f t="shared" ref="O198:P198" si="210">S198-S197</f>
        <v>6057</v>
      </c>
      <c r="P198" s="81">
        <f t="shared" si="210"/>
        <v>781</v>
      </c>
      <c r="Q198" s="81">
        <f t="shared" si="7"/>
        <v>5276</v>
      </c>
      <c r="R198" s="77">
        <f t="shared" si="8"/>
        <v>0.12894172032359255</v>
      </c>
      <c r="S198" s="79">
        <f t="shared" si="9"/>
        <v>615594</v>
      </c>
      <c r="T198" s="75">
        <f t="shared" si="10"/>
        <v>35799</v>
      </c>
      <c r="U198" s="75">
        <f t="shared" si="11"/>
        <v>579795</v>
      </c>
      <c r="V198" s="77">
        <f t="shared" si="12"/>
        <v>5.8153588241600794E-2</v>
      </c>
    </row>
    <row r="199" spans="1:22" ht="12.5" x14ac:dyDescent="0.25">
      <c r="A199" s="75">
        <f t="shared" si="60"/>
        <v>197</v>
      </c>
      <c r="B199" s="76">
        <v>44393</v>
      </c>
      <c r="C199" s="75">
        <v>6725</v>
      </c>
      <c r="D199" s="75">
        <v>102821</v>
      </c>
      <c r="E199" s="75">
        <f t="shared" si="0"/>
        <v>109546</v>
      </c>
      <c r="F199" s="77">
        <f t="shared" si="1"/>
        <v>6.138973581874281E-2</v>
      </c>
      <c r="G199" s="75">
        <v>29942</v>
      </c>
      <c r="H199" s="75">
        <v>482374</v>
      </c>
      <c r="I199" s="75">
        <f t="shared" si="71"/>
        <v>512316</v>
      </c>
      <c r="J199" s="86">
        <f t="shared" si="72"/>
        <v>5.8444397598357262E-2</v>
      </c>
      <c r="K199" s="75">
        <v>42</v>
      </c>
      <c r="L199" s="75">
        <v>974</v>
      </c>
      <c r="M199" s="79">
        <f t="shared" si="4"/>
        <v>1016</v>
      </c>
      <c r="N199" s="77">
        <f t="shared" si="5"/>
        <v>4.1338582677165357E-2</v>
      </c>
      <c r="O199" s="81">
        <f t="shared" ref="O199:P199" si="211">S199-S198</f>
        <v>7284</v>
      </c>
      <c r="P199" s="81">
        <f t="shared" si="211"/>
        <v>910</v>
      </c>
      <c r="Q199" s="81">
        <f t="shared" si="7"/>
        <v>6374</v>
      </c>
      <c r="R199" s="77">
        <f t="shared" si="8"/>
        <v>0.12493135639758375</v>
      </c>
      <c r="S199" s="79">
        <f t="shared" si="9"/>
        <v>622878</v>
      </c>
      <c r="T199" s="75">
        <f t="shared" si="10"/>
        <v>36709</v>
      </c>
      <c r="U199" s="75">
        <f t="shared" si="11"/>
        <v>586169</v>
      </c>
      <c r="V199" s="77">
        <f t="shared" si="12"/>
        <v>5.8934494395371163E-2</v>
      </c>
    </row>
    <row r="200" spans="1:22" ht="12.5" x14ac:dyDescent="0.25">
      <c r="A200" s="79"/>
      <c r="B200" s="79"/>
      <c r="C200" s="79"/>
      <c r="D200" s="79"/>
      <c r="E200" s="79"/>
      <c r="F200" s="77"/>
      <c r="G200" s="79"/>
      <c r="H200" s="79"/>
      <c r="I200" s="79"/>
      <c r="J200" s="78"/>
      <c r="K200" s="79"/>
      <c r="L200" s="79"/>
      <c r="M200" s="79"/>
      <c r="N200" s="77"/>
      <c r="O200" s="79"/>
      <c r="P200" s="81"/>
      <c r="Q200" s="81"/>
      <c r="R200" s="79"/>
      <c r="S200" s="79"/>
      <c r="T200" s="79"/>
      <c r="U200" s="79"/>
      <c r="V200" s="79"/>
    </row>
    <row r="201" spans="1:22" ht="12.5" x14ac:dyDescent="0.25">
      <c r="A201" s="79"/>
      <c r="B201" s="79"/>
      <c r="C201" s="79"/>
      <c r="D201" s="79"/>
      <c r="E201" s="79"/>
      <c r="F201" s="77"/>
      <c r="G201" s="79"/>
      <c r="H201" s="79"/>
      <c r="I201" s="79"/>
      <c r="J201" s="78"/>
      <c r="K201" s="79"/>
      <c r="L201" s="79"/>
      <c r="M201" s="79"/>
      <c r="N201" s="77"/>
      <c r="O201" s="79"/>
      <c r="P201" s="81"/>
      <c r="Q201" s="81"/>
      <c r="R201" s="79"/>
      <c r="S201" s="79"/>
      <c r="T201" s="79"/>
      <c r="U201" s="79"/>
      <c r="V201" s="79"/>
    </row>
    <row r="202" spans="1:22" ht="12.5" x14ac:dyDescent="0.25">
      <c r="A202" s="79"/>
      <c r="B202" s="79"/>
      <c r="C202" s="79"/>
      <c r="D202" s="79"/>
      <c r="E202" s="79"/>
      <c r="F202" s="77"/>
      <c r="G202" s="79"/>
      <c r="H202" s="79"/>
      <c r="I202" s="79"/>
      <c r="J202" s="78"/>
      <c r="K202" s="79"/>
      <c r="L202" s="79"/>
      <c r="M202" s="79"/>
      <c r="N202" s="77"/>
      <c r="O202" s="79"/>
      <c r="P202" s="81"/>
      <c r="Q202" s="81"/>
      <c r="R202" s="79"/>
      <c r="S202" s="79"/>
      <c r="T202" s="79"/>
      <c r="U202" s="79"/>
      <c r="V202" s="79"/>
    </row>
    <row r="203" spans="1:22" ht="12.5" x14ac:dyDescent="0.25">
      <c r="A203" s="79"/>
      <c r="B203" s="79"/>
      <c r="C203" s="79"/>
      <c r="D203" s="79"/>
      <c r="E203" s="79"/>
      <c r="F203" s="77"/>
      <c r="G203" s="79"/>
      <c r="H203" s="79"/>
      <c r="I203" s="79"/>
      <c r="J203" s="78"/>
      <c r="K203" s="79"/>
      <c r="L203" s="79"/>
      <c r="M203" s="79"/>
      <c r="N203" s="77"/>
      <c r="O203" s="79"/>
      <c r="P203" s="81"/>
      <c r="Q203" s="81"/>
      <c r="R203" s="79"/>
      <c r="S203" s="79"/>
      <c r="T203" s="79"/>
      <c r="U203" s="79"/>
      <c r="V203" s="79"/>
    </row>
    <row r="204" spans="1:22" ht="12.5" x14ac:dyDescent="0.25">
      <c r="A204" s="79"/>
      <c r="B204" s="79"/>
      <c r="C204" s="79"/>
      <c r="D204" s="79"/>
      <c r="E204" s="79"/>
      <c r="F204" s="77"/>
      <c r="G204" s="79"/>
      <c r="H204" s="79"/>
      <c r="I204" s="79"/>
      <c r="J204" s="78"/>
      <c r="K204" s="79"/>
      <c r="L204" s="79"/>
      <c r="M204" s="79"/>
      <c r="N204" s="77"/>
      <c r="O204" s="79"/>
      <c r="P204" s="81"/>
      <c r="Q204" s="81"/>
      <c r="R204" s="79"/>
      <c r="S204" s="79"/>
      <c r="T204" s="79"/>
      <c r="U204" s="79"/>
      <c r="V204" s="79"/>
    </row>
    <row r="205" spans="1:22" ht="12.5" x14ac:dyDescent="0.25">
      <c r="A205" s="79"/>
      <c r="B205" s="79"/>
      <c r="C205" s="79"/>
      <c r="D205" s="79"/>
      <c r="E205" s="79"/>
      <c r="F205" s="77"/>
      <c r="G205" s="79"/>
      <c r="H205" s="79"/>
      <c r="I205" s="79"/>
      <c r="J205" s="78"/>
      <c r="K205" s="79"/>
      <c r="L205" s="79"/>
      <c r="M205" s="79"/>
      <c r="N205" s="77"/>
      <c r="O205" s="79"/>
      <c r="P205" s="81"/>
      <c r="Q205" s="81"/>
      <c r="R205" s="79"/>
      <c r="S205" s="79"/>
      <c r="T205" s="79"/>
      <c r="U205" s="79"/>
      <c r="V205" s="79"/>
    </row>
    <row r="206" spans="1:22" ht="12.5" x14ac:dyDescent="0.25">
      <c r="A206" s="79"/>
      <c r="B206" s="79"/>
      <c r="C206" s="79"/>
      <c r="D206" s="79"/>
      <c r="E206" s="79"/>
      <c r="F206" s="77"/>
      <c r="G206" s="79"/>
      <c r="H206" s="79"/>
      <c r="I206" s="79"/>
      <c r="J206" s="78"/>
      <c r="K206" s="79"/>
      <c r="L206" s="79"/>
      <c r="M206" s="79"/>
      <c r="N206" s="77"/>
      <c r="O206" s="79"/>
      <c r="P206" s="81"/>
      <c r="Q206" s="81"/>
      <c r="R206" s="79"/>
      <c r="S206" s="79"/>
      <c r="T206" s="79"/>
      <c r="U206" s="79"/>
      <c r="V206" s="79"/>
    </row>
    <row r="207" spans="1:22" ht="12.5" x14ac:dyDescent="0.25">
      <c r="A207" s="79"/>
      <c r="B207" s="79"/>
      <c r="C207" s="79"/>
      <c r="D207" s="79"/>
      <c r="E207" s="79"/>
      <c r="F207" s="77"/>
      <c r="G207" s="79"/>
      <c r="H207" s="79"/>
      <c r="I207" s="79"/>
      <c r="J207" s="78"/>
      <c r="K207" s="79"/>
      <c r="L207" s="79"/>
      <c r="M207" s="79"/>
      <c r="N207" s="77"/>
      <c r="O207" s="79"/>
      <c r="P207" s="81"/>
      <c r="Q207" s="81"/>
      <c r="R207" s="79"/>
      <c r="S207" s="79"/>
      <c r="T207" s="79"/>
      <c r="U207" s="79"/>
      <c r="V207" s="79"/>
    </row>
    <row r="208" spans="1:22" ht="12.5" x14ac:dyDescent="0.25">
      <c r="A208" s="79"/>
      <c r="B208" s="79"/>
      <c r="C208" s="79"/>
      <c r="D208" s="79"/>
      <c r="E208" s="79"/>
      <c r="F208" s="77"/>
      <c r="G208" s="79"/>
      <c r="H208" s="79"/>
      <c r="I208" s="79"/>
      <c r="J208" s="78"/>
      <c r="K208" s="79"/>
      <c r="L208" s="79"/>
      <c r="M208" s="79"/>
      <c r="N208" s="77"/>
      <c r="O208" s="79"/>
      <c r="P208" s="81"/>
      <c r="Q208" s="81"/>
      <c r="R208" s="79"/>
      <c r="S208" s="79"/>
      <c r="T208" s="79"/>
      <c r="U208" s="79"/>
      <c r="V208" s="79"/>
    </row>
    <row r="209" spans="1:22" ht="12.5" x14ac:dyDescent="0.25">
      <c r="A209" s="79"/>
      <c r="B209" s="79"/>
      <c r="C209" s="79"/>
      <c r="D209" s="79"/>
      <c r="E209" s="79"/>
      <c r="F209" s="77"/>
      <c r="G209" s="79"/>
      <c r="H209" s="79"/>
      <c r="I209" s="79"/>
      <c r="J209" s="78"/>
      <c r="K209" s="79"/>
      <c r="L209" s="79"/>
      <c r="M209" s="79"/>
      <c r="N209" s="77"/>
      <c r="O209" s="79"/>
      <c r="P209" s="81"/>
      <c r="Q209" s="81"/>
      <c r="R209" s="79"/>
      <c r="S209" s="79"/>
      <c r="T209" s="79"/>
      <c r="U209" s="79"/>
      <c r="V209" s="79"/>
    </row>
    <row r="210" spans="1:22" ht="12.5" x14ac:dyDescent="0.25">
      <c r="A210" s="79"/>
      <c r="B210" s="79"/>
      <c r="C210" s="79"/>
      <c r="D210" s="79"/>
      <c r="E210" s="79"/>
      <c r="F210" s="77"/>
      <c r="G210" s="79"/>
      <c r="H210" s="79"/>
      <c r="I210" s="79"/>
      <c r="J210" s="78"/>
      <c r="K210" s="79"/>
      <c r="L210" s="79"/>
      <c r="M210" s="79"/>
      <c r="N210" s="77"/>
      <c r="O210" s="79"/>
      <c r="P210" s="81"/>
      <c r="Q210" s="81"/>
      <c r="R210" s="79"/>
      <c r="S210" s="79"/>
      <c r="T210" s="79"/>
      <c r="U210" s="79"/>
      <c r="V210" s="79"/>
    </row>
    <row r="211" spans="1:22" ht="12.5" x14ac:dyDescent="0.25">
      <c r="A211" s="79"/>
      <c r="B211" s="79"/>
      <c r="C211" s="79"/>
      <c r="D211" s="79"/>
      <c r="E211" s="79"/>
      <c r="F211" s="77"/>
      <c r="G211" s="79"/>
      <c r="H211" s="79"/>
      <c r="I211" s="79"/>
      <c r="J211" s="78"/>
      <c r="K211" s="79"/>
      <c r="L211" s="79"/>
      <c r="M211" s="79"/>
      <c r="N211" s="77"/>
      <c r="O211" s="79"/>
      <c r="P211" s="81"/>
      <c r="Q211" s="81"/>
      <c r="R211" s="79"/>
      <c r="S211" s="79"/>
      <c r="T211" s="79"/>
      <c r="U211" s="79"/>
      <c r="V211" s="79"/>
    </row>
    <row r="212" spans="1:22" ht="12.5" x14ac:dyDescent="0.25">
      <c r="A212" s="79"/>
      <c r="B212" s="79"/>
      <c r="C212" s="79"/>
      <c r="D212" s="79"/>
      <c r="E212" s="79"/>
      <c r="F212" s="77"/>
      <c r="G212" s="79"/>
      <c r="H212" s="79"/>
      <c r="I212" s="79"/>
      <c r="J212" s="78"/>
      <c r="K212" s="79"/>
      <c r="L212" s="79"/>
      <c r="M212" s="79"/>
      <c r="N212" s="77"/>
      <c r="O212" s="79"/>
      <c r="P212" s="81"/>
      <c r="Q212" s="81"/>
      <c r="R212" s="79"/>
      <c r="S212" s="79"/>
      <c r="T212" s="79"/>
      <c r="U212" s="79"/>
      <c r="V212" s="79"/>
    </row>
    <row r="213" spans="1:22" ht="12.5" x14ac:dyDescent="0.25">
      <c r="A213" s="79"/>
      <c r="B213" s="79"/>
      <c r="C213" s="79"/>
      <c r="D213" s="79"/>
      <c r="E213" s="79"/>
      <c r="F213" s="77"/>
      <c r="G213" s="79"/>
      <c r="H213" s="79"/>
      <c r="I213" s="79"/>
      <c r="J213" s="78"/>
      <c r="K213" s="79"/>
      <c r="L213" s="79"/>
      <c r="M213" s="79"/>
      <c r="N213" s="77"/>
      <c r="O213" s="79"/>
      <c r="P213" s="81"/>
      <c r="Q213" s="81"/>
      <c r="R213" s="79"/>
      <c r="S213" s="79"/>
      <c r="T213" s="79"/>
      <c r="U213" s="79"/>
      <c r="V213" s="79"/>
    </row>
    <row r="214" spans="1:22" ht="12.5" x14ac:dyDescent="0.25">
      <c r="A214" s="79"/>
      <c r="B214" s="79"/>
      <c r="C214" s="79"/>
      <c r="D214" s="79"/>
      <c r="E214" s="79"/>
      <c r="F214" s="77"/>
      <c r="G214" s="79"/>
      <c r="H214" s="79"/>
      <c r="I214" s="79"/>
      <c r="J214" s="78"/>
      <c r="K214" s="79"/>
      <c r="L214" s="79"/>
      <c r="M214" s="79"/>
      <c r="N214" s="77"/>
      <c r="O214" s="79"/>
      <c r="P214" s="81"/>
      <c r="Q214" s="81"/>
      <c r="R214" s="79"/>
      <c r="S214" s="79"/>
      <c r="T214" s="79"/>
      <c r="U214" s="79"/>
      <c r="V214" s="79"/>
    </row>
    <row r="215" spans="1:22" ht="12.5" x14ac:dyDescent="0.25">
      <c r="A215" s="79"/>
      <c r="B215" s="79"/>
      <c r="C215" s="79"/>
      <c r="D215" s="79"/>
      <c r="E215" s="79"/>
      <c r="F215" s="77"/>
      <c r="G215" s="79"/>
      <c r="H215" s="79"/>
      <c r="I215" s="79"/>
      <c r="J215" s="78"/>
      <c r="K215" s="79"/>
      <c r="L215" s="79"/>
      <c r="M215" s="79"/>
      <c r="N215" s="77"/>
      <c r="O215" s="79"/>
      <c r="P215" s="81"/>
      <c r="Q215" s="81"/>
      <c r="R215" s="79"/>
      <c r="S215" s="79"/>
      <c r="T215" s="79"/>
      <c r="U215" s="79"/>
      <c r="V215" s="79"/>
    </row>
    <row r="216" spans="1:22" ht="12.5" x14ac:dyDescent="0.25">
      <c r="A216" s="79"/>
      <c r="B216" s="79"/>
      <c r="C216" s="79"/>
      <c r="D216" s="79"/>
      <c r="E216" s="79"/>
      <c r="F216" s="77"/>
      <c r="G216" s="79"/>
      <c r="H216" s="79"/>
      <c r="I216" s="79"/>
      <c r="J216" s="78"/>
      <c r="K216" s="79"/>
      <c r="L216" s="79"/>
      <c r="M216" s="79"/>
      <c r="N216" s="77"/>
      <c r="O216" s="79"/>
      <c r="P216" s="81"/>
      <c r="Q216" s="81"/>
      <c r="R216" s="79"/>
      <c r="S216" s="79"/>
      <c r="T216" s="79"/>
      <c r="U216" s="79"/>
      <c r="V216" s="79"/>
    </row>
    <row r="217" spans="1:22" ht="12.5" x14ac:dyDescent="0.25">
      <c r="A217" s="79"/>
      <c r="B217" s="79"/>
      <c r="C217" s="79"/>
      <c r="D217" s="79"/>
      <c r="E217" s="79"/>
      <c r="F217" s="77"/>
      <c r="G217" s="79"/>
      <c r="H217" s="79"/>
      <c r="I217" s="79"/>
      <c r="J217" s="78"/>
      <c r="K217" s="79"/>
      <c r="L217" s="79"/>
      <c r="M217" s="79"/>
      <c r="N217" s="77"/>
      <c r="O217" s="79"/>
      <c r="P217" s="81"/>
      <c r="Q217" s="81"/>
      <c r="R217" s="79"/>
      <c r="S217" s="79"/>
      <c r="T217" s="79"/>
      <c r="U217" s="79"/>
      <c r="V217" s="79"/>
    </row>
    <row r="218" spans="1:22" ht="12.5" x14ac:dyDescent="0.25">
      <c r="A218" s="79"/>
      <c r="B218" s="79"/>
      <c r="C218" s="79"/>
      <c r="D218" s="79"/>
      <c r="E218" s="79"/>
      <c r="F218" s="77"/>
      <c r="G218" s="79"/>
      <c r="H218" s="79"/>
      <c r="I218" s="79"/>
      <c r="J218" s="78"/>
      <c r="K218" s="79"/>
      <c r="L218" s="79"/>
      <c r="M218" s="79"/>
      <c r="N218" s="77"/>
      <c r="O218" s="79"/>
      <c r="P218" s="81"/>
      <c r="Q218" s="81"/>
      <c r="R218" s="79"/>
      <c r="S218" s="79"/>
      <c r="T218" s="79"/>
      <c r="U218" s="79"/>
      <c r="V218" s="79"/>
    </row>
    <row r="219" spans="1:22" ht="12.5" x14ac:dyDescent="0.25">
      <c r="A219" s="79"/>
      <c r="B219" s="79"/>
      <c r="C219" s="79"/>
      <c r="D219" s="79"/>
      <c r="E219" s="79"/>
      <c r="F219" s="77"/>
      <c r="G219" s="79"/>
      <c r="H219" s="79"/>
      <c r="I219" s="79"/>
      <c r="J219" s="78"/>
      <c r="K219" s="79"/>
      <c r="L219" s="79"/>
      <c r="M219" s="79"/>
      <c r="N219" s="77"/>
      <c r="O219" s="79"/>
      <c r="P219" s="81"/>
      <c r="Q219" s="81"/>
      <c r="R219" s="79"/>
      <c r="S219" s="79"/>
      <c r="T219" s="79"/>
      <c r="U219" s="79"/>
      <c r="V219" s="79"/>
    </row>
    <row r="220" spans="1:22" ht="12.5" x14ac:dyDescent="0.25">
      <c r="A220" s="79"/>
      <c r="B220" s="79"/>
      <c r="C220" s="79"/>
      <c r="D220" s="79"/>
      <c r="E220" s="79"/>
      <c r="F220" s="77"/>
      <c r="G220" s="79"/>
      <c r="H220" s="79"/>
      <c r="I220" s="79"/>
      <c r="J220" s="78"/>
      <c r="K220" s="79"/>
      <c r="L220" s="79"/>
      <c r="M220" s="79"/>
      <c r="N220" s="77"/>
      <c r="O220" s="79"/>
      <c r="P220" s="81"/>
      <c r="Q220" s="81"/>
      <c r="R220" s="79"/>
      <c r="S220" s="79"/>
      <c r="T220" s="79"/>
      <c r="U220" s="79"/>
      <c r="V220" s="79"/>
    </row>
    <row r="221" spans="1:22" ht="12.5" x14ac:dyDescent="0.25">
      <c r="A221" s="79"/>
      <c r="B221" s="79"/>
      <c r="C221" s="79"/>
      <c r="D221" s="79"/>
      <c r="E221" s="79"/>
      <c r="F221" s="77"/>
      <c r="G221" s="79"/>
      <c r="H221" s="79"/>
      <c r="I221" s="79"/>
      <c r="J221" s="78"/>
      <c r="K221" s="79"/>
      <c r="L221" s="79"/>
      <c r="M221" s="79"/>
      <c r="N221" s="77"/>
      <c r="O221" s="79"/>
      <c r="P221" s="81"/>
      <c r="Q221" s="81"/>
      <c r="R221" s="79"/>
      <c r="S221" s="79"/>
      <c r="T221" s="79"/>
      <c r="U221" s="79"/>
      <c r="V221" s="79"/>
    </row>
    <row r="222" spans="1:22" ht="12.5" x14ac:dyDescent="0.25">
      <c r="A222" s="79"/>
      <c r="B222" s="79"/>
      <c r="C222" s="79"/>
      <c r="D222" s="79"/>
      <c r="E222" s="79"/>
      <c r="F222" s="77"/>
      <c r="G222" s="79"/>
      <c r="H222" s="79"/>
      <c r="I222" s="79"/>
      <c r="J222" s="78"/>
      <c r="K222" s="79"/>
      <c r="L222" s="79"/>
      <c r="M222" s="79"/>
      <c r="N222" s="77"/>
      <c r="O222" s="79"/>
      <c r="P222" s="81"/>
      <c r="Q222" s="81"/>
      <c r="R222" s="79"/>
      <c r="S222" s="79"/>
      <c r="T222" s="79"/>
      <c r="U222" s="79"/>
      <c r="V222" s="79"/>
    </row>
    <row r="223" spans="1:22" ht="12.5" x14ac:dyDescent="0.25">
      <c r="A223" s="79"/>
      <c r="B223" s="79"/>
      <c r="C223" s="79"/>
      <c r="D223" s="79"/>
      <c r="E223" s="79"/>
      <c r="F223" s="77"/>
      <c r="G223" s="79"/>
      <c r="H223" s="79"/>
      <c r="I223" s="79"/>
      <c r="J223" s="78"/>
      <c r="K223" s="79"/>
      <c r="L223" s="79"/>
      <c r="M223" s="79"/>
      <c r="N223" s="77"/>
      <c r="O223" s="79"/>
      <c r="P223" s="81"/>
      <c r="Q223" s="81"/>
      <c r="R223" s="79"/>
      <c r="S223" s="79"/>
      <c r="T223" s="79"/>
      <c r="U223" s="79"/>
      <c r="V223" s="79"/>
    </row>
    <row r="224" spans="1:22" ht="12.5" x14ac:dyDescent="0.25">
      <c r="A224" s="79"/>
      <c r="B224" s="79"/>
      <c r="C224" s="79"/>
      <c r="D224" s="79"/>
      <c r="E224" s="79"/>
      <c r="F224" s="77"/>
      <c r="G224" s="79"/>
      <c r="H224" s="79"/>
      <c r="I224" s="79"/>
      <c r="J224" s="78"/>
      <c r="K224" s="79"/>
      <c r="L224" s="79"/>
      <c r="M224" s="79"/>
      <c r="N224" s="77"/>
      <c r="O224" s="79"/>
      <c r="P224" s="81"/>
      <c r="Q224" s="81"/>
      <c r="R224" s="79"/>
      <c r="S224" s="79"/>
      <c r="T224" s="79"/>
      <c r="U224" s="79"/>
      <c r="V224" s="79"/>
    </row>
    <row r="225" spans="1:22" ht="12.5" x14ac:dyDescent="0.25">
      <c r="A225" s="79"/>
      <c r="B225" s="79"/>
      <c r="C225" s="79"/>
      <c r="D225" s="79"/>
      <c r="E225" s="79"/>
      <c r="F225" s="77"/>
      <c r="G225" s="79"/>
      <c r="H225" s="79"/>
      <c r="I225" s="79"/>
      <c r="J225" s="78"/>
      <c r="K225" s="79"/>
      <c r="L225" s="79"/>
      <c r="M225" s="79"/>
      <c r="N225" s="77"/>
      <c r="O225" s="79"/>
      <c r="P225" s="81"/>
      <c r="Q225" s="81"/>
      <c r="R225" s="79"/>
      <c r="S225" s="79"/>
      <c r="T225" s="79"/>
      <c r="U225" s="79"/>
      <c r="V225" s="79"/>
    </row>
    <row r="226" spans="1:22" ht="12.5" x14ac:dyDescent="0.25">
      <c r="A226" s="79"/>
      <c r="B226" s="79"/>
      <c r="C226" s="79"/>
      <c r="D226" s="79"/>
      <c r="E226" s="79"/>
      <c r="F226" s="77"/>
      <c r="G226" s="79"/>
      <c r="H226" s="79"/>
      <c r="I226" s="79"/>
      <c r="J226" s="78"/>
      <c r="K226" s="79"/>
      <c r="L226" s="79"/>
      <c r="M226" s="79"/>
      <c r="N226" s="77"/>
      <c r="O226" s="79"/>
      <c r="P226" s="81"/>
      <c r="Q226" s="81"/>
      <c r="R226" s="79"/>
      <c r="S226" s="79"/>
      <c r="T226" s="79"/>
      <c r="U226" s="79"/>
      <c r="V226" s="79"/>
    </row>
    <row r="227" spans="1:22" ht="12.5" x14ac:dyDescent="0.25">
      <c r="A227" s="79"/>
      <c r="B227" s="79"/>
      <c r="C227" s="79"/>
      <c r="D227" s="79"/>
      <c r="E227" s="79"/>
      <c r="F227" s="77"/>
      <c r="G227" s="79"/>
      <c r="H227" s="79"/>
      <c r="I227" s="79"/>
      <c r="J227" s="78"/>
      <c r="K227" s="79"/>
      <c r="L227" s="79"/>
      <c r="M227" s="79"/>
      <c r="N227" s="77"/>
      <c r="O227" s="79"/>
      <c r="P227" s="81"/>
      <c r="Q227" s="81"/>
      <c r="R227" s="79"/>
      <c r="S227" s="79"/>
      <c r="T227" s="79"/>
      <c r="U227" s="79"/>
      <c r="V227" s="79"/>
    </row>
    <row r="228" spans="1:22" ht="12.5" x14ac:dyDescent="0.25">
      <c r="A228" s="79"/>
      <c r="B228" s="79"/>
      <c r="C228" s="79"/>
      <c r="D228" s="79"/>
      <c r="E228" s="79"/>
      <c r="F228" s="77"/>
      <c r="G228" s="79"/>
      <c r="H228" s="79"/>
      <c r="I228" s="79"/>
      <c r="J228" s="78"/>
      <c r="K228" s="79"/>
      <c r="L228" s="79"/>
      <c r="M228" s="79"/>
      <c r="N228" s="77"/>
      <c r="O228" s="79"/>
      <c r="P228" s="81"/>
      <c r="Q228" s="81"/>
      <c r="R228" s="79"/>
      <c r="S228" s="79"/>
      <c r="T228" s="79"/>
      <c r="U228" s="79"/>
      <c r="V228" s="79"/>
    </row>
    <row r="229" spans="1:22" ht="12.5" x14ac:dyDescent="0.25">
      <c r="A229" s="79"/>
      <c r="B229" s="79"/>
      <c r="C229" s="79"/>
      <c r="D229" s="79"/>
      <c r="E229" s="79"/>
      <c r="F229" s="77"/>
      <c r="G229" s="79"/>
      <c r="H229" s="79"/>
      <c r="I229" s="79"/>
      <c r="J229" s="78"/>
      <c r="K229" s="79"/>
      <c r="L229" s="79"/>
      <c r="M229" s="79"/>
      <c r="N229" s="77"/>
      <c r="O229" s="79"/>
      <c r="P229" s="81"/>
      <c r="Q229" s="81"/>
      <c r="R229" s="79"/>
      <c r="S229" s="79"/>
      <c r="T229" s="79"/>
      <c r="U229" s="79"/>
      <c r="V229" s="79"/>
    </row>
    <row r="230" spans="1:22" ht="12.5" x14ac:dyDescent="0.25">
      <c r="A230" s="79"/>
      <c r="B230" s="79"/>
      <c r="C230" s="79"/>
      <c r="D230" s="79"/>
      <c r="E230" s="79"/>
      <c r="F230" s="77"/>
      <c r="G230" s="79"/>
      <c r="H230" s="79"/>
      <c r="I230" s="79"/>
      <c r="J230" s="78"/>
      <c r="K230" s="79"/>
      <c r="L230" s="79"/>
      <c r="M230" s="79"/>
      <c r="N230" s="77"/>
      <c r="O230" s="79"/>
      <c r="P230" s="81"/>
      <c r="Q230" s="81"/>
      <c r="R230" s="79"/>
      <c r="S230" s="79"/>
      <c r="T230" s="79"/>
      <c r="U230" s="79"/>
      <c r="V230" s="79"/>
    </row>
    <row r="231" spans="1:22" ht="12.5" x14ac:dyDescent="0.25">
      <c r="A231" s="79"/>
      <c r="B231" s="79"/>
      <c r="C231" s="79"/>
      <c r="D231" s="79"/>
      <c r="E231" s="79"/>
      <c r="F231" s="77"/>
      <c r="G231" s="79"/>
      <c r="H231" s="79"/>
      <c r="I231" s="79"/>
      <c r="J231" s="78"/>
      <c r="K231" s="79"/>
      <c r="L231" s="79"/>
      <c r="M231" s="79"/>
      <c r="N231" s="77"/>
      <c r="O231" s="79"/>
      <c r="P231" s="81"/>
      <c r="Q231" s="81"/>
      <c r="R231" s="79"/>
      <c r="S231" s="79"/>
      <c r="T231" s="79"/>
      <c r="U231" s="79"/>
      <c r="V231" s="79"/>
    </row>
    <row r="232" spans="1:22" ht="12.5" x14ac:dyDescent="0.25">
      <c r="A232" s="79"/>
      <c r="B232" s="79"/>
      <c r="C232" s="79"/>
      <c r="D232" s="79"/>
      <c r="E232" s="79"/>
      <c r="F232" s="77"/>
      <c r="G232" s="79"/>
      <c r="H232" s="79"/>
      <c r="I232" s="79"/>
      <c r="J232" s="78"/>
      <c r="K232" s="79"/>
      <c r="L232" s="79"/>
      <c r="M232" s="79"/>
      <c r="N232" s="77"/>
      <c r="O232" s="79"/>
      <c r="P232" s="81"/>
      <c r="Q232" s="81"/>
      <c r="R232" s="79"/>
      <c r="S232" s="79"/>
      <c r="T232" s="79"/>
      <c r="U232" s="79"/>
      <c r="V232" s="79"/>
    </row>
    <row r="233" spans="1:22" ht="12.5" x14ac:dyDescent="0.25">
      <c r="A233" s="79"/>
      <c r="B233" s="79"/>
      <c r="C233" s="79"/>
      <c r="D233" s="79"/>
      <c r="E233" s="79"/>
      <c r="F233" s="77"/>
      <c r="G233" s="79"/>
      <c r="H233" s="79"/>
      <c r="I233" s="79"/>
      <c r="J233" s="78"/>
      <c r="K233" s="79"/>
      <c r="L233" s="79"/>
      <c r="M233" s="79"/>
      <c r="N233" s="77"/>
      <c r="O233" s="79"/>
      <c r="P233" s="81"/>
      <c r="Q233" s="81"/>
      <c r="R233" s="79"/>
      <c r="S233" s="79"/>
      <c r="T233" s="79"/>
      <c r="U233" s="79"/>
      <c r="V233" s="79"/>
    </row>
    <row r="234" spans="1:22" ht="12.5" x14ac:dyDescent="0.25">
      <c r="A234" s="79"/>
      <c r="B234" s="79"/>
      <c r="C234" s="79"/>
      <c r="D234" s="79"/>
      <c r="E234" s="79"/>
      <c r="F234" s="77"/>
      <c r="G234" s="79"/>
      <c r="H234" s="79"/>
      <c r="I234" s="79"/>
      <c r="J234" s="78"/>
      <c r="K234" s="79"/>
      <c r="L234" s="79"/>
      <c r="M234" s="79"/>
      <c r="N234" s="77"/>
      <c r="O234" s="79"/>
      <c r="P234" s="81"/>
      <c r="Q234" s="81"/>
      <c r="R234" s="79"/>
      <c r="S234" s="79"/>
      <c r="T234" s="79"/>
      <c r="U234" s="79"/>
      <c r="V234" s="79"/>
    </row>
    <row r="235" spans="1:22" ht="12.5" x14ac:dyDescent="0.25">
      <c r="A235" s="79"/>
      <c r="B235" s="79"/>
      <c r="C235" s="79"/>
      <c r="D235" s="79"/>
      <c r="E235" s="79"/>
      <c r="F235" s="77"/>
      <c r="G235" s="79"/>
      <c r="H235" s="79"/>
      <c r="I235" s="79"/>
      <c r="J235" s="78"/>
      <c r="K235" s="79"/>
      <c r="L235" s="79"/>
      <c r="M235" s="79"/>
      <c r="N235" s="77"/>
      <c r="O235" s="79"/>
      <c r="P235" s="81"/>
      <c r="Q235" s="81"/>
      <c r="R235" s="79"/>
      <c r="S235" s="79"/>
      <c r="T235" s="79"/>
      <c r="U235" s="79"/>
      <c r="V235" s="79"/>
    </row>
    <row r="236" spans="1:22" ht="12.5" x14ac:dyDescent="0.25">
      <c r="A236" s="79"/>
      <c r="B236" s="79"/>
      <c r="C236" s="79"/>
      <c r="D236" s="79"/>
      <c r="E236" s="79"/>
      <c r="F236" s="77"/>
      <c r="G236" s="79"/>
      <c r="H236" s="79"/>
      <c r="I236" s="79"/>
      <c r="J236" s="78"/>
      <c r="K236" s="79"/>
      <c r="L236" s="79"/>
      <c r="M236" s="79"/>
      <c r="N236" s="77"/>
      <c r="O236" s="79"/>
      <c r="P236" s="81"/>
      <c r="Q236" s="81"/>
      <c r="R236" s="79"/>
      <c r="S236" s="79"/>
      <c r="T236" s="79"/>
      <c r="U236" s="79"/>
      <c r="V236" s="79"/>
    </row>
    <row r="237" spans="1:22" ht="12.5" x14ac:dyDescent="0.25">
      <c r="A237" s="79"/>
      <c r="B237" s="79"/>
      <c r="C237" s="79"/>
      <c r="D237" s="79"/>
      <c r="E237" s="79"/>
      <c r="F237" s="77"/>
      <c r="G237" s="79"/>
      <c r="H237" s="79"/>
      <c r="I237" s="79"/>
      <c r="J237" s="78"/>
      <c r="K237" s="79"/>
      <c r="L237" s="79"/>
      <c r="M237" s="79"/>
      <c r="N237" s="77"/>
      <c r="O237" s="79"/>
      <c r="P237" s="81"/>
      <c r="Q237" s="81"/>
      <c r="R237" s="79"/>
      <c r="S237" s="79"/>
      <c r="T237" s="79"/>
      <c r="U237" s="79"/>
      <c r="V237" s="79"/>
    </row>
    <row r="238" spans="1:22" ht="12.5" x14ac:dyDescent="0.25">
      <c r="A238" s="79"/>
      <c r="B238" s="79"/>
      <c r="C238" s="79"/>
      <c r="D238" s="79"/>
      <c r="E238" s="79"/>
      <c r="F238" s="77"/>
      <c r="G238" s="79"/>
      <c r="H238" s="79"/>
      <c r="I238" s="79"/>
      <c r="J238" s="78"/>
      <c r="K238" s="79"/>
      <c r="L238" s="79"/>
      <c r="M238" s="79"/>
      <c r="N238" s="77"/>
      <c r="O238" s="79"/>
      <c r="P238" s="81"/>
      <c r="Q238" s="81"/>
      <c r="R238" s="79"/>
      <c r="S238" s="79"/>
      <c r="T238" s="79"/>
      <c r="U238" s="79"/>
      <c r="V238" s="79"/>
    </row>
    <row r="239" spans="1:22" ht="12.5" x14ac:dyDescent="0.25">
      <c r="A239" s="79"/>
      <c r="B239" s="79"/>
      <c r="C239" s="79"/>
      <c r="D239" s="79"/>
      <c r="E239" s="79"/>
      <c r="F239" s="77"/>
      <c r="G239" s="79"/>
      <c r="H239" s="79"/>
      <c r="I239" s="79"/>
      <c r="J239" s="78"/>
      <c r="K239" s="79"/>
      <c r="L239" s="79"/>
      <c r="M239" s="79"/>
      <c r="N239" s="77"/>
      <c r="O239" s="79"/>
      <c r="P239" s="81"/>
      <c r="Q239" s="81"/>
      <c r="R239" s="79"/>
      <c r="S239" s="79"/>
      <c r="T239" s="79"/>
      <c r="U239" s="79"/>
      <c r="V239" s="79"/>
    </row>
    <row r="240" spans="1:22" ht="12.5" x14ac:dyDescent="0.25">
      <c r="A240" s="79"/>
      <c r="B240" s="79"/>
      <c r="C240" s="79"/>
      <c r="D240" s="79"/>
      <c r="E240" s="79"/>
      <c r="F240" s="77"/>
      <c r="G240" s="79"/>
      <c r="H240" s="79"/>
      <c r="I240" s="79"/>
      <c r="J240" s="78"/>
      <c r="K240" s="79"/>
      <c r="L240" s="79"/>
      <c r="M240" s="79"/>
      <c r="N240" s="77"/>
      <c r="O240" s="79"/>
      <c r="P240" s="81"/>
      <c r="Q240" s="81"/>
      <c r="R240" s="79"/>
      <c r="S240" s="79"/>
      <c r="T240" s="79"/>
      <c r="U240" s="79"/>
      <c r="V240" s="79"/>
    </row>
    <row r="241" spans="1:22" ht="12.5" x14ac:dyDescent="0.25">
      <c r="A241" s="79"/>
      <c r="B241" s="79"/>
      <c r="C241" s="79"/>
      <c r="D241" s="79"/>
      <c r="E241" s="79"/>
      <c r="F241" s="77"/>
      <c r="G241" s="79"/>
      <c r="H241" s="79"/>
      <c r="I241" s="79"/>
      <c r="J241" s="78"/>
      <c r="K241" s="79"/>
      <c r="L241" s="79"/>
      <c r="M241" s="79"/>
      <c r="N241" s="77"/>
      <c r="O241" s="79"/>
      <c r="P241" s="81"/>
      <c r="Q241" s="81"/>
      <c r="R241" s="79"/>
      <c r="S241" s="79"/>
      <c r="T241" s="79"/>
      <c r="U241" s="79"/>
      <c r="V241" s="79"/>
    </row>
    <row r="242" spans="1:22" ht="12.5" x14ac:dyDescent="0.25">
      <c r="A242" s="79"/>
      <c r="B242" s="79"/>
      <c r="C242" s="79"/>
      <c r="D242" s="79"/>
      <c r="E242" s="79"/>
      <c r="F242" s="77"/>
      <c r="G242" s="79"/>
      <c r="H242" s="79"/>
      <c r="I242" s="79"/>
      <c r="J242" s="78"/>
      <c r="K242" s="79"/>
      <c r="L242" s="79"/>
      <c r="M242" s="79"/>
      <c r="N242" s="77"/>
      <c r="O242" s="79"/>
      <c r="P242" s="81"/>
      <c r="Q242" s="81"/>
      <c r="R242" s="79"/>
      <c r="S242" s="79"/>
      <c r="T242" s="79"/>
      <c r="U242" s="79"/>
      <c r="V242" s="79"/>
    </row>
    <row r="243" spans="1:22" ht="12.5" x14ac:dyDescent="0.25">
      <c r="A243" s="79"/>
      <c r="B243" s="79"/>
      <c r="C243" s="79"/>
      <c r="D243" s="79"/>
      <c r="E243" s="79"/>
      <c r="F243" s="77"/>
      <c r="G243" s="79"/>
      <c r="H243" s="79"/>
      <c r="I243" s="79"/>
      <c r="J243" s="78"/>
      <c r="K243" s="79"/>
      <c r="L243" s="79"/>
      <c r="M243" s="79"/>
      <c r="N243" s="77"/>
      <c r="O243" s="79"/>
      <c r="P243" s="81"/>
      <c r="Q243" s="81"/>
      <c r="R243" s="79"/>
      <c r="S243" s="79"/>
      <c r="T243" s="79"/>
      <c r="U243" s="79"/>
      <c r="V243" s="79"/>
    </row>
    <row r="244" spans="1:22" ht="12.5" x14ac:dyDescent="0.25">
      <c r="A244" s="79"/>
      <c r="B244" s="79"/>
      <c r="C244" s="79"/>
      <c r="D244" s="79"/>
      <c r="E244" s="79"/>
      <c r="F244" s="77"/>
      <c r="G244" s="79"/>
      <c r="H244" s="79"/>
      <c r="I244" s="79"/>
      <c r="J244" s="78"/>
      <c r="K244" s="79"/>
      <c r="L244" s="79"/>
      <c r="M244" s="79"/>
      <c r="N244" s="77"/>
      <c r="O244" s="79"/>
      <c r="P244" s="81"/>
      <c r="Q244" s="81"/>
      <c r="R244" s="79"/>
      <c r="S244" s="79"/>
      <c r="T244" s="79"/>
      <c r="U244" s="79"/>
      <c r="V244" s="79"/>
    </row>
    <row r="245" spans="1:22" ht="12.5" x14ac:dyDescent="0.25">
      <c r="A245" s="79"/>
      <c r="B245" s="79"/>
      <c r="C245" s="79"/>
      <c r="D245" s="79"/>
      <c r="E245" s="79"/>
      <c r="F245" s="77"/>
      <c r="G245" s="79"/>
      <c r="H245" s="79"/>
      <c r="I245" s="79"/>
      <c r="J245" s="78"/>
      <c r="K245" s="79"/>
      <c r="L245" s="79"/>
      <c r="M245" s="79"/>
      <c r="N245" s="77"/>
      <c r="O245" s="79"/>
      <c r="P245" s="81"/>
      <c r="Q245" s="81"/>
      <c r="R245" s="79"/>
      <c r="S245" s="79"/>
      <c r="T245" s="79"/>
      <c r="U245" s="79"/>
      <c r="V245" s="79"/>
    </row>
    <row r="246" spans="1:22" ht="12.5" x14ac:dyDescent="0.25">
      <c r="A246" s="79"/>
      <c r="B246" s="79"/>
      <c r="C246" s="79"/>
      <c r="D246" s="79"/>
      <c r="E246" s="79"/>
      <c r="F246" s="77"/>
      <c r="G246" s="79"/>
      <c r="H246" s="79"/>
      <c r="I246" s="79"/>
      <c r="J246" s="78"/>
      <c r="K246" s="79"/>
      <c r="L246" s="79"/>
      <c r="M246" s="79"/>
      <c r="N246" s="77"/>
      <c r="O246" s="79"/>
      <c r="P246" s="81"/>
      <c r="Q246" s="81"/>
      <c r="R246" s="79"/>
      <c r="S246" s="79"/>
      <c r="T246" s="79"/>
      <c r="U246" s="79"/>
      <c r="V246" s="79"/>
    </row>
    <row r="247" spans="1:22" ht="12.5" x14ac:dyDescent="0.25">
      <c r="A247" s="79"/>
      <c r="B247" s="79"/>
      <c r="C247" s="79"/>
      <c r="D247" s="79"/>
      <c r="E247" s="79"/>
      <c r="F247" s="77"/>
      <c r="G247" s="79"/>
      <c r="H247" s="79"/>
      <c r="I247" s="79"/>
      <c r="J247" s="78"/>
      <c r="K247" s="79"/>
      <c r="L247" s="79"/>
      <c r="M247" s="79"/>
      <c r="N247" s="77"/>
      <c r="O247" s="79"/>
      <c r="P247" s="81"/>
      <c r="Q247" s="81"/>
      <c r="R247" s="79"/>
      <c r="S247" s="79"/>
      <c r="T247" s="79"/>
      <c r="U247" s="79"/>
      <c r="V247" s="79"/>
    </row>
    <row r="248" spans="1:22" ht="12.5" x14ac:dyDescent="0.25">
      <c r="A248" s="79"/>
      <c r="B248" s="79"/>
      <c r="C248" s="79"/>
      <c r="D248" s="79"/>
      <c r="E248" s="79"/>
      <c r="F248" s="77"/>
      <c r="G248" s="79"/>
      <c r="H248" s="79"/>
      <c r="I248" s="79"/>
      <c r="J248" s="78"/>
      <c r="K248" s="79"/>
      <c r="L248" s="79"/>
      <c r="M248" s="79"/>
      <c r="N248" s="77"/>
      <c r="O248" s="79"/>
      <c r="P248" s="81"/>
      <c r="Q248" s="81"/>
      <c r="R248" s="79"/>
      <c r="S248" s="79"/>
      <c r="T248" s="79"/>
      <c r="U248" s="79"/>
      <c r="V248" s="79"/>
    </row>
    <row r="249" spans="1:22" ht="12.5" x14ac:dyDescent="0.25">
      <c r="A249" s="79"/>
      <c r="B249" s="79"/>
      <c r="C249" s="79"/>
      <c r="D249" s="79"/>
      <c r="E249" s="79"/>
      <c r="F249" s="77"/>
      <c r="G249" s="79"/>
      <c r="H249" s="79"/>
      <c r="I249" s="79"/>
      <c r="J249" s="78"/>
      <c r="K249" s="79"/>
      <c r="L249" s="79"/>
      <c r="M249" s="79"/>
      <c r="N249" s="77"/>
      <c r="O249" s="79"/>
      <c r="P249" s="81"/>
      <c r="Q249" s="81"/>
      <c r="R249" s="79"/>
      <c r="S249" s="79"/>
      <c r="T249" s="79"/>
      <c r="U249" s="79"/>
      <c r="V249" s="79"/>
    </row>
    <row r="250" spans="1:22" ht="12.5" x14ac:dyDescent="0.25">
      <c r="A250" s="79"/>
      <c r="B250" s="79"/>
      <c r="C250" s="79"/>
      <c r="D250" s="79"/>
      <c r="E250" s="79"/>
      <c r="F250" s="77"/>
      <c r="G250" s="79"/>
      <c r="H250" s="79"/>
      <c r="I250" s="79"/>
      <c r="J250" s="78"/>
      <c r="K250" s="79"/>
      <c r="L250" s="79"/>
      <c r="M250" s="79"/>
      <c r="N250" s="77"/>
      <c r="O250" s="79"/>
      <c r="P250" s="81"/>
      <c r="Q250" s="81"/>
      <c r="R250" s="79"/>
      <c r="S250" s="79"/>
      <c r="T250" s="79"/>
      <c r="U250" s="79"/>
      <c r="V250" s="79"/>
    </row>
    <row r="251" spans="1:22" ht="12.5" x14ac:dyDescent="0.25">
      <c r="A251" s="79"/>
      <c r="B251" s="79"/>
      <c r="C251" s="79"/>
      <c r="D251" s="79"/>
      <c r="E251" s="79"/>
      <c r="F251" s="77"/>
      <c r="G251" s="79"/>
      <c r="H251" s="79"/>
      <c r="I251" s="79"/>
      <c r="J251" s="78"/>
      <c r="K251" s="79"/>
      <c r="L251" s="79"/>
      <c r="M251" s="79"/>
      <c r="N251" s="77"/>
      <c r="O251" s="79"/>
      <c r="P251" s="81"/>
      <c r="Q251" s="81"/>
      <c r="R251" s="79"/>
      <c r="S251" s="79"/>
      <c r="T251" s="79"/>
      <c r="U251" s="79"/>
      <c r="V251" s="79"/>
    </row>
    <row r="252" spans="1:22" ht="12.5" x14ac:dyDescent="0.25">
      <c r="A252" s="79"/>
      <c r="B252" s="79"/>
      <c r="C252" s="79"/>
      <c r="D252" s="79"/>
      <c r="E252" s="79"/>
      <c r="F252" s="77"/>
      <c r="G252" s="79"/>
      <c r="H252" s="79"/>
      <c r="I252" s="79"/>
      <c r="J252" s="78"/>
      <c r="K252" s="79"/>
      <c r="L252" s="79"/>
      <c r="M252" s="79"/>
      <c r="N252" s="77"/>
      <c r="O252" s="79"/>
      <c r="P252" s="81"/>
      <c r="Q252" s="81"/>
      <c r="R252" s="79"/>
      <c r="S252" s="79"/>
      <c r="T252" s="79"/>
      <c r="U252" s="79"/>
      <c r="V252" s="79"/>
    </row>
    <row r="253" spans="1:22" ht="12.5" x14ac:dyDescent="0.25">
      <c r="A253" s="79"/>
      <c r="B253" s="79"/>
      <c r="C253" s="79"/>
      <c r="D253" s="79"/>
      <c r="E253" s="79"/>
      <c r="F253" s="77"/>
      <c r="G253" s="79"/>
      <c r="H253" s="79"/>
      <c r="I253" s="79"/>
      <c r="J253" s="78"/>
      <c r="K253" s="79"/>
      <c r="L253" s="79"/>
      <c r="M253" s="79"/>
      <c r="N253" s="77"/>
      <c r="O253" s="79"/>
      <c r="P253" s="81"/>
      <c r="Q253" s="81"/>
      <c r="R253" s="79"/>
      <c r="S253" s="79"/>
      <c r="T253" s="79"/>
      <c r="U253" s="79"/>
      <c r="V253" s="79"/>
    </row>
    <row r="254" spans="1:22" ht="12.5" x14ac:dyDescent="0.25">
      <c r="A254" s="79"/>
      <c r="B254" s="79"/>
      <c r="C254" s="79"/>
      <c r="D254" s="79"/>
      <c r="E254" s="79"/>
      <c r="F254" s="77"/>
      <c r="G254" s="79"/>
      <c r="H254" s="79"/>
      <c r="I254" s="79"/>
      <c r="J254" s="78"/>
      <c r="K254" s="79"/>
      <c r="L254" s="79"/>
      <c r="M254" s="79"/>
      <c r="N254" s="77"/>
      <c r="O254" s="79"/>
      <c r="P254" s="81"/>
      <c r="Q254" s="81"/>
      <c r="R254" s="79"/>
      <c r="S254" s="79"/>
      <c r="T254" s="79"/>
      <c r="U254" s="79"/>
      <c r="V254" s="79"/>
    </row>
    <row r="255" spans="1:22" ht="12.5" x14ac:dyDescent="0.25">
      <c r="A255" s="79"/>
      <c r="B255" s="79"/>
      <c r="C255" s="79"/>
      <c r="D255" s="79"/>
      <c r="E255" s="79"/>
      <c r="F255" s="77"/>
      <c r="G255" s="79"/>
      <c r="H255" s="79"/>
      <c r="I255" s="79"/>
      <c r="J255" s="78"/>
      <c r="K255" s="79"/>
      <c r="L255" s="79"/>
      <c r="M255" s="79"/>
      <c r="N255" s="77"/>
      <c r="O255" s="79"/>
      <c r="P255" s="81"/>
      <c r="Q255" s="81"/>
      <c r="R255" s="79"/>
      <c r="S255" s="79"/>
      <c r="T255" s="79"/>
      <c r="U255" s="79"/>
      <c r="V255" s="79"/>
    </row>
    <row r="256" spans="1:22" ht="12.5" x14ac:dyDescent="0.25">
      <c r="A256" s="79"/>
      <c r="B256" s="79"/>
      <c r="C256" s="79"/>
      <c r="D256" s="79"/>
      <c r="E256" s="79"/>
      <c r="F256" s="77"/>
      <c r="G256" s="79"/>
      <c r="H256" s="79"/>
      <c r="I256" s="79"/>
      <c r="J256" s="78"/>
      <c r="K256" s="79"/>
      <c r="L256" s="79"/>
      <c r="M256" s="79"/>
      <c r="N256" s="77"/>
      <c r="O256" s="79"/>
      <c r="P256" s="81"/>
      <c r="Q256" s="81"/>
      <c r="R256" s="79"/>
      <c r="S256" s="79"/>
      <c r="T256" s="79"/>
      <c r="U256" s="79"/>
      <c r="V256" s="79"/>
    </row>
    <row r="257" spans="1:22" ht="12.5" x14ac:dyDescent="0.25">
      <c r="A257" s="79"/>
      <c r="B257" s="79"/>
      <c r="C257" s="79"/>
      <c r="D257" s="79"/>
      <c r="E257" s="79"/>
      <c r="F257" s="77"/>
      <c r="G257" s="79"/>
      <c r="H257" s="79"/>
      <c r="I257" s="79"/>
      <c r="J257" s="78"/>
      <c r="K257" s="79"/>
      <c r="L257" s="79"/>
      <c r="M257" s="79"/>
      <c r="N257" s="77"/>
      <c r="O257" s="79"/>
      <c r="P257" s="81"/>
      <c r="Q257" s="81"/>
      <c r="R257" s="79"/>
      <c r="S257" s="79"/>
      <c r="T257" s="79"/>
      <c r="U257" s="79"/>
      <c r="V257" s="79"/>
    </row>
    <row r="258" spans="1:22" ht="12.5" x14ac:dyDescent="0.25">
      <c r="A258" s="79"/>
      <c r="B258" s="79"/>
      <c r="C258" s="79"/>
      <c r="D258" s="79"/>
      <c r="E258" s="79"/>
      <c r="F258" s="77"/>
      <c r="G258" s="79"/>
      <c r="H258" s="79"/>
      <c r="I258" s="79"/>
      <c r="J258" s="78"/>
      <c r="K258" s="79"/>
      <c r="L258" s="79"/>
      <c r="M258" s="79"/>
      <c r="N258" s="77"/>
      <c r="O258" s="79"/>
      <c r="P258" s="81"/>
      <c r="Q258" s="81"/>
      <c r="R258" s="79"/>
      <c r="S258" s="79"/>
      <c r="T258" s="79"/>
      <c r="U258" s="79"/>
      <c r="V258" s="79"/>
    </row>
    <row r="259" spans="1:22" ht="12.5" x14ac:dyDescent="0.25">
      <c r="A259" s="79"/>
      <c r="B259" s="79"/>
      <c r="C259" s="79"/>
      <c r="D259" s="79"/>
      <c r="E259" s="79"/>
      <c r="F259" s="77"/>
      <c r="G259" s="79"/>
      <c r="H259" s="79"/>
      <c r="I259" s="79"/>
      <c r="J259" s="78"/>
      <c r="K259" s="79"/>
      <c r="L259" s="79"/>
      <c r="M259" s="79"/>
      <c r="N259" s="77"/>
      <c r="O259" s="79"/>
      <c r="P259" s="81"/>
      <c r="Q259" s="81"/>
      <c r="R259" s="79"/>
      <c r="S259" s="79"/>
      <c r="T259" s="79"/>
      <c r="U259" s="79"/>
      <c r="V259" s="79"/>
    </row>
    <row r="260" spans="1:22" ht="12.5" x14ac:dyDescent="0.25">
      <c r="A260" s="79"/>
      <c r="B260" s="79"/>
      <c r="C260" s="79"/>
      <c r="D260" s="79"/>
      <c r="E260" s="79"/>
      <c r="F260" s="77"/>
      <c r="G260" s="79"/>
      <c r="H260" s="79"/>
      <c r="I260" s="79"/>
      <c r="J260" s="78"/>
      <c r="K260" s="79"/>
      <c r="L260" s="79"/>
      <c r="M260" s="79"/>
      <c r="N260" s="77"/>
      <c r="O260" s="79"/>
      <c r="P260" s="81"/>
      <c r="Q260" s="81"/>
      <c r="R260" s="79"/>
      <c r="S260" s="79"/>
      <c r="T260" s="79"/>
      <c r="U260" s="79"/>
      <c r="V260" s="79"/>
    </row>
    <row r="261" spans="1:22" ht="12.5" x14ac:dyDescent="0.25">
      <c r="A261" s="79"/>
      <c r="B261" s="79"/>
      <c r="C261" s="79"/>
      <c r="D261" s="79"/>
      <c r="E261" s="79"/>
      <c r="F261" s="77"/>
      <c r="G261" s="79"/>
      <c r="H261" s="79"/>
      <c r="I261" s="79"/>
      <c r="J261" s="78"/>
      <c r="K261" s="79"/>
      <c r="L261" s="79"/>
      <c r="M261" s="79"/>
      <c r="N261" s="77"/>
      <c r="O261" s="79"/>
      <c r="P261" s="81"/>
      <c r="Q261" s="81"/>
      <c r="R261" s="79"/>
      <c r="S261" s="79"/>
      <c r="T261" s="79"/>
      <c r="U261" s="79"/>
      <c r="V261" s="79"/>
    </row>
    <row r="262" spans="1:22" ht="12.5" x14ac:dyDescent="0.25">
      <c r="A262" s="79"/>
      <c r="B262" s="79"/>
      <c r="C262" s="79"/>
      <c r="D262" s="79"/>
      <c r="E262" s="79"/>
      <c r="F262" s="77"/>
      <c r="G262" s="79"/>
      <c r="H262" s="79"/>
      <c r="I262" s="79"/>
      <c r="J262" s="78"/>
      <c r="K262" s="79"/>
      <c r="L262" s="79"/>
      <c r="M262" s="79"/>
      <c r="N262" s="77"/>
      <c r="O262" s="79"/>
      <c r="P262" s="81"/>
      <c r="Q262" s="81"/>
      <c r="R262" s="79"/>
      <c r="S262" s="79"/>
      <c r="T262" s="79"/>
      <c r="U262" s="79"/>
      <c r="V262" s="79"/>
    </row>
    <row r="263" spans="1:22" ht="12.5" x14ac:dyDescent="0.25">
      <c r="A263" s="79"/>
      <c r="B263" s="79"/>
      <c r="C263" s="79"/>
      <c r="D263" s="79"/>
      <c r="E263" s="79"/>
      <c r="F263" s="77"/>
      <c r="G263" s="79"/>
      <c r="H263" s="79"/>
      <c r="I263" s="79"/>
      <c r="J263" s="78"/>
      <c r="K263" s="79"/>
      <c r="L263" s="79"/>
      <c r="M263" s="79"/>
      <c r="N263" s="77"/>
      <c r="O263" s="79"/>
      <c r="P263" s="81"/>
      <c r="Q263" s="81"/>
      <c r="R263" s="79"/>
      <c r="S263" s="79"/>
      <c r="T263" s="79"/>
      <c r="U263" s="79"/>
      <c r="V263" s="79"/>
    </row>
    <row r="264" spans="1:22" ht="12.5" x14ac:dyDescent="0.25">
      <c r="A264" s="79"/>
      <c r="B264" s="79"/>
      <c r="C264" s="79"/>
      <c r="D264" s="79"/>
      <c r="E264" s="79"/>
      <c r="F264" s="77"/>
      <c r="G264" s="79"/>
      <c r="H264" s="79"/>
      <c r="I264" s="79"/>
      <c r="J264" s="78"/>
      <c r="K264" s="79"/>
      <c r="L264" s="79"/>
      <c r="M264" s="79"/>
      <c r="N264" s="77"/>
      <c r="O264" s="79"/>
      <c r="P264" s="81"/>
      <c r="Q264" s="81"/>
      <c r="R264" s="79"/>
      <c r="S264" s="79"/>
      <c r="T264" s="79"/>
      <c r="U264" s="79"/>
      <c r="V264" s="79"/>
    </row>
    <row r="265" spans="1:22" ht="12.5" x14ac:dyDescent="0.25">
      <c r="A265" s="79"/>
      <c r="B265" s="79"/>
      <c r="C265" s="79"/>
      <c r="D265" s="79"/>
      <c r="E265" s="79"/>
      <c r="F265" s="77"/>
      <c r="G265" s="79"/>
      <c r="H265" s="79"/>
      <c r="I265" s="79"/>
      <c r="J265" s="78"/>
      <c r="K265" s="79"/>
      <c r="L265" s="79"/>
      <c r="M265" s="79"/>
      <c r="N265" s="77"/>
      <c r="O265" s="79"/>
      <c r="P265" s="81"/>
      <c r="Q265" s="81"/>
      <c r="R265" s="79"/>
      <c r="S265" s="79"/>
      <c r="T265" s="79"/>
      <c r="U265" s="79"/>
      <c r="V265" s="79"/>
    </row>
    <row r="266" spans="1:22" ht="12.5" x14ac:dyDescent="0.25">
      <c r="A266" s="79"/>
      <c r="B266" s="79"/>
      <c r="C266" s="79"/>
      <c r="D266" s="79"/>
      <c r="E266" s="79"/>
      <c r="F266" s="77"/>
      <c r="G266" s="79"/>
      <c r="H266" s="79"/>
      <c r="I266" s="79"/>
      <c r="J266" s="78"/>
      <c r="K266" s="79"/>
      <c r="L266" s="79"/>
      <c r="M266" s="79"/>
      <c r="N266" s="77"/>
      <c r="O266" s="79"/>
      <c r="P266" s="81"/>
      <c r="Q266" s="81"/>
      <c r="R266" s="79"/>
      <c r="S266" s="79"/>
      <c r="T266" s="79"/>
      <c r="U266" s="79"/>
      <c r="V266" s="79"/>
    </row>
    <row r="267" spans="1:22" ht="12.5" x14ac:dyDescent="0.25">
      <c r="A267" s="79"/>
      <c r="B267" s="79"/>
      <c r="C267" s="79"/>
      <c r="D267" s="79"/>
      <c r="E267" s="79"/>
      <c r="F267" s="77"/>
      <c r="G267" s="79"/>
      <c r="H267" s="79"/>
      <c r="I267" s="79"/>
      <c r="J267" s="78"/>
      <c r="K267" s="79"/>
      <c r="L267" s="79"/>
      <c r="M267" s="79"/>
      <c r="N267" s="77"/>
      <c r="O267" s="79"/>
      <c r="P267" s="81"/>
      <c r="Q267" s="81"/>
      <c r="R267" s="79"/>
      <c r="S267" s="79"/>
      <c r="T267" s="79"/>
      <c r="U267" s="79"/>
      <c r="V267" s="79"/>
    </row>
    <row r="268" spans="1:22" ht="12.5" x14ac:dyDescent="0.25">
      <c r="A268" s="79"/>
      <c r="B268" s="79"/>
      <c r="C268" s="79"/>
      <c r="D268" s="79"/>
      <c r="E268" s="79"/>
      <c r="F268" s="77"/>
      <c r="G268" s="79"/>
      <c r="H268" s="79"/>
      <c r="I268" s="79"/>
      <c r="J268" s="78"/>
      <c r="K268" s="79"/>
      <c r="L268" s="79"/>
      <c r="M268" s="79"/>
      <c r="N268" s="77"/>
      <c r="O268" s="79"/>
      <c r="P268" s="81"/>
      <c r="Q268" s="81"/>
      <c r="R268" s="79"/>
      <c r="S268" s="79"/>
      <c r="T268" s="79"/>
      <c r="U268" s="79"/>
      <c r="V268" s="79"/>
    </row>
    <row r="269" spans="1:22" ht="12.5" x14ac:dyDescent="0.25">
      <c r="A269" s="79"/>
      <c r="B269" s="79"/>
      <c r="C269" s="79"/>
      <c r="D269" s="79"/>
      <c r="E269" s="79"/>
      <c r="F269" s="77"/>
      <c r="G269" s="79"/>
      <c r="H269" s="79"/>
      <c r="I269" s="79"/>
      <c r="J269" s="78"/>
      <c r="K269" s="79"/>
      <c r="L269" s="79"/>
      <c r="M269" s="79"/>
      <c r="N269" s="77"/>
      <c r="O269" s="79"/>
      <c r="P269" s="81"/>
      <c r="Q269" s="81"/>
      <c r="R269" s="79"/>
      <c r="S269" s="79"/>
      <c r="T269" s="79"/>
      <c r="U269" s="79"/>
      <c r="V269" s="79"/>
    </row>
    <row r="270" spans="1:22" ht="12.5" x14ac:dyDescent="0.25">
      <c r="A270" s="79"/>
      <c r="B270" s="79"/>
      <c r="C270" s="79"/>
      <c r="D270" s="79"/>
      <c r="E270" s="79"/>
      <c r="F270" s="77"/>
      <c r="G270" s="79"/>
      <c r="H270" s="79"/>
      <c r="I270" s="79"/>
      <c r="J270" s="78"/>
      <c r="K270" s="79"/>
      <c r="L270" s="79"/>
      <c r="M270" s="79"/>
      <c r="N270" s="77"/>
      <c r="O270" s="79"/>
      <c r="P270" s="81"/>
      <c r="Q270" s="81"/>
      <c r="R270" s="79"/>
      <c r="S270" s="79"/>
      <c r="T270" s="79"/>
      <c r="U270" s="79"/>
      <c r="V270" s="79"/>
    </row>
    <row r="271" spans="1:22" ht="12.5" x14ac:dyDescent="0.25">
      <c r="A271" s="79"/>
      <c r="B271" s="79"/>
      <c r="C271" s="79"/>
      <c r="D271" s="79"/>
      <c r="E271" s="79"/>
      <c r="F271" s="77"/>
      <c r="G271" s="79"/>
      <c r="H271" s="79"/>
      <c r="I271" s="79"/>
      <c r="J271" s="78"/>
      <c r="K271" s="79"/>
      <c r="L271" s="79"/>
      <c r="M271" s="79"/>
      <c r="N271" s="77"/>
      <c r="O271" s="79"/>
      <c r="P271" s="81"/>
      <c r="Q271" s="81"/>
      <c r="R271" s="79"/>
      <c r="S271" s="79"/>
      <c r="T271" s="79"/>
      <c r="U271" s="79"/>
      <c r="V271" s="79"/>
    </row>
    <row r="272" spans="1:22" ht="12.5" x14ac:dyDescent="0.25">
      <c r="A272" s="79"/>
      <c r="B272" s="79"/>
      <c r="C272" s="79"/>
      <c r="D272" s="79"/>
      <c r="E272" s="79"/>
      <c r="F272" s="77"/>
      <c r="G272" s="79"/>
      <c r="H272" s="79"/>
      <c r="I272" s="79"/>
      <c r="J272" s="78"/>
      <c r="K272" s="79"/>
      <c r="L272" s="79"/>
      <c r="M272" s="79"/>
      <c r="N272" s="77"/>
      <c r="O272" s="79"/>
      <c r="P272" s="81"/>
      <c r="Q272" s="81"/>
      <c r="R272" s="79"/>
      <c r="S272" s="79"/>
      <c r="T272" s="79"/>
      <c r="U272" s="79"/>
      <c r="V272" s="79"/>
    </row>
    <row r="273" spans="1:22" ht="12.5" x14ac:dyDescent="0.25">
      <c r="A273" s="79"/>
      <c r="B273" s="79"/>
      <c r="C273" s="79"/>
      <c r="D273" s="79"/>
      <c r="E273" s="79"/>
      <c r="F273" s="77"/>
      <c r="G273" s="79"/>
      <c r="H273" s="79"/>
      <c r="I273" s="79"/>
      <c r="J273" s="78"/>
      <c r="K273" s="79"/>
      <c r="L273" s="79"/>
      <c r="M273" s="79"/>
      <c r="N273" s="77"/>
      <c r="O273" s="79"/>
      <c r="P273" s="81"/>
      <c r="Q273" s="81"/>
      <c r="R273" s="79"/>
      <c r="S273" s="79"/>
      <c r="T273" s="79"/>
      <c r="U273" s="79"/>
      <c r="V273" s="79"/>
    </row>
    <row r="274" spans="1:22" ht="12.5" x14ac:dyDescent="0.25">
      <c r="A274" s="79"/>
      <c r="B274" s="79"/>
      <c r="C274" s="79"/>
      <c r="D274" s="79"/>
      <c r="E274" s="79"/>
      <c r="F274" s="77"/>
      <c r="G274" s="79"/>
      <c r="H274" s="79"/>
      <c r="I274" s="79"/>
      <c r="J274" s="78"/>
      <c r="K274" s="79"/>
      <c r="L274" s="79"/>
      <c r="M274" s="79"/>
      <c r="N274" s="77"/>
      <c r="O274" s="79"/>
      <c r="P274" s="81"/>
      <c r="Q274" s="81"/>
      <c r="R274" s="79"/>
      <c r="S274" s="79"/>
      <c r="T274" s="79"/>
      <c r="U274" s="79"/>
      <c r="V274" s="79"/>
    </row>
    <row r="275" spans="1:22" ht="12.5" x14ac:dyDescent="0.25">
      <c r="A275" s="79"/>
      <c r="B275" s="79"/>
      <c r="C275" s="79"/>
      <c r="D275" s="79"/>
      <c r="E275" s="79"/>
      <c r="F275" s="77"/>
      <c r="G275" s="79"/>
      <c r="H275" s="79"/>
      <c r="I275" s="79"/>
      <c r="J275" s="78"/>
      <c r="K275" s="79"/>
      <c r="L275" s="79"/>
      <c r="M275" s="79"/>
      <c r="N275" s="77"/>
      <c r="O275" s="79"/>
      <c r="P275" s="81"/>
      <c r="Q275" s="81"/>
      <c r="R275" s="79"/>
      <c r="S275" s="79"/>
      <c r="T275" s="79"/>
      <c r="U275" s="79"/>
      <c r="V275" s="79"/>
    </row>
    <row r="276" spans="1:22" ht="12.5" x14ac:dyDescent="0.25">
      <c r="A276" s="79"/>
      <c r="B276" s="79"/>
      <c r="C276" s="79"/>
      <c r="D276" s="79"/>
      <c r="E276" s="79"/>
      <c r="F276" s="77"/>
      <c r="G276" s="79"/>
      <c r="H276" s="79"/>
      <c r="I276" s="79"/>
      <c r="J276" s="78"/>
      <c r="K276" s="79"/>
      <c r="L276" s="79"/>
      <c r="M276" s="79"/>
      <c r="N276" s="77"/>
      <c r="O276" s="79"/>
      <c r="P276" s="81"/>
      <c r="Q276" s="81"/>
      <c r="R276" s="79"/>
      <c r="S276" s="79"/>
      <c r="T276" s="79"/>
      <c r="U276" s="79"/>
      <c r="V276" s="79"/>
    </row>
    <row r="277" spans="1:22" ht="12.5" x14ac:dyDescent="0.25">
      <c r="A277" s="79"/>
      <c r="B277" s="79"/>
      <c r="C277" s="79"/>
      <c r="D277" s="79"/>
      <c r="E277" s="79"/>
      <c r="F277" s="77"/>
      <c r="G277" s="79"/>
      <c r="H277" s="79"/>
      <c r="I277" s="79"/>
      <c r="J277" s="78"/>
      <c r="K277" s="79"/>
      <c r="L277" s="79"/>
      <c r="M277" s="79"/>
      <c r="N277" s="77"/>
      <c r="O277" s="79"/>
      <c r="P277" s="81"/>
      <c r="Q277" s="81"/>
      <c r="R277" s="79"/>
      <c r="S277" s="79"/>
      <c r="T277" s="79"/>
      <c r="U277" s="79"/>
      <c r="V277" s="79"/>
    </row>
    <row r="278" spans="1:22" ht="12.5" x14ac:dyDescent="0.25">
      <c r="A278" s="79"/>
      <c r="B278" s="79"/>
      <c r="C278" s="79"/>
      <c r="D278" s="79"/>
      <c r="E278" s="79"/>
      <c r="F278" s="77"/>
      <c r="G278" s="79"/>
      <c r="H278" s="79"/>
      <c r="I278" s="79"/>
      <c r="J278" s="78"/>
      <c r="K278" s="79"/>
      <c r="L278" s="79"/>
      <c r="M278" s="79"/>
      <c r="N278" s="77"/>
      <c r="O278" s="79"/>
      <c r="P278" s="81"/>
      <c r="Q278" s="81"/>
      <c r="R278" s="79"/>
      <c r="S278" s="79"/>
      <c r="T278" s="79"/>
      <c r="U278" s="79"/>
      <c r="V278" s="79"/>
    </row>
    <row r="279" spans="1:22" ht="12.5" x14ac:dyDescent="0.25">
      <c r="A279" s="79"/>
      <c r="B279" s="79"/>
      <c r="C279" s="79"/>
      <c r="D279" s="79"/>
      <c r="E279" s="79"/>
      <c r="F279" s="77"/>
      <c r="G279" s="79"/>
      <c r="H279" s="79"/>
      <c r="I279" s="79"/>
      <c r="J279" s="78"/>
      <c r="K279" s="79"/>
      <c r="L279" s="79"/>
      <c r="M279" s="79"/>
      <c r="N279" s="77"/>
      <c r="O279" s="79"/>
      <c r="P279" s="81"/>
      <c r="Q279" s="81"/>
      <c r="R279" s="79"/>
      <c r="S279" s="79"/>
      <c r="T279" s="79"/>
      <c r="U279" s="79"/>
      <c r="V279" s="79"/>
    </row>
    <row r="280" spans="1:22" ht="12.5" x14ac:dyDescent="0.25">
      <c r="A280" s="79"/>
      <c r="B280" s="79"/>
      <c r="C280" s="79"/>
      <c r="D280" s="79"/>
      <c r="E280" s="79"/>
      <c r="F280" s="77"/>
      <c r="G280" s="79"/>
      <c r="H280" s="79"/>
      <c r="I280" s="79"/>
      <c r="J280" s="78"/>
      <c r="K280" s="79"/>
      <c r="L280" s="79"/>
      <c r="M280" s="79"/>
      <c r="N280" s="77"/>
      <c r="O280" s="79"/>
      <c r="P280" s="81"/>
      <c r="Q280" s="81"/>
      <c r="R280" s="79"/>
      <c r="S280" s="79"/>
      <c r="T280" s="79"/>
      <c r="U280" s="79"/>
      <c r="V280" s="79"/>
    </row>
    <row r="281" spans="1:22" ht="12.5" x14ac:dyDescent="0.25">
      <c r="A281" s="79"/>
      <c r="B281" s="79"/>
      <c r="C281" s="79"/>
      <c r="D281" s="79"/>
      <c r="E281" s="79"/>
      <c r="F281" s="77"/>
      <c r="G281" s="79"/>
      <c r="H281" s="79"/>
      <c r="I281" s="79"/>
      <c r="J281" s="78"/>
      <c r="K281" s="79"/>
      <c r="L281" s="79"/>
      <c r="M281" s="79"/>
      <c r="N281" s="77"/>
      <c r="O281" s="79"/>
      <c r="P281" s="81"/>
      <c r="Q281" s="81"/>
      <c r="R281" s="79"/>
      <c r="S281" s="79"/>
      <c r="T281" s="79"/>
      <c r="U281" s="79"/>
      <c r="V281" s="79"/>
    </row>
    <row r="282" spans="1:22" ht="12.5" x14ac:dyDescent="0.25">
      <c r="A282" s="79"/>
      <c r="B282" s="79"/>
      <c r="C282" s="79"/>
      <c r="D282" s="79"/>
      <c r="E282" s="79"/>
      <c r="F282" s="77"/>
      <c r="G282" s="79"/>
      <c r="H282" s="79"/>
      <c r="I282" s="79"/>
      <c r="J282" s="78"/>
      <c r="K282" s="79"/>
      <c r="L282" s="79"/>
      <c r="M282" s="79"/>
      <c r="N282" s="77"/>
      <c r="O282" s="79"/>
      <c r="P282" s="81"/>
      <c r="Q282" s="81"/>
      <c r="R282" s="79"/>
      <c r="S282" s="79"/>
      <c r="T282" s="79"/>
      <c r="U282" s="79"/>
      <c r="V282" s="79"/>
    </row>
    <row r="283" spans="1:22" ht="12.5" x14ac:dyDescent="0.25">
      <c r="A283" s="79"/>
      <c r="B283" s="79"/>
      <c r="C283" s="79"/>
      <c r="D283" s="79"/>
      <c r="E283" s="79"/>
      <c r="F283" s="77"/>
      <c r="G283" s="79"/>
      <c r="H283" s="79"/>
      <c r="I283" s="79"/>
      <c r="J283" s="78"/>
      <c r="K283" s="79"/>
      <c r="L283" s="79"/>
      <c r="M283" s="79"/>
      <c r="N283" s="77"/>
      <c r="O283" s="79"/>
      <c r="P283" s="81"/>
      <c r="Q283" s="81"/>
      <c r="R283" s="79"/>
      <c r="S283" s="79"/>
      <c r="T283" s="79"/>
      <c r="U283" s="79"/>
      <c r="V283" s="79"/>
    </row>
    <row r="284" spans="1:22" ht="12.5" x14ac:dyDescent="0.25">
      <c r="A284" s="79"/>
      <c r="B284" s="79"/>
      <c r="C284" s="79"/>
      <c r="D284" s="79"/>
      <c r="E284" s="79"/>
      <c r="F284" s="77"/>
      <c r="G284" s="79"/>
      <c r="H284" s="79"/>
      <c r="I284" s="79"/>
      <c r="J284" s="78"/>
      <c r="K284" s="79"/>
      <c r="L284" s="79"/>
      <c r="M284" s="79"/>
      <c r="N284" s="77"/>
      <c r="O284" s="79"/>
      <c r="P284" s="81"/>
      <c r="Q284" s="81"/>
      <c r="R284" s="79"/>
      <c r="S284" s="79"/>
      <c r="T284" s="79"/>
      <c r="U284" s="79"/>
      <c r="V284" s="79"/>
    </row>
    <row r="285" spans="1:22" ht="12.5" x14ac:dyDescent="0.25">
      <c r="A285" s="79"/>
      <c r="B285" s="79"/>
      <c r="C285" s="79"/>
      <c r="D285" s="79"/>
      <c r="E285" s="79"/>
      <c r="F285" s="77"/>
      <c r="G285" s="79"/>
      <c r="H285" s="79"/>
      <c r="I285" s="79"/>
      <c r="J285" s="78"/>
      <c r="K285" s="79"/>
      <c r="L285" s="79"/>
      <c r="M285" s="79"/>
      <c r="N285" s="77"/>
      <c r="O285" s="79"/>
      <c r="P285" s="81"/>
      <c r="Q285" s="81"/>
      <c r="R285" s="79"/>
      <c r="S285" s="79"/>
      <c r="T285" s="79"/>
      <c r="U285" s="79"/>
      <c r="V285" s="79"/>
    </row>
    <row r="286" spans="1:22" ht="12.5" x14ac:dyDescent="0.25">
      <c r="A286" s="79"/>
      <c r="B286" s="79"/>
      <c r="C286" s="79"/>
      <c r="D286" s="79"/>
      <c r="E286" s="79"/>
      <c r="F286" s="77"/>
      <c r="G286" s="79"/>
      <c r="H286" s="79"/>
      <c r="I286" s="79"/>
      <c r="J286" s="78"/>
      <c r="K286" s="79"/>
      <c r="L286" s="79"/>
      <c r="M286" s="79"/>
      <c r="N286" s="77"/>
      <c r="O286" s="79"/>
      <c r="P286" s="81"/>
      <c r="Q286" s="81"/>
      <c r="R286" s="79"/>
      <c r="S286" s="79"/>
      <c r="T286" s="79"/>
      <c r="U286" s="79"/>
      <c r="V286" s="79"/>
    </row>
    <row r="287" spans="1:22" ht="12.5" x14ac:dyDescent="0.25">
      <c r="A287" s="79"/>
      <c r="B287" s="79"/>
      <c r="C287" s="79"/>
      <c r="D287" s="79"/>
      <c r="E287" s="79"/>
      <c r="F287" s="77"/>
      <c r="G287" s="79"/>
      <c r="H287" s="79"/>
      <c r="I287" s="79"/>
      <c r="J287" s="78"/>
      <c r="K287" s="79"/>
      <c r="L287" s="79"/>
      <c r="M287" s="79"/>
      <c r="N287" s="77"/>
      <c r="O287" s="79"/>
      <c r="P287" s="81"/>
      <c r="Q287" s="81"/>
      <c r="R287" s="79"/>
      <c r="S287" s="79"/>
      <c r="T287" s="79"/>
      <c r="U287" s="79"/>
      <c r="V287" s="79"/>
    </row>
    <row r="288" spans="1:22" ht="12.5" x14ac:dyDescent="0.25">
      <c r="A288" s="79"/>
      <c r="B288" s="79"/>
      <c r="C288" s="79"/>
      <c r="D288" s="79"/>
      <c r="E288" s="79"/>
      <c r="F288" s="77"/>
      <c r="G288" s="79"/>
      <c r="H288" s="79"/>
      <c r="I288" s="79"/>
      <c r="J288" s="78"/>
      <c r="K288" s="79"/>
      <c r="L288" s="79"/>
      <c r="M288" s="79"/>
      <c r="N288" s="77"/>
      <c r="O288" s="79"/>
      <c r="P288" s="81"/>
      <c r="Q288" s="81"/>
      <c r="R288" s="79"/>
      <c r="S288" s="79"/>
      <c r="T288" s="79"/>
      <c r="U288" s="79"/>
      <c r="V288" s="79"/>
    </row>
    <row r="289" spans="1:22" ht="12.5" x14ac:dyDescent="0.25">
      <c r="A289" s="79"/>
      <c r="B289" s="79"/>
      <c r="C289" s="79"/>
      <c r="D289" s="79"/>
      <c r="E289" s="79"/>
      <c r="F289" s="77"/>
      <c r="G289" s="79"/>
      <c r="H289" s="79"/>
      <c r="I289" s="79"/>
      <c r="J289" s="78"/>
      <c r="K289" s="79"/>
      <c r="L289" s="79"/>
      <c r="M289" s="79"/>
      <c r="N289" s="77"/>
      <c r="O289" s="79"/>
      <c r="P289" s="81"/>
      <c r="Q289" s="81"/>
      <c r="R289" s="79"/>
      <c r="S289" s="79"/>
      <c r="T289" s="79"/>
      <c r="U289" s="79"/>
      <c r="V289" s="79"/>
    </row>
    <row r="290" spans="1:22" ht="12.5" x14ac:dyDescent="0.25">
      <c r="A290" s="79"/>
      <c r="B290" s="79"/>
      <c r="C290" s="79"/>
      <c r="D290" s="79"/>
      <c r="E290" s="79"/>
      <c r="F290" s="77"/>
      <c r="G290" s="79"/>
      <c r="H290" s="79"/>
      <c r="I290" s="79"/>
      <c r="J290" s="78"/>
      <c r="K290" s="79"/>
      <c r="L290" s="79"/>
      <c r="M290" s="79"/>
      <c r="N290" s="77"/>
      <c r="O290" s="79"/>
      <c r="P290" s="81"/>
      <c r="Q290" s="81"/>
      <c r="R290" s="79"/>
      <c r="S290" s="79"/>
      <c r="T290" s="79"/>
      <c r="U290" s="79"/>
      <c r="V290" s="79"/>
    </row>
    <row r="291" spans="1:22" ht="12.5" x14ac:dyDescent="0.25">
      <c r="A291" s="79"/>
      <c r="B291" s="79"/>
      <c r="C291" s="79"/>
      <c r="D291" s="79"/>
      <c r="E291" s="79"/>
      <c r="F291" s="77"/>
      <c r="G291" s="79"/>
      <c r="H291" s="79"/>
      <c r="I291" s="79"/>
      <c r="J291" s="78"/>
      <c r="K291" s="79"/>
      <c r="L291" s="79"/>
      <c r="M291" s="79"/>
      <c r="N291" s="77"/>
      <c r="O291" s="79"/>
      <c r="P291" s="81"/>
      <c r="Q291" s="81"/>
      <c r="R291" s="79"/>
      <c r="S291" s="79"/>
      <c r="T291" s="79"/>
      <c r="U291" s="79"/>
      <c r="V291" s="79"/>
    </row>
    <row r="292" spans="1:22" ht="12.5" x14ac:dyDescent="0.25">
      <c r="A292" s="79"/>
      <c r="B292" s="79"/>
      <c r="C292" s="79"/>
      <c r="D292" s="79"/>
      <c r="E292" s="79"/>
      <c r="F292" s="77"/>
      <c r="G292" s="79"/>
      <c r="H292" s="79"/>
      <c r="I292" s="79"/>
      <c r="J292" s="78"/>
      <c r="K292" s="79"/>
      <c r="L292" s="79"/>
      <c r="M292" s="79"/>
      <c r="N292" s="77"/>
      <c r="O292" s="79"/>
      <c r="P292" s="81"/>
      <c r="Q292" s="81"/>
      <c r="R292" s="79"/>
      <c r="S292" s="79"/>
      <c r="T292" s="79"/>
      <c r="U292" s="79"/>
      <c r="V292" s="79"/>
    </row>
    <row r="293" spans="1:22" ht="12.5" x14ac:dyDescent="0.25">
      <c r="A293" s="79"/>
      <c r="B293" s="79"/>
      <c r="C293" s="79"/>
      <c r="D293" s="79"/>
      <c r="E293" s="79"/>
      <c r="F293" s="77"/>
      <c r="G293" s="79"/>
      <c r="H293" s="79"/>
      <c r="I293" s="79"/>
      <c r="J293" s="78"/>
      <c r="K293" s="79"/>
      <c r="L293" s="79"/>
      <c r="M293" s="79"/>
      <c r="N293" s="77"/>
      <c r="O293" s="79"/>
      <c r="P293" s="81"/>
      <c r="Q293" s="81"/>
      <c r="R293" s="79"/>
      <c r="S293" s="79"/>
      <c r="T293" s="79"/>
      <c r="U293" s="79"/>
      <c r="V293" s="79"/>
    </row>
    <row r="294" spans="1:22" ht="12.5" x14ac:dyDescent="0.25">
      <c r="A294" s="79"/>
      <c r="B294" s="79"/>
      <c r="C294" s="79"/>
      <c r="D294" s="79"/>
      <c r="E294" s="79"/>
      <c r="F294" s="77"/>
      <c r="G294" s="79"/>
      <c r="H294" s="79"/>
      <c r="I294" s="79"/>
      <c r="J294" s="78"/>
      <c r="K294" s="79"/>
      <c r="L294" s="79"/>
      <c r="M294" s="79"/>
      <c r="N294" s="77"/>
      <c r="O294" s="79"/>
      <c r="P294" s="81"/>
      <c r="Q294" s="81"/>
      <c r="R294" s="79"/>
      <c r="S294" s="79"/>
      <c r="T294" s="79"/>
      <c r="U294" s="79"/>
      <c r="V294" s="79"/>
    </row>
    <row r="295" spans="1:22" ht="12.5" x14ac:dyDescent="0.25">
      <c r="A295" s="79"/>
      <c r="B295" s="79"/>
      <c r="C295" s="79"/>
      <c r="D295" s="79"/>
      <c r="E295" s="79"/>
      <c r="F295" s="77"/>
      <c r="G295" s="79"/>
      <c r="H295" s="79"/>
      <c r="I295" s="79"/>
      <c r="J295" s="78"/>
      <c r="K295" s="79"/>
      <c r="L295" s="79"/>
      <c r="M295" s="79"/>
      <c r="N295" s="77"/>
      <c r="O295" s="79"/>
      <c r="P295" s="81"/>
      <c r="Q295" s="81"/>
      <c r="R295" s="79"/>
      <c r="S295" s="79"/>
      <c r="T295" s="79"/>
      <c r="U295" s="79"/>
      <c r="V295" s="79"/>
    </row>
    <row r="296" spans="1:22" ht="12.5" x14ac:dyDescent="0.25">
      <c r="A296" s="79"/>
      <c r="B296" s="79"/>
      <c r="C296" s="79"/>
      <c r="D296" s="79"/>
      <c r="E296" s="79"/>
      <c r="F296" s="77"/>
      <c r="G296" s="79"/>
      <c r="H296" s="79"/>
      <c r="I296" s="79"/>
      <c r="J296" s="78"/>
      <c r="K296" s="79"/>
      <c r="L296" s="79"/>
      <c r="M296" s="79"/>
      <c r="N296" s="77"/>
      <c r="O296" s="79"/>
      <c r="P296" s="81"/>
      <c r="Q296" s="81"/>
      <c r="R296" s="79"/>
      <c r="S296" s="79"/>
      <c r="T296" s="79"/>
      <c r="U296" s="79"/>
      <c r="V296" s="79"/>
    </row>
    <row r="297" spans="1:22" ht="12.5" x14ac:dyDescent="0.25">
      <c r="A297" s="79"/>
      <c r="B297" s="79"/>
      <c r="C297" s="79"/>
      <c r="D297" s="79"/>
      <c r="E297" s="79"/>
      <c r="F297" s="77"/>
      <c r="G297" s="79"/>
      <c r="H297" s="79"/>
      <c r="I297" s="79"/>
      <c r="J297" s="78"/>
      <c r="K297" s="79"/>
      <c r="L297" s="79"/>
      <c r="M297" s="79"/>
      <c r="N297" s="77"/>
      <c r="O297" s="79"/>
      <c r="P297" s="81"/>
      <c r="Q297" s="81"/>
      <c r="R297" s="79"/>
      <c r="S297" s="79"/>
      <c r="T297" s="79"/>
      <c r="U297" s="79"/>
      <c r="V297" s="79"/>
    </row>
    <row r="298" spans="1:22" ht="12.5" x14ac:dyDescent="0.25">
      <c r="A298" s="79"/>
      <c r="B298" s="79"/>
      <c r="C298" s="79"/>
      <c r="D298" s="79"/>
      <c r="E298" s="79"/>
      <c r="F298" s="77"/>
      <c r="G298" s="79"/>
      <c r="H298" s="79"/>
      <c r="I298" s="79"/>
      <c r="J298" s="78"/>
      <c r="K298" s="79"/>
      <c r="L298" s="79"/>
      <c r="M298" s="79"/>
      <c r="N298" s="77"/>
      <c r="O298" s="79"/>
      <c r="P298" s="81"/>
      <c r="Q298" s="81"/>
      <c r="R298" s="79"/>
      <c r="S298" s="79"/>
      <c r="T298" s="79"/>
      <c r="U298" s="79"/>
      <c r="V298" s="79"/>
    </row>
    <row r="299" spans="1:22" ht="12.5" x14ac:dyDescent="0.25">
      <c r="A299" s="79"/>
      <c r="B299" s="79"/>
      <c r="C299" s="79"/>
      <c r="D299" s="79"/>
      <c r="E299" s="79"/>
      <c r="F299" s="77"/>
      <c r="G299" s="79"/>
      <c r="H299" s="79"/>
      <c r="I299" s="79"/>
      <c r="J299" s="78"/>
      <c r="K299" s="79"/>
      <c r="L299" s="79"/>
      <c r="M299" s="79"/>
      <c r="N299" s="77"/>
      <c r="O299" s="79"/>
      <c r="P299" s="81"/>
      <c r="Q299" s="81"/>
      <c r="R299" s="79"/>
      <c r="S299" s="79"/>
      <c r="T299" s="79"/>
      <c r="U299" s="79"/>
      <c r="V299" s="79"/>
    </row>
    <row r="300" spans="1:22" ht="12.5" x14ac:dyDescent="0.25">
      <c r="A300" s="79"/>
      <c r="B300" s="79"/>
      <c r="C300" s="79"/>
      <c r="D300" s="79"/>
      <c r="E300" s="79"/>
      <c r="F300" s="77"/>
      <c r="G300" s="79"/>
      <c r="H300" s="79"/>
      <c r="I300" s="79"/>
      <c r="J300" s="78"/>
      <c r="K300" s="79"/>
      <c r="L300" s="79"/>
      <c r="M300" s="79"/>
      <c r="N300" s="77"/>
      <c r="O300" s="79"/>
      <c r="P300" s="81"/>
      <c r="Q300" s="81"/>
      <c r="R300" s="79"/>
      <c r="S300" s="79"/>
      <c r="T300" s="79"/>
      <c r="U300" s="79"/>
      <c r="V300" s="79"/>
    </row>
    <row r="301" spans="1:22" ht="12.5" x14ac:dyDescent="0.25">
      <c r="A301" s="79"/>
      <c r="B301" s="79"/>
      <c r="C301" s="79"/>
      <c r="D301" s="79"/>
      <c r="E301" s="79"/>
      <c r="F301" s="77"/>
      <c r="G301" s="79"/>
      <c r="H301" s="79"/>
      <c r="I301" s="79"/>
      <c r="J301" s="78"/>
      <c r="K301" s="79"/>
      <c r="L301" s="79"/>
      <c r="M301" s="79"/>
      <c r="N301" s="77"/>
      <c r="O301" s="79"/>
      <c r="P301" s="81"/>
      <c r="Q301" s="81"/>
      <c r="R301" s="79"/>
      <c r="S301" s="79"/>
      <c r="T301" s="79"/>
      <c r="U301" s="79"/>
      <c r="V301" s="79"/>
    </row>
    <row r="302" spans="1:22" ht="12.5" x14ac:dyDescent="0.25">
      <c r="A302" s="79"/>
      <c r="B302" s="79"/>
      <c r="C302" s="79"/>
      <c r="D302" s="79"/>
      <c r="E302" s="79"/>
      <c r="F302" s="77"/>
      <c r="G302" s="79"/>
      <c r="H302" s="79"/>
      <c r="I302" s="79"/>
      <c r="J302" s="78"/>
      <c r="K302" s="79"/>
      <c r="L302" s="79"/>
      <c r="M302" s="79"/>
      <c r="N302" s="77"/>
      <c r="O302" s="79"/>
      <c r="P302" s="81"/>
      <c r="Q302" s="81"/>
      <c r="R302" s="79"/>
      <c r="S302" s="79"/>
      <c r="T302" s="79"/>
      <c r="U302" s="79"/>
      <c r="V302" s="79"/>
    </row>
    <row r="303" spans="1:22" ht="12.5" x14ac:dyDescent="0.25">
      <c r="A303" s="79"/>
      <c r="B303" s="79"/>
      <c r="C303" s="79"/>
      <c r="D303" s="79"/>
      <c r="E303" s="79"/>
      <c r="F303" s="77"/>
      <c r="G303" s="79"/>
      <c r="H303" s="79"/>
      <c r="I303" s="79"/>
      <c r="J303" s="78"/>
      <c r="K303" s="79"/>
      <c r="L303" s="79"/>
      <c r="M303" s="79"/>
      <c r="N303" s="77"/>
      <c r="O303" s="79"/>
      <c r="P303" s="81"/>
      <c r="Q303" s="81"/>
      <c r="R303" s="79"/>
      <c r="S303" s="79"/>
      <c r="T303" s="79"/>
      <c r="U303" s="79"/>
      <c r="V303" s="79"/>
    </row>
    <row r="304" spans="1:22" ht="12.5" x14ac:dyDescent="0.25">
      <c r="A304" s="79"/>
      <c r="B304" s="79"/>
      <c r="C304" s="79"/>
      <c r="D304" s="79"/>
      <c r="E304" s="79"/>
      <c r="F304" s="77"/>
      <c r="G304" s="79"/>
      <c r="H304" s="79"/>
      <c r="I304" s="79"/>
      <c r="J304" s="78"/>
      <c r="K304" s="79"/>
      <c r="L304" s="79"/>
      <c r="M304" s="79"/>
      <c r="N304" s="77"/>
      <c r="O304" s="79"/>
      <c r="P304" s="81"/>
      <c r="Q304" s="81"/>
      <c r="R304" s="79"/>
      <c r="S304" s="79"/>
      <c r="T304" s="79"/>
      <c r="U304" s="79"/>
      <c r="V304" s="79"/>
    </row>
    <row r="305" spans="1:22" ht="12.5" x14ac:dyDescent="0.25">
      <c r="A305" s="79"/>
      <c r="B305" s="79"/>
      <c r="C305" s="79"/>
      <c r="D305" s="79"/>
      <c r="E305" s="79"/>
      <c r="F305" s="77"/>
      <c r="G305" s="79"/>
      <c r="H305" s="79"/>
      <c r="I305" s="79"/>
      <c r="J305" s="78"/>
      <c r="K305" s="79"/>
      <c r="L305" s="79"/>
      <c r="M305" s="79"/>
      <c r="N305" s="77"/>
      <c r="O305" s="79"/>
      <c r="P305" s="81"/>
      <c r="Q305" s="81"/>
      <c r="R305" s="79"/>
      <c r="S305" s="79"/>
      <c r="T305" s="79"/>
      <c r="U305" s="79"/>
      <c r="V305" s="79"/>
    </row>
    <row r="306" spans="1:22" ht="12.5" x14ac:dyDescent="0.25">
      <c r="A306" s="79"/>
      <c r="B306" s="79"/>
      <c r="C306" s="79"/>
      <c r="D306" s="79"/>
      <c r="E306" s="79"/>
      <c r="F306" s="77"/>
      <c r="G306" s="79"/>
      <c r="H306" s="79"/>
      <c r="I306" s="79"/>
      <c r="J306" s="78"/>
      <c r="K306" s="79"/>
      <c r="L306" s="79"/>
      <c r="M306" s="79"/>
      <c r="N306" s="77"/>
      <c r="O306" s="79"/>
      <c r="P306" s="81"/>
      <c r="Q306" s="81"/>
      <c r="R306" s="79"/>
      <c r="S306" s="79"/>
      <c r="T306" s="79"/>
      <c r="U306" s="79"/>
      <c r="V306" s="79"/>
    </row>
    <row r="307" spans="1:22" ht="12.5" x14ac:dyDescent="0.25">
      <c r="A307" s="79"/>
      <c r="B307" s="79"/>
      <c r="C307" s="79"/>
      <c r="D307" s="79"/>
      <c r="E307" s="79"/>
      <c r="F307" s="77"/>
      <c r="G307" s="79"/>
      <c r="H307" s="79"/>
      <c r="I307" s="79"/>
      <c r="J307" s="78"/>
      <c r="K307" s="79"/>
      <c r="L307" s="79"/>
      <c r="M307" s="79"/>
      <c r="N307" s="77"/>
      <c r="O307" s="79"/>
      <c r="P307" s="81"/>
      <c r="Q307" s="81"/>
      <c r="R307" s="79"/>
      <c r="S307" s="79"/>
      <c r="T307" s="79"/>
      <c r="U307" s="79"/>
      <c r="V307" s="79"/>
    </row>
    <row r="308" spans="1:22" ht="12.5" x14ac:dyDescent="0.25">
      <c r="A308" s="79"/>
      <c r="B308" s="79"/>
      <c r="C308" s="79"/>
      <c r="D308" s="79"/>
      <c r="E308" s="79"/>
      <c r="F308" s="77"/>
      <c r="G308" s="79"/>
      <c r="H308" s="79"/>
      <c r="I308" s="79"/>
      <c r="J308" s="78"/>
      <c r="K308" s="79"/>
      <c r="L308" s="79"/>
      <c r="M308" s="79"/>
      <c r="N308" s="77"/>
      <c r="O308" s="79"/>
      <c r="P308" s="81"/>
      <c r="Q308" s="81"/>
      <c r="R308" s="79"/>
      <c r="S308" s="79"/>
      <c r="T308" s="79"/>
      <c r="U308" s="79"/>
      <c r="V308" s="79"/>
    </row>
    <row r="309" spans="1:22" ht="12.5" x14ac:dyDescent="0.25">
      <c r="A309" s="79"/>
      <c r="B309" s="79"/>
      <c r="C309" s="79"/>
      <c r="D309" s="79"/>
      <c r="E309" s="79"/>
      <c r="F309" s="77"/>
      <c r="G309" s="79"/>
      <c r="H309" s="79"/>
      <c r="I309" s="79"/>
      <c r="J309" s="78"/>
      <c r="K309" s="79"/>
      <c r="L309" s="79"/>
      <c r="M309" s="79"/>
      <c r="N309" s="77"/>
      <c r="O309" s="79"/>
      <c r="P309" s="81"/>
      <c r="Q309" s="81"/>
      <c r="R309" s="79"/>
      <c r="S309" s="79"/>
      <c r="T309" s="79"/>
      <c r="U309" s="79"/>
      <c r="V309" s="79"/>
    </row>
    <row r="310" spans="1:22" ht="12.5" x14ac:dyDescent="0.25">
      <c r="A310" s="79"/>
      <c r="B310" s="79"/>
      <c r="C310" s="79"/>
      <c r="D310" s="79"/>
      <c r="E310" s="79"/>
      <c r="F310" s="77"/>
      <c r="G310" s="79"/>
      <c r="H310" s="79"/>
      <c r="I310" s="79"/>
      <c r="J310" s="78"/>
      <c r="K310" s="79"/>
      <c r="L310" s="79"/>
      <c r="M310" s="79"/>
      <c r="N310" s="77"/>
      <c r="O310" s="79"/>
      <c r="P310" s="81"/>
      <c r="Q310" s="81"/>
      <c r="R310" s="79"/>
      <c r="S310" s="79"/>
      <c r="T310" s="79"/>
      <c r="U310" s="79"/>
      <c r="V310" s="79"/>
    </row>
    <row r="311" spans="1:22" ht="12.5" x14ac:dyDescent="0.25">
      <c r="A311" s="79"/>
      <c r="B311" s="79"/>
      <c r="C311" s="79"/>
      <c r="D311" s="79"/>
      <c r="E311" s="79"/>
      <c r="F311" s="77"/>
      <c r="G311" s="79"/>
      <c r="H311" s="79"/>
      <c r="I311" s="79"/>
      <c r="J311" s="78"/>
      <c r="K311" s="79"/>
      <c r="L311" s="79"/>
      <c r="M311" s="79"/>
      <c r="N311" s="77"/>
      <c r="O311" s="79"/>
      <c r="P311" s="81"/>
      <c r="Q311" s="81"/>
      <c r="R311" s="79"/>
      <c r="S311" s="79"/>
      <c r="T311" s="79"/>
      <c r="U311" s="79"/>
      <c r="V311" s="79"/>
    </row>
    <row r="312" spans="1:22" ht="12.5" x14ac:dyDescent="0.25">
      <c r="A312" s="79"/>
      <c r="B312" s="79"/>
      <c r="C312" s="79"/>
      <c r="D312" s="79"/>
      <c r="E312" s="79"/>
      <c r="F312" s="77"/>
      <c r="G312" s="79"/>
      <c r="H312" s="79"/>
      <c r="I312" s="79"/>
      <c r="J312" s="78"/>
      <c r="K312" s="79"/>
      <c r="L312" s="79"/>
      <c r="M312" s="79"/>
      <c r="N312" s="77"/>
      <c r="O312" s="79"/>
      <c r="P312" s="81"/>
      <c r="Q312" s="81"/>
      <c r="R312" s="79"/>
      <c r="S312" s="79"/>
      <c r="T312" s="79"/>
      <c r="U312" s="79"/>
      <c r="V312" s="79"/>
    </row>
    <row r="313" spans="1:22" ht="12.5" x14ac:dyDescent="0.25">
      <c r="A313" s="79"/>
      <c r="B313" s="79"/>
      <c r="C313" s="79"/>
      <c r="D313" s="79"/>
      <c r="E313" s="79"/>
      <c r="F313" s="77"/>
      <c r="G313" s="79"/>
      <c r="H313" s="79"/>
      <c r="I313" s="79"/>
      <c r="J313" s="78"/>
      <c r="K313" s="79"/>
      <c r="L313" s="79"/>
      <c r="M313" s="79"/>
      <c r="N313" s="77"/>
      <c r="O313" s="79"/>
      <c r="P313" s="81"/>
      <c r="Q313" s="81"/>
      <c r="R313" s="79"/>
      <c r="S313" s="79"/>
      <c r="T313" s="79"/>
      <c r="U313" s="79"/>
      <c r="V313" s="79"/>
    </row>
    <row r="314" spans="1:22" ht="12.5" x14ac:dyDescent="0.25">
      <c r="A314" s="79"/>
      <c r="B314" s="79"/>
      <c r="C314" s="79"/>
      <c r="D314" s="79"/>
      <c r="E314" s="79"/>
      <c r="F314" s="77"/>
      <c r="G314" s="79"/>
      <c r="H314" s="79"/>
      <c r="I314" s="79"/>
      <c r="J314" s="78"/>
      <c r="K314" s="79"/>
      <c r="L314" s="79"/>
      <c r="M314" s="79"/>
      <c r="N314" s="77"/>
      <c r="O314" s="79"/>
      <c r="P314" s="81"/>
      <c r="Q314" s="81"/>
      <c r="R314" s="79"/>
      <c r="S314" s="79"/>
      <c r="T314" s="79"/>
      <c r="U314" s="79"/>
      <c r="V314" s="79"/>
    </row>
    <row r="315" spans="1:22" ht="12.5" x14ac:dyDescent="0.25">
      <c r="A315" s="79"/>
      <c r="B315" s="79"/>
      <c r="C315" s="79"/>
      <c r="D315" s="79"/>
      <c r="E315" s="79"/>
      <c r="F315" s="77"/>
      <c r="G315" s="79"/>
      <c r="H315" s="79"/>
      <c r="I315" s="79"/>
      <c r="J315" s="78"/>
      <c r="K315" s="79"/>
      <c r="L315" s="79"/>
      <c r="M315" s="79"/>
      <c r="N315" s="77"/>
      <c r="O315" s="79"/>
      <c r="P315" s="81"/>
      <c r="Q315" s="81"/>
      <c r="R315" s="79"/>
      <c r="S315" s="79"/>
      <c r="T315" s="79"/>
      <c r="U315" s="79"/>
      <c r="V315" s="79"/>
    </row>
    <row r="316" spans="1:22" ht="12.5" x14ac:dyDescent="0.25">
      <c r="A316" s="79"/>
      <c r="B316" s="79"/>
      <c r="C316" s="79"/>
      <c r="D316" s="79"/>
      <c r="E316" s="79"/>
      <c r="F316" s="77"/>
      <c r="G316" s="79"/>
      <c r="H316" s="79"/>
      <c r="I316" s="79"/>
      <c r="J316" s="78"/>
      <c r="K316" s="79"/>
      <c r="L316" s="79"/>
      <c r="M316" s="79"/>
      <c r="N316" s="77"/>
      <c r="O316" s="79"/>
      <c r="P316" s="81"/>
      <c r="Q316" s="81"/>
      <c r="R316" s="79"/>
      <c r="S316" s="79"/>
      <c r="T316" s="79"/>
      <c r="U316" s="79"/>
      <c r="V316" s="79"/>
    </row>
    <row r="317" spans="1:22" ht="12.5" x14ac:dyDescent="0.25">
      <c r="A317" s="79"/>
      <c r="B317" s="79"/>
      <c r="C317" s="79"/>
      <c r="D317" s="79"/>
      <c r="E317" s="79"/>
      <c r="F317" s="77"/>
      <c r="G317" s="79"/>
      <c r="H317" s="79"/>
      <c r="I317" s="79"/>
      <c r="J317" s="78"/>
      <c r="K317" s="79"/>
      <c r="L317" s="79"/>
      <c r="M317" s="79"/>
      <c r="N317" s="77"/>
      <c r="O317" s="79"/>
      <c r="P317" s="81"/>
      <c r="Q317" s="81"/>
      <c r="R317" s="79"/>
      <c r="S317" s="79"/>
      <c r="T317" s="79"/>
      <c r="U317" s="79"/>
      <c r="V317" s="79"/>
    </row>
    <row r="318" spans="1:22" ht="12.5" x14ac:dyDescent="0.25">
      <c r="A318" s="79"/>
      <c r="B318" s="79"/>
      <c r="C318" s="79"/>
      <c r="D318" s="79"/>
      <c r="E318" s="79"/>
      <c r="F318" s="77"/>
      <c r="G318" s="79"/>
      <c r="H318" s="79"/>
      <c r="I318" s="79"/>
      <c r="J318" s="78"/>
      <c r="K318" s="79"/>
      <c r="L318" s="79"/>
      <c r="M318" s="79"/>
      <c r="N318" s="77"/>
      <c r="O318" s="79"/>
      <c r="P318" s="81"/>
      <c r="Q318" s="81"/>
      <c r="R318" s="79"/>
      <c r="S318" s="79"/>
      <c r="T318" s="79"/>
      <c r="U318" s="79"/>
      <c r="V318" s="79"/>
    </row>
    <row r="319" spans="1:22" ht="12.5" x14ac:dyDescent="0.25">
      <c r="A319" s="79"/>
      <c r="B319" s="79"/>
      <c r="C319" s="79"/>
      <c r="D319" s="79"/>
      <c r="E319" s="79"/>
      <c r="F319" s="77"/>
      <c r="G319" s="79"/>
      <c r="H319" s="79"/>
      <c r="I319" s="79"/>
      <c r="J319" s="78"/>
      <c r="K319" s="79"/>
      <c r="L319" s="79"/>
      <c r="M319" s="79"/>
      <c r="N319" s="77"/>
      <c r="O319" s="79"/>
      <c r="P319" s="81"/>
      <c r="Q319" s="81"/>
      <c r="R319" s="79"/>
      <c r="S319" s="79"/>
      <c r="T319" s="79"/>
      <c r="U319" s="79"/>
      <c r="V319" s="79"/>
    </row>
    <row r="320" spans="1:22" ht="12.5" x14ac:dyDescent="0.25">
      <c r="A320" s="79"/>
      <c r="B320" s="79"/>
      <c r="C320" s="79"/>
      <c r="D320" s="79"/>
      <c r="E320" s="79"/>
      <c r="F320" s="77"/>
      <c r="G320" s="79"/>
      <c r="H320" s="79"/>
      <c r="I320" s="79"/>
      <c r="J320" s="78"/>
      <c r="K320" s="79"/>
      <c r="L320" s="79"/>
      <c r="M320" s="79"/>
      <c r="N320" s="77"/>
      <c r="O320" s="79"/>
      <c r="P320" s="81"/>
      <c r="Q320" s="81"/>
      <c r="R320" s="79"/>
      <c r="S320" s="79"/>
      <c r="T320" s="79"/>
      <c r="U320" s="79"/>
      <c r="V320" s="79"/>
    </row>
    <row r="321" spans="1:22" ht="12.5" x14ac:dyDescent="0.25">
      <c r="A321" s="79"/>
      <c r="B321" s="79"/>
      <c r="C321" s="79"/>
      <c r="D321" s="79"/>
      <c r="E321" s="79"/>
      <c r="F321" s="77"/>
      <c r="G321" s="79"/>
      <c r="H321" s="79"/>
      <c r="I321" s="79"/>
      <c r="J321" s="78"/>
      <c r="K321" s="79"/>
      <c r="L321" s="79"/>
      <c r="M321" s="79"/>
      <c r="N321" s="77"/>
      <c r="O321" s="79"/>
      <c r="P321" s="81"/>
      <c r="Q321" s="81"/>
      <c r="R321" s="79"/>
      <c r="S321" s="79"/>
      <c r="T321" s="79"/>
      <c r="U321" s="79"/>
      <c r="V321" s="79"/>
    </row>
    <row r="322" spans="1:22" ht="12.5" x14ac:dyDescent="0.25">
      <c r="A322" s="79"/>
      <c r="B322" s="79"/>
      <c r="C322" s="79"/>
      <c r="D322" s="79"/>
      <c r="E322" s="79"/>
      <c r="F322" s="77"/>
      <c r="G322" s="79"/>
      <c r="H322" s="79"/>
      <c r="I322" s="79"/>
      <c r="J322" s="78"/>
      <c r="K322" s="79"/>
      <c r="L322" s="79"/>
      <c r="M322" s="79"/>
      <c r="N322" s="77"/>
      <c r="O322" s="79"/>
      <c r="P322" s="81"/>
      <c r="Q322" s="81"/>
      <c r="R322" s="79"/>
      <c r="S322" s="79"/>
      <c r="T322" s="79"/>
      <c r="U322" s="79"/>
      <c r="V322" s="79"/>
    </row>
    <row r="323" spans="1:22" ht="12.5" x14ac:dyDescent="0.25">
      <c r="A323" s="79"/>
      <c r="B323" s="79"/>
      <c r="C323" s="79"/>
      <c r="D323" s="79"/>
      <c r="E323" s="79"/>
      <c r="F323" s="77"/>
      <c r="G323" s="79"/>
      <c r="H323" s="79"/>
      <c r="I323" s="79"/>
      <c r="J323" s="78"/>
      <c r="K323" s="79"/>
      <c r="L323" s="79"/>
      <c r="M323" s="79"/>
      <c r="N323" s="77"/>
      <c r="O323" s="79"/>
      <c r="P323" s="81"/>
      <c r="Q323" s="81"/>
      <c r="R323" s="79"/>
      <c r="S323" s="79"/>
      <c r="T323" s="79"/>
      <c r="U323" s="79"/>
      <c r="V323" s="79"/>
    </row>
    <row r="324" spans="1:22" ht="12.5" x14ac:dyDescent="0.25">
      <c r="A324" s="79"/>
      <c r="B324" s="79"/>
      <c r="C324" s="79"/>
      <c r="D324" s="79"/>
      <c r="E324" s="79"/>
      <c r="F324" s="77"/>
      <c r="G324" s="79"/>
      <c r="H324" s="79"/>
      <c r="I324" s="79"/>
      <c r="J324" s="78"/>
      <c r="K324" s="79"/>
      <c r="L324" s="79"/>
      <c r="M324" s="79"/>
      <c r="N324" s="77"/>
      <c r="O324" s="79"/>
      <c r="P324" s="81"/>
      <c r="Q324" s="81"/>
      <c r="R324" s="79"/>
      <c r="S324" s="79"/>
      <c r="T324" s="79"/>
      <c r="U324" s="79"/>
      <c r="V324" s="79"/>
    </row>
    <row r="325" spans="1:22" ht="12.5" x14ac:dyDescent="0.25">
      <c r="A325" s="79"/>
      <c r="B325" s="79"/>
      <c r="C325" s="79"/>
      <c r="D325" s="79"/>
      <c r="E325" s="79"/>
      <c r="F325" s="77"/>
      <c r="G325" s="79"/>
      <c r="H325" s="79"/>
      <c r="I325" s="79"/>
      <c r="J325" s="78"/>
      <c r="K325" s="79"/>
      <c r="L325" s="79"/>
      <c r="M325" s="79"/>
      <c r="N325" s="77"/>
      <c r="O325" s="79"/>
      <c r="P325" s="81"/>
      <c r="Q325" s="81"/>
      <c r="R325" s="79"/>
      <c r="S325" s="79"/>
      <c r="T325" s="79"/>
      <c r="U325" s="79"/>
      <c r="V325" s="79"/>
    </row>
    <row r="326" spans="1:22" ht="12.5" x14ac:dyDescent="0.25">
      <c r="A326" s="79"/>
      <c r="B326" s="79"/>
      <c r="C326" s="79"/>
      <c r="D326" s="79"/>
      <c r="E326" s="79"/>
      <c r="F326" s="77"/>
      <c r="G326" s="79"/>
      <c r="H326" s="79"/>
      <c r="I326" s="79"/>
      <c r="J326" s="78"/>
      <c r="K326" s="79"/>
      <c r="L326" s="79"/>
      <c r="M326" s="79"/>
      <c r="N326" s="77"/>
      <c r="O326" s="79"/>
      <c r="P326" s="81"/>
      <c r="Q326" s="81"/>
      <c r="R326" s="79"/>
      <c r="S326" s="79"/>
      <c r="T326" s="79"/>
      <c r="U326" s="79"/>
      <c r="V326" s="79"/>
    </row>
    <row r="327" spans="1:22" ht="12.5" x14ac:dyDescent="0.25">
      <c r="A327" s="79"/>
      <c r="B327" s="79"/>
      <c r="C327" s="79"/>
      <c r="D327" s="79"/>
      <c r="E327" s="79"/>
      <c r="F327" s="77"/>
      <c r="G327" s="79"/>
      <c r="H327" s="79"/>
      <c r="I327" s="79"/>
      <c r="J327" s="78"/>
      <c r="K327" s="79"/>
      <c r="L327" s="79"/>
      <c r="M327" s="79"/>
      <c r="N327" s="77"/>
      <c r="O327" s="79"/>
      <c r="P327" s="81"/>
      <c r="Q327" s="81"/>
      <c r="R327" s="79"/>
      <c r="S327" s="79"/>
      <c r="T327" s="79"/>
      <c r="U327" s="79"/>
      <c r="V327" s="79"/>
    </row>
    <row r="328" spans="1:22" ht="12.5" x14ac:dyDescent="0.25">
      <c r="A328" s="79"/>
      <c r="B328" s="79"/>
      <c r="C328" s="79"/>
      <c r="D328" s="79"/>
      <c r="E328" s="79"/>
      <c r="F328" s="77"/>
      <c r="G328" s="79"/>
      <c r="H328" s="79"/>
      <c r="I328" s="79"/>
      <c r="J328" s="78"/>
      <c r="K328" s="79"/>
      <c r="L328" s="79"/>
      <c r="M328" s="79"/>
      <c r="N328" s="77"/>
      <c r="O328" s="79"/>
      <c r="P328" s="81"/>
      <c r="Q328" s="81"/>
      <c r="R328" s="79"/>
      <c r="S328" s="79"/>
      <c r="T328" s="79"/>
      <c r="U328" s="79"/>
      <c r="V328" s="79"/>
    </row>
    <row r="329" spans="1:22" ht="12.5" x14ac:dyDescent="0.25">
      <c r="A329" s="79"/>
      <c r="B329" s="79"/>
      <c r="C329" s="79"/>
      <c r="D329" s="79"/>
      <c r="E329" s="79"/>
      <c r="F329" s="77"/>
      <c r="G329" s="79"/>
      <c r="H329" s="79"/>
      <c r="I329" s="79"/>
      <c r="J329" s="78"/>
      <c r="K329" s="79"/>
      <c r="L329" s="79"/>
      <c r="M329" s="79"/>
      <c r="N329" s="77"/>
      <c r="O329" s="79"/>
      <c r="P329" s="81"/>
      <c r="Q329" s="81"/>
      <c r="R329" s="79"/>
      <c r="S329" s="79"/>
      <c r="T329" s="79"/>
      <c r="U329" s="79"/>
      <c r="V329" s="79"/>
    </row>
    <row r="330" spans="1:22" ht="12.5" x14ac:dyDescent="0.25">
      <c r="A330" s="79"/>
      <c r="B330" s="79"/>
      <c r="C330" s="79"/>
      <c r="D330" s="79"/>
      <c r="E330" s="79"/>
      <c r="F330" s="77"/>
      <c r="G330" s="79"/>
      <c r="H330" s="79"/>
      <c r="I330" s="79"/>
      <c r="J330" s="78"/>
      <c r="K330" s="79"/>
      <c r="L330" s="79"/>
      <c r="M330" s="79"/>
      <c r="N330" s="77"/>
      <c r="O330" s="79"/>
      <c r="P330" s="81"/>
      <c r="Q330" s="81"/>
      <c r="R330" s="79"/>
      <c r="S330" s="79"/>
      <c r="T330" s="79"/>
      <c r="U330" s="79"/>
      <c r="V330" s="79"/>
    </row>
    <row r="331" spans="1:22" ht="12.5" x14ac:dyDescent="0.25">
      <c r="A331" s="79"/>
      <c r="B331" s="79"/>
      <c r="C331" s="79"/>
      <c r="D331" s="79"/>
      <c r="E331" s="79"/>
      <c r="F331" s="77"/>
      <c r="G331" s="79"/>
      <c r="H331" s="79"/>
      <c r="I331" s="79"/>
      <c r="J331" s="78"/>
      <c r="K331" s="79"/>
      <c r="L331" s="79"/>
      <c r="M331" s="79"/>
      <c r="N331" s="77"/>
      <c r="O331" s="79"/>
      <c r="P331" s="81"/>
      <c r="Q331" s="81"/>
      <c r="R331" s="79"/>
      <c r="S331" s="79"/>
      <c r="T331" s="79"/>
      <c r="U331" s="79"/>
      <c r="V331" s="79"/>
    </row>
    <row r="332" spans="1:22" ht="12.5" x14ac:dyDescent="0.25">
      <c r="A332" s="79"/>
      <c r="B332" s="79"/>
      <c r="C332" s="79"/>
      <c r="D332" s="79"/>
      <c r="E332" s="79"/>
      <c r="F332" s="77"/>
      <c r="G332" s="79"/>
      <c r="H332" s="79"/>
      <c r="I332" s="79"/>
      <c r="J332" s="78"/>
      <c r="K332" s="79"/>
      <c r="L332" s="79"/>
      <c r="M332" s="79"/>
      <c r="N332" s="77"/>
      <c r="O332" s="79"/>
      <c r="P332" s="81"/>
      <c r="Q332" s="81"/>
      <c r="R332" s="79"/>
      <c r="S332" s="79"/>
      <c r="T332" s="79"/>
      <c r="U332" s="79"/>
      <c r="V332" s="79"/>
    </row>
    <row r="333" spans="1:22" ht="12.5" x14ac:dyDescent="0.25">
      <c r="A333" s="79"/>
      <c r="B333" s="79"/>
      <c r="C333" s="79"/>
      <c r="D333" s="79"/>
      <c r="E333" s="79"/>
      <c r="F333" s="77"/>
      <c r="G333" s="79"/>
      <c r="H333" s="79"/>
      <c r="I333" s="79"/>
      <c r="J333" s="78"/>
      <c r="K333" s="79"/>
      <c r="L333" s="79"/>
      <c r="M333" s="79"/>
      <c r="N333" s="77"/>
      <c r="O333" s="79"/>
      <c r="P333" s="81"/>
      <c r="Q333" s="81"/>
      <c r="R333" s="79"/>
      <c r="S333" s="79"/>
      <c r="T333" s="79"/>
      <c r="U333" s="79"/>
      <c r="V333" s="79"/>
    </row>
    <row r="334" spans="1:22" ht="12.5" x14ac:dyDescent="0.25">
      <c r="A334" s="79"/>
      <c r="B334" s="79"/>
      <c r="C334" s="79"/>
      <c r="D334" s="79"/>
      <c r="E334" s="79"/>
      <c r="F334" s="77"/>
      <c r="G334" s="79"/>
      <c r="H334" s="79"/>
      <c r="I334" s="79"/>
      <c r="J334" s="78"/>
      <c r="K334" s="79"/>
      <c r="L334" s="79"/>
      <c r="M334" s="79"/>
      <c r="N334" s="77"/>
      <c r="O334" s="79"/>
      <c r="P334" s="81"/>
      <c r="Q334" s="81"/>
      <c r="R334" s="79"/>
      <c r="S334" s="79"/>
      <c r="T334" s="79"/>
      <c r="U334" s="79"/>
      <c r="V334" s="79"/>
    </row>
    <row r="335" spans="1:22" ht="12.5" x14ac:dyDescent="0.25">
      <c r="A335" s="79"/>
      <c r="B335" s="79"/>
      <c r="C335" s="79"/>
      <c r="D335" s="79"/>
      <c r="E335" s="79"/>
      <c r="F335" s="77"/>
      <c r="G335" s="79"/>
      <c r="H335" s="79"/>
      <c r="I335" s="79"/>
      <c r="J335" s="78"/>
      <c r="K335" s="79"/>
      <c r="L335" s="79"/>
      <c r="M335" s="79"/>
      <c r="N335" s="77"/>
      <c r="O335" s="79"/>
      <c r="P335" s="81"/>
      <c r="Q335" s="81"/>
      <c r="R335" s="79"/>
      <c r="S335" s="79"/>
      <c r="T335" s="79"/>
      <c r="U335" s="79"/>
      <c r="V335" s="79"/>
    </row>
    <row r="336" spans="1:22" ht="12.5" x14ac:dyDescent="0.25">
      <c r="A336" s="79"/>
      <c r="B336" s="79"/>
      <c r="C336" s="79"/>
      <c r="D336" s="79"/>
      <c r="E336" s="79"/>
      <c r="F336" s="77"/>
      <c r="G336" s="79"/>
      <c r="H336" s="79"/>
      <c r="I336" s="79"/>
      <c r="J336" s="78"/>
      <c r="K336" s="79"/>
      <c r="L336" s="79"/>
      <c r="M336" s="79"/>
      <c r="N336" s="77"/>
      <c r="O336" s="79"/>
      <c r="P336" s="81"/>
      <c r="Q336" s="81"/>
      <c r="R336" s="79"/>
      <c r="S336" s="79"/>
      <c r="T336" s="79"/>
      <c r="U336" s="79"/>
      <c r="V336" s="79"/>
    </row>
    <row r="337" spans="1:22" ht="12.5" x14ac:dyDescent="0.25">
      <c r="A337" s="79"/>
      <c r="B337" s="79"/>
      <c r="C337" s="79"/>
      <c r="D337" s="79"/>
      <c r="E337" s="79"/>
      <c r="F337" s="77"/>
      <c r="G337" s="79"/>
      <c r="H337" s="79"/>
      <c r="I337" s="79"/>
      <c r="J337" s="78"/>
      <c r="K337" s="79"/>
      <c r="L337" s="79"/>
      <c r="M337" s="79"/>
      <c r="N337" s="77"/>
      <c r="O337" s="79"/>
      <c r="P337" s="81"/>
      <c r="Q337" s="81"/>
      <c r="R337" s="79"/>
      <c r="S337" s="79"/>
      <c r="T337" s="79"/>
      <c r="U337" s="79"/>
      <c r="V337" s="79"/>
    </row>
    <row r="338" spans="1:22" ht="12.5" x14ac:dyDescent="0.25">
      <c r="A338" s="79"/>
      <c r="B338" s="79"/>
      <c r="C338" s="79"/>
      <c r="D338" s="79"/>
      <c r="E338" s="79"/>
      <c r="F338" s="77"/>
      <c r="G338" s="79"/>
      <c r="H338" s="79"/>
      <c r="I338" s="79"/>
      <c r="J338" s="78"/>
      <c r="K338" s="79"/>
      <c r="L338" s="79"/>
      <c r="M338" s="79"/>
      <c r="N338" s="77"/>
      <c r="O338" s="79"/>
      <c r="P338" s="81"/>
      <c r="Q338" s="81"/>
      <c r="R338" s="79"/>
      <c r="S338" s="79"/>
      <c r="T338" s="79"/>
      <c r="U338" s="79"/>
      <c r="V338" s="79"/>
    </row>
    <row r="339" spans="1:22" ht="12.5" x14ac:dyDescent="0.25">
      <c r="A339" s="79"/>
      <c r="B339" s="79"/>
      <c r="C339" s="79"/>
      <c r="D339" s="79"/>
      <c r="E339" s="79"/>
      <c r="F339" s="77"/>
      <c r="G339" s="79"/>
      <c r="H339" s="79"/>
      <c r="I339" s="79"/>
      <c r="J339" s="78"/>
      <c r="K339" s="79"/>
      <c r="L339" s="79"/>
      <c r="M339" s="79"/>
      <c r="N339" s="77"/>
      <c r="O339" s="79"/>
      <c r="P339" s="81"/>
      <c r="Q339" s="81"/>
      <c r="R339" s="79"/>
      <c r="S339" s="79"/>
      <c r="T339" s="79"/>
      <c r="U339" s="79"/>
      <c r="V339" s="79"/>
    </row>
    <row r="340" spans="1:22" ht="12.5" x14ac:dyDescent="0.25">
      <c r="A340" s="79"/>
      <c r="B340" s="79"/>
      <c r="C340" s="79"/>
      <c r="D340" s="79"/>
      <c r="E340" s="79"/>
      <c r="F340" s="77"/>
      <c r="G340" s="79"/>
      <c r="H340" s="79"/>
      <c r="I340" s="79"/>
      <c r="J340" s="78"/>
      <c r="K340" s="79"/>
      <c r="L340" s="79"/>
      <c r="M340" s="79"/>
      <c r="N340" s="77"/>
      <c r="O340" s="79"/>
      <c r="P340" s="81"/>
      <c r="Q340" s="81"/>
      <c r="R340" s="79"/>
      <c r="S340" s="79"/>
      <c r="T340" s="79"/>
      <c r="U340" s="79"/>
      <c r="V340" s="79"/>
    </row>
    <row r="341" spans="1:22" ht="12.5" x14ac:dyDescent="0.25">
      <c r="A341" s="79"/>
      <c r="B341" s="79"/>
      <c r="C341" s="79"/>
      <c r="D341" s="79"/>
      <c r="E341" s="79"/>
      <c r="F341" s="77"/>
      <c r="G341" s="79"/>
      <c r="H341" s="79"/>
      <c r="I341" s="79"/>
      <c r="J341" s="78"/>
      <c r="K341" s="79"/>
      <c r="L341" s="79"/>
      <c r="M341" s="79"/>
      <c r="N341" s="77"/>
      <c r="O341" s="79"/>
      <c r="P341" s="81"/>
      <c r="Q341" s="81"/>
      <c r="R341" s="79"/>
      <c r="S341" s="79"/>
      <c r="T341" s="79"/>
      <c r="U341" s="79"/>
      <c r="V341" s="79"/>
    </row>
    <row r="342" spans="1:22" ht="12.5" x14ac:dyDescent="0.25">
      <c r="A342" s="79"/>
      <c r="B342" s="79"/>
      <c r="C342" s="79"/>
      <c r="D342" s="79"/>
      <c r="E342" s="79"/>
      <c r="F342" s="77"/>
      <c r="G342" s="79"/>
      <c r="H342" s="79"/>
      <c r="I342" s="79"/>
      <c r="J342" s="78"/>
      <c r="K342" s="79"/>
      <c r="L342" s="79"/>
      <c r="M342" s="79"/>
      <c r="N342" s="77"/>
      <c r="O342" s="79"/>
      <c r="P342" s="81"/>
      <c r="Q342" s="81"/>
      <c r="R342" s="79"/>
      <c r="S342" s="79"/>
      <c r="T342" s="79"/>
      <c r="U342" s="79"/>
      <c r="V342" s="79"/>
    </row>
    <row r="343" spans="1:22" ht="12.5" x14ac:dyDescent="0.25">
      <c r="A343" s="79"/>
      <c r="B343" s="79"/>
      <c r="C343" s="79"/>
      <c r="D343" s="79"/>
      <c r="E343" s="79"/>
      <c r="F343" s="77"/>
      <c r="G343" s="79"/>
      <c r="H343" s="79"/>
      <c r="I343" s="79"/>
      <c r="J343" s="78"/>
      <c r="K343" s="79"/>
      <c r="L343" s="79"/>
      <c r="M343" s="79"/>
      <c r="N343" s="77"/>
      <c r="O343" s="79"/>
      <c r="P343" s="81"/>
      <c r="Q343" s="81"/>
      <c r="R343" s="79"/>
      <c r="S343" s="79"/>
      <c r="T343" s="79"/>
      <c r="U343" s="79"/>
      <c r="V343" s="79"/>
    </row>
    <row r="344" spans="1:22" ht="12.5" x14ac:dyDescent="0.25">
      <c r="A344" s="79"/>
      <c r="B344" s="79"/>
      <c r="C344" s="79"/>
      <c r="D344" s="79"/>
      <c r="E344" s="79"/>
      <c r="F344" s="77"/>
      <c r="G344" s="79"/>
      <c r="H344" s="79"/>
      <c r="I344" s="79"/>
      <c r="J344" s="78"/>
      <c r="K344" s="79"/>
      <c r="L344" s="79"/>
      <c r="M344" s="79"/>
      <c r="N344" s="77"/>
      <c r="O344" s="79"/>
      <c r="P344" s="81"/>
      <c r="Q344" s="81"/>
      <c r="R344" s="79"/>
      <c r="S344" s="79"/>
      <c r="T344" s="79"/>
      <c r="U344" s="79"/>
      <c r="V344" s="79"/>
    </row>
    <row r="345" spans="1:22" ht="12.5" x14ac:dyDescent="0.25">
      <c r="A345" s="79"/>
      <c r="B345" s="79"/>
      <c r="C345" s="79"/>
      <c r="D345" s="79"/>
      <c r="E345" s="79"/>
      <c r="F345" s="77"/>
      <c r="G345" s="79"/>
      <c r="H345" s="79"/>
      <c r="I345" s="79"/>
      <c r="J345" s="78"/>
      <c r="K345" s="79"/>
      <c r="L345" s="79"/>
      <c r="M345" s="79"/>
      <c r="N345" s="77"/>
      <c r="O345" s="79"/>
      <c r="P345" s="81"/>
      <c r="Q345" s="81"/>
      <c r="R345" s="79"/>
      <c r="S345" s="79"/>
      <c r="T345" s="79"/>
      <c r="U345" s="79"/>
      <c r="V345" s="79"/>
    </row>
    <row r="346" spans="1:22" ht="12.5" x14ac:dyDescent="0.25">
      <c r="A346" s="79"/>
      <c r="B346" s="79"/>
      <c r="C346" s="79"/>
      <c r="D346" s="79"/>
      <c r="E346" s="79"/>
      <c r="F346" s="77"/>
      <c r="G346" s="79"/>
      <c r="H346" s="79"/>
      <c r="I346" s="79"/>
      <c r="J346" s="78"/>
      <c r="K346" s="79"/>
      <c r="L346" s="79"/>
      <c r="M346" s="79"/>
      <c r="N346" s="77"/>
      <c r="O346" s="79"/>
      <c r="P346" s="81"/>
      <c r="Q346" s="81"/>
      <c r="R346" s="79"/>
      <c r="S346" s="79"/>
      <c r="T346" s="79"/>
      <c r="U346" s="79"/>
      <c r="V346" s="79"/>
    </row>
    <row r="347" spans="1:22" ht="12.5" x14ac:dyDescent="0.25">
      <c r="A347" s="79"/>
      <c r="B347" s="79"/>
      <c r="C347" s="79"/>
      <c r="D347" s="79"/>
      <c r="E347" s="79"/>
      <c r="F347" s="77"/>
      <c r="G347" s="79"/>
      <c r="H347" s="79"/>
      <c r="I347" s="79"/>
      <c r="J347" s="78"/>
      <c r="K347" s="79"/>
      <c r="L347" s="79"/>
      <c r="M347" s="79"/>
      <c r="N347" s="77"/>
      <c r="O347" s="79"/>
      <c r="P347" s="81"/>
      <c r="Q347" s="81"/>
      <c r="R347" s="79"/>
      <c r="S347" s="79"/>
      <c r="T347" s="79"/>
      <c r="U347" s="79"/>
      <c r="V347" s="79"/>
    </row>
    <row r="348" spans="1:22" ht="12.5" x14ac:dyDescent="0.25">
      <c r="A348" s="79"/>
      <c r="B348" s="79"/>
      <c r="C348" s="79"/>
      <c r="D348" s="79"/>
      <c r="E348" s="79"/>
      <c r="F348" s="77"/>
      <c r="G348" s="79"/>
      <c r="H348" s="79"/>
      <c r="I348" s="79"/>
      <c r="J348" s="78"/>
      <c r="K348" s="79"/>
      <c r="L348" s="79"/>
      <c r="M348" s="79"/>
      <c r="N348" s="77"/>
      <c r="O348" s="79"/>
      <c r="P348" s="81"/>
      <c r="Q348" s="81"/>
      <c r="R348" s="79"/>
      <c r="S348" s="79"/>
      <c r="T348" s="79"/>
      <c r="U348" s="79"/>
      <c r="V348" s="79"/>
    </row>
    <row r="349" spans="1:22" ht="12.5" x14ac:dyDescent="0.25">
      <c r="A349" s="79"/>
      <c r="B349" s="79"/>
      <c r="C349" s="79"/>
      <c r="D349" s="79"/>
      <c r="E349" s="79"/>
      <c r="F349" s="77"/>
      <c r="G349" s="79"/>
      <c r="H349" s="79"/>
      <c r="I349" s="79"/>
      <c r="J349" s="78"/>
      <c r="K349" s="79"/>
      <c r="L349" s="79"/>
      <c r="M349" s="79"/>
      <c r="N349" s="77"/>
      <c r="O349" s="79"/>
      <c r="P349" s="81"/>
      <c r="Q349" s="81"/>
      <c r="R349" s="79"/>
      <c r="S349" s="79"/>
      <c r="T349" s="79"/>
      <c r="U349" s="79"/>
      <c r="V349" s="79"/>
    </row>
    <row r="350" spans="1:22" ht="12.5" x14ac:dyDescent="0.25">
      <c r="A350" s="79"/>
      <c r="B350" s="79"/>
      <c r="C350" s="79"/>
      <c r="D350" s="79"/>
      <c r="E350" s="79"/>
      <c r="F350" s="77"/>
      <c r="G350" s="79"/>
      <c r="H350" s="79"/>
      <c r="I350" s="79"/>
      <c r="J350" s="78"/>
      <c r="K350" s="79"/>
      <c r="L350" s="79"/>
      <c r="M350" s="79"/>
      <c r="N350" s="77"/>
      <c r="O350" s="79"/>
      <c r="P350" s="81"/>
      <c r="Q350" s="81"/>
      <c r="R350" s="79"/>
      <c r="S350" s="79"/>
      <c r="T350" s="79"/>
      <c r="U350" s="79"/>
      <c r="V350" s="79"/>
    </row>
    <row r="351" spans="1:22" ht="12.5" x14ac:dyDescent="0.25">
      <c r="A351" s="79"/>
      <c r="B351" s="79"/>
      <c r="C351" s="79"/>
      <c r="D351" s="79"/>
      <c r="E351" s="79"/>
      <c r="F351" s="77"/>
      <c r="G351" s="79"/>
      <c r="H351" s="79"/>
      <c r="I351" s="79"/>
      <c r="J351" s="78"/>
      <c r="K351" s="79"/>
      <c r="L351" s="79"/>
      <c r="M351" s="79"/>
      <c r="N351" s="77"/>
      <c r="O351" s="79"/>
      <c r="P351" s="81"/>
      <c r="Q351" s="81"/>
      <c r="R351" s="79"/>
      <c r="S351" s="79"/>
      <c r="T351" s="79"/>
      <c r="U351" s="79"/>
      <c r="V351" s="79"/>
    </row>
    <row r="352" spans="1:22" ht="12.5" x14ac:dyDescent="0.25">
      <c r="A352" s="79"/>
      <c r="B352" s="79"/>
      <c r="C352" s="79"/>
      <c r="D352" s="79"/>
      <c r="E352" s="79"/>
      <c r="F352" s="77"/>
      <c r="G352" s="79"/>
      <c r="H352" s="79"/>
      <c r="I352" s="79"/>
      <c r="J352" s="78"/>
      <c r="K352" s="79"/>
      <c r="L352" s="79"/>
      <c r="M352" s="79"/>
      <c r="N352" s="77"/>
      <c r="O352" s="79"/>
      <c r="P352" s="81"/>
      <c r="Q352" s="81"/>
      <c r="R352" s="79"/>
      <c r="S352" s="79"/>
      <c r="T352" s="79"/>
      <c r="U352" s="79"/>
      <c r="V352" s="79"/>
    </row>
    <row r="353" spans="1:22" ht="12.5" x14ac:dyDescent="0.25">
      <c r="A353" s="79"/>
      <c r="B353" s="79"/>
      <c r="C353" s="79"/>
      <c r="D353" s="79"/>
      <c r="E353" s="79"/>
      <c r="F353" s="77"/>
      <c r="G353" s="79"/>
      <c r="H353" s="79"/>
      <c r="I353" s="79"/>
      <c r="J353" s="78"/>
      <c r="K353" s="79"/>
      <c r="L353" s="79"/>
      <c r="M353" s="79"/>
      <c r="N353" s="77"/>
      <c r="O353" s="79"/>
      <c r="P353" s="81"/>
      <c r="Q353" s="81"/>
      <c r="R353" s="79"/>
      <c r="S353" s="79"/>
      <c r="T353" s="79"/>
      <c r="U353" s="79"/>
      <c r="V353" s="79"/>
    </row>
    <row r="354" spans="1:22" ht="12.5" x14ac:dyDescent="0.25">
      <c r="A354" s="79"/>
      <c r="B354" s="79"/>
      <c r="C354" s="79"/>
      <c r="D354" s="79"/>
      <c r="E354" s="79"/>
      <c r="F354" s="77"/>
      <c r="G354" s="79"/>
      <c r="H354" s="79"/>
      <c r="I354" s="79"/>
      <c r="J354" s="78"/>
      <c r="K354" s="79"/>
      <c r="L354" s="79"/>
      <c r="M354" s="79"/>
      <c r="N354" s="77"/>
      <c r="O354" s="79"/>
      <c r="P354" s="81"/>
      <c r="Q354" s="81"/>
      <c r="R354" s="79"/>
      <c r="S354" s="79"/>
      <c r="T354" s="79"/>
      <c r="U354" s="79"/>
      <c r="V354" s="79"/>
    </row>
    <row r="355" spans="1:22" ht="12.5" x14ac:dyDescent="0.25">
      <c r="A355" s="79"/>
      <c r="B355" s="79"/>
      <c r="C355" s="79"/>
      <c r="D355" s="79"/>
      <c r="E355" s="79"/>
      <c r="F355" s="77"/>
      <c r="G355" s="79"/>
      <c r="H355" s="79"/>
      <c r="I355" s="79"/>
      <c r="J355" s="78"/>
      <c r="K355" s="79"/>
      <c r="L355" s="79"/>
      <c r="M355" s="79"/>
      <c r="N355" s="77"/>
      <c r="O355" s="79"/>
      <c r="P355" s="81"/>
      <c r="Q355" s="81"/>
      <c r="R355" s="79"/>
      <c r="S355" s="79"/>
      <c r="T355" s="79"/>
      <c r="U355" s="79"/>
      <c r="V355" s="79"/>
    </row>
    <row r="356" spans="1:22" ht="12.5" x14ac:dyDescent="0.25">
      <c r="A356" s="79"/>
      <c r="B356" s="79"/>
      <c r="C356" s="79"/>
      <c r="D356" s="79"/>
      <c r="E356" s="79"/>
      <c r="F356" s="77"/>
      <c r="G356" s="79"/>
      <c r="H356" s="79"/>
      <c r="I356" s="79"/>
      <c r="J356" s="78"/>
      <c r="K356" s="79"/>
      <c r="L356" s="79"/>
      <c r="M356" s="79"/>
      <c r="N356" s="77"/>
      <c r="O356" s="79"/>
      <c r="P356" s="81"/>
      <c r="Q356" s="81"/>
      <c r="R356" s="79"/>
      <c r="S356" s="79"/>
      <c r="T356" s="79"/>
      <c r="U356" s="79"/>
      <c r="V356" s="79"/>
    </row>
    <row r="357" spans="1:22" ht="12.5" x14ac:dyDescent="0.25">
      <c r="A357" s="79"/>
      <c r="B357" s="79"/>
      <c r="C357" s="79"/>
      <c r="D357" s="79"/>
      <c r="E357" s="79"/>
      <c r="F357" s="77"/>
      <c r="G357" s="79"/>
      <c r="H357" s="79"/>
      <c r="I357" s="79"/>
      <c r="J357" s="78"/>
      <c r="K357" s="79"/>
      <c r="L357" s="79"/>
      <c r="M357" s="79"/>
      <c r="N357" s="77"/>
      <c r="O357" s="79"/>
      <c r="P357" s="81"/>
      <c r="Q357" s="81"/>
      <c r="R357" s="79"/>
      <c r="S357" s="79"/>
      <c r="T357" s="79"/>
      <c r="U357" s="79"/>
      <c r="V357" s="79"/>
    </row>
    <row r="358" spans="1:22" ht="12.5" x14ac:dyDescent="0.25">
      <c r="A358" s="79"/>
      <c r="B358" s="79"/>
      <c r="C358" s="79"/>
      <c r="D358" s="79"/>
      <c r="E358" s="79"/>
      <c r="F358" s="77"/>
      <c r="G358" s="79"/>
      <c r="H358" s="79"/>
      <c r="I358" s="79"/>
      <c r="J358" s="78"/>
      <c r="K358" s="79"/>
      <c r="L358" s="79"/>
      <c r="M358" s="79"/>
      <c r="N358" s="77"/>
      <c r="O358" s="79"/>
      <c r="P358" s="81"/>
      <c r="Q358" s="81"/>
      <c r="R358" s="79"/>
      <c r="S358" s="79"/>
      <c r="T358" s="79"/>
      <c r="U358" s="79"/>
      <c r="V358" s="79"/>
    </row>
    <row r="359" spans="1:22" ht="12.5" x14ac:dyDescent="0.25">
      <c r="A359" s="79"/>
      <c r="B359" s="79"/>
      <c r="C359" s="79"/>
      <c r="D359" s="79"/>
      <c r="E359" s="79"/>
      <c r="F359" s="77"/>
      <c r="G359" s="79"/>
      <c r="H359" s="79"/>
      <c r="I359" s="79"/>
      <c r="J359" s="78"/>
      <c r="K359" s="79"/>
      <c r="L359" s="79"/>
      <c r="M359" s="79"/>
      <c r="N359" s="77"/>
      <c r="O359" s="79"/>
      <c r="P359" s="81"/>
      <c r="Q359" s="81"/>
      <c r="R359" s="79"/>
      <c r="S359" s="79"/>
      <c r="T359" s="79"/>
      <c r="U359" s="79"/>
      <c r="V359" s="79"/>
    </row>
    <row r="360" spans="1:22" ht="12.5" x14ac:dyDescent="0.25">
      <c r="A360" s="79"/>
      <c r="B360" s="79"/>
      <c r="C360" s="79"/>
      <c r="D360" s="79"/>
      <c r="E360" s="79"/>
      <c r="F360" s="77"/>
      <c r="G360" s="79"/>
      <c r="H360" s="79"/>
      <c r="I360" s="79"/>
      <c r="J360" s="78"/>
      <c r="K360" s="79"/>
      <c r="L360" s="79"/>
      <c r="M360" s="79"/>
      <c r="N360" s="77"/>
      <c r="O360" s="79"/>
      <c r="P360" s="81"/>
      <c r="Q360" s="81"/>
      <c r="R360" s="79"/>
      <c r="S360" s="79"/>
      <c r="T360" s="79"/>
      <c r="U360" s="79"/>
      <c r="V360" s="79"/>
    </row>
    <row r="361" spans="1:22" ht="12.5" x14ac:dyDescent="0.25">
      <c r="A361" s="79"/>
      <c r="B361" s="79"/>
      <c r="C361" s="79"/>
      <c r="D361" s="79"/>
      <c r="E361" s="79"/>
      <c r="F361" s="77"/>
      <c r="G361" s="79"/>
      <c r="H361" s="79"/>
      <c r="I361" s="79"/>
      <c r="J361" s="78"/>
      <c r="K361" s="79"/>
      <c r="L361" s="79"/>
      <c r="M361" s="79"/>
      <c r="N361" s="77"/>
      <c r="O361" s="79"/>
      <c r="P361" s="81"/>
      <c r="Q361" s="81"/>
      <c r="R361" s="79"/>
      <c r="S361" s="79"/>
      <c r="T361" s="79"/>
      <c r="U361" s="79"/>
      <c r="V361" s="79"/>
    </row>
    <row r="362" spans="1:22" ht="12.5" x14ac:dyDescent="0.25">
      <c r="A362" s="79"/>
      <c r="B362" s="79"/>
      <c r="C362" s="79"/>
      <c r="D362" s="79"/>
      <c r="E362" s="79"/>
      <c r="F362" s="77"/>
      <c r="G362" s="79"/>
      <c r="H362" s="79"/>
      <c r="I362" s="79"/>
      <c r="J362" s="78"/>
      <c r="K362" s="79"/>
      <c r="L362" s="79"/>
      <c r="M362" s="79"/>
      <c r="N362" s="77"/>
      <c r="O362" s="79"/>
      <c r="P362" s="81"/>
      <c r="Q362" s="81"/>
      <c r="R362" s="79"/>
      <c r="S362" s="79"/>
      <c r="T362" s="79"/>
      <c r="U362" s="79"/>
      <c r="V362" s="79"/>
    </row>
    <row r="363" spans="1:22" ht="12.5" x14ac:dyDescent="0.25">
      <c r="A363" s="79"/>
      <c r="B363" s="79"/>
      <c r="C363" s="79"/>
      <c r="D363" s="79"/>
      <c r="E363" s="79"/>
      <c r="F363" s="77"/>
      <c r="G363" s="79"/>
      <c r="H363" s="79"/>
      <c r="I363" s="79"/>
      <c r="J363" s="78"/>
      <c r="K363" s="79"/>
      <c r="L363" s="79"/>
      <c r="M363" s="79"/>
      <c r="N363" s="77"/>
      <c r="O363" s="79"/>
      <c r="P363" s="81"/>
      <c r="Q363" s="81"/>
      <c r="R363" s="79"/>
      <c r="S363" s="79"/>
      <c r="T363" s="79"/>
      <c r="U363" s="79"/>
      <c r="V363" s="79"/>
    </row>
    <row r="364" spans="1:22" ht="12.5" x14ac:dyDescent="0.25">
      <c r="A364" s="79"/>
      <c r="B364" s="79"/>
      <c r="C364" s="79"/>
      <c r="D364" s="79"/>
      <c r="E364" s="79"/>
      <c r="F364" s="77"/>
      <c r="G364" s="79"/>
      <c r="H364" s="79"/>
      <c r="I364" s="79"/>
      <c r="J364" s="78"/>
      <c r="K364" s="79"/>
      <c r="L364" s="79"/>
      <c r="M364" s="79"/>
      <c r="N364" s="77"/>
      <c r="O364" s="79"/>
      <c r="P364" s="81"/>
      <c r="Q364" s="81"/>
      <c r="R364" s="79"/>
      <c r="S364" s="79"/>
      <c r="T364" s="79"/>
      <c r="U364" s="79"/>
      <c r="V364" s="79"/>
    </row>
    <row r="365" spans="1:22" ht="12.5" x14ac:dyDescent="0.25">
      <c r="A365" s="79"/>
      <c r="B365" s="79"/>
      <c r="C365" s="79"/>
      <c r="D365" s="79"/>
      <c r="E365" s="79"/>
      <c r="F365" s="77"/>
      <c r="G365" s="79"/>
      <c r="H365" s="79"/>
      <c r="I365" s="79"/>
      <c r="J365" s="78"/>
      <c r="K365" s="79"/>
      <c r="L365" s="79"/>
      <c r="M365" s="79"/>
      <c r="N365" s="77"/>
      <c r="O365" s="79"/>
      <c r="P365" s="81"/>
      <c r="Q365" s="81"/>
      <c r="R365" s="79"/>
      <c r="S365" s="79"/>
      <c r="T365" s="79"/>
      <c r="U365" s="79"/>
      <c r="V365" s="79"/>
    </row>
    <row r="366" spans="1:22" ht="12.5" x14ac:dyDescent="0.25">
      <c r="A366" s="79"/>
      <c r="B366" s="79"/>
      <c r="C366" s="79"/>
      <c r="D366" s="79"/>
      <c r="E366" s="79"/>
      <c r="F366" s="77"/>
      <c r="G366" s="79"/>
      <c r="H366" s="79"/>
      <c r="I366" s="79"/>
      <c r="J366" s="78"/>
      <c r="K366" s="79"/>
      <c r="L366" s="79"/>
      <c r="M366" s="79"/>
      <c r="N366" s="77"/>
      <c r="O366" s="79"/>
      <c r="P366" s="81"/>
      <c r="Q366" s="81"/>
      <c r="R366" s="79"/>
      <c r="S366" s="79"/>
      <c r="T366" s="79"/>
      <c r="U366" s="79"/>
      <c r="V366" s="79"/>
    </row>
    <row r="367" spans="1:22" ht="12.5" x14ac:dyDescent="0.25">
      <c r="A367" s="79"/>
      <c r="B367" s="79"/>
      <c r="C367" s="79"/>
      <c r="D367" s="79"/>
      <c r="E367" s="79"/>
      <c r="F367" s="77"/>
      <c r="G367" s="79"/>
      <c r="H367" s="79"/>
      <c r="I367" s="79"/>
      <c r="J367" s="78"/>
      <c r="K367" s="79"/>
      <c r="L367" s="79"/>
      <c r="M367" s="79"/>
      <c r="N367" s="77"/>
      <c r="O367" s="79"/>
      <c r="P367" s="81"/>
      <c r="Q367" s="81"/>
      <c r="R367" s="79"/>
      <c r="S367" s="79"/>
      <c r="T367" s="79"/>
      <c r="U367" s="79"/>
      <c r="V367" s="79"/>
    </row>
    <row r="368" spans="1:22" ht="12.5" x14ac:dyDescent="0.25">
      <c r="A368" s="79"/>
      <c r="B368" s="79"/>
      <c r="C368" s="79"/>
      <c r="D368" s="79"/>
      <c r="E368" s="79"/>
      <c r="F368" s="77"/>
      <c r="G368" s="79"/>
      <c r="H368" s="79"/>
      <c r="I368" s="79"/>
      <c r="J368" s="78"/>
      <c r="K368" s="79"/>
      <c r="L368" s="79"/>
      <c r="M368" s="79"/>
      <c r="N368" s="77"/>
      <c r="O368" s="79"/>
      <c r="P368" s="81"/>
      <c r="Q368" s="81"/>
      <c r="R368" s="79"/>
      <c r="S368" s="79"/>
      <c r="T368" s="79"/>
      <c r="U368" s="79"/>
      <c r="V368" s="79"/>
    </row>
    <row r="369" spans="1:22" ht="12.5" x14ac:dyDescent="0.25">
      <c r="A369" s="79"/>
      <c r="B369" s="79"/>
      <c r="C369" s="79"/>
      <c r="D369" s="79"/>
      <c r="E369" s="79"/>
      <c r="F369" s="77"/>
      <c r="G369" s="79"/>
      <c r="H369" s="79"/>
      <c r="I369" s="79"/>
      <c r="J369" s="78"/>
      <c r="K369" s="79"/>
      <c r="L369" s="79"/>
      <c r="M369" s="79"/>
      <c r="N369" s="77"/>
      <c r="O369" s="79"/>
      <c r="P369" s="81"/>
      <c r="Q369" s="81"/>
      <c r="R369" s="79"/>
      <c r="S369" s="79"/>
      <c r="T369" s="79"/>
      <c r="U369" s="79"/>
      <c r="V369" s="79"/>
    </row>
    <row r="370" spans="1:22" ht="12.5" x14ac:dyDescent="0.25">
      <c r="A370" s="79"/>
      <c r="B370" s="79"/>
      <c r="C370" s="79"/>
      <c r="D370" s="79"/>
      <c r="E370" s="79"/>
      <c r="F370" s="77"/>
      <c r="G370" s="79"/>
      <c r="H370" s="79"/>
      <c r="I370" s="79"/>
      <c r="J370" s="78"/>
      <c r="K370" s="79"/>
      <c r="L370" s="79"/>
      <c r="M370" s="79"/>
      <c r="N370" s="77"/>
      <c r="O370" s="79"/>
      <c r="P370" s="81"/>
      <c r="Q370" s="81"/>
      <c r="R370" s="79"/>
      <c r="S370" s="79"/>
      <c r="T370" s="79"/>
      <c r="U370" s="79"/>
      <c r="V370" s="79"/>
    </row>
    <row r="371" spans="1:22" ht="12.5" x14ac:dyDescent="0.25">
      <c r="A371" s="79"/>
      <c r="B371" s="79"/>
      <c r="C371" s="79"/>
      <c r="D371" s="79"/>
      <c r="E371" s="79"/>
      <c r="F371" s="77"/>
      <c r="G371" s="79"/>
      <c r="H371" s="79"/>
      <c r="I371" s="79"/>
      <c r="J371" s="78"/>
      <c r="K371" s="79"/>
      <c r="L371" s="79"/>
      <c r="M371" s="79"/>
      <c r="N371" s="77"/>
      <c r="O371" s="79"/>
      <c r="P371" s="81"/>
      <c r="Q371" s="81"/>
      <c r="R371" s="79"/>
      <c r="S371" s="79"/>
      <c r="T371" s="79"/>
      <c r="U371" s="79"/>
      <c r="V371" s="79"/>
    </row>
    <row r="372" spans="1:22" ht="12.5" x14ac:dyDescent="0.25">
      <c r="A372" s="79"/>
      <c r="B372" s="79"/>
      <c r="C372" s="79"/>
      <c r="D372" s="79"/>
      <c r="E372" s="79"/>
      <c r="F372" s="77"/>
      <c r="G372" s="79"/>
      <c r="H372" s="79"/>
      <c r="I372" s="79"/>
      <c r="J372" s="78"/>
      <c r="K372" s="79"/>
      <c r="L372" s="79"/>
      <c r="M372" s="79"/>
      <c r="N372" s="77"/>
      <c r="O372" s="79"/>
      <c r="P372" s="81"/>
      <c r="Q372" s="81"/>
      <c r="R372" s="79"/>
      <c r="S372" s="79"/>
      <c r="T372" s="79"/>
      <c r="U372" s="79"/>
      <c r="V372" s="79"/>
    </row>
    <row r="373" spans="1:22" ht="12.5" x14ac:dyDescent="0.25">
      <c r="A373" s="79"/>
      <c r="B373" s="79"/>
      <c r="C373" s="79"/>
      <c r="D373" s="79"/>
      <c r="E373" s="79"/>
      <c r="F373" s="77"/>
      <c r="G373" s="79"/>
      <c r="H373" s="79"/>
      <c r="I373" s="79"/>
      <c r="J373" s="78"/>
      <c r="K373" s="79"/>
      <c r="L373" s="79"/>
      <c r="M373" s="79"/>
      <c r="N373" s="77"/>
      <c r="O373" s="79"/>
      <c r="P373" s="81"/>
      <c r="Q373" s="81"/>
      <c r="R373" s="79"/>
      <c r="S373" s="79"/>
      <c r="T373" s="79"/>
      <c r="U373" s="79"/>
      <c r="V373" s="79"/>
    </row>
    <row r="374" spans="1:22" ht="12.5" x14ac:dyDescent="0.25">
      <c r="A374" s="79"/>
      <c r="B374" s="79"/>
      <c r="C374" s="79"/>
      <c r="D374" s="79"/>
      <c r="E374" s="79"/>
      <c r="F374" s="77"/>
      <c r="G374" s="79"/>
      <c r="H374" s="79"/>
      <c r="I374" s="79"/>
      <c r="J374" s="78"/>
      <c r="K374" s="79"/>
      <c r="L374" s="79"/>
      <c r="M374" s="79"/>
      <c r="N374" s="77"/>
      <c r="O374" s="79"/>
      <c r="P374" s="81"/>
      <c r="Q374" s="81"/>
      <c r="R374" s="79"/>
      <c r="S374" s="79"/>
      <c r="T374" s="79"/>
      <c r="U374" s="79"/>
      <c r="V374" s="79"/>
    </row>
    <row r="375" spans="1:22" ht="12.5" x14ac:dyDescent="0.25">
      <c r="A375" s="79"/>
      <c r="B375" s="79"/>
      <c r="C375" s="79"/>
      <c r="D375" s="79"/>
      <c r="E375" s="79"/>
      <c r="F375" s="77"/>
      <c r="G375" s="79"/>
      <c r="H375" s="79"/>
      <c r="I375" s="79"/>
      <c r="J375" s="78"/>
      <c r="K375" s="79"/>
      <c r="L375" s="79"/>
      <c r="M375" s="79"/>
      <c r="N375" s="77"/>
      <c r="O375" s="79"/>
      <c r="P375" s="81"/>
      <c r="Q375" s="81"/>
      <c r="R375" s="79"/>
      <c r="S375" s="79"/>
      <c r="T375" s="79"/>
      <c r="U375" s="79"/>
      <c r="V375" s="79"/>
    </row>
    <row r="376" spans="1:22" ht="12.5" x14ac:dyDescent="0.25">
      <c r="A376" s="79"/>
      <c r="B376" s="79"/>
      <c r="C376" s="79"/>
      <c r="D376" s="79"/>
      <c r="E376" s="79"/>
      <c r="F376" s="77"/>
      <c r="G376" s="79"/>
      <c r="H376" s="79"/>
      <c r="I376" s="79"/>
      <c r="J376" s="78"/>
      <c r="K376" s="79"/>
      <c r="L376" s="79"/>
      <c r="M376" s="79"/>
      <c r="N376" s="77"/>
      <c r="O376" s="79"/>
      <c r="P376" s="81"/>
      <c r="Q376" s="81"/>
      <c r="R376" s="79"/>
      <c r="S376" s="79"/>
      <c r="T376" s="79"/>
      <c r="U376" s="79"/>
      <c r="V376" s="79"/>
    </row>
    <row r="377" spans="1:22" ht="12.5" x14ac:dyDescent="0.25">
      <c r="A377" s="79"/>
      <c r="B377" s="79"/>
      <c r="C377" s="79"/>
      <c r="D377" s="79"/>
      <c r="E377" s="79"/>
      <c r="F377" s="77"/>
      <c r="G377" s="79"/>
      <c r="H377" s="79"/>
      <c r="I377" s="79"/>
      <c r="J377" s="78"/>
      <c r="K377" s="79"/>
      <c r="L377" s="79"/>
      <c r="M377" s="79"/>
      <c r="N377" s="77"/>
      <c r="O377" s="79"/>
      <c r="P377" s="81"/>
      <c r="Q377" s="81"/>
      <c r="R377" s="79"/>
      <c r="S377" s="79"/>
      <c r="T377" s="79"/>
      <c r="U377" s="79"/>
      <c r="V377" s="79"/>
    </row>
    <row r="378" spans="1:22" ht="12.5" x14ac:dyDescent="0.25">
      <c r="A378" s="79"/>
      <c r="B378" s="79"/>
      <c r="C378" s="79"/>
      <c r="D378" s="79"/>
      <c r="E378" s="79"/>
      <c r="F378" s="77"/>
      <c r="G378" s="79"/>
      <c r="H378" s="79"/>
      <c r="I378" s="79"/>
      <c r="J378" s="78"/>
      <c r="K378" s="79"/>
      <c r="L378" s="79"/>
      <c r="M378" s="79"/>
      <c r="N378" s="77"/>
      <c r="O378" s="79"/>
      <c r="P378" s="81"/>
      <c r="Q378" s="81"/>
      <c r="R378" s="79"/>
      <c r="S378" s="79"/>
      <c r="T378" s="79"/>
      <c r="U378" s="79"/>
      <c r="V378" s="79"/>
    </row>
    <row r="379" spans="1:22" ht="12.5" x14ac:dyDescent="0.25">
      <c r="A379" s="79"/>
      <c r="B379" s="79"/>
      <c r="C379" s="79"/>
      <c r="D379" s="79"/>
      <c r="E379" s="79"/>
      <c r="F379" s="77"/>
      <c r="G379" s="79"/>
      <c r="H379" s="79"/>
      <c r="I379" s="79"/>
      <c r="J379" s="78"/>
      <c r="K379" s="79"/>
      <c r="L379" s="79"/>
      <c r="M379" s="79"/>
      <c r="N379" s="77"/>
      <c r="O379" s="79"/>
      <c r="P379" s="81"/>
      <c r="Q379" s="81"/>
      <c r="R379" s="79"/>
      <c r="S379" s="79"/>
      <c r="T379" s="79"/>
      <c r="U379" s="79"/>
      <c r="V379" s="79"/>
    </row>
    <row r="380" spans="1:22" ht="12.5" x14ac:dyDescent="0.25">
      <c r="A380" s="79"/>
      <c r="B380" s="79"/>
      <c r="C380" s="79"/>
      <c r="D380" s="79"/>
      <c r="E380" s="79"/>
      <c r="F380" s="77"/>
      <c r="G380" s="79"/>
      <c r="H380" s="79"/>
      <c r="I380" s="79"/>
      <c r="J380" s="78"/>
      <c r="K380" s="79"/>
      <c r="L380" s="79"/>
      <c r="M380" s="79"/>
      <c r="N380" s="77"/>
      <c r="O380" s="79"/>
      <c r="P380" s="81"/>
      <c r="Q380" s="81"/>
      <c r="R380" s="79"/>
      <c r="S380" s="79"/>
      <c r="T380" s="79"/>
      <c r="U380" s="79"/>
      <c r="V380" s="79"/>
    </row>
    <row r="381" spans="1:22" ht="12.5" x14ac:dyDescent="0.25">
      <c r="A381" s="79"/>
      <c r="B381" s="79"/>
      <c r="C381" s="79"/>
      <c r="D381" s="79"/>
      <c r="E381" s="79"/>
      <c r="F381" s="77"/>
      <c r="G381" s="79"/>
      <c r="H381" s="79"/>
      <c r="I381" s="79"/>
      <c r="J381" s="78"/>
      <c r="K381" s="79"/>
      <c r="L381" s="79"/>
      <c r="M381" s="79"/>
      <c r="N381" s="77"/>
      <c r="O381" s="79"/>
      <c r="P381" s="81"/>
      <c r="Q381" s="81"/>
      <c r="R381" s="79"/>
      <c r="S381" s="79"/>
      <c r="T381" s="79"/>
      <c r="U381" s="79"/>
      <c r="V381" s="79"/>
    </row>
    <row r="382" spans="1:22" ht="12.5" x14ac:dyDescent="0.25">
      <c r="A382" s="79"/>
      <c r="B382" s="79"/>
      <c r="C382" s="79"/>
      <c r="D382" s="79"/>
      <c r="E382" s="79"/>
      <c r="F382" s="77"/>
      <c r="G382" s="79"/>
      <c r="H382" s="79"/>
      <c r="I382" s="79"/>
      <c r="J382" s="78"/>
      <c r="K382" s="79"/>
      <c r="L382" s="79"/>
      <c r="M382" s="79"/>
      <c r="N382" s="77"/>
      <c r="O382" s="79"/>
      <c r="P382" s="81"/>
      <c r="Q382" s="81"/>
      <c r="R382" s="79"/>
      <c r="S382" s="79"/>
      <c r="T382" s="79"/>
      <c r="U382" s="79"/>
      <c r="V382" s="79"/>
    </row>
    <row r="383" spans="1:22" ht="12.5" x14ac:dyDescent="0.25">
      <c r="A383" s="79"/>
      <c r="B383" s="79"/>
      <c r="C383" s="79"/>
      <c r="D383" s="79"/>
      <c r="E383" s="79"/>
      <c r="F383" s="77"/>
      <c r="G383" s="79"/>
      <c r="H383" s="79"/>
      <c r="I383" s="79"/>
      <c r="J383" s="78"/>
      <c r="K383" s="79"/>
      <c r="L383" s="79"/>
      <c r="M383" s="79"/>
      <c r="N383" s="77"/>
      <c r="O383" s="79"/>
      <c r="P383" s="81"/>
      <c r="Q383" s="81"/>
      <c r="R383" s="79"/>
      <c r="S383" s="79"/>
      <c r="T383" s="79"/>
      <c r="U383" s="79"/>
      <c r="V383" s="79"/>
    </row>
    <row r="384" spans="1:22" ht="12.5" x14ac:dyDescent="0.25">
      <c r="A384" s="79"/>
      <c r="B384" s="79"/>
      <c r="C384" s="79"/>
      <c r="D384" s="79"/>
      <c r="E384" s="79"/>
      <c r="F384" s="77"/>
      <c r="G384" s="79"/>
      <c r="H384" s="79"/>
      <c r="I384" s="79"/>
      <c r="J384" s="78"/>
      <c r="K384" s="79"/>
      <c r="L384" s="79"/>
      <c r="M384" s="79"/>
      <c r="N384" s="77"/>
      <c r="O384" s="79"/>
      <c r="P384" s="81"/>
      <c r="Q384" s="81"/>
      <c r="R384" s="79"/>
      <c r="S384" s="79"/>
      <c r="T384" s="79"/>
      <c r="U384" s="79"/>
      <c r="V384" s="79"/>
    </row>
    <row r="385" spans="1:22" ht="12.5" x14ac:dyDescent="0.25">
      <c r="A385" s="79"/>
      <c r="B385" s="79"/>
      <c r="C385" s="79"/>
      <c r="D385" s="79"/>
      <c r="E385" s="79"/>
      <c r="F385" s="77"/>
      <c r="G385" s="79"/>
      <c r="H385" s="79"/>
      <c r="I385" s="79"/>
      <c r="J385" s="78"/>
      <c r="K385" s="79"/>
      <c r="L385" s="79"/>
      <c r="M385" s="79"/>
      <c r="N385" s="77"/>
      <c r="O385" s="79"/>
      <c r="P385" s="81"/>
      <c r="Q385" s="81"/>
      <c r="R385" s="79"/>
      <c r="S385" s="79"/>
      <c r="T385" s="79"/>
      <c r="U385" s="79"/>
      <c r="V385" s="79"/>
    </row>
    <row r="386" spans="1:22" ht="12.5" x14ac:dyDescent="0.25">
      <c r="A386" s="79"/>
      <c r="B386" s="79"/>
      <c r="C386" s="79"/>
      <c r="D386" s="79"/>
      <c r="E386" s="79"/>
      <c r="F386" s="77"/>
      <c r="G386" s="79"/>
      <c r="H386" s="79"/>
      <c r="I386" s="79"/>
      <c r="J386" s="78"/>
      <c r="K386" s="79"/>
      <c r="L386" s="79"/>
      <c r="M386" s="79"/>
      <c r="N386" s="77"/>
      <c r="O386" s="79"/>
      <c r="P386" s="81"/>
      <c r="Q386" s="81"/>
      <c r="R386" s="79"/>
      <c r="S386" s="79"/>
      <c r="T386" s="79"/>
      <c r="U386" s="79"/>
      <c r="V386" s="79"/>
    </row>
    <row r="387" spans="1:22" ht="12.5" x14ac:dyDescent="0.25">
      <c r="A387" s="79"/>
      <c r="B387" s="79"/>
      <c r="C387" s="79"/>
      <c r="D387" s="79"/>
      <c r="E387" s="79"/>
      <c r="F387" s="77"/>
      <c r="G387" s="79"/>
      <c r="H387" s="79"/>
      <c r="I387" s="79"/>
      <c r="J387" s="78"/>
      <c r="K387" s="79"/>
      <c r="L387" s="79"/>
      <c r="M387" s="79"/>
      <c r="N387" s="77"/>
      <c r="O387" s="79"/>
      <c r="P387" s="81"/>
      <c r="Q387" s="81"/>
      <c r="R387" s="79"/>
      <c r="S387" s="79"/>
      <c r="T387" s="79"/>
      <c r="U387" s="79"/>
      <c r="V387" s="79"/>
    </row>
    <row r="388" spans="1:22" ht="12.5" x14ac:dyDescent="0.25">
      <c r="A388" s="79"/>
      <c r="B388" s="79"/>
      <c r="C388" s="79"/>
      <c r="D388" s="79"/>
      <c r="E388" s="79"/>
      <c r="F388" s="77"/>
      <c r="G388" s="79"/>
      <c r="H388" s="79"/>
      <c r="I388" s="79"/>
      <c r="J388" s="78"/>
      <c r="K388" s="79"/>
      <c r="L388" s="79"/>
      <c r="M388" s="79"/>
      <c r="N388" s="77"/>
      <c r="O388" s="79"/>
      <c r="P388" s="81"/>
      <c r="Q388" s="81"/>
      <c r="R388" s="79"/>
      <c r="S388" s="79"/>
      <c r="T388" s="79"/>
      <c r="U388" s="79"/>
      <c r="V388" s="79"/>
    </row>
    <row r="389" spans="1:22" ht="12.5" x14ac:dyDescent="0.25">
      <c r="A389" s="79"/>
      <c r="B389" s="79"/>
      <c r="C389" s="79"/>
      <c r="D389" s="79"/>
      <c r="E389" s="79"/>
      <c r="F389" s="77"/>
      <c r="G389" s="79"/>
      <c r="H389" s="79"/>
      <c r="I389" s="79"/>
      <c r="J389" s="78"/>
      <c r="K389" s="79"/>
      <c r="L389" s="79"/>
      <c r="M389" s="79"/>
      <c r="N389" s="77"/>
      <c r="O389" s="79"/>
      <c r="P389" s="81"/>
      <c r="Q389" s="81"/>
      <c r="R389" s="79"/>
      <c r="S389" s="79"/>
      <c r="T389" s="79"/>
      <c r="U389" s="79"/>
      <c r="V389" s="79"/>
    </row>
    <row r="390" spans="1:22" ht="12.5" x14ac:dyDescent="0.25">
      <c r="A390" s="79"/>
      <c r="B390" s="79"/>
      <c r="C390" s="79"/>
      <c r="D390" s="79"/>
      <c r="E390" s="79"/>
      <c r="F390" s="77"/>
      <c r="G390" s="79"/>
      <c r="H390" s="79"/>
      <c r="I390" s="79"/>
      <c r="J390" s="78"/>
      <c r="K390" s="79"/>
      <c r="L390" s="79"/>
      <c r="M390" s="79"/>
      <c r="N390" s="77"/>
      <c r="O390" s="79"/>
      <c r="P390" s="81"/>
      <c r="Q390" s="81"/>
      <c r="R390" s="79"/>
      <c r="S390" s="79"/>
      <c r="T390" s="79"/>
      <c r="U390" s="79"/>
      <c r="V390" s="79"/>
    </row>
    <row r="391" spans="1:22" ht="12.5" x14ac:dyDescent="0.25">
      <c r="A391" s="79"/>
      <c r="B391" s="79"/>
      <c r="C391" s="79"/>
      <c r="D391" s="79"/>
      <c r="E391" s="79"/>
      <c r="F391" s="77"/>
      <c r="G391" s="79"/>
      <c r="H391" s="79"/>
      <c r="I391" s="79"/>
      <c r="J391" s="78"/>
      <c r="K391" s="79"/>
      <c r="L391" s="79"/>
      <c r="M391" s="79"/>
      <c r="N391" s="77"/>
      <c r="O391" s="79"/>
      <c r="P391" s="81"/>
      <c r="Q391" s="81"/>
      <c r="R391" s="79"/>
      <c r="S391" s="79"/>
      <c r="T391" s="79"/>
      <c r="U391" s="79"/>
      <c r="V391" s="79"/>
    </row>
    <row r="392" spans="1:22" ht="12.5" x14ac:dyDescent="0.25">
      <c r="A392" s="79"/>
      <c r="B392" s="79"/>
      <c r="C392" s="79"/>
      <c r="D392" s="79"/>
      <c r="E392" s="79"/>
      <c r="F392" s="77"/>
      <c r="G392" s="79"/>
      <c r="H392" s="79"/>
      <c r="I392" s="79"/>
      <c r="J392" s="78"/>
      <c r="K392" s="79"/>
      <c r="L392" s="79"/>
      <c r="M392" s="79"/>
      <c r="N392" s="77"/>
      <c r="O392" s="79"/>
      <c r="P392" s="81"/>
      <c r="Q392" s="81"/>
      <c r="R392" s="79"/>
      <c r="S392" s="79"/>
      <c r="T392" s="79"/>
      <c r="U392" s="79"/>
      <c r="V392" s="79"/>
    </row>
    <row r="393" spans="1:22" ht="12.5" x14ac:dyDescent="0.25">
      <c r="A393" s="79"/>
      <c r="B393" s="79"/>
      <c r="C393" s="79"/>
      <c r="D393" s="79"/>
      <c r="E393" s="79"/>
      <c r="F393" s="77"/>
      <c r="G393" s="79"/>
      <c r="H393" s="79"/>
      <c r="I393" s="79"/>
      <c r="J393" s="78"/>
      <c r="K393" s="79"/>
      <c r="L393" s="79"/>
      <c r="M393" s="79"/>
      <c r="N393" s="77"/>
      <c r="O393" s="79"/>
      <c r="P393" s="81"/>
      <c r="Q393" s="81"/>
      <c r="R393" s="79"/>
      <c r="S393" s="79"/>
      <c r="T393" s="79"/>
      <c r="U393" s="79"/>
      <c r="V393" s="79"/>
    </row>
    <row r="394" spans="1:22" ht="12.5" x14ac:dyDescent="0.25">
      <c r="A394" s="79"/>
      <c r="B394" s="79"/>
      <c r="C394" s="79"/>
      <c r="D394" s="79"/>
      <c r="E394" s="79"/>
      <c r="F394" s="77"/>
      <c r="G394" s="79"/>
      <c r="H394" s="79"/>
      <c r="I394" s="79"/>
      <c r="J394" s="78"/>
      <c r="K394" s="79"/>
      <c r="L394" s="79"/>
      <c r="M394" s="79"/>
      <c r="N394" s="77"/>
      <c r="O394" s="79"/>
      <c r="P394" s="81"/>
      <c r="Q394" s="81"/>
      <c r="R394" s="79"/>
      <c r="S394" s="79"/>
      <c r="T394" s="79"/>
      <c r="U394" s="79"/>
      <c r="V394" s="79"/>
    </row>
    <row r="395" spans="1:22" ht="12.5" x14ac:dyDescent="0.25">
      <c r="A395" s="79"/>
      <c r="B395" s="79"/>
      <c r="C395" s="79"/>
      <c r="D395" s="79"/>
      <c r="E395" s="79"/>
      <c r="F395" s="77"/>
      <c r="G395" s="79"/>
      <c r="H395" s="79"/>
      <c r="I395" s="79"/>
      <c r="J395" s="78"/>
      <c r="K395" s="79"/>
      <c r="L395" s="79"/>
      <c r="M395" s="79"/>
      <c r="N395" s="77"/>
      <c r="O395" s="79"/>
      <c r="P395" s="81"/>
      <c r="Q395" s="81"/>
      <c r="R395" s="79"/>
      <c r="S395" s="79"/>
      <c r="T395" s="79"/>
      <c r="U395" s="79"/>
      <c r="V395" s="79"/>
    </row>
    <row r="396" spans="1:22" ht="12.5" x14ac:dyDescent="0.25">
      <c r="A396" s="79"/>
      <c r="B396" s="79"/>
      <c r="C396" s="79"/>
      <c r="D396" s="79"/>
      <c r="E396" s="79"/>
      <c r="F396" s="77"/>
      <c r="G396" s="79"/>
      <c r="H396" s="79"/>
      <c r="I396" s="79"/>
      <c r="J396" s="78"/>
      <c r="K396" s="79"/>
      <c r="L396" s="79"/>
      <c r="M396" s="79"/>
      <c r="N396" s="77"/>
      <c r="O396" s="79"/>
      <c r="P396" s="81"/>
      <c r="Q396" s="81"/>
      <c r="R396" s="79"/>
      <c r="S396" s="79"/>
      <c r="T396" s="79"/>
      <c r="U396" s="79"/>
      <c r="V396" s="79"/>
    </row>
    <row r="397" spans="1:22" ht="12.5" x14ac:dyDescent="0.25">
      <c r="A397" s="79"/>
      <c r="B397" s="79"/>
      <c r="C397" s="79"/>
      <c r="D397" s="79"/>
      <c r="E397" s="79"/>
      <c r="F397" s="77"/>
      <c r="G397" s="79"/>
      <c r="H397" s="79"/>
      <c r="I397" s="79"/>
      <c r="J397" s="78"/>
      <c r="K397" s="79"/>
      <c r="L397" s="79"/>
      <c r="M397" s="79"/>
      <c r="N397" s="77"/>
      <c r="O397" s="79"/>
      <c r="P397" s="81"/>
      <c r="Q397" s="81"/>
      <c r="R397" s="79"/>
      <c r="S397" s="79"/>
      <c r="T397" s="79"/>
      <c r="U397" s="79"/>
      <c r="V397" s="79"/>
    </row>
    <row r="398" spans="1:22" ht="12.5" x14ac:dyDescent="0.25">
      <c r="A398" s="79"/>
      <c r="B398" s="79"/>
      <c r="C398" s="79"/>
      <c r="D398" s="79"/>
      <c r="E398" s="79"/>
      <c r="F398" s="77"/>
      <c r="G398" s="79"/>
      <c r="H398" s="79"/>
      <c r="I398" s="79"/>
      <c r="J398" s="78"/>
      <c r="K398" s="79"/>
      <c r="L398" s="79"/>
      <c r="M398" s="79"/>
      <c r="N398" s="77"/>
      <c r="O398" s="79"/>
      <c r="P398" s="81"/>
      <c r="Q398" s="81"/>
      <c r="R398" s="79"/>
      <c r="S398" s="79"/>
      <c r="T398" s="79"/>
      <c r="U398" s="79"/>
      <c r="V398" s="79"/>
    </row>
    <row r="399" spans="1:22" ht="12.5" x14ac:dyDescent="0.25">
      <c r="A399" s="79"/>
      <c r="B399" s="79"/>
      <c r="C399" s="79"/>
      <c r="D399" s="79"/>
      <c r="E399" s="79"/>
      <c r="F399" s="77"/>
      <c r="G399" s="79"/>
      <c r="H399" s="79"/>
      <c r="I399" s="79"/>
      <c r="J399" s="78"/>
      <c r="K399" s="79"/>
      <c r="L399" s="79"/>
      <c r="M399" s="79"/>
      <c r="N399" s="77"/>
      <c r="O399" s="79"/>
      <c r="P399" s="81"/>
      <c r="Q399" s="81"/>
      <c r="R399" s="79"/>
      <c r="S399" s="79"/>
      <c r="T399" s="79"/>
      <c r="U399" s="79"/>
      <c r="V399" s="79"/>
    </row>
    <row r="400" spans="1:22" ht="12.5" x14ac:dyDescent="0.25">
      <c r="A400" s="79"/>
      <c r="B400" s="79"/>
      <c r="C400" s="79"/>
      <c r="D400" s="79"/>
      <c r="E400" s="79"/>
      <c r="F400" s="77"/>
      <c r="G400" s="79"/>
      <c r="H400" s="79"/>
      <c r="I400" s="79"/>
      <c r="J400" s="78"/>
      <c r="K400" s="79"/>
      <c r="L400" s="79"/>
      <c r="M400" s="79"/>
      <c r="N400" s="77"/>
      <c r="O400" s="79"/>
      <c r="P400" s="81"/>
      <c r="Q400" s="81"/>
      <c r="R400" s="79"/>
      <c r="S400" s="79"/>
      <c r="T400" s="79"/>
      <c r="U400" s="79"/>
      <c r="V400" s="79"/>
    </row>
    <row r="401" spans="1:22" ht="12.5" x14ac:dyDescent="0.25">
      <c r="A401" s="79"/>
      <c r="B401" s="79"/>
      <c r="C401" s="79"/>
      <c r="D401" s="79"/>
      <c r="E401" s="79"/>
      <c r="F401" s="77"/>
      <c r="G401" s="79"/>
      <c r="H401" s="79"/>
      <c r="I401" s="79"/>
      <c r="J401" s="78"/>
      <c r="K401" s="79"/>
      <c r="L401" s="79"/>
      <c r="M401" s="79"/>
      <c r="N401" s="77"/>
      <c r="O401" s="79"/>
      <c r="P401" s="81"/>
      <c r="Q401" s="81"/>
      <c r="R401" s="79"/>
      <c r="S401" s="79"/>
      <c r="T401" s="79"/>
      <c r="U401" s="79"/>
      <c r="V401" s="79"/>
    </row>
    <row r="402" spans="1:22" ht="12.5" x14ac:dyDescent="0.25">
      <c r="A402" s="79"/>
      <c r="B402" s="79"/>
      <c r="C402" s="79"/>
      <c r="D402" s="79"/>
      <c r="E402" s="79"/>
      <c r="F402" s="77"/>
      <c r="G402" s="79"/>
      <c r="H402" s="79"/>
      <c r="I402" s="79"/>
      <c r="J402" s="78"/>
      <c r="K402" s="79"/>
      <c r="L402" s="79"/>
      <c r="M402" s="79"/>
      <c r="N402" s="77"/>
      <c r="O402" s="79"/>
      <c r="P402" s="81"/>
      <c r="Q402" s="81"/>
      <c r="R402" s="79"/>
      <c r="S402" s="79"/>
      <c r="T402" s="79"/>
      <c r="U402" s="79"/>
      <c r="V402" s="79"/>
    </row>
    <row r="403" spans="1:22" ht="12.5" x14ac:dyDescent="0.25">
      <c r="A403" s="79"/>
      <c r="B403" s="79"/>
      <c r="C403" s="79"/>
      <c r="D403" s="79"/>
      <c r="E403" s="79"/>
      <c r="F403" s="77"/>
      <c r="G403" s="79"/>
      <c r="H403" s="79"/>
      <c r="I403" s="79"/>
      <c r="J403" s="78"/>
      <c r="K403" s="79"/>
      <c r="L403" s="79"/>
      <c r="M403" s="79"/>
      <c r="N403" s="77"/>
      <c r="O403" s="79"/>
      <c r="P403" s="81"/>
      <c r="Q403" s="81"/>
      <c r="R403" s="79"/>
      <c r="S403" s="79"/>
      <c r="T403" s="79"/>
      <c r="U403" s="79"/>
      <c r="V403" s="79"/>
    </row>
    <row r="404" spans="1:22" ht="12.5" x14ac:dyDescent="0.25">
      <c r="A404" s="79"/>
      <c r="B404" s="79"/>
      <c r="C404" s="79"/>
      <c r="D404" s="79"/>
      <c r="E404" s="79"/>
      <c r="F404" s="77"/>
      <c r="G404" s="79"/>
      <c r="H404" s="79"/>
      <c r="I404" s="79"/>
      <c r="J404" s="78"/>
      <c r="K404" s="79"/>
      <c r="L404" s="79"/>
      <c r="M404" s="79"/>
      <c r="N404" s="77"/>
      <c r="O404" s="79"/>
      <c r="P404" s="81"/>
      <c r="Q404" s="81"/>
      <c r="R404" s="79"/>
      <c r="S404" s="79"/>
      <c r="T404" s="79"/>
      <c r="U404" s="79"/>
      <c r="V404" s="79"/>
    </row>
    <row r="405" spans="1:22" ht="12.5" x14ac:dyDescent="0.25">
      <c r="A405" s="79"/>
      <c r="B405" s="79"/>
      <c r="C405" s="79"/>
      <c r="D405" s="79"/>
      <c r="E405" s="79"/>
      <c r="F405" s="77"/>
      <c r="G405" s="79"/>
      <c r="H405" s="79"/>
      <c r="I405" s="79"/>
      <c r="J405" s="78"/>
      <c r="K405" s="79"/>
      <c r="L405" s="79"/>
      <c r="M405" s="79"/>
      <c r="N405" s="77"/>
      <c r="O405" s="79"/>
      <c r="P405" s="81"/>
      <c r="Q405" s="81"/>
      <c r="R405" s="79"/>
      <c r="S405" s="79"/>
      <c r="T405" s="79"/>
      <c r="U405" s="79"/>
      <c r="V405" s="79"/>
    </row>
    <row r="406" spans="1:22" ht="12.5" x14ac:dyDescent="0.25">
      <c r="A406" s="79"/>
      <c r="B406" s="79"/>
      <c r="C406" s="79"/>
      <c r="D406" s="79"/>
      <c r="E406" s="79"/>
      <c r="F406" s="77"/>
      <c r="G406" s="79"/>
      <c r="H406" s="79"/>
      <c r="I406" s="79"/>
      <c r="J406" s="78"/>
      <c r="K406" s="79"/>
      <c r="L406" s="79"/>
      <c r="M406" s="79"/>
      <c r="N406" s="77"/>
      <c r="O406" s="79"/>
      <c r="P406" s="81"/>
      <c r="Q406" s="81"/>
      <c r="R406" s="79"/>
      <c r="S406" s="79"/>
      <c r="T406" s="79"/>
      <c r="U406" s="79"/>
      <c r="V406" s="79"/>
    </row>
    <row r="407" spans="1:22" ht="12.5" x14ac:dyDescent="0.25">
      <c r="A407" s="79"/>
      <c r="B407" s="79"/>
      <c r="C407" s="79"/>
      <c r="D407" s="79"/>
      <c r="E407" s="79"/>
      <c r="F407" s="77"/>
      <c r="G407" s="79"/>
      <c r="H407" s="79"/>
      <c r="I407" s="79"/>
      <c r="J407" s="78"/>
      <c r="K407" s="79"/>
      <c r="L407" s="79"/>
      <c r="M407" s="79"/>
      <c r="N407" s="77"/>
      <c r="O407" s="79"/>
      <c r="P407" s="81"/>
      <c r="Q407" s="81"/>
      <c r="R407" s="79"/>
      <c r="S407" s="79"/>
      <c r="T407" s="79"/>
      <c r="U407" s="79"/>
      <c r="V407" s="79"/>
    </row>
    <row r="408" spans="1:22" ht="12.5" x14ac:dyDescent="0.25">
      <c r="A408" s="79"/>
      <c r="B408" s="79"/>
      <c r="C408" s="79"/>
      <c r="D408" s="79"/>
      <c r="E408" s="79"/>
      <c r="F408" s="77"/>
      <c r="G408" s="79"/>
      <c r="H408" s="79"/>
      <c r="I408" s="79"/>
      <c r="J408" s="78"/>
      <c r="K408" s="79"/>
      <c r="L408" s="79"/>
      <c r="M408" s="79"/>
      <c r="N408" s="77"/>
      <c r="O408" s="79"/>
      <c r="P408" s="81"/>
      <c r="Q408" s="81"/>
      <c r="R408" s="79"/>
      <c r="S408" s="79"/>
      <c r="T408" s="79"/>
      <c r="U408" s="79"/>
      <c r="V408" s="79"/>
    </row>
    <row r="409" spans="1:22" ht="12.5" x14ac:dyDescent="0.25">
      <c r="A409" s="79"/>
      <c r="B409" s="79"/>
      <c r="C409" s="79"/>
      <c r="D409" s="79"/>
      <c r="E409" s="79"/>
      <c r="F409" s="77"/>
      <c r="G409" s="79"/>
      <c r="H409" s="79"/>
      <c r="I409" s="79"/>
      <c r="J409" s="78"/>
      <c r="K409" s="79"/>
      <c r="L409" s="79"/>
      <c r="M409" s="79"/>
      <c r="N409" s="77"/>
      <c r="O409" s="79"/>
      <c r="P409" s="81"/>
      <c r="Q409" s="81"/>
      <c r="R409" s="79"/>
      <c r="S409" s="79"/>
      <c r="T409" s="79"/>
      <c r="U409" s="79"/>
      <c r="V409" s="79"/>
    </row>
    <row r="410" spans="1:22" ht="12.5" x14ac:dyDescent="0.25">
      <c r="A410" s="79"/>
      <c r="B410" s="79"/>
      <c r="C410" s="79"/>
      <c r="D410" s="79"/>
      <c r="E410" s="79"/>
      <c r="F410" s="77"/>
      <c r="G410" s="79"/>
      <c r="H410" s="79"/>
      <c r="I410" s="79"/>
      <c r="J410" s="78"/>
      <c r="K410" s="79"/>
      <c r="L410" s="79"/>
      <c r="M410" s="79"/>
      <c r="N410" s="77"/>
      <c r="O410" s="79"/>
      <c r="P410" s="81"/>
      <c r="Q410" s="81"/>
      <c r="R410" s="79"/>
      <c r="S410" s="79"/>
      <c r="T410" s="79"/>
      <c r="U410" s="79"/>
      <c r="V410" s="79"/>
    </row>
    <row r="411" spans="1:22" ht="12.5" x14ac:dyDescent="0.25">
      <c r="A411" s="79"/>
      <c r="B411" s="79"/>
      <c r="C411" s="79"/>
      <c r="D411" s="79"/>
      <c r="E411" s="79"/>
      <c r="F411" s="77"/>
      <c r="G411" s="79"/>
      <c r="H411" s="79"/>
      <c r="I411" s="79"/>
      <c r="J411" s="78"/>
      <c r="K411" s="79"/>
      <c r="L411" s="79"/>
      <c r="M411" s="79"/>
      <c r="N411" s="77"/>
      <c r="O411" s="79"/>
      <c r="P411" s="81"/>
      <c r="Q411" s="81"/>
      <c r="R411" s="79"/>
      <c r="S411" s="79"/>
      <c r="T411" s="79"/>
      <c r="U411" s="79"/>
      <c r="V411" s="79"/>
    </row>
    <row r="412" spans="1:22" ht="12.5" x14ac:dyDescent="0.25">
      <c r="A412" s="79"/>
      <c r="B412" s="79"/>
      <c r="C412" s="79"/>
      <c r="D412" s="79"/>
      <c r="E412" s="79"/>
      <c r="F412" s="77"/>
      <c r="G412" s="79"/>
      <c r="H412" s="79"/>
      <c r="I412" s="79"/>
      <c r="J412" s="78"/>
      <c r="K412" s="79"/>
      <c r="L412" s="79"/>
      <c r="M412" s="79"/>
      <c r="N412" s="77"/>
      <c r="O412" s="79"/>
      <c r="P412" s="81"/>
      <c r="Q412" s="81"/>
      <c r="R412" s="79"/>
      <c r="S412" s="79"/>
      <c r="T412" s="79"/>
      <c r="U412" s="79"/>
      <c r="V412" s="79"/>
    </row>
    <row r="413" spans="1:22" ht="12.5" x14ac:dyDescent="0.25">
      <c r="A413" s="79"/>
      <c r="B413" s="79"/>
      <c r="C413" s="79"/>
      <c r="D413" s="79"/>
      <c r="E413" s="79"/>
      <c r="F413" s="77"/>
      <c r="G413" s="79"/>
      <c r="H413" s="79"/>
      <c r="I413" s="79"/>
      <c r="J413" s="78"/>
      <c r="K413" s="79"/>
      <c r="L413" s="79"/>
      <c r="M413" s="79"/>
      <c r="N413" s="77"/>
      <c r="O413" s="79"/>
      <c r="P413" s="81"/>
      <c r="Q413" s="81"/>
      <c r="R413" s="79"/>
      <c r="S413" s="79"/>
      <c r="T413" s="79"/>
      <c r="U413" s="79"/>
      <c r="V413" s="79"/>
    </row>
    <row r="414" spans="1:22" ht="12.5" x14ac:dyDescent="0.25">
      <c r="A414" s="79"/>
      <c r="B414" s="79"/>
      <c r="C414" s="79"/>
      <c r="D414" s="79"/>
      <c r="E414" s="79"/>
      <c r="F414" s="77"/>
      <c r="G414" s="79"/>
      <c r="H414" s="79"/>
      <c r="I414" s="79"/>
      <c r="J414" s="78"/>
      <c r="K414" s="79"/>
      <c r="L414" s="79"/>
      <c r="M414" s="79"/>
      <c r="N414" s="77"/>
      <c r="O414" s="79"/>
      <c r="P414" s="81"/>
      <c r="Q414" s="81"/>
      <c r="R414" s="79"/>
      <c r="S414" s="79"/>
      <c r="T414" s="79"/>
      <c r="U414" s="79"/>
      <c r="V414" s="79"/>
    </row>
    <row r="415" spans="1:22" ht="12.5" x14ac:dyDescent="0.25">
      <c r="A415" s="79"/>
      <c r="B415" s="79"/>
      <c r="C415" s="79"/>
      <c r="D415" s="79"/>
      <c r="E415" s="79"/>
      <c r="F415" s="77"/>
      <c r="G415" s="79"/>
      <c r="H415" s="79"/>
      <c r="I415" s="79"/>
      <c r="J415" s="78"/>
      <c r="K415" s="79"/>
      <c r="L415" s="79"/>
      <c r="M415" s="79"/>
      <c r="N415" s="77"/>
      <c r="O415" s="79"/>
      <c r="P415" s="81"/>
      <c r="Q415" s="81"/>
      <c r="R415" s="79"/>
      <c r="S415" s="79"/>
      <c r="T415" s="79"/>
      <c r="U415" s="79"/>
      <c r="V415" s="79"/>
    </row>
    <row r="416" spans="1:22" ht="12.5" x14ac:dyDescent="0.25">
      <c r="A416" s="79"/>
      <c r="B416" s="79"/>
      <c r="C416" s="79"/>
      <c r="D416" s="79"/>
      <c r="E416" s="79"/>
      <c r="F416" s="77"/>
      <c r="G416" s="79"/>
      <c r="H416" s="79"/>
      <c r="I416" s="79"/>
      <c r="J416" s="78"/>
      <c r="K416" s="79"/>
      <c r="L416" s="79"/>
      <c r="M416" s="79"/>
      <c r="N416" s="77"/>
      <c r="O416" s="79"/>
      <c r="P416" s="81"/>
      <c r="Q416" s="81"/>
      <c r="R416" s="79"/>
      <c r="S416" s="79"/>
      <c r="T416" s="79"/>
      <c r="U416" s="79"/>
      <c r="V416" s="79"/>
    </row>
    <row r="417" spans="1:22" ht="12.5" x14ac:dyDescent="0.25">
      <c r="A417" s="79"/>
      <c r="B417" s="79"/>
      <c r="C417" s="79"/>
      <c r="D417" s="79"/>
      <c r="E417" s="79"/>
      <c r="F417" s="77"/>
      <c r="G417" s="79"/>
      <c r="H417" s="79"/>
      <c r="I417" s="79"/>
      <c r="J417" s="78"/>
      <c r="K417" s="79"/>
      <c r="L417" s="79"/>
      <c r="M417" s="79"/>
      <c r="N417" s="77"/>
      <c r="O417" s="79"/>
      <c r="P417" s="81"/>
      <c r="Q417" s="81"/>
      <c r="R417" s="79"/>
      <c r="S417" s="79"/>
      <c r="T417" s="79"/>
      <c r="U417" s="79"/>
      <c r="V417" s="79"/>
    </row>
    <row r="418" spans="1:22" ht="12.5" x14ac:dyDescent="0.25">
      <c r="A418" s="79"/>
      <c r="B418" s="79"/>
      <c r="C418" s="79"/>
      <c r="D418" s="79"/>
      <c r="E418" s="79"/>
      <c r="F418" s="77"/>
      <c r="G418" s="79"/>
      <c r="H418" s="79"/>
      <c r="I418" s="79"/>
      <c r="J418" s="78"/>
      <c r="K418" s="79"/>
      <c r="L418" s="79"/>
      <c r="M418" s="79"/>
      <c r="N418" s="77"/>
      <c r="O418" s="79"/>
      <c r="P418" s="81"/>
      <c r="Q418" s="81"/>
      <c r="R418" s="79"/>
      <c r="S418" s="79"/>
      <c r="T418" s="79"/>
      <c r="U418" s="79"/>
      <c r="V418" s="79"/>
    </row>
    <row r="419" spans="1:22" ht="12.5" x14ac:dyDescent="0.25">
      <c r="A419" s="79"/>
      <c r="B419" s="79"/>
      <c r="C419" s="79"/>
      <c r="D419" s="79"/>
      <c r="E419" s="79"/>
      <c r="F419" s="77"/>
      <c r="G419" s="79"/>
      <c r="H419" s="79"/>
      <c r="I419" s="79"/>
      <c r="J419" s="78"/>
      <c r="K419" s="79"/>
      <c r="L419" s="79"/>
      <c r="M419" s="79"/>
      <c r="N419" s="77"/>
      <c r="O419" s="79"/>
      <c r="P419" s="81"/>
      <c r="Q419" s="81"/>
      <c r="R419" s="79"/>
      <c r="S419" s="79"/>
      <c r="T419" s="79"/>
      <c r="U419" s="79"/>
      <c r="V419" s="79"/>
    </row>
    <row r="420" spans="1:22" ht="12.5" x14ac:dyDescent="0.25">
      <c r="A420" s="79"/>
      <c r="B420" s="79"/>
      <c r="C420" s="79"/>
      <c r="D420" s="79"/>
      <c r="E420" s="79"/>
      <c r="F420" s="77"/>
      <c r="G420" s="79"/>
      <c r="H420" s="79"/>
      <c r="I420" s="79"/>
      <c r="J420" s="78"/>
      <c r="K420" s="79"/>
      <c r="L420" s="79"/>
      <c r="M420" s="79"/>
      <c r="N420" s="77"/>
      <c r="O420" s="79"/>
      <c r="P420" s="81"/>
      <c r="Q420" s="81"/>
      <c r="R420" s="79"/>
      <c r="S420" s="79"/>
      <c r="T420" s="79"/>
      <c r="U420" s="79"/>
      <c r="V420" s="79"/>
    </row>
    <row r="421" spans="1:22" ht="12.5" x14ac:dyDescent="0.25">
      <c r="A421" s="79"/>
      <c r="B421" s="79"/>
      <c r="C421" s="79"/>
      <c r="D421" s="79"/>
      <c r="E421" s="79"/>
      <c r="F421" s="77"/>
      <c r="G421" s="79"/>
      <c r="H421" s="79"/>
      <c r="I421" s="79"/>
      <c r="J421" s="78"/>
      <c r="K421" s="79"/>
      <c r="L421" s="79"/>
      <c r="M421" s="79"/>
      <c r="N421" s="77"/>
      <c r="O421" s="79"/>
      <c r="P421" s="81"/>
      <c r="Q421" s="81"/>
      <c r="R421" s="79"/>
      <c r="S421" s="79"/>
      <c r="T421" s="79"/>
      <c r="U421" s="79"/>
      <c r="V421" s="79"/>
    </row>
    <row r="422" spans="1:22" ht="12.5" x14ac:dyDescent="0.25">
      <c r="A422" s="79"/>
      <c r="B422" s="79"/>
      <c r="C422" s="79"/>
      <c r="D422" s="79"/>
      <c r="E422" s="79"/>
      <c r="F422" s="77"/>
      <c r="G422" s="79"/>
      <c r="H422" s="79"/>
      <c r="I422" s="79"/>
      <c r="J422" s="78"/>
      <c r="K422" s="79"/>
      <c r="L422" s="79"/>
      <c r="M422" s="79"/>
      <c r="N422" s="77"/>
      <c r="O422" s="79"/>
      <c r="P422" s="81"/>
      <c r="Q422" s="81"/>
      <c r="R422" s="79"/>
      <c r="S422" s="79"/>
      <c r="T422" s="79"/>
      <c r="U422" s="79"/>
      <c r="V422" s="79"/>
    </row>
    <row r="423" spans="1:22" ht="12.5" x14ac:dyDescent="0.25">
      <c r="A423" s="79"/>
      <c r="B423" s="79"/>
      <c r="C423" s="79"/>
      <c r="D423" s="79"/>
      <c r="E423" s="79"/>
      <c r="F423" s="77"/>
      <c r="G423" s="79"/>
      <c r="H423" s="79"/>
      <c r="I423" s="79"/>
      <c r="J423" s="78"/>
      <c r="K423" s="79"/>
      <c r="L423" s="79"/>
      <c r="M423" s="79"/>
      <c r="N423" s="77"/>
      <c r="O423" s="79"/>
      <c r="P423" s="81"/>
      <c r="Q423" s="81"/>
      <c r="R423" s="79"/>
      <c r="S423" s="79"/>
      <c r="T423" s="79"/>
      <c r="U423" s="79"/>
      <c r="V423" s="79"/>
    </row>
    <row r="424" spans="1:22" ht="12.5" x14ac:dyDescent="0.25">
      <c r="A424" s="79"/>
      <c r="B424" s="79"/>
      <c r="C424" s="79"/>
      <c r="D424" s="79"/>
      <c r="E424" s="79"/>
      <c r="F424" s="77"/>
      <c r="G424" s="79"/>
      <c r="H424" s="79"/>
      <c r="I424" s="79"/>
      <c r="J424" s="78"/>
      <c r="K424" s="79"/>
      <c r="L424" s="79"/>
      <c r="M424" s="79"/>
      <c r="N424" s="77"/>
      <c r="O424" s="79"/>
      <c r="P424" s="81"/>
      <c r="Q424" s="81"/>
      <c r="R424" s="79"/>
      <c r="S424" s="79"/>
      <c r="T424" s="79"/>
      <c r="U424" s="79"/>
      <c r="V424" s="79"/>
    </row>
    <row r="425" spans="1:22" ht="12.5" x14ac:dyDescent="0.25">
      <c r="A425" s="79"/>
      <c r="B425" s="79"/>
      <c r="C425" s="79"/>
      <c r="D425" s="79"/>
      <c r="E425" s="79"/>
      <c r="F425" s="77"/>
      <c r="G425" s="79"/>
      <c r="H425" s="79"/>
      <c r="I425" s="79"/>
      <c r="J425" s="78"/>
      <c r="K425" s="79"/>
      <c r="L425" s="79"/>
      <c r="M425" s="79"/>
      <c r="N425" s="77"/>
      <c r="O425" s="79"/>
      <c r="P425" s="81"/>
      <c r="Q425" s="81"/>
      <c r="R425" s="79"/>
      <c r="S425" s="79"/>
      <c r="T425" s="79"/>
      <c r="U425" s="79"/>
      <c r="V425" s="79"/>
    </row>
    <row r="426" spans="1:22" ht="12.5" x14ac:dyDescent="0.25">
      <c r="A426" s="79"/>
      <c r="B426" s="79"/>
      <c r="C426" s="79"/>
      <c r="D426" s="79"/>
      <c r="E426" s="79"/>
      <c r="F426" s="77"/>
      <c r="G426" s="79"/>
      <c r="H426" s="79"/>
      <c r="I426" s="79"/>
      <c r="J426" s="78"/>
      <c r="K426" s="79"/>
      <c r="L426" s="79"/>
      <c r="M426" s="79"/>
      <c r="N426" s="77"/>
      <c r="O426" s="79"/>
      <c r="P426" s="81"/>
      <c r="Q426" s="81"/>
      <c r="R426" s="79"/>
      <c r="S426" s="79"/>
      <c r="T426" s="79"/>
      <c r="U426" s="79"/>
      <c r="V426" s="79"/>
    </row>
    <row r="427" spans="1:22" ht="12.5" x14ac:dyDescent="0.25">
      <c r="A427" s="79"/>
      <c r="B427" s="79"/>
      <c r="C427" s="79"/>
      <c r="D427" s="79"/>
      <c r="E427" s="79"/>
      <c r="F427" s="77"/>
      <c r="G427" s="79"/>
      <c r="H427" s="79"/>
      <c r="I427" s="79"/>
      <c r="J427" s="78"/>
      <c r="K427" s="79"/>
      <c r="L427" s="79"/>
      <c r="M427" s="79"/>
      <c r="N427" s="77"/>
      <c r="O427" s="79"/>
      <c r="P427" s="81"/>
      <c r="Q427" s="81"/>
      <c r="R427" s="79"/>
      <c r="S427" s="79"/>
      <c r="T427" s="79"/>
      <c r="U427" s="79"/>
      <c r="V427" s="79"/>
    </row>
    <row r="428" spans="1:22" ht="12.5" x14ac:dyDescent="0.25">
      <c r="A428" s="79"/>
      <c r="B428" s="79"/>
      <c r="C428" s="79"/>
      <c r="D428" s="79"/>
      <c r="E428" s="79"/>
      <c r="F428" s="77"/>
      <c r="G428" s="79"/>
      <c r="H428" s="79"/>
      <c r="I428" s="79"/>
      <c r="J428" s="78"/>
      <c r="K428" s="79"/>
      <c r="L428" s="79"/>
      <c r="M428" s="79"/>
      <c r="N428" s="77"/>
      <c r="O428" s="79"/>
      <c r="P428" s="81"/>
      <c r="Q428" s="81"/>
      <c r="R428" s="79"/>
      <c r="S428" s="79"/>
      <c r="T428" s="79"/>
      <c r="U428" s="79"/>
      <c r="V428" s="79"/>
    </row>
    <row r="429" spans="1:22" ht="12.5" x14ac:dyDescent="0.25">
      <c r="A429" s="79"/>
      <c r="B429" s="79"/>
      <c r="C429" s="79"/>
      <c r="D429" s="79"/>
      <c r="E429" s="79"/>
      <c r="F429" s="77"/>
      <c r="G429" s="79"/>
      <c r="H429" s="79"/>
      <c r="I429" s="79"/>
      <c r="J429" s="78"/>
      <c r="K429" s="79"/>
      <c r="L429" s="79"/>
      <c r="M429" s="79"/>
      <c r="N429" s="77"/>
      <c r="O429" s="79"/>
      <c r="P429" s="81"/>
      <c r="Q429" s="81"/>
      <c r="R429" s="79"/>
      <c r="S429" s="79"/>
      <c r="T429" s="79"/>
      <c r="U429" s="79"/>
      <c r="V429" s="79"/>
    </row>
    <row r="430" spans="1:22" ht="12.5" x14ac:dyDescent="0.25">
      <c r="A430" s="79"/>
      <c r="B430" s="79"/>
      <c r="C430" s="79"/>
      <c r="D430" s="79"/>
      <c r="E430" s="79"/>
      <c r="F430" s="77"/>
      <c r="G430" s="79"/>
      <c r="H430" s="79"/>
      <c r="I430" s="79"/>
      <c r="J430" s="78"/>
      <c r="K430" s="79"/>
      <c r="L430" s="79"/>
      <c r="M430" s="79"/>
      <c r="N430" s="77"/>
      <c r="O430" s="79"/>
      <c r="P430" s="81"/>
      <c r="Q430" s="81"/>
      <c r="R430" s="79"/>
      <c r="S430" s="79"/>
      <c r="T430" s="79"/>
      <c r="U430" s="79"/>
      <c r="V430" s="79"/>
    </row>
    <row r="431" spans="1:22" ht="12.5" x14ac:dyDescent="0.25">
      <c r="A431" s="79"/>
      <c r="B431" s="79"/>
      <c r="C431" s="79"/>
      <c r="D431" s="79"/>
      <c r="E431" s="79"/>
      <c r="F431" s="77"/>
      <c r="G431" s="79"/>
      <c r="H431" s="79"/>
      <c r="I431" s="79"/>
      <c r="J431" s="78"/>
      <c r="K431" s="79"/>
      <c r="L431" s="79"/>
      <c r="M431" s="79"/>
      <c r="N431" s="77"/>
      <c r="O431" s="79"/>
      <c r="P431" s="81"/>
      <c r="Q431" s="81"/>
      <c r="R431" s="79"/>
      <c r="S431" s="79"/>
      <c r="T431" s="79"/>
      <c r="U431" s="79"/>
      <c r="V431" s="79"/>
    </row>
    <row r="432" spans="1:22" ht="12.5" x14ac:dyDescent="0.25">
      <c r="A432" s="79"/>
      <c r="B432" s="79"/>
      <c r="C432" s="79"/>
      <c r="D432" s="79"/>
      <c r="E432" s="79"/>
      <c r="F432" s="77"/>
      <c r="G432" s="79"/>
      <c r="H432" s="79"/>
      <c r="I432" s="79"/>
      <c r="J432" s="78"/>
      <c r="K432" s="79"/>
      <c r="L432" s="79"/>
      <c r="M432" s="79"/>
      <c r="N432" s="77"/>
      <c r="O432" s="79"/>
      <c r="P432" s="81"/>
      <c r="Q432" s="81"/>
      <c r="R432" s="79"/>
      <c r="S432" s="79"/>
      <c r="T432" s="79"/>
      <c r="U432" s="79"/>
      <c r="V432" s="79"/>
    </row>
    <row r="433" spans="1:22" ht="12.5" x14ac:dyDescent="0.25">
      <c r="A433" s="79"/>
      <c r="B433" s="79"/>
      <c r="C433" s="79"/>
      <c r="D433" s="79"/>
      <c r="E433" s="79"/>
      <c r="F433" s="77"/>
      <c r="G433" s="79"/>
      <c r="H433" s="79"/>
      <c r="I433" s="79"/>
      <c r="J433" s="78"/>
      <c r="K433" s="79"/>
      <c r="L433" s="79"/>
      <c r="M433" s="79"/>
      <c r="N433" s="77"/>
      <c r="O433" s="79"/>
      <c r="P433" s="81"/>
      <c r="Q433" s="81"/>
      <c r="R433" s="79"/>
      <c r="S433" s="79"/>
      <c r="T433" s="79"/>
      <c r="U433" s="79"/>
      <c r="V433" s="79"/>
    </row>
    <row r="434" spans="1:22" ht="12.5" x14ac:dyDescent="0.25">
      <c r="A434" s="79"/>
      <c r="B434" s="79"/>
      <c r="C434" s="79"/>
      <c r="D434" s="79"/>
      <c r="E434" s="79"/>
      <c r="F434" s="77"/>
      <c r="G434" s="79"/>
      <c r="H434" s="79"/>
      <c r="I434" s="79"/>
      <c r="J434" s="78"/>
      <c r="K434" s="79"/>
      <c r="L434" s="79"/>
      <c r="M434" s="79"/>
      <c r="N434" s="77"/>
      <c r="O434" s="79"/>
      <c r="P434" s="81"/>
      <c r="Q434" s="81"/>
      <c r="R434" s="79"/>
      <c r="S434" s="79"/>
      <c r="T434" s="79"/>
      <c r="U434" s="79"/>
      <c r="V434" s="79"/>
    </row>
    <row r="435" spans="1:22" ht="12.5" x14ac:dyDescent="0.25">
      <c r="A435" s="79"/>
      <c r="B435" s="79"/>
      <c r="C435" s="79"/>
      <c r="D435" s="79"/>
      <c r="E435" s="79"/>
      <c r="F435" s="77"/>
      <c r="G435" s="79"/>
      <c r="H435" s="79"/>
      <c r="I435" s="79"/>
      <c r="J435" s="78"/>
      <c r="K435" s="79"/>
      <c r="L435" s="79"/>
      <c r="M435" s="79"/>
      <c r="N435" s="77"/>
      <c r="O435" s="79"/>
      <c r="P435" s="81"/>
      <c r="Q435" s="81"/>
      <c r="R435" s="79"/>
      <c r="S435" s="79"/>
      <c r="T435" s="79"/>
      <c r="U435" s="79"/>
      <c r="V435" s="79"/>
    </row>
    <row r="436" spans="1:22" ht="12.5" x14ac:dyDescent="0.25">
      <c r="A436" s="79"/>
      <c r="B436" s="79"/>
      <c r="C436" s="79"/>
      <c r="D436" s="79"/>
      <c r="E436" s="79"/>
      <c r="F436" s="77"/>
      <c r="G436" s="79"/>
      <c r="H436" s="79"/>
      <c r="I436" s="79"/>
      <c r="J436" s="78"/>
      <c r="K436" s="79"/>
      <c r="L436" s="79"/>
      <c r="M436" s="79"/>
      <c r="N436" s="77"/>
      <c r="O436" s="79"/>
      <c r="P436" s="81"/>
      <c r="Q436" s="81"/>
      <c r="R436" s="79"/>
      <c r="S436" s="79"/>
      <c r="T436" s="79"/>
      <c r="U436" s="79"/>
      <c r="V436" s="79"/>
    </row>
    <row r="437" spans="1:22" ht="12.5" x14ac:dyDescent="0.25">
      <c r="A437" s="79"/>
      <c r="B437" s="79"/>
      <c r="C437" s="79"/>
      <c r="D437" s="79"/>
      <c r="E437" s="79"/>
      <c r="F437" s="77"/>
      <c r="G437" s="79"/>
      <c r="H437" s="79"/>
      <c r="I437" s="79"/>
      <c r="J437" s="78"/>
      <c r="K437" s="79"/>
      <c r="L437" s="79"/>
      <c r="M437" s="79"/>
      <c r="N437" s="77"/>
      <c r="O437" s="79"/>
      <c r="P437" s="81"/>
      <c r="Q437" s="81"/>
      <c r="R437" s="79"/>
      <c r="S437" s="79"/>
      <c r="T437" s="79"/>
      <c r="U437" s="79"/>
      <c r="V437" s="79"/>
    </row>
    <row r="438" spans="1:22" ht="12.5" x14ac:dyDescent="0.25">
      <c r="A438" s="79"/>
      <c r="B438" s="79"/>
      <c r="C438" s="79"/>
      <c r="D438" s="79"/>
      <c r="E438" s="79"/>
      <c r="F438" s="77"/>
      <c r="G438" s="79"/>
      <c r="H438" s="79"/>
      <c r="I438" s="79"/>
      <c r="J438" s="78"/>
      <c r="K438" s="79"/>
      <c r="L438" s="79"/>
      <c r="M438" s="79"/>
      <c r="N438" s="77"/>
      <c r="O438" s="79"/>
      <c r="P438" s="81"/>
      <c r="Q438" s="81"/>
      <c r="R438" s="79"/>
      <c r="S438" s="79"/>
      <c r="T438" s="79"/>
      <c r="U438" s="79"/>
      <c r="V438" s="79"/>
    </row>
    <row r="439" spans="1:22" ht="12.5" x14ac:dyDescent="0.25">
      <c r="A439" s="79"/>
      <c r="B439" s="79"/>
      <c r="C439" s="79"/>
      <c r="D439" s="79"/>
      <c r="E439" s="79"/>
      <c r="F439" s="77"/>
      <c r="G439" s="79"/>
      <c r="H439" s="79"/>
      <c r="I439" s="79"/>
      <c r="J439" s="78"/>
      <c r="K439" s="79"/>
      <c r="L439" s="79"/>
      <c r="M439" s="79"/>
      <c r="N439" s="77"/>
      <c r="O439" s="79"/>
      <c r="P439" s="81"/>
      <c r="Q439" s="81"/>
      <c r="R439" s="79"/>
      <c r="S439" s="79"/>
      <c r="T439" s="79"/>
      <c r="U439" s="79"/>
      <c r="V439" s="79"/>
    </row>
    <row r="440" spans="1:22" ht="12.5" x14ac:dyDescent="0.25">
      <c r="A440" s="79"/>
      <c r="B440" s="79"/>
      <c r="C440" s="79"/>
      <c r="D440" s="79"/>
      <c r="E440" s="79"/>
      <c r="F440" s="77"/>
      <c r="G440" s="79"/>
      <c r="H440" s="79"/>
      <c r="I440" s="79"/>
      <c r="J440" s="78"/>
      <c r="K440" s="79"/>
      <c r="L440" s="79"/>
      <c r="M440" s="79"/>
      <c r="N440" s="77"/>
      <c r="O440" s="79"/>
      <c r="P440" s="81"/>
      <c r="Q440" s="81"/>
      <c r="R440" s="79"/>
      <c r="S440" s="79"/>
      <c r="T440" s="79"/>
      <c r="U440" s="79"/>
      <c r="V440" s="79"/>
    </row>
    <row r="441" spans="1:22" ht="12.5" x14ac:dyDescent="0.25">
      <c r="A441" s="79"/>
      <c r="B441" s="79"/>
      <c r="C441" s="79"/>
      <c r="D441" s="79"/>
      <c r="E441" s="79"/>
      <c r="F441" s="77"/>
      <c r="G441" s="79"/>
      <c r="H441" s="79"/>
      <c r="I441" s="79"/>
      <c r="J441" s="78"/>
      <c r="K441" s="79"/>
      <c r="L441" s="79"/>
      <c r="M441" s="79"/>
      <c r="N441" s="77"/>
      <c r="O441" s="79"/>
      <c r="P441" s="81"/>
      <c r="Q441" s="81"/>
      <c r="R441" s="79"/>
      <c r="S441" s="79"/>
      <c r="T441" s="79"/>
      <c r="U441" s="79"/>
      <c r="V441" s="79"/>
    </row>
    <row r="442" spans="1:22" ht="12.5" x14ac:dyDescent="0.25">
      <c r="A442" s="79"/>
      <c r="B442" s="79"/>
      <c r="C442" s="79"/>
      <c r="D442" s="79"/>
      <c r="E442" s="79"/>
      <c r="F442" s="77"/>
      <c r="G442" s="79"/>
      <c r="H442" s="79"/>
      <c r="I442" s="79"/>
      <c r="J442" s="78"/>
      <c r="K442" s="79"/>
      <c r="L442" s="79"/>
      <c r="M442" s="79"/>
      <c r="N442" s="77"/>
      <c r="O442" s="79"/>
      <c r="P442" s="81"/>
      <c r="Q442" s="81"/>
      <c r="R442" s="79"/>
      <c r="S442" s="79"/>
      <c r="T442" s="79"/>
      <c r="U442" s="79"/>
      <c r="V442" s="79"/>
    </row>
    <row r="443" spans="1:22" ht="12.5" x14ac:dyDescent="0.25">
      <c r="A443" s="79"/>
      <c r="B443" s="79"/>
      <c r="C443" s="79"/>
      <c r="D443" s="79"/>
      <c r="E443" s="79"/>
      <c r="F443" s="77"/>
      <c r="G443" s="79"/>
      <c r="H443" s="79"/>
      <c r="I443" s="79"/>
      <c r="J443" s="78"/>
      <c r="K443" s="79"/>
      <c r="L443" s="79"/>
      <c r="M443" s="79"/>
      <c r="N443" s="77"/>
      <c r="O443" s="79"/>
      <c r="P443" s="81"/>
      <c r="Q443" s="81"/>
      <c r="R443" s="79"/>
      <c r="S443" s="79"/>
      <c r="T443" s="79"/>
      <c r="U443" s="79"/>
      <c r="V443" s="79"/>
    </row>
    <row r="444" spans="1:22" ht="12.5" x14ac:dyDescent="0.25">
      <c r="A444" s="79"/>
      <c r="B444" s="79"/>
      <c r="C444" s="79"/>
      <c r="D444" s="79"/>
      <c r="E444" s="79"/>
      <c r="F444" s="77"/>
      <c r="G444" s="79"/>
      <c r="H444" s="79"/>
      <c r="I444" s="79"/>
      <c r="J444" s="78"/>
      <c r="K444" s="79"/>
      <c r="L444" s="79"/>
      <c r="M444" s="79"/>
      <c r="N444" s="77"/>
      <c r="O444" s="79"/>
      <c r="P444" s="81"/>
      <c r="Q444" s="81"/>
      <c r="R444" s="79"/>
      <c r="S444" s="79"/>
      <c r="T444" s="79"/>
      <c r="U444" s="79"/>
      <c r="V444" s="79"/>
    </row>
    <row r="445" spans="1:22" ht="12.5" x14ac:dyDescent="0.25">
      <c r="A445" s="79"/>
      <c r="B445" s="79"/>
      <c r="C445" s="79"/>
      <c r="D445" s="79"/>
      <c r="E445" s="79"/>
      <c r="F445" s="77"/>
      <c r="G445" s="79"/>
      <c r="H445" s="79"/>
      <c r="I445" s="79"/>
      <c r="J445" s="78"/>
      <c r="K445" s="79"/>
      <c r="L445" s="79"/>
      <c r="M445" s="79"/>
      <c r="N445" s="77"/>
      <c r="O445" s="79"/>
      <c r="P445" s="81"/>
      <c r="Q445" s="81"/>
      <c r="R445" s="79"/>
      <c r="S445" s="79"/>
      <c r="T445" s="79"/>
      <c r="U445" s="79"/>
      <c r="V445" s="79"/>
    </row>
    <row r="446" spans="1:22" ht="12.5" x14ac:dyDescent="0.25">
      <c r="A446" s="79"/>
      <c r="B446" s="79"/>
      <c r="C446" s="79"/>
      <c r="D446" s="79"/>
      <c r="E446" s="79"/>
      <c r="F446" s="77"/>
      <c r="G446" s="79"/>
      <c r="H446" s="79"/>
      <c r="I446" s="79"/>
      <c r="J446" s="78"/>
      <c r="K446" s="79"/>
      <c r="L446" s="79"/>
      <c r="M446" s="79"/>
      <c r="N446" s="77"/>
      <c r="O446" s="79"/>
      <c r="P446" s="81"/>
      <c r="Q446" s="81"/>
      <c r="R446" s="79"/>
      <c r="S446" s="79"/>
      <c r="T446" s="79"/>
      <c r="U446" s="79"/>
      <c r="V446" s="79"/>
    </row>
    <row r="447" spans="1:22" ht="12.5" x14ac:dyDescent="0.25">
      <c r="A447" s="79"/>
      <c r="B447" s="79"/>
      <c r="C447" s="79"/>
      <c r="D447" s="79"/>
      <c r="E447" s="79"/>
      <c r="F447" s="77"/>
      <c r="G447" s="79"/>
      <c r="H447" s="79"/>
      <c r="I447" s="79"/>
      <c r="J447" s="78"/>
      <c r="K447" s="79"/>
      <c r="L447" s="79"/>
      <c r="M447" s="79"/>
      <c r="N447" s="77"/>
      <c r="O447" s="79"/>
      <c r="P447" s="81"/>
      <c r="Q447" s="81"/>
      <c r="R447" s="79"/>
      <c r="S447" s="79"/>
      <c r="T447" s="79"/>
      <c r="U447" s="79"/>
      <c r="V447" s="79"/>
    </row>
    <row r="448" spans="1:22" ht="12.5" x14ac:dyDescent="0.25">
      <c r="A448" s="79"/>
      <c r="B448" s="79"/>
      <c r="C448" s="79"/>
      <c r="D448" s="79"/>
      <c r="E448" s="79"/>
      <c r="F448" s="77"/>
      <c r="G448" s="79"/>
      <c r="H448" s="79"/>
      <c r="I448" s="79"/>
      <c r="J448" s="78"/>
      <c r="K448" s="79"/>
      <c r="L448" s="79"/>
      <c r="M448" s="79"/>
      <c r="N448" s="77"/>
      <c r="O448" s="79"/>
      <c r="P448" s="81"/>
      <c r="Q448" s="81"/>
      <c r="R448" s="79"/>
      <c r="S448" s="79"/>
      <c r="T448" s="79"/>
      <c r="U448" s="79"/>
      <c r="V448" s="79"/>
    </row>
    <row r="449" spans="1:22" ht="12.5" x14ac:dyDescent="0.25">
      <c r="A449" s="79"/>
      <c r="B449" s="79"/>
      <c r="C449" s="79"/>
      <c r="D449" s="79"/>
      <c r="E449" s="79"/>
      <c r="F449" s="77"/>
      <c r="G449" s="79"/>
      <c r="H449" s="79"/>
      <c r="I449" s="79"/>
      <c r="J449" s="78"/>
      <c r="K449" s="79"/>
      <c r="L449" s="79"/>
      <c r="M449" s="79"/>
      <c r="N449" s="77"/>
      <c r="O449" s="79"/>
      <c r="P449" s="81"/>
      <c r="Q449" s="81"/>
      <c r="R449" s="79"/>
      <c r="S449" s="79"/>
      <c r="T449" s="79"/>
      <c r="U449" s="79"/>
      <c r="V449" s="79"/>
    </row>
    <row r="450" spans="1:22" ht="12.5" x14ac:dyDescent="0.25">
      <c r="A450" s="79"/>
      <c r="B450" s="79"/>
      <c r="C450" s="79"/>
      <c r="D450" s="79"/>
      <c r="E450" s="79"/>
      <c r="F450" s="77"/>
      <c r="G450" s="79"/>
      <c r="H450" s="79"/>
      <c r="I450" s="79"/>
      <c r="J450" s="78"/>
      <c r="K450" s="79"/>
      <c r="L450" s="79"/>
      <c r="M450" s="79"/>
      <c r="N450" s="77"/>
      <c r="O450" s="79"/>
      <c r="P450" s="81"/>
      <c r="Q450" s="81"/>
      <c r="R450" s="79"/>
      <c r="S450" s="79"/>
      <c r="T450" s="79"/>
      <c r="U450" s="79"/>
      <c r="V450" s="79"/>
    </row>
    <row r="451" spans="1:22" ht="12.5" x14ac:dyDescent="0.25">
      <c r="A451" s="79"/>
      <c r="B451" s="79"/>
      <c r="C451" s="79"/>
      <c r="D451" s="79"/>
      <c r="E451" s="79"/>
      <c r="F451" s="77"/>
      <c r="G451" s="79"/>
      <c r="H451" s="79"/>
      <c r="I451" s="79"/>
      <c r="J451" s="78"/>
      <c r="K451" s="79"/>
      <c r="L451" s="79"/>
      <c r="M451" s="79"/>
      <c r="N451" s="77"/>
      <c r="O451" s="79"/>
      <c r="P451" s="81"/>
      <c r="Q451" s="81"/>
      <c r="R451" s="79"/>
      <c r="S451" s="79"/>
      <c r="T451" s="79"/>
      <c r="U451" s="79"/>
      <c r="V451" s="79"/>
    </row>
    <row r="452" spans="1:22" ht="12.5" x14ac:dyDescent="0.25">
      <c r="A452" s="79"/>
      <c r="B452" s="79"/>
      <c r="C452" s="79"/>
      <c r="D452" s="79"/>
      <c r="E452" s="79"/>
      <c r="F452" s="77"/>
      <c r="G452" s="79"/>
      <c r="H452" s="79"/>
      <c r="I452" s="79"/>
      <c r="J452" s="78"/>
      <c r="K452" s="79"/>
      <c r="L452" s="79"/>
      <c r="M452" s="79"/>
      <c r="N452" s="77"/>
      <c r="O452" s="79"/>
      <c r="P452" s="81"/>
      <c r="Q452" s="81"/>
      <c r="R452" s="79"/>
      <c r="S452" s="79"/>
      <c r="T452" s="79"/>
      <c r="U452" s="79"/>
      <c r="V452" s="79"/>
    </row>
    <row r="453" spans="1:22" ht="12.5" x14ac:dyDescent="0.25">
      <c r="A453" s="79"/>
      <c r="B453" s="79"/>
      <c r="C453" s="79"/>
      <c r="D453" s="79"/>
      <c r="E453" s="79"/>
      <c r="F453" s="77"/>
      <c r="G453" s="79"/>
      <c r="H453" s="79"/>
      <c r="I453" s="79"/>
      <c r="J453" s="78"/>
      <c r="K453" s="79"/>
      <c r="L453" s="79"/>
      <c r="M453" s="79"/>
      <c r="N453" s="77"/>
      <c r="O453" s="79"/>
      <c r="P453" s="81"/>
      <c r="Q453" s="81"/>
      <c r="R453" s="79"/>
      <c r="S453" s="79"/>
      <c r="T453" s="79"/>
      <c r="U453" s="79"/>
      <c r="V453" s="79"/>
    </row>
    <row r="454" spans="1:22" ht="12.5" x14ac:dyDescent="0.25">
      <c r="A454" s="79"/>
      <c r="B454" s="79"/>
      <c r="C454" s="79"/>
      <c r="D454" s="79"/>
      <c r="E454" s="79"/>
      <c r="F454" s="77"/>
      <c r="G454" s="79"/>
      <c r="H454" s="79"/>
      <c r="I454" s="79"/>
      <c r="J454" s="78"/>
      <c r="K454" s="79"/>
      <c r="L454" s="79"/>
      <c r="M454" s="79"/>
      <c r="N454" s="77"/>
      <c r="O454" s="79"/>
      <c r="P454" s="81"/>
      <c r="Q454" s="81"/>
      <c r="R454" s="79"/>
      <c r="S454" s="79"/>
      <c r="T454" s="79"/>
      <c r="U454" s="79"/>
      <c r="V454" s="79"/>
    </row>
    <row r="455" spans="1:22" ht="12.5" x14ac:dyDescent="0.25">
      <c r="A455" s="79"/>
      <c r="B455" s="79"/>
      <c r="C455" s="79"/>
      <c r="D455" s="79"/>
      <c r="E455" s="79"/>
      <c r="F455" s="77"/>
      <c r="G455" s="79"/>
      <c r="H455" s="79"/>
      <c r="I455" s="79"/>
      <c r="J455" s="78"/>
      <c r="K455" s="79"/>
      <c r="L455" s="79"/>
      <c r="M455" s="79"/>
      <c r="N455" s="77"/>
      <c r="O455" s="79"/>
      <c r="P455" s="81"/>
      <c r="Q455" s="81"/>
      <c r="R455" s="79"/>
      <c r="S455" s="79"/>
      <c r="T455" s="79"/>
      <c r="U455" s="79"/>
      <c r="V455" s="79"/>
    </row>
    <row r="456" spans="1:22" ht="12.5" x14ac:dyDescent="0.25">
      <c r="A456" s="79"/>
      <c r="B456" s="79"/>
      <c r="C456" s="79"/>
      <c r="D456" s="79"/>
      <c r="E456" s="79"/>
      <c r="F456" s="77"/>
      <c r="G456" s="79"/>
      <c r="H456" s="79"/>
      <c r="I456" s="79"/>
      <c r="J456" s="78"/>
      <c r="K456" s="79"/>
      <c r="L456" s="79"/>
      <c r="M456" s="79"/>
      <c r="N456" s="77"/>
      <c r="O456" s="79"/>
      <c r="P456" s="81"/>
      <c r="Q456" s="81"/>
      <c r="R456" s="79"/>
      <c r="S456" s="79"/>
      <c r="T456" s="79"/>
      <c r="U456" s="79"/>
      <c r="V456" s="79"/>
    </row>
    <row r="457" spans="1:22" ht="12.5" x14ac:dyDescent="0.25">
      <c r="A457" s="79"/>
      <c r="B457" s="79"/>
      <c r="C457" s="79"/>
      <c r="D457" s="79"/>
      <c r="E457" s="79"/>
      <c r="F457" s="77"/>
      <c r="G457" s="79"/>
      <c r="H457" s="79"/>
      <c r="I457" s="79"/>
      <c r="J457" s="78"/>
      <c r="K457" s="79"/>
      <c r="L457" s="79"/>
      <c r="M457" s="79"/>
      <c r="N457" s="77"/>
      <c r="O457" s="79"/>
      <c r="P457" s="81"/>
      <c r="Q457" s="81"/>
      <c r="R457" s="79"/>
      <c r="S457" s="79"/>
      <c r="T457" s="79"/>
      <c r="U457" s="79"/>
      <c r="V457" s="79"/>
    </row>
    <row r="458" spans="1:22" ht="12.5" x14ac:dyDescent="0.25">
      <c r="A458" s="79"/>
      <c r="B458" s="79"/>
      <c r="C458" s="79"/>
      <c r="D458" s="79"/>
      <c r="E458" s="79"/>
      <c r="F458" s="77"/>
      <c r="G458" s="79"/>
      <c r="H458" s="79"/>
      <c r="I458" s="79"/>
      <c r="J458" s="78"/>
      <c r="K458" s="79"/>
      <c r="L458" s="79"/>
      <c r="M458" s="79"/>
      <c r="N458" s="77"/>
      <c r="O458" s="79"/>
      <c r="P458" s="81"/>
      <c r="Q458" s="81"/>
      <c r="R458" s="79"/>
      <c r="S458" s="79"/>
      <c r="T458" s="79"/>
      <c r="U458" s="79"/>
      <c r="V458" s="79"/>
    </row>
    <row r="459" spans="1:22" ht="12.5" x14ac:dyDescent="0.25">
      <c r="A459" s="79"/>
      <c r="B459" s="79"/>
      <c r="C459" s="79"/>
      <c r="D459" s="79"/>
      <c r="E459" s="79"/>
      <c r="F459" s="77"/>
      <c r="G459" s="79"/>
      <c r="H459" s="79"/>
      <c r="I459" s="79"/>
      <c r="J459" s="78"/>
      <c r="K459" s="79"/>
      <c r="L459" s="79"/>
      <c r="M459" s="79"/>
      <c r="N459" s="77"/>
      <c r="O459" s="79"/>
      <c r="P459" s="81"/>
      <c r="Q459" s="81"/>
      <c r="R459" s="79"/>
      <c r="S459" s="79"/>
      <c r="T459" s="79"/>
      <c r="U459" s="79"/>
      <c r="V459" s="79"/>
    </row>
    <row r="460" spans="1:22" ht="12.5" x14ac:dyDescent="0.25">
      <c r="A460" s="79"/>
      <c r="B460" s="79"/>
      <c r="C460" s="79"/>
      <c r="D460" s="79"/>
      <c r="E460" s="79"/>
      <c r="F460" s="77"/>
      <c r="G460" s="79"/>
      <c r="H460" s="79"/>
      <c r="I460" s="79"/>
      <c r="J460" s="78"/>
      <c r="K460" s="79"/>
      <c r="L460" s="79"/>
      <c r="M460" s="79"/>
      <c r="N460" s="77"/>
      <c r="O460" s="79"/>
      <c r="P460" s="81"/>
      <c r="Q460" s="81"/>
      <c r="R460" s="79"/>
      <c r="S460" s="79"/>
      <c r="T460" s="79"/>
      <c r="U460" s="79"/>
      <c r="V460" s="79"/>
    </row>
    <row r="461" spans="1:22" ht="12.5" x14ac:dyDescent="0.25">
      <c r="A461" s="79"/>
      <c r="B461" s="79"/>
      <c r="C461" s="79"/>
      <c r="D461" s="79"/>
      <c r="E461" s="79"/>
      <c r="F461" s="77"/>
      <c r="G461" s="79"/>
      <c r="H461" s="79"/>
      <c r="I461" s="79"/>
      <c r="J461" s="78"/>
      <c r="K461" s="79"/>
      <c r="L461" s="79"/>
      <c r="M461" s="79"/>
      <c r="N461" s="77"/>
      <c r="O461" s="79"/>
      <c r="P461" s="81"/>
      <c r="Q461" s="81"/>
      <c r="R461" s="79"/>
      <c r="S461" s="79"/>
      <c r="T461" s="79"/>
      <c r="U461" s="79"/>
      <c r="V461" s="79"/>
    </row>
    <row r="462" spans="1:22" ht="12.5" x14ac:dyDescent="0.25">
      <c r="A462" s="79"/>
      <c r="B462" s="79"/>
      <c r="C462" s="79"/>
      <c r="D462" s="79"/>
      <c r="E462" s="79"/>
      <c r="F462" s="77"/>
      <c r="G462" s="79"/>
      <c r="H462" s="79"/>
      <c r="I462" s="79"/>
      <c r="J462" s="78"/>
      <c r="K462" s="79"/>
      <c r="L462" s="79"/>
      <c r="M462" s="79"/>
      <c r="N462" s="77"/>
      <c r="O462" s="79"/>
      <c r="P462" s="81"/>
      <c r="Q462" s="81"/>
      <c r="R462" s="79"/>
      <c r="S462" s="79"/>
      <c r="T462" s="79"/>
      <c r="U462" s="79"/>
      <c r="V462" s="79"/>
    </row>
    <row r="463" spans="1:22" ht="12.5" x14ac:dyDescent="0.25">
      <c r="A463" s="79"/>
      <c r="B463" s="79"/>
      <c r="C463" s="79"/>
      <c r="D463" s="79"/>
      <c r="E463" s="79"/>
      <c r="F463" s="77"/>
      <c r="G463" s="79"/>
      <c r="H463" s="79"/>
      <c r="I463" s="79"/>
      <c r="J463" s="78"/>
      <c r="K463" s="79"/>
      <c r="L463" s="79"/>
      <c r="M463" s="79"/>
      <c r="N463" s="77"/>
      <c r="O463" s="79"/>
      <c r="P463" s="81"/>
      <c r="Q463" s="81"/>
      <c r="R463" s="79"/>
      <c r="S463" s="79"/>
      <c r="T463" s="79"/>
      <c r="U463" s="79"/>
      <c r="V463" s="79"/>
    </row>
    <row r="464" spans="1:22" ht="12.5" x14ac:dyDescent="0.25">
      <c r="A464" s="79"/>
      <c r="B464" s="79"/>
      <c r="C464" s="79"/>
      <c r="D464" s="79"/>
      <c r="E464" s="79"/>
      <c r="F464" s="77"/>
      <c r="G464" s="79"/>
      <c r="H464" s="79"/>
      <c r="I464" s="79"/>
      <c r="J464" s="78"/>
      <c r="K464" s="79"/>
      <c r="L464" s="79"/>
      <c r="M464" s="79"/>
      <c r="N464" s="77"/>
      <c r="O464" s="79"/>
      <c r="P464" s="81"/>
      <c r="Q464" s="81"/>
      <c r="R464" s="79"/>
      <c r="S464" s="79"/>
      <c r="T464" s="79"/>
      <c r="U464" s="79"/>
      <c r="V464" s="79"/>
    </row>
    <row r="465" spans="1:22" ht="12.5" x14ac:dyDescent="0.25">
      <c r="A465" s="79"/>
      <c r="B465" s="79"/>
      <c r="C465" s="79"/>
      <c r="D465" s="79"/>
      <c r="E465" s="79"/>
      <c r="F465" s="77"/>
      <c r="G465" s="79"/>
      <c r="H465" s="79"/>
      <c r="I465" s="79"/>
      <c r="J465" s="78"/>
      <c r="K465" s="79"/>
      <c r="L465" s="79"/>
      <c r="M465" s="79"/>
      <c r="N465" s="77"/>
      <c r="O465" s="79"/>
      <c r="P465" s="81"/>
      <c r="Q465" s="81"/>
      <c r="R465" s="79"/>
      <c r="S465" s="79"/>
      <c r="T465" s="79"/>
      <c r="U465" s="79"/>
      <c r="V465" s="79"/>
    </row>
    <row r="466" spans="1:22" ht="12.5" x14ac:dyDescent="0.25">
      <c r="A466" s="79"/>
      <c r="B466" s="79"/>
      <c r="C466" s="79"/>
      <c r="D466" s="79"/>
      <c r="E466" s="79"/>
      <c r="F466" s="77"/>
      <c r="G466" s="79"/>
      <c r="H466" s="79"/>
      <c r="I466" s="79"/>
      <c r="J466" s="78"/>
      <c r="K466" s="79"/>
      <c r="L466" s="79"/>
      <c r="M466" s="79"/>
      <c r="N466" s="77"/>
      <c r="O466" s="79"/>
      <c r="P466" s="81"/>
      <c r="Q466" s="81"/>
      <c r="R466" s="79"/>
      <c r="S466" s="79"/>
      <c r="T466" s="79"/>
      <c r="U466" s="79"/>
      <c r="V466" s="79"/>
    </row>
    <row r="467" spans="1:22" ht="12.5" x14ac:dyDescent="0.25">
      <c r="A467" s="79"/>
      <c r="B467" s="79"/>
      <c r="C467" s="79"/>
      <c r="D467" s="79"/>
      <c r="E467" s="79"/>
      <c r="F467" s="77"/>
      <c r="G467" s="79"/>
      <c r="H467" s="79"/>
      <c r="I467" s="79"/>
      <c r="J467" s="78"/>
      <c r="K467" s="79"/>
      <c r="L467" s="79"/>
      <c r="M467" s="79"/>
      <c r="N467" s="77"/>
      <c r="O467" s="79"/>
      <c r="P467" s="81"/>
      <c r="Q467" s="81"/>
      <c r="R467" s="79"/>
      <c r="S467" s="79"/>
      <c r="T467" s="79"/>
      <c r="U467" s="79"/>
      <c r="V467" s="79"/>
    </row>
    <row r="468" spans="1:22" ht="12.5" x14ac:dyDescent="0.25">
      <c r="A468" s="79"/>
      <c r="B468" s="79"/>
      <c r="C468" s="79"/>
      <c r="D468" s="79"/>
      <c r="E468" s="79"/>
      <c r="F468" s="77"/>
      <c r="G468" s="79"/>
      <c r="H468" s="79"/>
      <c r="I468" s="79"/>
      <c r="J468" s="78"/>
      <c r="K468" s="79"/>
      <c r="L468" s="79"/>
      <c r="M468" s="79"/>
      <c r="N468" s="77"/>
      <c r="O468" s="79"/>
      <c r="P468" s="81"/>
      <c r="Q468" s="81"/>
      <c r="R468" s="79"/>
      <c r="S468" s="79"/>
      <c r="T468" s="79"/>
      <c r="U468" s="79"/>
      <c r="V468" s="79"/>
    </row>
    <row r="469" spans="1:22" ht="12.5" x14ac:dyDescent="0.25">
      <c r="A469" s="79"/>
      <c r="B469" s="79"/>
      <c r="C469" s="79"/>
      <c r="D469" s="79"/>
      <c r="E469" s="79"/>
      <c r="F469" s="77"/>
      <c r="G469" s="79"/>
      <c r="H469" s="79"/>
      <c r="I469" s="79"/>
      <c r="J469" s="78"/>
      <c r="K469" s="79"/>
      <c r="L469" s="79"/>
      <c r="M469" s="79"/>
      <c r="N469" s="77"/>
      <c r="O469" s="79"/>
      <c r="P469" s="81"/>
      <c r="Q469" s="81"/>
      <c r="R469" s="79"/>
      <c r="S469" s="79"/>
      <c r="T469" s="79"/>
      <c r="U469" s="79"/>
      <c r="V469" s="79"/>
    </row>
    <row r="470" spans="1:22" ht="12.5" x14ac:dyDescent="0.25">
      <c r="A470" s="79"/>
      <c r="B470" s="79"/>
      <c r="C470" s="79"/>
      <c r="D470" s="79"/>
      <c r="E470" s="79"/>
      <c r="F470" s="77"/>
      <c r="G470" s="79"/>
      <c r="H470" s="79"/>
      <c r="I470" s="79"/>
      <c r="J470" s="78"/>
      <c r="K470" s="79"/>
      <c r="L470" s="79"/>
      <c r="M470" s="79"/>
      <c r="N470" s="77"/>
      <c r="O470" s="79"/>
      <c r="P470" s="81"/>
      <c r="Q470" s="81"/>
      <c r="R470" s="79"/>
      <c r="S470" s="79"/>
      <c r="T470" s="79"/>
      <c r="U470" s="79"/>
      <c r="V470" s="79"/>
    </row>
    <row r="471" spans="1:22" ht="12.5" x14ac:dyDescent="0.25">
      <c r="A471" s="79"/>
      <c r="B471" s="79"/>
      <c r="C471" s="79"/>
      <c r="D471" s="79"/>
      <c r="E471" s="79"/>
      <c r="F471" s="77"/>
      <c r="G471" s="79"/>
      <c r="H471" s="79"/>
      <c r="I471" s="79"/>
      <c r="J471" s="78"/>
      <c r="K471" s="79"/>
      <c r="L471" s="79"/>
      <c r="M471" s="79"/>
      <c r="N471" s="77"/>
      <c r="O471" s="79"/>
      <c r="P471" s="81"/>
      <c r="Q471" s="81"/>
      <c r="R471" s="79"/>
      <c r="S471" s="79"/>
      <c r="T471" s="79"/>
      <c r="U471" s="79"/>
      <c r="V471" s="79"/>
    </row>
    <row r="472" spans="1:22" ht="12.5" x14ac:dyDescent="0.25">
      <c r="A472" s="79"/>
      <c r="B472" s="79"/>
      <c r="C472" s="79"/>
      <c r="D472" s="79"/>
      <c r="E472" s="79"/>
      <c r="F472" s="77"/>
      <c r="G472" s="79"/>
      <c r="H472" s="79"/>
      <c r="I472" s="79"/>
      <c r="J472" s="78"/>
      <c r="K472" s="79"/>
      <c r="L472" s="79"/>
      <c r="M472" s="79"/>
      <c r="N472" s="77"/>
      <c r="O472" s="79"/>
      <c r="P472" s="81"/>
      <c r="Q472" s="81"/>
      <c r="R472" s="79"/>
      <c r="S472" s="79"/>
      <c r="T472" s="79"/>
      <c r="U472" s="79"/>
      <c r="V472" s="79"/>
    </row>
    <row r="473" spans="1:22" ht="12.5" x14ac:dyDescent="0.25">
      <c r="A473" s="79"/>
      <c r="B473" s="79"/>
      <c r="C473" s="79"/>
      <c r="D473" s="79"/>
      <c r="E473" s="79"/>
      <c r="F473" s="77"/>
      <c r="G473" s="79"/>
      <c r="H473" s="79"/>
      <c r="I473" s="79"/>
      <c r="J473" s="78"/>
      <c r="K473" s="79"/>
      <c r="L473" s="79"/>
      <c r="M473" s="79"/>
      <c r="N473" s="77"/>
      <c r="O473" s="79"/>
      <c r="P473" s="81"/>
      <c r="Q473" s="81"/>
      <c r="R473" s="79"/>
      <c r="S473" s="79"/>
      <c r="T473" s="79"/>
      <c r="U473" s="79"/>
      <c r="V473" s="79"/>
    </row>
    <row r="474" spans="1:22" ht="12.5" x14ac:dyDescent="0.25">
      <c r="A474" s="79"/>
      <c r="B474" s="79"/>
      <c r="C474" s="79"/>
      <c r="D474" s="79"/>
      <c r="E474" s="79"/>
      <c r="F474" s="77"/>
      <c r="G474" s="79"/>
      <c r="H474" s="79"/>
      <c r="I474" s="79"/>
      <c r="J474" s="78"/>
      <c r="K474" s="79"/>
      <c r="L474" s="79"/>
      <c r="M474" s="79"/>
      <c r="N474" s="77"/>
      <c r="O474" s="79"/>
      <c r="P474" s="81"/>
      <c r="Q474" s="81"/>
      <c r="R474" s="79"/>
      <c r="S474" s="79"/>
      <c r="T474" s="79"/>
      <c r="U474" s="79"/>
      <c r="V474" s="79"/>
    </row>
    <row r="475" spans="1:22" ht="12.5" x14ac:dyDescent="0.25">
      <c r="A475" s="79"/>
      <c r="B475" s="79"/>
      <c r="C475" s="79"/>
      <c r="D475" s="79"/>
      <c r="E475" s="79"/>
      <c r="F475" s="77"/>
      <c r="G475" s="79"/>
      <c r="H475" s="79"/>
      <c r="I475" s="79"/>
      <c r="J475" s="78"/>
      <c r="K475" s="79"/>
      <c r="L475" s="79"/>
      <c r="M475" s="79"/>
      <c r="N475" s="77"/>
      <c r="O475" s="79"/>
      <c r="P475" s="81"/>
      <c r="Q475" s="81"/>
      <c r="R475" s="79"/>
      <c r="S475" s="79"/>
      <c r="T475" s="79"/>
      <c r="U475" s="79"/>
      <c r="V475" s="79"/>
    </row>
    <row r="476" spans="1:22" ht="12.5" x14ac:dyDescent="0.25">
      <c r="A476" s="79"/>
      <c r="B476" s="79"/>
      <c r="C476" s="79"/>
      <c r="D476" s="79"/>
      <c r="E476" s="79"/>
      <c r="F476" s="77"/>
      <c r="G476" s="79"/>
      <c r="H476" s="79"/>
      <c r="I476" s="79"/>
      <c r="J476" s="78"/>
      <c r="K476" s="79"/>
      <c r="L476" s="79"/>
      <c r="M476" s="79"/>
      <c r="N476" s="77"/>
      <c r="O476" s="79"/>
      <c r="P476" s="81"/>
      <c r="Q476" s="81"/>
      <c r="R476" s="79"/>
      <c r="S476" s="79"/>
      <c r="T476" s="79"/>
      <c r="U476" s="79"/>
      <c r="V476" s="79"/>
    </row>
    <row r="477" spans="1:22" ht="12.5" x14ac:dyDescent="0.25">
      <c r="A477" s="79"/>
      <c r="B477" s="79"/>
      <c r="C477" s="79"/>
      <c r="D477" s="79"/>
      <c r="E477" s="79"/>
      <c r="F477" s="77"/>
      <c r="G477" s="79"/>
      <c r="H477" s="79"/>
      <c r="I477" s="79"/>
      <c r="J477" s="78"/>
      <c r="K477" s="79"/>
      <c r="L477" s="79"/>
      <c r="M477" s="79"/>
      <c r="N477" s="77"/>
      <c r="O477" s="79"/>
      <c r="P477" s="81"/>
      <c r="Q477" s="81"/>
      <c r="R477" s="79"/>
      <c r="S477" s="79"/>
      <c r="T477" s="79"/>
      <c r="U477" s="79"/>
      <c r="V477" s="79"/>
    </row>
    <row r="478" spans="1:22" ht="12.5" x14ac:dyDescent="0.25">
      <c r="A478" s="79"/>
      <c r="B478" s="79"/>
      <c r="C478" s="79"/>
      <c r="D478" s="79"/>
      <c r="E478" s="79"/>
      <c r="F478" s="77"/>
      <c r="G478" s="79"/>
      <c r="H478" s="79"/>
      <c r="I478" s="79"/>
      <c r="J478" s="78"/>
      <c r="K478" s="79"/>
      <c r="L478" s="79"/>
      <c r="M478" s="79"/>
      <c r="N478" s="77"/>
      <c r="O478" s="79"/>
      <c r="P478" s="81"/>
      <c r="Q478" s="81"/>
      <c r="R478" s="79"/>
      <c r="S478" s="79"/>
      <c r="T478" s="79"/>
      <c r="U478" s="79"/>
      <c r="V478" s="79"/>
    </row>
    <row r="479" spans="1:22" ht="12.5" x14ac:dyDescent="0.25">
      <c r="A479" s="79"/>
      <c r="B479" s="79"/>
      <c r="C479" s="79"/>
      <c r="D479" s="79"/>
      <c r="E479" s="79"/>
      <c r="F479" s="77"/>
      <c r="G479" s="79"/>
      <c r="H479" s="79"/>
      <c r="I479" s="79"/>
      <c r="J479" s="78"/>
      <c r="K479" s="79"/>
      <c r="L479" s="79"/>
      <c r="M479" s="79"/>
      <c r="N479" s="77"/>
      <c r="O479" s="79"/>
      <c r="P479" s="81"/>
      <c r="Q479" s="81"/>
      <c r="R479" s="79"/>
      <c r="S479" s="79"/>
      <c r="T479" s="79"/>
      <c r="U479" s="79"/>
      <c r="V479" s="79"/>
    </row>
    <row r="480" spans="1:22" ht="12.5" x14ac:dyDescent="0.25">
      <c r="A480" s="79"/>
      <c r="B480" s="79"/>
      <c r="C480" s="79"/>
      <c r="D480" s="79"/>
      <c r="E480" s="79"/>
      <c r="F480" s="77"/>
      <c r="G480" s="79"/>
      <c r="H480" s="79"/>
      <c r="I480" s="79"/>
      <c r="J480" s="78"/>
      <c r="K480" s="79"/>
      <c r="L480" s="79"/>
      <c r="M480" s="79"/>
      <c r="N480" s="77"/>
      <c r="O480" s="79"/>
      <c r="P480" s="81"/>
      <c r="Q480" s="81"/>
      <c r="R480" s="79"/>
      <c r="S480" s="79"/>
      <c r="T480" s="79"/>
      <c r="U480" s="79"/>
      <c r="V480" s="79"/>
    </row>
    <row r="481" spans="1:22" ht="12.5" x14ac:dyDescent="0.25">
      <c r="A481" s="79"/>
      <c r="B481" s="79"/>
      <c r="C481" s="79"/>
      <c r="D481" s="79"/>
      <c r="E481" s="79"/>
      <c r="F481" s="77"/>
      <c r="G481" s="79"/>
      <c r="H481" s="79"/>
      <c r="I481" s="79"/>
      <c r="J481" s="78"/>
      <c r="K481" s="79"/>
      <c r="L481" s="79"/>
      <c r="M481" s="79"/>
      <c r="N481" s="77"/>
      <c r="O481" s="79"/>
      <c r="P481" s="81"/>
      <c r="Q481" s="81"/>
      <c r="R481" s="79"/>
      <c r="S481" s="79"/>
      <c r="T481" s="79"/>
      <c r="U481" s="79"/>
      <c r="V481" s="79"/>
    </row>
    <row r="482" spans="1:22" ht="12.5" x14ac:dyDescent="0.25">
      <c r="A482" s="79"/>
      <c r="B482" s="79"/>
      <c r="C482" s="79"/>
      <c r="D482" s="79"/>
      <c r="E482" s="79"/>
      <c r="F482" s="77"/>
      <c r="G482" s="79"/>
      <c r="H482" s="79"/>
      <c r="I482" s="79"/>
      <c r="J482" s="78"/>
      <c r="K482" s="79"/>
      <c r="L482" s="79"/>
      <c r="M482" s="79"/>
      <c r="N482" s="77"/>
      <c r="O482" s="79"/>
      <c r="P482" s="81"/>
      <c r="Q482" s="81"/>
      <c r="R482" s="79"/>
      <c r="S482" s="79"/>
      <c r="T482" s="79"/>
      <c r="U482" s="79"/>
      <c r="V482" s="79"/>
    </row>
    <row r="483" spans="1:22" ht="12.5" x14ac:dyDescent="0.25">
      <c r="A483" s="79"/>
      <c r="B483" s="79"/>
      <c r="C483" s="79"/>
      <c r="D483" s="79"/>
      <c r="E483" s="79"/>
      <c r="F483" s="77"/>
      <c r="G483" s="79"/>
      <c r="H483" s="79"/>
      <c r="I483" s="79"/>
      <c r="J483" s="78"/>
      <c r="K483" s="79"/>
      <c r="L483" s="79"/>
      <c r="M483" s="79"/>
      <c r="N483" s="77"/>
      <c r="O483" s="79"/>
      <c r="P483" s="81"/>
      <c r="Q483" s="81"/>
      <c r="R483" s="79"/>
      <c r="S483" s="79"/>
      <c r="T483" s="79"/>
      <c r="U483" s="79"/>
      <c r="V483" s="79"/>
    </row>
    <row r="484" spans="1:22" ht="12.5" x14ac:dyDescent="0.25">
      <c r="A484" s="79"/>
      <c r="B484" s="79"/>
      <c r="C484" s="79"/>
      <c r="D484" s="79"/>
      <c r="E484" s="79"/>
      <c r="F484" s="77"/>
      <c r="G484" s="79"/>
      <c r="H484" s="79"/>
      <c r="I484" s="79"/>
      <c r="J484" s="78"/>
      <c r="K484" s="79"/>
      <c r="L484" s="79"/>
      <c r="M484" s="79"/>
      <c r="N484" s="77"/>
      <c r="O484" s="79"/>
      <c r="P484" s="81"/>
      <c r="Q484" s="81"/>
      <c r="R484" s="79"/>
      <c r="S484" s="79"/>
      <c r="T484" s="79"/>
      <c r="U484" s="79"/>
      <c r="V484" s="79"/>
    </row>
    <row r="485" spans="1:22" ht="12.5" x14ac:dyDescent="0.25">
      <c r="A485" s="79"/>
      <c r="B485" s="79"/>
      <c r="C485" s="79"/>
      <c r="D485" s="79"/>
      <c r="E485" s="79"/>
      <c r="F485" s="77"/>
      <c r="G485" s="79"/>
      <c r="H485" s="79"/>
      <c r="I485" s="79"/>
      <c r="J485" s="78"/>
      <c r="K485" s="79"/>
      <c r="L485" s="79"/>
      <c r="M485" s="79"/>
      <c r="N485" s="77"/>
      <c r="O485" s="79"/>
      <c r="P485" s="81"/>
      <c r="Q485" s="81"/>
      <c r="R485" s="79"/>
      <c r="S485" s="79"/>
      <c r="T485" s="79"/>
      <c r="U485" s="79"/>
      <c r="V485" s="79"/>
    </row>
    <row r="486" spans="1:22" ht="12.5" x14ac:dyDescent="0.25">
      <c r="A486" s="79"/>
      <c r="B486" s="79"/>
      <c r="C486" s="79"/>
      <c r="D486" s="79"/>
      <c r="E486" s="79"/>
      <c r="F486" s="77"/>
      <c r="G486" s="79"/>
      <c r="H486" s="79"/>
      <c r="I486" s="79"/>
      <c r="J486" s="78"/>
      <c r="K486" s="79"/>
      <c r="L486" s="79"/>
      <c r="M486" s="79"/>
      <c r="N486" s="77"/>
      <c r="O486" s="79"/>
      <c r="P486" s="81"/>
      <c r="Q486" s="81"/>
      <c r="R486" s="79"/>
      <c r="S486" s="79"/>
      <c r="T486" s="79"/>
      <c r="U486" s="79"/>
      <c r="V486" s="79"/>
    </row>
    <row r="487" spans="1:22" ht="12.5" x14ac:dyDescent="0.25">
      <c r="A487" s="79"/>
      <c r="B487" s="79"/>
      <c r="C487" s="79"/>
      <c r="D487" s="79"/>
      <c r="E487" s="79"/>
      <c r="F487" s="77"/>
      <c r="G487" s="79"/>
      <c r="H487" s="79"/>
      <c r="I487" s="79"/>
      <c r="J487" s="78"/>
      <c r="K487" s="79"/>
      <c r="L487" s="79"/>
      <c r="M487" s="79"/>
      <c r="N487" s="77"/>
      <c r="O487" s="79"/>
      <c r="P487" s="81"/>
      <c r="Q487" s="81"/>
      <c r="R487" s="79"/>
      <c r="S487" s="79"/>
      <c r="T487" s="79"/>
      <c r="U487" s="79"/>
      <c r="V487" s="79"/>
    </row>
    <row r="488" spans="1:22" ht="12.5" x14ac:dyDescent="0.25">
      <c r="A488" s="79"/>
      <c r="B488" s="79"/>
      <c r="C488" s="79"/>
      <c r="D488" s="79"/>
      <c r="E488" s="79"/>
      <c r="F488" s="77"/>
      <c r="G488" s="79"/>
      <c r="H488" s="79"/>
      <c r="I488" s="79"/>
      <c r="J488" s="78"/>
      <c r="K488" s="79"/>
      <c r="L488" s="79"/>
      <c r="M488" s="79"/>
      <c r="N488" s="77"/>
      <c r="O488" s="79"/>
      <c r="P488" s="81"/>
      <c r="Q488" s="81"/>
      <c r="R488" s="79"/>
      <c r="S488" s="79"/>
      <c r="T488" s="79"/>
      <c r="U488" s="79"/>
      <c r="V488" s="79"/>
    </row>
    <row r="489" spans="1:22" ht="12.5" x14ac:dyDescent="0.25">
      <c r="A489" s="79"/>
      <c r="B489" s="79"/>
      <c r="C489" s="79"/>
      <c r="D489" s="79"/>
      <c r="E489" s="79"/>
      <c r="F489" s="77"/>
      <c r="G489" s="79"/>
      <c r="H489" s="79"/>
      <c r="I489" s="79"/>
      <c r="J489" s="78"/>
      <c r="K489" s="79"/>
      <c r="L489" s="79"/>
      <c r="M489" s="79"/>
      <c r="N489" s="77"/>
      <c r="O489" s="79"/>
      <c r="P489" s="81"/>
      <c r="Q489" s="81"/>
      <c r="R489" s="79"/>
      <c r="S489" s="79"/>
      <c r="T489" s="79"/>
      <c r="U489" s="79"/>
      <c r="V489" s="79"/>
    </row>
    <row r="490" spans="1:22" ht="12.5" x14ac:dyDescent="0.25">
      <c r="A490" s="79"/>
      <c r="B490" s="79"/>
      <c r="C490" s="79"/>
      <c r="D490" s="79"/>
      <c r="E490" s="79"/>
      <c r="F490" s="77"/>
      <c r="G490" s="79"/>
      <c r="H490" s="79"/>
      <c r="I490" s="79"/>
      <c r="J490" s="78"/>
      <c r="K490" s="79"/>
      <c r="L490" s="79"/>
      <c r="M490" s="79"/>
      <c r="N490" s="77"/>
      <c r="O490" s="79"/>
      <c r="P490" s="81"/>
      <c r="Q490" s="81"/>
      <c r="R490" s="79"/>
      <c r="S490" s="79"/>
      <c r="T490" s="79"/>
      <c r="U490" s="79"/>
      <c r="V490" s="79"/>
    </row>
    <row r="491" spans="1:22" ht="12.5" x14ac:dyDescent="0.25">
      <c r="A491" s="79"/>
      <c r="B491" s="79"/>
      <c r="C491" s="79"/>
      <c r="D491" s="79"/>
      <c r="E491" s="79"/>
      <c r="F491" s="77"/>
      <c r="G491" s="79"/>
      <c r="H491" s="79"/>
      <c r="I491" s="79"/>
      <c r="J491" s="78"/>
      <c r="K491" s="79"/>
      <c r="L491" s="79"/>
      <c r="M491" s="79"/>
      <c r="N491" s="77"/>
      <c r="O491" s="79"/>
      <c r="P491" s="81"/>
      <c r="Q491" s="81"/>
      <c r="R491" s="79"/>
      <c r="S491" s="79"/>
      <c r="T491" s="79"/>
      <c r="U491" s="79"/>
      <c r="V491" s="79"/>
    </row>
    <row r="492" spans="1:22" ht="12.5" x14ac:dyDescent="0.25">
      <c r="A492" s="79"/>
      <c r="B492" s="79"/>
      <c r="C492" s="79"/>
      <c r="D492" s="79"/>
      <c r="E492" s="79"/>
      <c r="F492" s="77"/>
      <c r="G492" s="79"/>
      <c r="H492" s="79"/>
      <c r="I492" s="79"/>
      <c r="J492" s="78"/>
      <c r="K492" s="79"/>
      <c r="L492" s="79"/>
      <c r="M492" s="79"/>
      <c r="N492" s="77"/>
      <c r="O492" s="79"/>
      <c r="P492" s="81"/>
      <c r="Q492" s="81"/>
      <c r="R492" s="79"/>
      <c r="S492" s="79"/>
      <c r="T492" s="79"/>
      <c r="U492" s="79"/>
      <c r="V492" s="79"/>
    </row>
    <row r="493" spans="1:22" ht="12.5" x14ac:dyDescent="0.25">
      <c r="A493" s="79"/>
      <c r="B493" s="79"/>
      <c r="C493" s="79"/>
      <c r="D493" s="79"/>
      <c r="E493" s="79"/>
      <c r="F493" s="77"/>
      <c r="G493" s="79"/>
      <c r="H493" s="79"/>
      <c r="I493" s="79"/>
      <c r="J493" s="78"/>
      <c r="K493" s="79"/>
      <c r="L493" s="79"/>
      <c r="M493" s="79"/>
      <c r="N493" s="77"/>
      <c r="O493" s="79"/>
      <c r="P493" s="81"/>
      <c r="Q493" s="81"/>
      <c r="R493" s="79"/>
      <c r="S493" s="79"/>
      <c r="T493" s="79"/>
      <c r="U493" s="79"/>
      <c r="V493" s="79"/>
    </row>
    <row r="494" spans="1:22" ht="12.5" x14ac:dyDescent="0.25">
      <c r="A494" s="79"/>
      <c r="B494" s="79"/>
      <c r="C494" s="79"/>
      <c r="D494" s="79"/>
      <c r="E494" s="79"/>
      <c r="F494" s="77"/>
      <c r="G494" s="79"/>
      <c r="H494" s="79"/>
      <c r="I494" s="79"/>
      <c r="J494" s="78"/>
      <c r="K494" s="79"/>
      <c r="L494" s="79"/>
      <c r="M494" s="79"/>
      <c r="N494" s="77"/>
      <c r="O494" s="79"/>
      <c r="P494" s="81"/>
      <c r="Q494" s="81"/>
      <c r="R494" s="79"/>
      <c r="S494" s="79"/>
      <c r="T494" s="79"/>
      <c r="U494" s="79"/>
      <c r="V494" s="79"/>
    </row>
    <row r="495" spans="1:22" ht="12.5" x14ac:dyDescent="0.25">
      <c r="A495" s="79"/>
      <c r="B495" s="79"/>
      <c r="C495" s="79"/>
      <c r="D495" s="79"/>
      <c r="E495" s="79"/>
      <c r="F495" s="77"/>
      <c r="G495" s="79"/>
      <c r="H495" s="79"/>
      <c r="I495" s="79"/>
      <c r="J495" s="78"/>
      <c r="K495" s="79"/>
      <c r="L495" s="79"/>
      <c r="M495" s="79"/>
      <c r="N495" s="77"/>
      <c r="O495" s="79"/>
      <c r="P495" s="81"/>
      <c r="Q495" s="81"/>
      <c r="R495" s="79"/>
      <c r="S495" s="79"/>
      <c r="T495" s="79"/>
      <c r="U495" s="79"/>
      <c r="V495" s="79"/>
    </row>
    <row r="496" spans="1:22" ht="12.5" x14ac:dyDescent="0.25">
      <c r="A496" s="79"/>
      <c r="B496" s="79"/>
      <c r="C496" s="79"/>
      <c r="D496" s="79"/>
      <c r="E496" s="79"/>
      <c r="F496" s="77"/>
      <c r="G496" s="79"/>
      <c r="H496" s="79"/>
      <c r="I496" s="79"/>
      <c r="J496" s="78"/>
      <c r="K496" s="79"/>
      <c r="L496" s="79"/>
      <c r="M496" s="79"/>
      <c r="N496" s="77"/>
      <c r="O496" s="79"/>
      <c r="P496" s="81"/>
      <c r="Q496" s="81"/>
      <c r="R496" s="79"/>
      <c r="S496" s="79"/>
      <c r="T496" s="79"/>
      <c r="U496" s="79"/>
      <c r="V496" s="79"/>
    </row>
    <row r="497" spans="1:22" ht="12.5" x14ac:dyDescent="0.25">
      <c r="A497" s="79"/>
      <c r="B497" s="79"/>
      <c r="C497" s="79"/>
      <c r="D497" s="79"/>
      <c r="E497" s="79"/>
      <c r="F497" s="77"/>
      <c r="G497" s="79"/>
      <c r="H497" s="79"/>
      <c r="I497" s="79"/>
      <c r="J497" s="78"/>
      <c r="K497" s="79"/>
      <c r="L497" s="79"/>
      <c r="M497" s="79"/>
      <c r="N497" s="77"/>
      <c r="O497" s="79"/>
      <c r="P497" s="81"/>
      <c r="Q497" s="81"/>
      <c r="R497" s="79"/>
      <c r="S497" s="79"/>
      <c r="T497" s="79"/>
      <c r="U497" s="79"/>
      <c r="V497" s="79"/>
    </row>
    <row r="498" spans="1:22" ht="12.5" x14ac:dyDescent="0.25">
      <c r="A498" s="79"/>
      <c r="B498" s="79"/>
      <c r="C498" s="79"/>
      <c r="D498" s="79"/>
      <c r="E498" s="79"/>
      <c r="F498" s="77"/>
      <c r="G498" s="79"/>
      <c r="H498" s="79"/>
      <c r="I498" s="79"/>
      <c r="J498" s="78"/>
      <c r="K498" s="79"/>
      <c r="L498" s="79"/>
      <c r="M498" s="79"/>
      <c r="N498" s="77"/>
      <c r="O498" s="79"/>
      <c r="P498" s="81"/>
      <c r="Q498" s="81"/>
      <c r="R498" s="79"/>
      <c r="S498" s="79"/>
      <c r="T498" s="79"/>
      <c r="U498" s="79"/>
      <c r="V498" s="79"/>
    </row>
    <row r="499" spans="1:22" ht="12.5" x14ac:dyDescent="0.25">
      <c r="A499" s="79"/>
      <c r="B499" s="79"/>
      <c r="C499" s="79"/>
      <c r="D499" s="79"/>
      <c r="E499" s="79"/>
      <c r="F499" s="77"/>
      <c r="G499" s="79"/>
      <c r="H499" s="79"/>
      <c r="I499" s="79"/>
      <c r="J499" s="78"/>
      <c r="K499" s="79"/>
      <c r="L499" s="79"/>
      <c r="M499" s="79"/>
      <c r="N499" s="77"/>
      <c r="O499" s="79"/>
      <c r="P499" s="81"/>
      <c r="Q499" s="81"/>
      <c r="R499" s="79"/>
      <c r="S499" s="79"/>
      <c r="T499" s="79"/>
      <c r="U499" s="79"/>
      <c r="V499" s="79"/>
    </row>
    <row r="500" spans="1:22" ht="12.5" x14ac:dyDescent="0.25">
      <c r="A500" s="79"/>
      <c r="B500" s="79"/>
      <c r="C500" s="79"/>
      <c r="D500" s="79"/>
      <c r="E500" s="79"/>
      <c r="F500" s="77"/>
      <c r="G500" s="79"/>
      <c r="H500" s="79"/>
      <c r="I500" s="79"/>
      <c r="J500" s="78"/>
      <c r="K500" s="79"/>
      <c r="L500" s="79"/>
      <c r="M500" s="79"/>
      <c r="N500" s="77"/>
      <c r="O500" s="79"/>
      <c r="P500" s="81"/>
      <c r="Q500" s="81"/>
      <c r="R500" s="79"/>
      <c r="S500" s="79"/>
      <c r="T500" s="79"/>
      <c r="U500" s="79"/>
      <c r="V500" s="79"/>
    </row>
    <row r="501" spans="1:22" ht="12.5" x14ac:dyDescent="0.25">
      <c r="A501" s="79"/>
      <c r="B501" s="79"/>
      <c r="C501" s="79"/>
      <c r="D501" s="79"/>
      <c r="E501" s="79"/>
      <c r="F501" s="77"/>
      <c r="G501" s="79"/>
      <c r="H501" s="79"/>
      <c r="I501" s="79"/>
      <c r="J501" s="78"/>
      <c r="K501" s="79"/>
      <c r="L501" s="79"/>
      <c r="M501" s="79"/>
      <c r="N501" s="77"/>
      <c r="O501" s="79"/>
      <c r="P501" s="81"/>
      <c r="Q501" s="81"/>
      <c r="R501" s="79"/>
      <c r="S501" s="79"/>
      <c r="T501" s="79"/>
      <c r="U501" s="79"/>
      <c r="V501" s="79"/>
    </row>
    <row r="502" spans="1:22" ht="12.5" x14ac:dyDescent="0.25">
      <c r="A502" s="79"/>
      <c r="B502" s="79"/>
      <c r="C502" s="79"/>
      <c r="D502" s="79"/>
      <c r="E502" s="79"/>
      <c r="F502" s="77"/>
      <c r="G502" s="79"/>
      <c r="H502" s="79"/>
      <c r="I502" s="79"/>
      <c r="J502" s="78"/>
      <c r="K502" s="79"/>
      <c r="L502" s="79"/>
      <c r="M502" s="79"/>
      <c r="N502" s="77"/>
      <c r="O502" s="79"/>
      <c r="P502" s="81"/>
      <c r="Q502" s="81"/>
      <c r="R502" s="79"/>
      <c r="S502" s="79"/>
      <c r="T502" s="79"/>
      <c r="U502" s="79"/>
      <c r="V502" s="79"/>
    </row>
    <row r="503" spans="1:22" ht="12.5" x14ac:dyDescent="0.25">
      <c r="A503" s="79"/>
      <c r="B503" s="79"/>
      <c r="C503" s="79"/>
      <c r="D503" s="79"/>
      <c r="E503" s="79"/>
      <c r="F503" s="77"/>
      <c r="G503" s="79"/>
      <c r="H503" s="79"/>
      <c r="I503" s="79"/>
      <c r="J503" s="78"/>
      <c r="K503" s="79"/>
      <c r="L503" s="79"/>
      <c r="M503" s="79"/>
      <c r="N503" s="77"/>
      <c r="O503" s="79"/>
      <c r="P503" s="81"/>
      <c r="Q503" s="81"/>
      <c r="R503" s="79"/>
      <c r="S503" s="79"/>
      <c r="T503" s="79"/>
      <c r="U503" s="79"/>
      <c r="V503" s="79"/>
    </row>
    <row r="504" spans="1:22" ht="12.5" x14ac:dyDescent="0.25">
      <c r="A504" s="79"/>
      <c r="B504" s="79"/>
      <c r="C504" s="79"/>
      <c r="D504" s="79"/>
      <c r="E504" s="79"/>
      <c r="F504" s="77"/>
      <c r="G504" s="79"/>
      <c r="H504" s="79"/>
      <c r="I504" s="79"/>
      <c r="J504" s="78"/>
      <c r="K504" s="79"/>
      <c r="L504" s="79"/>
      <c r="M504" s="79"/>
      <c r="N504" s="77"/>
      <c r="O504" s="79"/>
      <c r="P504" s="81"/>
      <c r="Q504" s="81"/>
      <c r="R504" s="79"/>
      <c r="S504" s="79"/>
      <c r="T504" s="79"/>
      <c r="U504" s="79"/>
      <c r="V504" s="79"/>
    </row>
    <row r="505" spans="1:22" ht="12.5" x14ac:dyDescent="0.25">
      <c r="A505" s="79"/>
      <c r="B505" s="79"/>
      <c r="C505" s="79"/>
      <c r="D505" s="79"/>
      <c r="E505" s="79"/>
      <c r="F505" s="77"/>
      <c r="G505" s="79"/>
      <c r="H505" s="79"/>
      <c r="I505" s="79"/>
      <c r="J505" s="78"/>
      <c r="K505" s="79"/>
      <c r="L505" s="79"/>
      <c r="M505" s="79"/>
      <c r="N505" s="77"/>
      <c r="O505" s="79"/>
      <c r="P505" s="81"/>
      <c r="Q505" s="81"/>
      <c r="R505" s="79"/>
      <c r="S505" s="79"/>
      <c r="T505" s="79"/>
      <c r="U505" s="79"/>
      <c r="V505" s="79"/>
    </row>
    <row r="506" spans="1:22" ht="12.5" x14ac:dyDescent="0.25">
      <c r="A506" s="79"/>
      <c r="B506" s="79"/>
      <c r="C506" s="79"/>
      <c r="D506" s="79"/>
      <c r="E506" s="79"/>
      <c r="F506" s="77"/>
      <c r="G506" s="79"/>
      <c r="H506" s="79"/>
      <c r="I506" s="79"/>
      <c r="J506" s="78"/>
      <c r="K506" s="79"/>
      <c r="L506" s="79"/>
      <c r="M506" s="79"/>
      <c r="N506" s="77"/>
      <c r="O506" s="79"/>
      <c r="P506" s="81"/>
      <c r="Q506" s="81"/>
      <c r="R506" s="79"/>
      <c r="S506" s="79"/>
      <c r="T506" s="79"/>
      <c r="U506" s="79"/>
      <c r="V506" s="79"/>
    </row>
    <row r="507" spans="1:22" ht="12.5" x14ac:dyDescent="0.25">
      <c r="A507" s="79"/>
      <c r="B507" s="79"/>
      <c r="C507" s="79"/>
      <c r="D507" s="79"/>
      <c r="E507" s="79"/>
      <c r="F507" s="77"/>
      <c r="G507" s="79"/>
      <c r="H507" s="79"/>
      <c r="I507" s="79"/>
      <c r="J507" s="78"/>
      <c r="K507" s="79"/>
      <c r="L507" s="79"/>
      <c r="M507" s="79"/>
      <c r="N507" s="77"/>
      <c r="O507" s="79"/>
      <c r="P507" s="81"/>
      <c r="Q507" s="81"/>
      <c r="R507" s="79"/>
      <c r="S507" s="79"/>
      <c r="T507" s="79"/>
      <c r="U507" s="79"/>
      <c r="V507" s="79"/>
    </row>
    <row r="508" spans="1:22" ht="12.5" x14ac:dyDescent="0.25">
      <c r="A508" s="79"/>
      <c r="B508" s="79"/>
      <c r="C508" s="79"/>
      <c r="D508" s="79"/>
      <c r="E508" s="79"/>
      <c r="F508" s="77"/>
      <c r="G508" s="79"/>
      <c r="H508" s="79"/>
      <c r="I508" s="79"/>
      <c r="J508" s="78"/>
      <c r="K508" s="79"/>
      <c r="L508" s="79"/>
      <c r="M508" s="79"/>
      <c r="N508" s="77"/>
      <c r="O508" s="79"/>
      <c r="P508" s="81"/>
      <c r="Q508" s="81"/>
      <c r="R508" s="79"/>
      <c r="S508" s="79"/>
      <c r="T508" s="79"/>
      <c r="U508" s="79"/>
      <c r="V508" s="79"/>
    </row>
    <row r="509" spans="1:22" ht="12.5" x14ac:dyDescent="0.25">
      <c r="A509" s="79"/>
      <c r="B509" s="79"/>
      <c r="C509" s="79"/>
      <c r="D509" s="79"/>
      <c r="E509" s="79"/>
      <c r="F509" s="77"/>
      <c r="G509" s="79"/>
      <c r="H509" s="79"/>
      <c r="I509" s="79"/>
      <c r="J509" s="78"/>
      <c r="K509" s="79"/>
      <c r="L509" s="79"/>
      <c r="M509" s="79"/>
      <c r="N509" s="77"/>
      <c r="O509" s="79"/>
      <c r="P509" s="81"/>
      <c r="Q509" s="81"/>
      <c r="R509" s="79"/>
      <c r="S509" s="79"/>
      <c r="T509" s="79"/>
      <c r="U509" s="79"/>
      <c r="V509" s="79"/>
    </row>
    <row r="510" spans="1:22" ht="12.5" x14ac:dyDescent="0.25">
      <c r="A510" s="79"/>
      <c r="B510" s="79"/>
      <c r="C510" s="79"/>
      <c r="D510" s="79"/>
      <c r="E510" s="79"/>
      <c r="F510" s="77"/>
      <c r="G510" s="79"/>
      <c r="H510" s="79"/>
      <c r="I510" s="79"/>
      <c r="J510" s="78"/>
      <c r="K510" s="79"/>
      <c r="L510" s="79"/>
      <c r="M510" s="79"/>
      <c r="N510" s="77"/>
      <c r="O510" s="79"/>
      <c r="P510" s="81"/>
      <c r="Q510" s="81"/>
      <c r="R510" s="79"/>
      <c r="S510" s="79"/>
      <c r="T510" s="79"/>
      <c r="U510" s="79"/>
      <c r="V510" s="79"/>
    </row>
    <row r="511" spans="1:22" ht="12.5" x14ac:dyDescent="0.25">
      <c r="A511" s="79"/>
      <c r="B511" s="79"/>
      <c r="C511" s="79"/>
      <c r="D511" s="79"/>
      <c r="E511" s="79"/>
      <c r="F511" s="77"/>
      <c r="G511" s="79"/>
      <c r="H511" s="79"/>
      <c r="I511" s="79"/>
      <c r="J511" s="78"/>
      <c r="K511" s="79"/>
      <c r="L511" s="79"/>
      <c r="M511" s="79"/>
      <c r="N511" s="77"/>
      <c r="O511" s="79"/>
      <c r="P511" s="81"/>
      <c r="Q511" s="81"/>
      <c r="R511" s="79"/>
      <c r="S511" s="79"/>
      <c r="T511" s="79"/>
      <c r="U511" s="79"/>
      <c r="V511" s="79"/>
    </row>
    <row r="512" spans="1:22" ht="12.5" x14ac:dyDescent="0.25">
      <c r="A512" s="79"/>
      <c r="B512" s="79"/>
      <c r="C512" s="79"/>
      <c r="D512" s="79"/>
      <c r="E512" s="79"/>
      <c r="F512" s="77"/>
      <c r="G512" s="79"/>
      <c r="H512" s="79"/>
      <c r="I512" s="79"/>
      <c r="J512" s="78"/>
      <c r="K512" s="79"/>
      <c r="L512" s="79"/>
      <c r="M512" s="79"/>
      <c r="N512" s="77"/>
      <c r="O512" s="79"/>
      <c r="P512" s="81"/>
      <c r="Q512" s="81"/>
      <c r="R512" s="79"/>
      <c r="S512" s="79"/>
      <c r="T512" s="79"/>
      <c r="U512" s="79"/>
      <c r="V512" s="79"/>
    </row>
    <row r="513" spans="1:22" ht="12.5" x14ac:dyDescent="0.25">
      <c r="A513" s="79"/>
      <c r="B513" s="79"/>
      <c r="C513" s="79"/>
      <c r="D513" s="79"/>
      <c r="E513" s="79"/>
      <c r="F513" s="77"/>
      <c r="G513" s="79"/>
      <c r="H513" s="79"/>
      <c r="I513" s="79"/>
      <c r="J513" s="78"/>
      <c r="K513" s="79"/>
      <c r="L513" s="79"/>
      <c r="M513" s="79"/>
      <c r="N513" s="77"/>
      <c r="O513" s="79"/>
      <c r="P513" s="81"/>
      <c r="Q513" s="81"/>
      <c r="R513" s="79"/>
      <c r="S513" s="79"/>
      <c r="T513" s="79"/>
      <c r="U513" s="79"/>
      <c r="V513" s="79"/>
    </row>
    <row r="514" spans="1:22" ht="12.5" x14ac:dyDescent="0.25">
      <c r="A514" s="79"/>
      <c r="B514" s="79"/>
      <c r="C514" s="79"/>
      <c r="D514" s="79"/>
      <c r="E514" s="79"/>
      <c r="F514" s="77"/>
      <c r="G514" s="79"/>
      <c r="H514" s="79"/>
      <c r="I514" s="79"/>
      <c r="J514" s="78"/>
      <c r="K514" s="79"/>
      <c r="L514" s="79"/>
      <c r="M514" s="79"/>
      <c r="N514" s="77"/>
      <c r="O514" s="79"/>
      <c r="P514" s="81"/>
      <c r="Q514" s="81"/>
      <c r="R514" s="79"/>
      <c r="S514" s="79"/>
      <c r="T514" s="79"/>
      <c r="U514" s="79"/>
      <c r="V514" s="79"/>
    </row>
    <row r="515" spans="1:22" ht="12.5" x14ac:dyDescent="0.25">
      <c r="A515" s="79"/>
      <c r="B515" s="79"/>
      <c r="C515" s="79"/>
      <c r="D515" s="79"/>
      <c r="E515" s="79"/>
      <c r="F515" s="77"/>
      <c r="G515" s="79"/>
      <c r="H515" s="79"/>
      <c r="I515" s="79"/>
      <c r="J515" s="78"/>
      <c r="K515" s="79"/>
      <c r="L515" s="79"/>
      <c r="M515" s="79"/>
      <c r="N515" s="77"/>
      <c r="O515" s="79"/>
      <c r="P515" s="81"/>
      <c r="Q515" s="81"/>
      <c r="R515" s="79"/>
      <c r="S515" s="79"/>
      <c r="T515" s="79"/>
      <c r="U515" s="79"/>
      <c r="V515" s="79"/>
    </row>
    <row r="516" spans="1:22" ht="12.5" x14ac:dyDescent="0.25">
      <c r="A516" s="79"/>
      <c r="B516" s="79"/>
      <c r="C516" s="79"/>
      <c r="D516" s="79"/>
      <c r="E516" s="79"/>
      <c r="F516" s="77"/>
      <c r="G516" s="79"/>
      <c r="H516" s="79"/>
      <c r="I516" s="79"/>
      <c r="J516" s="78"/>
      <c r="K516" s="79"/>
      <c r="L516" s="79"/>
      <c r="M516" s="79"/>
      <c r="N516" s="77"/>
      <c r="O516" s="79"/>
      <c r="P516" s="81"/>
      <c r="Q516" s="81"/>
      <c r="R516" s="79"/>
      <c r="S516" s="79"/>
      <c r="T516" s="79"/>
      <c r="U516" s="79"/>
      <c r="V516" s="79"/>
    </row>
    <row r="517" spans="1:22" ht="12.5" x14ac:dyDescent="0.25">
      <c r="A517" s="79"/>
      <c r="B517" s="79"/>
      <c r="C517" s="79"/>
      <c r="D517" s="79"/>
      <c r="E517" s="79"/>
      <c r="F517" s="77"/>
      <c r="G517" s="79"/>
      <c r="H517" s="79"/>
      <c r="I517" s="79"/>
      <c r="J517" s="78"/>
      <c r="K517" s="79"/>
      <c r="L517" s="79"/>
      <c r="M517" s="79"/>
      <c r="N517" s="77"/>
      <c r="O517" s="79"/>
      <c r="P517" s="81"/>
      <c r="Q517" s="81"/>
      <c r="R517" s="79"/>
      <c r="S517" s="79"/>
      <c r="T517" s="79"/>
      <c r="U517" s="79"/>
      <c r="V517" s="79"/>
    </row>
    <row r="518" spans="1:22" ht="12.5" x14ac:dyDescent="0.25">
      <c r="A518" s="79"/>
      <c r="B518" s="79"/>
      <c r="C518" s="79"/>
      <c r="D518" s="79"/>
      <c r="E518" s="79"/>
      <c r="F518" s="77"/>
      <c r="G518" s="79"/>
      <c r="H518" s="79"/>
      <c r="I518" s="79"/>
      <c r="J518" s="78"/>
      <c r="K518" s="79"/>
      <c r="L518" s="79"/>
      <c r="M518" s="79"/>
      <c r="N518" s="77"/>
      <c r="O518" s="79"/>
      <c r="P518" s="81"/>
      <c r="Q518" s="81"/>
      <c r="R518" s="79"/>
      <c r="S518" s="79"/>
      <c r="T518" s="79"/>
      <c r="U518" s="79"/>
      <c r="V518" s="79"/>
    </row>
    <row r="519" spans="1:22" ht="12.5" x14ac:dyDescent="0.25">
      <c r="A519" s="79"/>
      <c r="B519" s="79"/>
      <c r="C519" s="79"/>
      <c r="D519" s="79"/>
      <c r="E519" s="79"/>
      <c r="F519" s="77"/>
      <c r="G519" s="79"/>
      <c r="H519" s="79"/>
      <c r="I519" s="79"/>
      <c r="J519" s="78"/>
      <c r="K519" s="79"/>
      <c r="L519" s="79"/>
      <c r="M519" s="79"/>
      <c r="N519" s="77"/>
      <c r="O519" s="79"/>
      <c r="P519" s="81"/>
      <c r="Q519" s="81"/>
      <c r="R519" s="79"/>
      <c r="S519" s="79"/>
      <c r="T519" s="79"/>
      <c r="U519" s="79"/>
      <c r="V519" s="79"/>
    </row>
    <row r="520" spans="1:22" ht="12.5" x14ac:dyDescent="0.25">
      <c r="A520" s="79"/>
      <c r="B520" s="79"/>
      <c r="C520" s="79"/>
      <c r="D520" s="79"/>
      <c r="E520" s="79"/>
      <c r="F520" s="77"/>
      <c r="G520" s="79"/>
      <c r="H520" s="79"/>
      <c r="I520" s="79"/>
      <c r="J520" s="78"/>
      <c r="K520" s="79"/>
      <c r="L520" s="79"/>
      <c r="M520" s="79"/>
      <c r="N520" s="77"/>
      <c r="O520" s="79"/>
      <c r="P520" s="81"/>
      <c r="Q520" s="81"/>
      <c r="R520" s="79"/>
      <c r="S520" s="79"/>
      <c r="T520" s="79"/>
      <c r="U520" s="79"/>
      <c r="V520" s="79"/>
    </row>
    <row r="521" spans="1:22" ht="12.5" x14ac:dyDescent="0.25">
      <c r="A521" s="79"/>
      <c r="B521" s="79"/>
      <c r="C521" s="79"/>
      <c r="D521" s="79"/>
      <c r="E521" s="79"/>
      <c r="F521" s="77"/>
      <c r="G521" s="79"/>
      <c r="H521" s="79"/>
      <c r="I521" s="79"/>
      <c r="J521" s="78"/>
      <c r="K521" s="79"/>
      <c r="L521" s="79"/>
      <c r="M521" s="79"/>
      <c r="N521" s="77"/>
      <c r="O521" s="79"/>
      <c r="P521" s="81"/>
      <c r="Q521" s="81"/>
      <c r="R521" s="79"/>
      <c r="S521" s="79"/>
      <c r="T521" s="79"/>
      <c r="U521" s="79"/>
      <c r="V521" s="79"/>
    </row>
    <row r="522" spans="1:22" ht="12.5" x14ac:dyDescent="0.25">
      <c r="A522" s="79"/>
      <c r="B522" s="79"/>
      <c r="C522" s="79"/>
      <c r="D522" s="79"/>
      <c r="E522" s="79"/>
      <c r="F522" s="77"/>
      <c r="G522" s="79"/>
      <c r="H522" s="79"/>
      <c r="I522" s="79"/>
      <c r="J522" s="78"/>
      <c r="K522" s="79"/>
      <c r="L522" s="79"/>
      <c r="M522" s="79"/>
      <c r="N522" s="77"/>
      <c r="O522" s="79"/>
      <c r="P522" s="81"/>
      <c r="Q522" s="81"/>
      <c r="R522" s="79"/>
      <c r="S522" s="79"/>
      <c r="T522" s="79"/>
      <c r="U522" s="79"/>
      <c r="V522" s="79"/>
    </row>
    <row r="523" spans="1:22" ht="12.5" x14ac:dyDescent="0.25">
      <c r="A523" s="79"/>
      <c r="B523" s="79"/>
      <c r="C523" s="79"/>
      <c r="D523" s="79"/>
      <c r="E523" s="79"/>
      <c r="F523" s="77"/>
      <c r="G523" s="79"/>
      <c r="H523" s="79"/>
      <c r="I523" s="79"/>
      <c r="J523" s="78"/>
      <c r="K523" s="79"/>
      <c r="L523" s="79"/>
      <c r="M523" s="79"/>
      <c r="N523" s="77"/>
      <c r="O523" s="79"/>
      <c r="P523" s="81"/>
      <c r="Q523" s="81"/>
      <c r="R523" s="79"/>
      <c r="S523" s="79"/>
      <c r="T523" s="79"/>
      <c r="U523" s="79"/>
      <c r="V523" s="79"/>
    </row>
    <row r="524" spans="1:22" ht="12.5" x14ac:dyDescent="0.25">
      <c r="A524" s="79"/>
      <c r="B524" s="79"/>
      <c r="C524" s="79"/>
      <c r="D524" s="79"/>
      <c r="E524" s="79"/>
      <c r="F524" s="77"/>
      <c r="G524" s="79"/>
      <c r="H524" s="79"/>
      <c r="I524" s="79"/>
      <c r="J524" s="78"/>
      <c r="K524" s="79"/>
      <c r="L524" s="79"/>
      <c r="M524" s="79"/>
      <c r="N524" s="77"/>
      <c r="O524" s="79"/>
      <c r="P524" s="81"/>
      <c r="Q524" s="81"/>
      <c r="R524" s="79"/>
      <c r="S524" s="79"/>
      <c r="T524" s="79"/>
      <c r="U524" s="79"/>
      <c r="V524" s="79"/>
    </row>
    <row r="525" spans="1:22" ht="12.5" x14ac:dyDescent="0.25">
      <c r="A525" s="79"/>
      <c r="B525" s="79"/>
      <c r="C525" s="79"/>
      <c r="D525" s="79"/>
      <c r="E525" s="79"/>
      <c r="F525" s="77"/>
      <c r="G525" s="79"/>
      <c r="H525" s="79"/>
      <c r="I525" s="79"/>
      <c r="J525" s="78"/>
      <c r="K525" s="79"/>
      <c r="L525" s="79"/>
      <c r="M525" s="79"/>
      <c r="N525" s="77"/>
      <c r="O525" s="79"/>
      <c r="P525" s="81"/>
      <c r="Q525" s="81"/>
      <c r="R525" s="79"/>
      <c r="S525" s="79"/>
      <c r="T525" s="79"/>
      <c r="U525" s="79"/>
      <c r="V525" s="79"/>
    </row>
    <row r="526" spans="1:22" ht="12.5" x14ac:dyDescent="0.25">
      <c r="A526" s="79"/>
      <c r="B526" s="79"/>
      <c r="C526" s="79"/>
      <c r="D526" s="79"/>
      <c r="E526" s="79"/>
      <c r="F526" s="77"/>
      <c r="G526" s="79"/>
      <c r="H526" s="79"/>
      <c r="I526" s="79"/>
      <c r="J526" s="78"/>
      <c r="K526" s="79"/>
      <c r="L526" s="79"/>
      <c r="M526" s="79"/>
      <c r="N526" s="77"/>
      <c r="O526" s="79"/>
      <c r="P526" s="81"/>
      <c r="Q526" s="81"/>
      <c r="R526" s="79"/>
      <c r="S526" s="79"/>
      <c r="T526" s="79"/>
      <c r="U526" s="79"/>
      <c r="V526" s="79"/>
    </row>
    <row r="527" spans="1:22" ht="12.5" x14ac:dyDescent="0.25">
      <c r="A527" s="79"/>
      <c r="B527" s="79"/>
      <c r="C527" s="79"/>
      <c r="D527" s="79"/>
      <c r="E527" s="79"/>
      <c r="F527" s="77"/>
      <c r="G527" s="79"/>
      <c r="H527" s="79"/>
      <c r="I527" s="79"/>
      <c r="J527" s="78"/>
      <c r="K527" s="79"/>
      <c r="L527" s="79"/>
      <c r="M527" s="79"/>
      <c r="N527" s="77"/>
      <c r="O527" s="79"/>
      <c r="P527" s="81"/>
      <c r="Q527" s="81"/>
      <c r="R527" s="79"/>
      <c r="S527" s="79"/>
      <c r="T527" s="79"/>
      <c r="U527" s="79"/>
      <c r="V527" s="79"/>
    </row>
    <row r="528" spans="1:22" ht="12.5" x14ac:dyDescent="0.25">
      <c r="A528" s="79"/>
      <c r="B528" s="79"/>
      <c r="C528" s="79"/>
      <c r="D528" s="79"/>
      <c r="E528" s="79"/>
      <c r="F528" s="77"/>
      <c r="G528" s="79"/>
      <c r="H528" s="79"/>
      <c r="I528" s="79"/>
      <c r="J528" s="78"/>
      <c r="K528" s="79"/>
      <c r="L528" s="79"/>
      <c r="M528" s="79"/>
      <c r="N528" s="77"/>
      <c r="O528" s="79"/>
      <c r="P528" s="81"/>
      <c r="Q528" s="81"/>
      <c r="R528" s="79"/>
      <c r="S528" s="79"/>
      <c r="T528" s="79"/>
      <c r="U528" s="79"/>
      <c r="V528" s="79"/>
    </row>
    <row r="529" spans="1:22" ht="12.5" x14ac:dyDescent="0.25">
      <c r="A529" s="79"/>
      <c r="B529" s="79"/>
      <c r="C529" s="79"/>
      <c r="D529" s="79"/>
      <c r="E529" s="79"/>
      <c r="F529" s="77"/>
      <c r="G529" s="79"/>
      <c r="H529" s="79"/>
      <c r="I529" s="79"/>
      <c r="J529" s="78"/>
      <c r="K529" s="79"/>
      <c r="L529" s="79"/>
      <c r="M529" s="79"/>
      <c r="N529" s="77"/>
      <c r="O529" s="79"/>
      <c r="P529" s="81"/>
      <c r="Q529" s="81"/>
      <c r="R529" s="79"/>
      <c r="S529" s="79"/>
      <c r="T529" s="79"/>
      <c r="U529" s="79"/>
      <c r="V529" s="79"/>
    </row>
    <row r="530" spans="1:22" ht="12.5" x14ac:dyDescent="0.25">
      <c r="A530" s="79"/>
      <c r="B530" s="79"/>
      <c r="C530" s="79"/>
      <c r="D530" s="79"/>
      <c r="E530" s="79"/>
      <c r="F530" s="77"/>
      <c r="G530" s="79"/>
      <c r="H530" s="79"/>
      <c r="I530" s="79"/>
      <c r="J530" s="78"/>
      <c r="K530" s="79"/>
      <c r="L530" s="79"/>
      <c r="M530" s="79"/>
      <c r="N530" s="77"/>
      <c r="O530" s="79"/>
      <c r="P530" s="81"/>
      <c r="Q530" s="81"/>
      <c r="R530" s="79"/>
      <c r="S530" s="79"/>
      <c r="T530" s="79"/>
      <c r="U530" s="79"/>
      <c r="V530" s="79"/>
    </row>
    <row r="531" spans="1:22" ht="12.5" x14ac:dyDescent="0.25">
      <c r="A531" s="79"/>
      <c r="B531" s="79"/>
      <c r="C531" s="79"/>
      <c r="D531" s="79"/>
      <c r="E531" s="79"/>
      <c r="F531" s="77"/>
      <c r="G531" s="79"/>
      <c r="H531" s="79"/>
      <c r="I531" s="79"/>
      <c r="J531" s="78"/>
      <c r="K531" s="79"/>
      <c r="L531" s="79"/>
      <c r="M531" s="79"/>
      <c r="N531" s="77"/>
      <c r="O531" s="79"/>
      <c r="P531" s="81"/>
      <c r="Q531" s="81"/>
      <c r="R531" s="79"/>
      <c r="S531" s="79"/>
      <c r="T531" s="79"/>
      <c r="U531" s="79"/>
      <c r="V531" s="79"/>
    </row>
    <row r="532" spans="1:22" ht="12.5" x14ac:dyDescent="0.25">
      <c r="A532" s="79"/>
      <c r="B532" s="79"/>
      <c r="C532" s="79"/>
      <c r="D532" s="79"/>
      <c r="E532" s="79"/>
      <c r="F532" s="77"/>
      <c r="G532" s="79"/>
      <c r="H532" s="79"/>
      <c r="I532" s="79"/>
      <c r="J532" s="78"/>
      <c r="K532" s="79"/>
      <c r="L532" s="79"/>
      <c r="M532" s="79"/>
      <c r="N532" s="77"/>
      <c r="O532" s="79"/>
      <c r="P532" s="81"/>
      <c r="Q532" s="81"/>
      <c r="R532" s="79"/>
      <c r="S532" s="79"/>
      <c r="T532" s="79"/>
      <c r="U532" s="79"/>
      <c r="V532" s="79"/>
    </row>
    <row r="533" spans="1:22" ht="12.5" x14ac:dyDescent="0.25">
      <c r="A533" s="79"/>
      <c r="B533" s="79"/>
      <c r="C533" s="79"/>
      <c r="D533" s="79"/>
      <c r="E533" s="79"/>
      <c r="F533" s="77"/>
      <c r="G533" s="79"/>
      <c r="H533" s="79"/>
      <c r="I533" s="79"/>
      <c r="J533" s="78"/>
      <c r="K533" s="79"/>
      <c r="L533" s="79"/>
      <c r="M533" s="79"/>
      <c r="N533" s="77"/>
      <c r="O533" s="79"/>
      <c r="P533" s="81"/>
      <c r="Q533" s="81"/>
      <c r="R533" s="79"/>
      <c r="S533" s="79"/>
      <c r="T533" s="79"/>
      <c r="U533" s="79"/>
      <c r="V533" s="79"/>
    </row>
    <row r="534" spans="1:22" ht="12.5" x14ac:dyDescent="0.25">
      <c r="A534" s="79"/>
      <c r="B534" s="79"/>
      <c r="C534" s="79"/>
      <c r="D534" s="79"/>
      <c r="E534" s="79"/>
      <c r="F534" s="77"/>
      <c r="G534" s="79"/>
      <c r="H534" s="79"/>
      <c r="I534" s="79"/>
      <c r="J534" s="78"/>
      <c r="K534" s="79"/>
      <c r="L534" s="79"/>
      <c r="M534" s="79"/>
      <c r="N534" s="77"/>
      <c r="O534" s="79"/>
      <c r="P534" s="81"/>
      <c r="Q534" s="81"/>
      <c r="R534" s="79"/>
      <c r="S534" s="79"/>
      <c r="T534" s="79"/>
      <c r="U534" s="79"/>
      <c r="V534" s="79"/>
    </row>
    <row r="535" spans="1:22" ht="12.5" x14ac:dyDescent="0.25">
      <c r="A535" s="79"/>
      <c r="B535" s="79"/>
      <c r="C535" s="79"/>
      <c r="D535" s="79"/>
      <c r="E535" s="79"/>
      <c r="F535" s="77"/>
      <c r="G535" s="79"/>
      <c r="H535" s="79"/>
      <c r="I535" s="79"/>
      <c r="J535" s="78"/>
      <c r="K535" s="79"/>
      <c r="L535" s="79"/>
      <c r="M535" s="79"/>
      <c r="N535" s="77"/>
      <c r="O535" s="79"/>
      <c r="P535" s="81"/>
      <c r="Q535" s="81"/>
      <c r="R535" s="79"/>
      <c r="S535" s="79"/>
      <c r="T535" s="79"/>
      <c r="U535" s="79"/>
      <c r="V535" s="79"/>
    </row>
    <row r="536" spans="1:22" ht="12.5" x14ac:dyDescent="0.25">
      <c r="A536" s="79"/>
      <c r="B536" s="79"/>
      <c r="C536" s="79"/>
      <c r="D536" s="79"/>
      <c r="E536" s="79"/>
      <c r="F536" s="77"/>
      <c r="G536" s="79"/>
      <c r="H536" s="79"/>
      <c r="I536" s="79"/>
      <c r="J536" s="78"/>
      <c r="K536" s="79"/>
      <c r="L536" s="79"/>
      <c r="M536" s="79"/>
      <c r="N536" s="77"/>
      <c r="O536" s="79"/>
      <c r="P536" s="81"/>
      <c r="Q536" s="81"/>
      <c r="R536" s="79"/>
      <c r="S536" s="79"/>
      <c r="T536" s="79"/>
      <c r="U536" s="79"/>
      <c r="V536" s="79"/>
    </row>
    <row r="537" spans="1:22" ht="12.5" x14ac:dyDescent="0.25">
      <c r="A537" s="79"/>
      <c r="B537" s="79"/>
      <c r="C537" s="79"/>
      <c r="D537" s="79"/>
      <c r="E537" s="79"/>
      <c r="F537" s="77"/>
      <c r="G537" s="79"/>
      <c r="H537" s="79"/>
      <c r="I537" s="79"/>
      <c r="J537" s="78"/>
      <c r="K537" s="79"/>
      <c r="L537" s="79"/>
      <c r="M537" s="79"/>
      <c r="N537" s="77"/>
      <c r="O537" s="79"/>
      <c r="P537" s="81"/>
      <c r="Q537" s="81"/>
      <c r="R537" s="79"/>
      <c r="S537" s="79"/>
      <c r="T537" s="79"/>
      <c r="U537" s="79"/>
      <c r="V537" s="79"/>
    </row>
    <row r="538" spans="1:22" ht="12.5" x14ac:dyDescent="0.25">
      <c r="A538" s="79"/>
      <c r="B538" s="79"/>
      <c r="C538" s="79"/>
      <c r="D538" s="79"/>
      <c r="E538" s="79"/>
      <c r="F538" s="77"/>
      <c r="G538" s="79"/>
      <c r="H538" s="79"/>
      <c r="I538" s="79"/>
      <c r="J538" s="78"/>
      <c r="K538" s="79"/>
      <c r="L538" s="79"/>
      <c r="M538" s="79"/>
      <c r="N538" s="77"/>
      <c r="O538" s="79"/>
      <c r="P538" s="81"/>
      <c r="Q538" s="81"/>
      <c r="R538" s="79"/>
      <c r="S538" s="79"/>
      <c r="T538" s="79"/>
      <c r="U538" s="79"/>
      <c r="V538" s="79"/>
    </row>
    <row r="539" spans="1:22" ht="12.5" x14ac:dyDescent="0.25">
      <c r="A539" s="79"/>
      <c r="B539" s="79"/>
      <c r="C539" s="79"/>
      <c r="D539" s="79"/>
      <c r="E539" s="79"/>
      <c r="F539" s="77"/>
      <c r="G539" s="79"/>
      <c r="H539" s="79"/>
      <c r="I539" s="79"/>
      <c r="J539" s="78"/>
      <c r="K539" s="79"/>
      <c r="L539" s="79"/>
      <c r="M539" s="79"/>
      <c r="N539" s="77"/>
      <c r="O539" s="79"/>
      <c r="P539" s="81"/>
      <c r="Q539" s="81"/>
      <c r="R539" s="79"/>
      <c r="S539" s="79"/>
      <c r="T539" s="79"/>
      <c r="U539" s="79"/>
      <c r="V539" s="79"/>
    </row>
    <row r="540" spans="1:22" ht="12.5" x14ac:dyDescent="0.25">
      <c r="A540" s="79"/>
      <c r="B540" s="79"/>
      <c r="C540" s="79"/>
      <c r="D540" s="79"/>
      <c r="E540" s="79"/>
      <c r="F540" s="77"/>
      <c r="G540" s="79"/>
      <c r="H540" s="79"/>
      <c r="I540" s="79"/>
      <c r="J540" s="78"/>
      <c r="K540" s="79"/>
      <c r="L540" s="79"/>
      <c r="M540" s="79"/>
      <c r="N540" s="77"/>
      <c r="O540" s="79"/>
      <c r="P540" s="81"/>
      <c r="Q540" s="81"/>
      <c r="R540" s="79"/>
      <c r="S540" s="79"/>
      <c r="T540" s="79"/>
      <c r="U540" s="79"/>
      <c r="V540" s="79"/>
    </row>
    <row r="541" spans="1:22" ht="12.5" x14ac:dyDescent="0.25">
      <c r="A541" s="79"/>
      <c r="B541" s="79"/>
      <c r="C541" s="79"/>
      <c r="D541" s="79"/>
      <c r="E541" s="79"/>
      <c r="F541" s="77"/>
      <c r="G541" s="79"/>
      <c r="H541" s="79"/>
      <c r="I541" s="79"/>
      <c r="J541" s="78"/>
      <c r="K541" s="79"/>
      <c r="L541" s="79"/>
      <c r="M541" s="79"/>
      <c r="N541" s="77"/>
      <c r="O541" s="79"/>
      <c r="P541" s="81"/>
      <c r="Q541" s="81"/>
      <c r="R541" s="79"/>
      <c r="S541" s="79"/>
      <c r="T541" s="79"/>
      <c r="U541" s="79"/>
      <c r="V541" s="79"/>
    </row>
    <row r="542" spans="1:22" ht="12.5" x14ac:dyDescent="0.25">
      <c r="A542" s="79"/>
      <c r="B542" s="79"/>
      <c r="C542" s="79"/>
      <c r="D542" s="79"/>
      <c r="E542" s="79"/>
      <c r="F542" s="77"/>
      <c r="G542" s="79"/>
      <c r="H542" s="79"/>
      <c r="I542" s="79"/>
      <c r="J542" s="78"/>
      <c r="K542" s="79"/>
      <c r="L542" s="79"/>
      <c r="M542" s="79"/>
      <c r="N542" s="77"/>
      <c r="O542" s="79"/>
      <c r="P542" s="81"/>
      <c r="Q542" s="81"/>
      <c r="R542" s="79"/>
      <c r="S542" s="79"/>
      <c r="T542" s="79"/>
      <c r="U542" s="79"/>
      <c r="V542" s="79"/>
    </row>
    <row r="543" spans="1:22" ht="12.5" x14ac:dyDescent="0.25">
      <c r="A543" s="79"/>
      <c r="B543" s="79"/>
      <c r="C543" s="79"/>
      <c r="D543" s="79"/>
      <c r="E543" s="79"/>
      <c r="F543" s="77"/>
      <c r="G543" s="79"/>
      <c r="H543" s="79"/>
      <c r="I543" s="79"/>
      <c r="J543" s="78"/>
      <c r="K543" s="79"/>
      <c r="L543" s="79"/>
      <c r="M543" s="79"/>
      <c r="N543" s="77"/>
      <c r="O543" s="79"/>
      <c r="P543" s="81"/>
      <c r="Q543" s="81"/>
      <c r="R543" s="79"/>
      <c r="S543" s="79"/>
      <c r="T543" s="79"/>
      <c r="U543" s="79"/>
      <c r="V543" s="79"/>
    </row>
    <row r="544" spans="1:22" ht="12.5" x14ac:dyDescent="0.25">
      <c r="A544" s="79"/>
      <c r="B544" s="79"/>
      <c r="C544" s="79"/>
      <c r="D544" s="79"/>
      <c r="E544" s="79"/>
      <c r="F544" s="77"/>
      <c r="G544" s="79"/>
      <c r="H544" s="79"/>
      <c r="I544" s="79"/>
      <c r="J544" s="78"/>
      <c r="K544" s="79"/>
      <c r="L544" s="79"/>
      <c r="M544" s="79"/>
      <c r="N544" s="77"/>
      <c r="O544" s="79"/>
      <c r="P544" s="81"/>
      <c r="Q544" s="81"/>
      <c r="R544" s="79"/>
      <c r="S544" s="79"/>
      <c r="T544" s="79"/>
      <c r="U544" s="79"/>
      <c r="V544" s="79"/>
    </row>
    <row r="545" spans="1:22" ht="12.5" x14ac:dyDescent="0.25">
      <c r="A545" s="79"/>
      <c r="B545" s="79"/>
      <c r="C545" s="79"/>
      <c r="D545" s="79"/>
      <c r="E545" s="79"/>
      <c r="F545" s="77"/>
      <c r="G545" s="79"/>
      <c r="H545" s="79"/>
      <c r="I545" s="79"/>
      <c r="J545" s="78"/>
      <c r="K545" s="79"/>
      <c r="L545" s="79"/>
      <c r="M545" s="79"/>
      <c r="N545" s="77"/>
      <c r="O545" s="79"/>
      <c r="P545" s="81"/>
      <c r="Q545" s="81"/>
      <c r="R545" s="79"/>
      <c r="S545" s="79"/>
      <c r="T545" s="79"/>
      <c r="U545" s="79"/>
      <c r="V545" s="79"/>
    </row>
    <row r="546" spans="1:22" ht="12.5" x14ac:dyDescent="0.25">
      <c r="A546" s="79"/>
      <c r="B546" s="79"/>
      <c r="C546" s="79"/>
      <c r="D546" s="79"/>
      <c r="E546" s="79"/>
      <c r="F546" s="77"/>
      <c r="G546" s="79"/>
      <c r="H546" s="79"/>
      <c r="I546" s="79"/>
      <c r="J546" s="78"/>
      <c r="K546" s="79"/>
      <c r="L546" s="79"/>
      <c r="M546" s="79"/>
      <c r="N546" s="77"/>
      <c r="O546" s="79"/>
      <c r="P546" s="81"/>
      <c r="Q546" s="81"/>
      <c r="R546" s="79"/>
      <c r="S546" s="79"/>
      <c r="T546" s="79"/>
      <c r="U546" s="79"/>
      <c r="V546" s="79"/>
    </row>
    <row r="547" spans="1:22" ht="12.5" x14ac:dyDescent="0.25">
      <c r="A547" s="79"/>
      <c r="B547" s="79"/>
      <c r="C547" s="79"/>
      <c r="D547" s="79"/>
      <c r="E547" s="79"/>
      <c r="F547" s="77"/>
      <c r="G547" s="79"/>
      <c r="H547" s="79"/>
      <c r="I547" s="79"/>
      <c r="J547" s="78"/>
      <c r="K547" s="79"/>
      <c r="L547" s="79"/>
      <c r="M547" s="79"/>
      <c r="N547" s="77"/>
      <c r="O547" s="79"/>
      <c r="P547" s="81"/>
      <c r="Q547" s="81"/>
      <c r="R547" s="79"/>
      <c r="S547" s="79"/>
      <c r="T547" s="79"/>
      <c r="U547" s="79"/>
      <c r="V547" s="79"/>
    </row>
    <row r="548" spans="1:22" ht="12.5" x14ac:dyDescent="0.25">
      <c r="A548" s="79"/>
      <c r="B548" s="79"/>
      <c r="C548" s="79"/>
      <c r="D548" s="79"/>
      <c r="E548" s="79"/>
      <c r="F548" s="77"/>
      <c r="G548" s="79"/>
      <c r="H548" s="79"/>
      <c r="I548" s="79"/>
      <c r="J548" s="78"/>
      <c r="K548" s="79"/>
      <c r="L548" s="79"/>
      <c r="M548" s="79"/>
      <c r="N548" s="77"/>
      <c r="O548" s="79"/>
      <c r="P548" s="81"/>
      <c r="Q548" s="81"/>
      <c r="R548" s="79"/>
      <c r="S548" s="79"/>
      <c r="T548" s="79"/>
      <c r="U548" s="79"/>
      <c r="V548" s="79"/>
    </row>
    <row r="549" spans="1:22" ht="12.5" x14ac:dyDescent="0.25">
      <c r="A549" s="79"/>
      <c r="B549" s="79"/>
      <c r="C549" s="79"/>
      <c r="D549" s="79"/>
      <c r="E549" s="79"/>
      <c r="F549" s="77"/>
      <c r="G549" s="79"/>
      <c r="H549" s="79"/>
      <c r="I549" s="79"/>
      <c r="J549" s="78"/>
      <c r="K549" s="79"/>
      <c r="L549" s="79"/>
      <c r="M549" s="79"/>
      <c r="N549" s="77"/>
      <c r="O549" s="79"/>
      <c r="P549" s="81"/>
      <c r="Q549" s="81"/>
      <c r="R549" s="79"/>
      <c r="S549" s="79"/>
      <c r="T549" s="79"/>
      <c r="U549" s="79"/>
      <c r="V549" s="79"/>
    </row>
    <row r="550" spans="1:22" ht="12.5" x14ac:dyDescent="0.25">
      <c r="A550" s="79"/>
      <c r="B550" s="79"/>
      <c r="C550" s="79"/>
      <c r="D550" s="79"/>
      <c r="E550" s="79"/>
      <c r="F550" s="77"/>
      <c r="G550" s="79"/>
      <c r="H550" s="79"/>
      <c r="I550" s="79"/>
      <c r="J550" s="78"/>
      <c r="K550" s="79"/>
      <c r="L550" s="79"/>
      <c r="M550" s="79"/>
      <c r="N550" s="77"/>
      <c r="O550" s="79"/>
      <c r="P550" s="81"/>
      <c r="Q550" s="81"/>
      <c r="R550" s="79"/>
      <c r="S550" s="79"/>
      <c r="T550" s="79"/>
      <c r="U550" s="79"/>
      <c r="V550" s="79"/>
    </row>
    <row r="551" spans="1:22" ht="12.5" x14ac:dyDescent="0.25">
      <c r="A551" s="79"/>
      <c r="B551" s="79"/>
      <c r="C551" s="79"/>
      <c r="D551" s="79"/>
      <c r="E551" s="79"/>
      <c r="F551" s="77"/>
      <c r="G551" s="79"/>
      <c r="H551" s="79"/>
      <c r="I551" s="79"/>
      <c r="J551" s="78"/>
      <c r="K551" s="79"/>
      <c r="L551" s="79"/>
      <c r="M551" s="79"/>
      <c r="N551" s="77"/>
      <c r="O551" s="79"/>
      <c r="P551" s="81"/>
      <c r="Q551" s="81"/>
      <c r="R551" s="79"/>
      <c r="S551" s="79"/>
      <c r="T551" s="79"/>
      <c r="U551" s="79"/>
      <c r="V551" s="79"/>
    </row>
    <row r="552" spans="1:22" ht="12.5" x14ac:dyDescent="0.25">
      <c r="A552" s="79"/>
      <c r="B552" s="79"/>
      <c r="C552" s="79"/>
      <c r="D552" s="79"/>
      <c r="E552" s="79"/>
      <c r="F552" s="77"/>
      <c r="G552" s="79"/>
      <c r="H552" s="79"/>
      <c r="I552" s="79"/>
      <c r="J552" s="78"/>
      <c r="K552" s="79"/>
      <c r="L552" s="79"/>
      <c r="M552" s="79"/>
      <c r="N552" s="77"/>
      <c r="O552" s="79"/>
      <c r="P552" s="81"/>
      <c r="Q552" s="81"/>
      <c r="R552" s="79"/>
      <c r="S552" s="79"/>
      <c r="T552" s="79"/>
      <c r="U552" s="79"/>
      <c r="V552" s="79"/>
    </row>
    <row r="553" spans="1:22" ht="12.5" x14ac:dyDescent="0.25">
      <c r="A553" s="79"/>
      <c r="B553" s="79"/>
      <c r="C553" s="79"/>
      <c r="D553" s="79"/>
      <c r="E553" s="79"/>
      <c r="F553" s="77"/>
      <c r="G553" s="79"/>
      <c r="H553" s="79"/>
      <c r="I553" s="79"/>
      <c r="J553" s="78"/>
      <c r="K553" s="79"/>
      <c r="L553" s="79"/>
      <c r="M553" s="79"/>
      <c r="N553" s="77"/>
      <c r="O553" s="79"/>
      <c r="P553" s="81"/>
      <c r="Q553" s="81"/>
      <c r="R553" s="79"/>
      <c r="S553" s="79"/>
      <c r="T553" s="79"/>
      <c r="U553" s="79"/>
      <c r="V553" s="79"/>
    </row>
    <row r="554" spans="1:22" ht="12.5" x14ac:dyDescent="0.25">
      <c r="A554" s="79"/>
      <c r="B554" s="79"/>
      <c r="C554" s="79"/>
      <c r="D554" s="79"/>
      <c r="E554" s="79"/>
      <c r="F554" s="77"/>
      <c r="G554" s="79"/>
      <c r="H554" s="79"/>
      <c r="I554" s="79"/>
      <c r="J554" s="78"/>
      <c r="K554" s="79"/>
      <c r="L554" s="79"/>
      <c r="M554" s="79"/>
      <c r="N554" s="77"/>
      <c r="O554" s="79"/>
      <c r="P554" s="81"/>
      <c r="Q554" s="81"/>
      <c r="R554" s="79"/>
      <c r="S554" s="79"/>
      <c r="T554" s="79"/>
      <c r="U554" s="79"/>
      <c r="V554" s="79"/>
    </row>
    <row r="555" spans="1:22" ht="12.5" x14ac:dyDescent="0.25">
      <c r="A555" s="79"/>
      <c r="B555" s="79"/>
      <c r="C555" s="79"/>
      <c r="D555" s="79"/>
      <c r="E555" s="79"/>
      <c r="F555" s="77"/>
      <c r="G555" s="79"/>
      <c r="H555" s="79"/>
      <c r="I555" s="79"/>
      <c r="J555" s="78"/>
      <c r="K555" s="79"/>
      <c r="L555" s="79"/>
      <c r="M555" s="79"/>
      <c r="N555" s="77"/>
      <c r="O555" s="79"/>
      <c r="P555" s="81"/>
      <c r="Q555" s="81"/>
      <c r="R555" s="79"/>
      <c r="S555" s="79"/>
      <c r="T555" s="79"/>
      <c r="U555" s="79"/>
      <c r="V555" s="79"/>
    </row>
    <row r="556" spans="1:22" ht="12.5" x14ac:dyDescent="0.25">
      <c r="A556" s="79"/>
      <c r="B556" s="79"/>
      <c r="C556" s="79"/>
      <c r="D556" s="79"/>
      <c r="E556" s="79"/>
      <c r="F556" s="77"/>
      <c r="G556" s="79"/>
      <c r="H556" s="79"/>
      <c r="I556" s="79"/>
      <c r="J556" s="78"/>
      <c r="K556" s="79"/>
      <c r="L556" s="79"/>
      <c r="M556" s="79"/>
      <c r="N556" s="77"/>
      <c r="O556" s="79"/>
      <c r="P556" s="81"/>
      <c r="Q556" s="81"/>
      <c r="R556" s="79"/>
      <c r="S556" s="79"/>
      <c r="T556" s="79"/>
      <c r="U556" s="79"/>
      <c r="V556" s="79"/>
    </row>
    <row r="557" spans="1:22" ht="12.5" x14ac:dyDescent="0.25">
      <c r="A557" s="79"/>
      <c r="B557" s="79"/>
      <c r="C557" s="79"/>
      <c r="D557" s="79"/>
      <c r="E557" s="79"/>
      <c r="F557" s="77"/>
      <c r="G557" s="79"/>
      <c r="H557" s="79"/>
      <c r="I557" s="79"/>
      <c r="J557" s="78"/>
      <c r="K557" s="79"/>
      <c r="L557" s="79"/>
      <c r="M557" s="79"/>
      <c r="N557" s="77"/>
      <c r="O557" s="79"/>
      <c r="P557" s="81"/>
      <c r="Q557" s="81"/>
      <c r="R557" s="79"/>
      <c r="S557" s="79"/>
      <c r="T557" s="79"/>
      <c r="U557" s="79"/>
      <c r="V557" s="79"/>
    </row>
    <row r="558" spans="1:22" ht="12.5" x14ac:dyDescent="0.25">
      <c r="A558" s="79"/>
      <c r="B558" s="79"/>
      <c r="C558" s="79"/>
      <c r="D558" s="79"/>
      <c r="E558" s="79"/>
      <c r="F558" s="77"/>
      <c r="G558" s="79"/>
      <c r="H558" s="79"/>
      <c r="I558" s="79"/>
      <c r="J558" s="78"/>
      <c r="K558" s="79"/>
      <c r="L558" s="79"/>
      <c r="M558" s="79"/>
      <c r="N558" s="77"/>
      <c r="O558" s="79"/>
      <c r="P558" s="81"/>
      <c r="Q558" s="81"/>
      <c r="R558" s="79"/>
      <c r="S558" s="79"/>
      <c r="T558" s="79"/>
      <c r="U558" s="79"/>
      <c r="V558" s="79"/>
    </row>
    <row r="559" spans="1:22" ht="12.5" x14ac:dyDescent="0.25">
      <c r="A559" s="79"/>
      <c r="B559" s="79"/>
      <c r="C559" s="79"/>
      <c r="D559" s="79"/>
      <c r="E559" s="79"/>
      <c r="F559" s="77"/>
      <c r="G559" s="79"/>
      <c r="H559" s="79"/>
      <c r="I559" s="79"/>
      <c r="J559" s="78"/>
      <c r="K559" s="79"/>
      <c r="L559" s="79"/>
      <c r="M559" s="79"/>
      <c r="N559" s="77"/>
      <c r="O559" s="79"/>
      <c r="P559" s="81"/>
      <c r="Q559" s="81"/>
      <c r="R559" s="79"/>
      <c r="S559" s="79"/>
      <c r="T559" s="79"/>
      <c r="U559" s="79"/>
      <c r="V559" s="79"/>
    </row>
    <row r="560" spans="1:22" ht="12.5" x14ac:dyDescent="0.25">
      <c r="A560" s="79"/>
      <c r="B560" s="79"/>
      <c r="C560" s="79"/>
      <c r="D560" s="79"/>
      <c r="E560" s="79"/>
      <c r="F560" s="77"/>
      <c r="G560" s="79"/>
      <c r="H560" s="79"/>
      <c r="I560" s="79"/>
      <c r="J560" s="78"/>
      <c r="K560" s="79"/>
      <c r="L560" s="79"/>
      <c r="M560" s="79"/>
      <c r="N560" s="77"/>
      <c r="O560" s="79"/>
      <c r="P560" s="81"/>
      <c r="Q560" s="81"/>
      <c r="R560" s="79"/>
      <c r="S560" s="79"/>
      <c r="T560" s="79"/>
      <c r="U560" s="79"/>
      <c r="V560" s="79"/>
    </row>
    <row r="561" spans="1:22" ht="12.5" x14ac:dyDescent="0.25">
      <c r="A561" s="79"/>
      <c r="B561" s="79"/>
      <c r="C561" s="79"/>
      <c r="D561" s="79"/>
      <c r="E561" s="79"/>
      <c r="F561" s="77"/>
      <c r="G561" s="79"/>
      <c r="H561" s="79"/>
      <c r="I561" s="79"/>
      <c r="J561" s="78"/>
      <c r="K561" s="79"/>
      <c r="L561" s="79"/>
      <c r="M561" s="79"/>
      <c r="N561" s="77"/>
      <c r="O561" s="79"/>
      <c r="P561" s="81"/>
      <c r="Q561" s="81"/>
      <c r="R561" s="79"/>
      <c r="S561" s="79"/>
      <c r="T561" s="79"/>
      <c r="U561" s="79"/>
      <c r="V561" s="79"/>
    </row>
    <row r="562" spans="1:22" ht="12.5" x14ac:dyDescent="0.25">
      <c r="A562" s="79"/>
      <c r="B562" s="79"/>
      <c r="C562" s="79"/>
      <c r="D562" s="79"/>
      <c r="E562" s="79"/>
      <c r="F562" s="77"/>
      <c r="G562" s="79"/>
      <c r="H562" s="79"/>
      <c r="I562" s="79"/>
      <c r="J562" s="78"/>
      <c r="K562" s="79"/>
      <c r="L562" s="79"/>
      <c r="M562" s="79"/>
      <c r="N562" s="77"/>
      <c r="O562" s="79"/>
      <c r="P562" s="81"/>
      <c r="Q562" s="81"/>
      <c r="R562" s="79"/>
      <c r="S562" s="79"/>
      <c r="T562" s="79"/>
      <c r="U562" s="79"/>
      <c r="V562" s="79"/>
    </row>
    <row r="563" spans="1:22" ht="12.5" x14ac:dyDescent="0.25">
      <c r="A563" s="79"/>
      <c r="B563" s="79"/>
      <c r="C563" s="79"/>
      <c r="D563" s="79"/>
      <c r="E563" s="79"/>
      <c r="F563" s="77"/>
      <c r="G563" s="79"/>
      <c r="H563" s="79"/>
      <c r="I563" s="79"/>
      <c r="J563" s="78"/>
      <c r="K563" s="79"/>
      <c r="L563" s="79"/>
      <c r="M563" s="79"/>
      <c r="N563" s="77"/>
      <c r="O563" s="79"/>
      <c r="P563" s="81"/>
      <c r="Q563" s="81"/>
      <c r="R563" s="79"/>
      <c r="S563" s="79"/>
      <c r="T563" s="79"/>
      <c r="U563" s="79"/>
      <c r="V563" s="79"/>
    </row>
    <row r="564" spans="1:22" ht="12.5" x14ac:dyDescent="0.25">
      <c r="A564" s="79"/>
      <c r="B564" s="79"/>
      <c r="C564" s="79"/>
      <c r="D564" s="79"/>
      <c r="E564" s="79"/>
      <c r="F564" s="77"/>
      <c r="G564" s="79"/>
      <c r="H564" s="79"/>
      <c r="I564" s="79"/>
      <c r="J564" s="78"/>
      <c r="K564" s="79"/>
      <c r="L564" s="79"/>
      <c r="M564" s="79"/>
      <c r="N564" s="77"/>
      <c r="O564" s="79"/>
      <c r="P564" s="81"/>
      <c r="Q564" s="81"/>
      <c r="R564" s="79"/>
      <c r="S564" s="79"/>
      <c r="T564" s="79"/>
      <c r="U564" s="79"/>
      <c r="V564" s="79"/>
    </row>
    <row r="565" spans="1:22" ht="12.5" x14ac:dyDescent="0.25">
      <c r="A565" s="79"/>
      <c r="B565" s="79"/>
      <c r="C565" s="79"/>
      <c r="D565" s="79"/>
      <c r="E565" s="79"/>
      <c r="F565" s="77"/>
      <c r="G565" s="79"/>
      <c r="H565" s="79"/>
      <c r="I565" s="79"/>
      <c r="J565" s="78"/>
      <c r="K565" s="79"/>
      <c r="L565" s="79"/>
      <c r="M565" s="79"/>
      <c r="N565" s="77"/>
      <c r="O565" s="79"/>
      <c r="P565" s="81"/>
      <c r="Q565" s="81"/>
      <c r="R565" s="79"/>
      <c r="S565" s="79"/>
      <c r="T565" s="79"/>
      <c r="U565" s="79"/>
      <c r="V565" s="79"/>
    </row>
    <row r="566" spans="1:22" ht="12.5" x14ac:dyDescent="0.25">
      <c r="A566" s="79"/>
      <c r="B566" s="79"/>
      <c r="C566" s="79"/>
      <c r="D566" s="79"/>
      <c r="E566" s="79"/>
      <c r="F566" s="77"/>
      <c r="G566" s="79"/>
      <c r="H566" s="79"/>
      <c r="I566" s="79"/>
      <c r="J566" s="78"/>
      <c r="K566" s="79"/>
      <c r="L566" s="79"/>
      <c r="M566" s="79"/>
      <c r="N566" s="77"/>
      <c r="O566" s="79"/>
      <c r="P566" s="81"/>
      <c r="Q566" s="81"/>
      <c r="R566" s="79"/>
      <c r="S566" s="79"/>
      <c r="T566" s="79"/>
      <c r="U566" s="79"/>
      <c r="V566" s="79"/>
    </row>
    <row r="567" spans="1:22" ht="12.5" x14ac:dyDescent="0.25">
      <c r="A567" s="79"/>
      <c r="B567" s="79"/>
      <c r="C567" s="79"/>
      <c r="D567" s="79"/>
      <c r="E567" s="79"/>
      <c r="F567" s="77"/>
      <c r="G567" s="79"/>
      <c r="H567" s="79"/>
      <c r="I567" s="79"/>
      <c r="J567" s="78"/>
      <c r="K567" s="79"/>
      <c r="L567" s="79"/>
      <c r="M567" s="79"/>
      <c r="N567" s="77"/>
      <c r="O567" s="79"/>
      <c r="P567" s="81"/>
      <c r="Q567" s="81"/>
      <c r="R567" s="79"/>
      <c r="S567" s="79"/>
      <c r="T567" s="79"/>
      <c r="U567" s="79"/>
      <c r="V567" s="79"/>
    </row>
    <row r="568" spans="1:22" ht="12.5" x14ac:dyDescent="0.25">
      <c r="A568" s="79"/>
      <c r="B568" s="79"/>
      <c r="C568" s="79"/>
      <c r="D568" s="79"/>
      <c r="E568" s="79"/>
      <c r="F568" s="77"/>
      <c r="G568" s="79"/>
      <c r="H568" s="79"/>
      <c r="I568" s="79"/>
      <c r="J568" s="78"/>
      <c r="K568" s="79"/>
      <c r="L568" s="79"/>
      <c r="M568" s="79"/>
      <c r="N568" s="77"/>
      <c r="O568" s="79"/>
      <c r="P568" s="81"/>
      <c r="Q568" s="81"/>
      <c r="R568" s="79"/>
      <c r="S568" s="79"/>
      <c r="T568" s="79"/>
      <c r="U568" s="79"/>
      <c r="V568" s="79"/>
    </row>
    <row r="569" spans="1:22" ht="12.5" x14ac:dyDescent="0.25">
      <c r="A569" s="79"/>
      <c r="B569" s="79"/>
      <c r="C569" s="79"/>
      <c r="D569" s="79"/>
      <c r="E569" s="79"/>
      <c r="F569" s="77"/>
      <c r="G569" s="79"/>
      <c r="H569" s="79"/>
      <c r="I569" s="79"/>
      <c r="J569" s="78"/>
      <c r="K569" s="79"/>
      <c r="L569" s="79"/>
      <c r="M569" s="79"/>
      <c r="N569" s="77"/>
      <c r="O569" s="79"/>
      <c r="P569" s="81"/>
      <c r="Q569" s="81"/>
      <c r="R569" s="79"/>
      <c r="S569" s="79"/>
      <c r="T569" s="79"/>
      <c r="U569" s="79"/>
      <c r="V569" s="79"/>
    </row>
    <row r="570" spans="1:22" ht="12.5" x14ac:dyDescent="0.25">
      <c r="A570" s="79"/>
      <c r="B570" s="79"/>
      <c r="C570" s="79"/>
      <c r="D570" s="79"/>
      <c r="E570" s="79"/>
      <c r="F570" s="77"/>
      <c r="G570" s="79"/>
      <c r="H570" s="79"/>
      <c r="I570" s="79"/>
      <c r="J570" s="78"/>
      <c r="K570" s="79"/>
      <c r="L570" s="79"/>
      <c r="M570" s="79"/>
      <c r="N570" s="77"/>
      <c r="O570" s="79"/>
      <c r="P570" s="81"/>
      <c r="Q570" s="81"/>
      <c r="R570" s="79"/>
      <c r="S570" s="79"/>
      <c r="T570" s="79"/>
      <c r="U570" s="79"/>
      <c r="V570" s="79"/>
    </row>
    <row r="571" spans="1:22" ht="12.5" x14ac:dyDescent="0.25">
      <c r="A571" s="79"/>
      <c r="B571" s="79"/>
      <c r="C571" s="79"/>
      <c r="D571" s="79"/>
      <c r="E571" s="79"/>
      <c r="F571" s="77"/>
      <c r="G571" s="79"/>
      <c r="H571" s="79"/>
      <c r="I571" s="79"/>
      <c r="J571" s="78"/>
      <c r="K571" s="79"/>
      <c r="L571" s="79"/>
      <c r="M571" s="79"/>
      <c r="N571" s="77"/>
      <c r="O571" s="79"/>
      <c r="P571" s="81"/>
      <c r="Q571" s="81"/>
      <c r="R571" s="79"/>
      <c r="S571" s="79"/>
      <c r="T571" s="79"/>
      <c r="U571" s="79"/>
      <c r="V571" s="79"/>
    </row>
    <row r="572" spans="1:22" ht="12.5" x14ac:dyDescent="0.25">
      <c r="A572" s="79"/>
      <c r="B572" s="79"/>
      <c r="C572" s="79"/>
      <c r="D572" s="79"/>
      <c r="E572" s="79"/>
      <c r="F572" s="77"/>
      <c r="G572" s="79"/>
      <c r="H572" s="79"/>
      <c r="I572" s="79"/>
      <c r="J572" s="78"/>
      <c r="K572" s="79"/>
      <c r="L572" s="79"/>
      <c r="M572" s="79"/>
      <c r="N572" s="77"/>
      <c r="O572" s="79"/>
      <c r="P572" s="81"/>
      <c r="Q572" s="81"/>
      <c r="R572" s="79"/>
      <c r="S572" s="79"/>
      <c r="T572" s="79"/>
      <c r="U572" s="79"/>
      <c r="V572" s="79"/>
    </row>
    <row r="573" spans="1:22" ht="12.5" x14ac:dyDescent="0.25">
      <c r="A573" s="79"/>
      <c r="B573" s="79"/>
      <c r="C573" s="79"/>
      <c r="D573" s="79"/>
      <c r="E573" s="79"/>
      <c r="F573" s="77"/>
      <c r="G573" s="79"/>
      <c r="H573" s="79"/>
      <c r="I573" s="79"/>
      <c r="J573" s="78"/>
      <c r="K573" s="79"/>
      <c r="L573" s="79"/>
      <c r="M573" s="79"/>
      <c r="N573" s="77"/>
      <c r="O573" s="79"/>
      <c r="P573" s="81"/>
      <c r="Q573" s="81"/>
      <c r="R573" s="79"/>
      <c r="S573" s="79"/>
      <c r="T573" s="79"/>
      <c r="U573" s="79"/>
      <c r="V573" s="79"/>
    </row>
    <row r="574" spans="1:22" ht="12.5" x14ac:dyDescent="0.25">
      <c r="A574" s="79"/>
      <c r="B574" s="79"/>
      <c r="C574" s="79"/>
      <c r="D574" s="79"/>
      <c r="E574" s="79"/>
      <c r="F574" s="77"/>
      <c r="G574" s="79"/>
      <c r="H574" s="79"/>
      <c r="I574" s="79"/>
      <c r="J574" s="78"/>
      <c r="K574" s="79"/>
      <c r="L574" s="79"/>
      <c r="M574" s="79"/>
      <c r="N574" s="77"/>
      <c r="O574" s="79"/>
      <c r="P574" s="81"/>
      <c r="Q574" s="81"/>
      <c r="R574" s="79"/>
      <c r="S574" s="79"/>
      <c r="T574" s="79"/>
      <c r="U574" s="79"/>
      <c r="V574" s="79"/>
    </row>
    <row r="575" spans="1:22" ht="12.5" x14ac:dyDescent="0.25">
      <c r="A575" s="79"/>
      <c r="B575" s="79"/>
      <c r="C575" s="79"/>
      <c r="D575" s="79"/>
      <c r="E575" s="79"/>
      <c r="F575" s="77"/>
      <c r="G575" s="79"/>
      <c r="H575" s="79"/>
      <c r="I575" s="79"/>
      <c r="J575" s="78"/>
      <c r="K575" s="79"/>
      <c r="L575" s="79"/>
      <c r="M575" s="79"/>
      <c r="N575" s="77"/>
      <c r="O575" s="79"/>
      <c r="P575" s="81"/>
      <c r="Q575" s="81"/>
      <c r="R575" s="79"/>
      <c r="S575" s="79"/>
      <c r="T575" s="79"/>
      <c r="U575" s="79"/>
      <c r="V575" s="79"/>
    </row>
    <row r="576" spans="1:22" ht="12.5" x14ac:dyDescent="0.25">
      <c r="A576" s="79"/>
      <c r="B576" s="79"/>
      <c r="C576" s="79"/>
      <c r="D576" s="79"/>
      <c r="E576" s="79"/>
      <c r="F576" s="77"/>
      <c r="G576" s="79"/>
      <c r="H576" s="79"/>
      <c r="I576" s="79"/>
      <c r="J576" s="78"/>
      <c r="K576" s="79"/>
      <c r="L576" s="79"/>
      <c r="M576" s="79"/>
      <c r="N576" s="77"/>
      <c r="O576" s="79"/>
      <c r="P576" s="81"/>
      <c r="Q576" s="81"/>
      <c r="R576" s="79"/>
      <c r="S576" s="79"/>
      <c r="T576" s="79"/>
      <c r="U576" s="79"/>
      <c r="V576" s="79"/>
    </row>
    <row r="577" spans="1:22" ht="12.5" x14ac:dyDescent="0.25">
      <c r="A577" s="79"/>
      <c r="B577" s="79"/>
      <c r="C577" s="79"/>
      <c r="D577" s="79"/>
      <c r="E577" s="79"/>
      <c r="F577" s="77"/>
      <c r="G577" s="79"/>
      <c r="H577" s="79"/>
      <c r="I577" s="79"/>
      <c r="J577" s="78"/>
      <c r="K577" s="79"/>
      <c r="L577" s="79"/>
      <c r="M577" s="79"/>
      <c r="N577" s="77"/>
      <c r="O577" s="79"/>
      <c r="P577" s="81"/>
      <c r="Q577" s="81"/>
      <c r="R577" s="79"/>
      <c r="S577" s="79"/>
      <c r="T577" s="79"/>
      <c r="U577" s="79"/>
      <c r="V577" s="79"/>
    </row>
    <row r="578" spans="1:22" ht="12.5" x14ac:dyDescent="0.25">
      <c r="A578" s="79"/>
      <c r="B578" s="79"/>
      <c r="C578" s="79"/>
      <c r="D578" s="79"/>
      <c r="E578" s="79"/>
      <c r="F578" s="77"/>
      <c r="G578" s="79"/>
      <c r="H578" s="79"/>
      <c r="I578" s="79"/>
      <c r="J578" s="78"/>
      <c r="K578" s="79"/>
      <c r="L578" s="79"/>
      <c r="M578" s="79"/>
      <c r="N578" s="77"/>
      <c r="O578" s="79"/>
      <c r="P578" s="81"/>
      <c r="Q578" s="81"/>
      <c r="R578" s="79"/>
      <c r="S578" s="79"/>
      <c r="T578" s="79"/>
      <c r="U578" s="79"/>
      <c r="V578" s="79"/>
    </row>
    <row r="579" spans="1:22" ht="12.5" x14ac:dyDescent="0.25">
      <c r="A579" s="79"/>
      <c r="B579" s="79"/>
      <c r="C579" s="79"/>
      <c r="D579" s="79"/>
      <c r="E579" s="79"/>
      <c r="F579" s="77"/>
      <c r="G579" s="79"/>
      <c r="H579" s="79"/>
      <c r="I579" s="79"/>
      <c r="J579" s="78"/>
      <c r="K579" s="79"/>
      <c r="L579" s="79"/>
      <c r="M579" s="79"/>
      <c r="N579" s="77"/>
      <c r="O579" s="79"/>
      <c r="P579" s="81"/>
      <c r="Q579" s="81"/>
      <c r="R579" s="79"/>
      <c r="S579" s="79"/>
      <c r="T579" s="79"/>
      <c r="U579" s="79"/>
      <c r="V579" s="79"/>
    </row>
    <row r="580" spans="1:22" ht="12.5" x14ac:dyDescent="0.25">
      <c r="A580" s="79"/>
      <c r="B580" s="79"/>
      <c r="C580" s="79"/>
      <c r="D580" s="79"/>
      <c r="E580" s="79"/>
      <c r="F580" s="77"/>
      <c r="G580" s="79"/>
      <c r="H580" s="79"/>
      <c r="I580" s="79"/>
      <c r="J580" s="78"/>
      <c r="K580" s="79"/>
      <c r="L580" s="79"/>
      <c r="M580" s="79"/>
      <c r="N580" s="77"/>
      <c r="O580" s="79"/>
      <c r="P580" s="81"/>
      <c r="Q580" s="81"/>
      <c r="R580" s="79"/>
      <c r="S580" s="79"/>
      <c r="T580" s="79"/>
      <c r="U580" s="79"/>
      <c r="V580" s="79"/>
    </row>
    <row r="581" spans="1:22" ht="12.5" x14ac:dyDescent="0.25">
      <c r="A581" s="79"/>
      <c r="B581" s="79"/>
      <c r="C581" s="79"/>
      <c r="D581" s="79"/>
      <c r="E581" s="79"/>
      <c r="F581" s="77"/>
      <c r="G581" s="79"/>
      <c r="H581" s="79"/>
      <c r="I581" s="79"/>
      <c r="J581" s="78"/>
      <c r="K581" s="79"/>
      <c r="L581" s="79"/>
      <c r="M581" s="79"/>
      <c r="N581" s="77"/>
      <c r="O581" s="79"/>
      <c r="P581" s="81"/>
      <c r="Q581" s="81"/>
      <c r="R581" s="79"/>
      <c r="S581" s="79"/>
      <c r="T581" s="79"/>
      <c r="U581" s="79"/>
      <c r="V581" s="79"/>
    </row>
    <row r="582" spans="1:22" ht="12.5" x14ac:dyDescent="0.25">
      <c r="A582" s="79"/>
      <c r="B582" s="79"/>
      <c r="C582" s="79"/>
      <c r="D582" s="79"/>
      <c r="E582" s="79"/>
      <c r="F582" s="77"/>
      <c r="G582" s="79"/>
      <c r="H582" s="79"/>
      <c r="I582" s="79"/>
      <c r="J582" s="78"/>
      <c r="K582" s="79"/>
      <c r="L582" s="79"/>
      <c r="M582" s="79"/>
      <c r="N582" s="77"/>
      <c r="O582" s="79"/>
      <c r="P582" s="81"/>
      <c r="Q582" s="81"/>
      <c r="R582" s="79"/>
      <c r="S582" s="79"/>
      <c r="T582" s="79"/>
      <c r="U582" s="79"/>
      <c r="V582" s="79"/>
    </row>
    <row r="583" spans="1:22" ht="12.5" x14ac:dyDescent="0.25">
      <c r="A583" s="79"/>
      <c r="B583" s="79"/>
      <c r="C583" s="79"/>
      <c r="D583" s="79"/>
      <c r="E583" s="79"/>
      <c r="F583" s="77"/>
      <c r="G583" s="79"/>
      <c r="H583" s="79"/>
      <c r="I583" s="79"/>
      <c r="J583" s="78"/>
      <c r="K583" s="79"/>
      <c r="L583" s="79"/>
      <c r="M583" s="79"/>
      <c r="N583" s="77"/>
      <c r="O583" s="79"/>
      <c r="P583" s="81"/>
      <c r="Q583" s="81"/>
      <c r="R583" s="79"/>
      <c r="S583" s="79"/>
      <c r="T583" s="79"/>
      <c r="U583" s="79"/>
      <c r="V583" s="79"/>
    </row>
    <row r="584" spans="1:22" ht="12.5" x14ac:dyDescent="0.25">
      <c r="A584" s="79"/>
      <c r="B584" s="79"/>
      <c r="C584" s="79"/>
      <c r="D584" s="79"/>
      <c r="E584" s="79"/>
      <c r="F584" s="77"/>
      <c r="G584" s="79"/>
      <c r="H584" s="79"/>
      <c r="I584" s="79"/>
      <c r="J584" s="78"/>
      <c r="K584" s="79"/>
      <c r="L584" s="79"/>
      <c r="M584" s="79"/>
      <c r="N584" s="77"/>
      <c r="O584" s="79"/>
      <c r="P584" s="81"/>
      <c r="Q584" s="81"/>
      <c r="R584" s="79"/>
      <c r="S584" s="79"/>
      <c r="T584" s="79"/>
      <c r="U584" s="79"/>
      <c r="V584" s="79"/>
    </row>
    <row r="585" spans="1:22" ht="12.5" x14ac:dyDescent="0.25">
      <c r="A585" s="79"/>
      <c r="B585" s="79"/>
      <c r="C585" s="79"/>
      <c r="D585" s="79"/>
      <c r="E585" s="79"/>
      <c r="F585" s="77"/>
      <c r="G585" s="79"/>
      <c r="H585" s="79"/>
      <c r="I585" s="79"/>
      <c r="J585" s="78"/>
      <c r="K585" s="79"/>
      <c r="L585" s="79"/>
      <c r="M585" s="79"/>
      <c r="N585" s="77"/>
      <c r="O585" s="79"/>
      <c r="P585" s="81"/>
      <c r="Q585" s="81"/>
      <c r="R585" s="79"/>
      <c r="S585" s="79"/>
      <c r="T585" s="79"/>
      <c r="U585" s="79"/>
      <c r="V585" s="79"/>
    </row>
    <row r="586" spans="1:22" ht="12.5" x14ac:dyDescent="0.25">
      <c r="A586" s="79"/>
      <c r="B586" s="79"/>
      <c r="C586" s="79"/>
      <c r="D586" s="79"/>
      <c r="E586" s="79"/>
      <c r="F586" s="77"/>
      <c r="G586" s="79"/>
      <c r="H586" s="79"/>
      <c r="I586" s="79"/>
      <c r="J586" s="78"/>
      <c r="K586" s="79"/>
      <c r="L586" s="79"/>
      <c r="M586" s="79"/>
      <c r="N586" s="77"/>
      <c r="O586" s="79"/>
      <c r="P586" s="81"/>
      <c r="Q586" s="81"/>
      <c r="R586" s="79"/>
      <c r="S586" s="79"/>
      <c r="T586" s="79"/>
      <c r="U586" s="79"/>
      <c r="V586" s="79"/>
    </row>
    <row r="587" spans="1:22" ht="12.5" x14ac:dyDescent="0.25">
      <c r="A587" s="79"/>
      <c r="B587" s="79"/>
      <c r="C587" s="79"/>
      <c r="D587" s="79"/>
      <c r="E587" s="79"/>
      <c r="F587" s="77"/>
      <c r="G587" s="79"/>
      <c r="H587" s="79"/>
      <c r="I587" s="79"/>
      <c r="J587" s="78"/>
      <c r="K587" s="79"/>
      <c r="L587" s="79"/>
      <c r="M587" s="79"/>
      <c r="N587" s="77"/>
      <c r="O587" s="79"/>
      <c r="P587" s="81"/>
      <c r="Q587" s="81"/>
      <c r="R587" s="79"/>
      <c r="S587" s="79"/>
      <c r="T587" s="79"/>
      <c r="U587" s="79"/>
      <c r="V587" s="79"/>
    </row>
    <row r="588" spans="1:22" ht="12.5" x14ac:dyDescent="0.25">
      <c r="A588" s="79"/>
      <c r="B588" s="79"/>
      <c r="C588" s="79"/>
      <c r="D588" s="79"/>
      <c r="E588" s="79"/>
      <c r="F588" s="77"/>
      <c r="G588" s="79"/>
      <c r="H588" s="79"/>
      <c r="I588" s="79"/>
      <c r="J588" s="78"/>
      <c r="K588" s="79"/>
      <c r="L588" s="79"/>
      <c r="M588" s="79"/>
      <c r="N588" s="77"/>
      <c r="O588" s="79"/>
      <c r="P588" s="81"/>
      <c r="Q588" s="81"/>
      <c r="R588" s="79"/>
      <c r="S588" s="79"/>
      <c r="T588" s="79"/>
      <c r="U588" s="79"/>
      <c r="V588" s="79"/>
    </row>
    <row r="589" spans="1:22" ht="12.5" x14ac:dyDescent="0.25">
      <c r="A589" s="79"/>
      <c r="B589" s="79"/>
      <c r="C589" s="79"/>
      <c r="D589" s="79"/>
      <c r="E589" s="79"/>
      <c r="F589" s="77"/>
      <c r="G589" s="79"/>
      <c r="H589" s="79"/>
      <c r="I589" s="79"/>
      <c r="J589" s="78"/>
      <c r="K589" s="79"/>
      <c r="L589" s="79"/>
      <c r="M589" s="79"/>
      <c r="N589" s="77"/>
      <c r="O589" s="79"/>
      <c r="P589" s="81"/>
      <c r="Q589" s="81"/>
      <c r="R589" s="79"/>
      <c r="S589" s="79"/>
      <c r="T589" s="79"/>
      <c r="U589" s="79"/>
      <c r="V589" s="79"/>
    </row>
    <row r="590" spans="1:22" ht="12.5" x14ac:dyDescent="0.25">
      <c r="A590" s="79"/>
      <c r="B590" s="79"/>
      <c r="C590" s="79"/>
      <c r="D590" s="79"/>
      <c r="E590" s="79"/>
      <c r="F590" s="77"/>
      <c r="G590" s="79"/>
      <c r="H590" s="79"/>
      <c r="I590" s="79"/>
      <c r="J590" s="78"/>
      <c r="K590" s="79"/>
      <c r="L590" s="79"/>
      <c r="M590" s="79"/>
      <c r="N590" s="77"/>
      <c r="O590" s="79"/>
      <c r="P590" s="81"/>
      <c r="Q590" s="81"/>
      <c r="R590" s="79"/>
      <c r="S590" s="79"/>
      <c r="T590" s="79"/>
      <c r="U590" s="79"/>
      <c r="V590" s="79"/>
    </row>
    <row r="591" spans="1:22" ht="12.5" x14ac:dyDescent="0.25">
      <c r="A591" s="79"/>
      <c r="B591" s="79"/>
      <c r="C591" s="79"/>
      <c r="D591" s="79"/>
      <c r="E591" s="79"/>
      <c r="F591" s="77"/>
      <c r="G591" s="79"/>
      <c r="H591" s="79"/>
      <c r="I591" s="79"/>
      <c r="J591" s="78"/>
      <c r="K591" s="79"/>
      <c r="L591" s="79"/>
      <c r="M591" s="79"/>
      <c r="N591" s="77"/>
      <c r="O591" s="79"/>
      <c r="P591" s="81"/>
      <c r="Q591" s="81"/>
      <c r="R591" s="79"/>
      <c r="S591" s="79"/>
      <c r="T591" s="79"/>
      <c r="U591" s="79"/>
      <c r="V591" s="79"/>
    </row>
    <row r="592" spans="1:22" ht="12.5" x14ac:dyDescent="0.25">
      <c r="A592" s="79"/>
      <c r="B592" s="79"/>
      <c r="C592" s="79"/>
      <c r="D592" s="79"/>
      <c r="E592" s="79"/>
      <c r="F592" s="77"/>
      <c r="G592" s="79"/>
      <c r="H592" s="79"/>
      <c r="I592" s="79"/>
      <c r="J592" s="78"/>
      <c r="K592" s="79"/>
      <c r="L592" s="79"/>
      <c r="M592" s="79"/>
      <c r="N592" s="77"/>
      <c r="O592" s="79"/>
      <c r="P592" s="81"/>
      <c r="Q592" s="81"/>
      <c r="R592" s="79"/>
      <c r="S592" s="79"/>
      <c r="T592" s="79"/>
      <c r="U592" s="79"/>
      <c r="V592" s="79"/>
    </row>
    <row r="593" spans="1:22" ht="12.5" x14ac:dyDescent="0.25">
      <c r="A593" s="79"/>
      <c r="B593" s="79"/>
      <c r="C593" s="79"/>
      <c r="D593" s="79"/>
      <c r="E593" s="79"/>
      <c r="F593" s="77"/>
      <c r="G593" s="79"/>
      <c r="H593" s="79"/>
      <c r="I593" s="79"/>
      <c r="J593" s="78"/>
      <c r="K593" s="79"/>
      <c r="L593" s="79"/>
      <c r="M593" s="79"/>
      <c r="N593" s="77"/>
      <c r="O593" s="79"/>
      <c r="P593" s="81"/>
      <c r="Q593" s="81"/>
      <c r="R593" s="79"/>
      <c r="S593" s="79"/>
      <c r="T593" s="79"/>
      <c r="U593" s="79"/>
      <c r="V593" s="79"/>
    </row>
    <row r="594" spans="1:22" ht="12.5" x14ac:dyDescent="0.25">
      <c r="A594" s="79"/>
      <c r="B594" s="79"/>
      <c r="C594" s="79"/>
      <c r="D594" s="79"/>
      <c r="E594" s="79"/>
      <c r="F594" s="77"/>
      <c r="G594" s="79"/>
      <c r="H594" s="79"/>
      <c r="I594" s="79"/>
      <c r="J594" s="78"/>
      <c r="K594" s="79"/>
      <c r="L594" s="79"/>
      <c r="M594" s="79"/>
      <c r="N594" s="77"/>
      <c r="O594" s="79"/>
      <c r="P594" s="81"/>
      <c r="Q594" s="81"/>
      <c r="R594" s="79"/>
      <c r="S594" s="79"/>
      <c r="T594" s="79"/>
      <c r="U594" s="79"/>
      <c r="V594" s="79"/>
    </row>
    <row r="595" spans="1:22" ht="12.5" x14ac:dyDescent="0.25">
      <c r="A595" s="79"/>
      <c r="B595" s="79"/>
      <c r="C595" s="79"/>
      <c r="D595" s="79"/>
      <c r="E595" s="79"/>
      <c r="F595" s="77"/>
      <c r="G595" s="79"/>
      <c r="H595" s="79"/>
      <c r="I595" s="79"/>
      <c r="J595" s="78"/>
      <c r="K595" s="79"/>
      <c r="L595" s="79"/>
      <c r="M595" s="79"/>
      <c r="N595" s="77"/>
      <c r="O595" s="79"/>
      <c r="P595" s="81"/>
      <c r="Q595" s="81"/>
      <c r="R595" s="79"/>
      <c r="S595" s="79"/>
      <c r="T595" s="79"/>
      <c r="U595" s="79"/>
      <c r="V595" s="79"/>
    </row>
    <row r="596" spans="1:22" ht="12.5" x14ac:dyDescent="0.25">
      <c r="A596" s="79"/>
      <c r="B596" s="79"/>
      <c r="C596" s="79"/>
      <c r="D596" s="79"/>
      <c r="E596" s="79"/>
      <c r="F596" s="77"/>
      <c r="G596" s="79"/>
      <c r="H596" s="79"/>
      <c r="I596" s="79"/>
      <c r="J596" s="78"/>
      <c r="K596" s="79"/>
      <c r="L596" s="79"/>
      <c r="M596" s="79"/>
      <c r="N596" s="77"/>
      <c r="O596" s="79"/>
      <c r="P596" s="81"/>
      <c r="Q596" s="81"/>
      <c r="R596" s="79"/>
      <c r="S596" s="79"/>
      <c r="T596" s="79"/>
      <c r="U596" s="79"/>
      <c r="V596" s="79"/>
    </row>
    <row r="597" spans="1:22" ht="12.5" x14ac:dyDescent="0.25">
      <c r="A597" s="79"/>
      <c r="B597" s="79"/>
      <c r="C597" s="79"/>
      <c r="D597" s="79"/>
      <c r="E597" s="79"/>
      <c r="F597" s="77"/>
      <c r="G597" s="79"/>
      <c r="H597" s="79"/>
      <c r="I597" s="79"/>
      <c r="J597" s="78"/>
      <c r="K597" s="79"/>
      <c r="L597" s="79"/>
      <c r="M597" s="79"/>
      <c r="N597" s="77"/>
      <c r="O597" s="79"/>
      <c r="P597" s="81"/>
      <c r="Q597" s="81"/>
      <c r="R597" s="79"/>
      <c r="S597" s="79"/>
      <c r="T597" s="79"/>
      <c r="U597" s="79"/>
      <c r="V597" s="79"/>
    </row>
    <row r="598" spans="1:22" ht="12.5" x14ac:dyDescent="0.25">
      <c r="A598" s="79"/>
      <c r="B598" s="79"/>
      <c r="C598" s="79"/>
      <c r="D598" s="79"/>
      <c r="E598" s="79"/>
      <c r="F598" s="77"/>
      <c r="G598" s="79"/>
      <c r="H598" s="79"/>
      <c r="I598" s="79"/>
      <c r="J598" s="78"/>
      <c r="K598" s="79"/>
      <c r="L598" s="79"/>
      <c r="M598" s="79"/>
      <c r="N598" s="77"/>
      <c r="O598" s="79"/>
      <c r="P598" s="81"/>
      <c r="Q598" s="81"/>
      <c r="R598" s="79"/>
      <c r="S598" s="79"/>
      <c r="T598" s="79"/>
      <c r="U598" s="79"/>
      <c r="V598" s="79"/>
    </row>
    <row r="599" spans="1:22" ht="12.5" x14ac:dyDescent="0.25">
      <c r="A599" s="79"/>
      <c r="B599" s="79"/>
      <c r="C599" s="79"/>
      <c r="D599" s="79"/>
      <c r="E599" s="79"/>
      <c r="F599" s="77"/>
      <c r="G599" s="79"/>
      <c r="H599" s="79"/>
      <c r="I599" s="79"/>
      <c r="J599" s="78"/>
      <c r="K599" s="79"/>
      <c r="L599" s="79"/>
      <c r="M599" s="79"/>
      <c r="N599" s="77"/>
      <c r="O599" s="79"/>
      <c r="P599" s="81"/>
      <c r="Q599" s="81"/>
      <c r="R599" s="79"/>
      <c r="S599" s="79"/>
      <c r="T599" s="79"/>
      <c r="U599" s="79"/>
      <c r="V599" s="79"/>
    </row>
    <row r="600" spans="1:22" ht="12.5" x14ac:dyDescent="0.25">
      <c r="A600" s="79"/>
      <c r="B600" s="79"/>
      <c r="C600" s="79"/>
      <c r="D600" s="79"/>
      <c r="E600" s="79"/>
      <c r="F600" s="77"/>
      <c r="G600" s="79"/>
      <c r="H600" s="79"/>
      <c r="I600" s="79"/>
      <c r="J600" s="78"/>
      <c r="K600" s="79"/>
      <c r="L600" s="79"/>
      <c r="M600" s="79"/>
      <c r="N600" s="77"/>
      <c r="O600" s="79"/>
      <c r="P600" s="81"/>
      <c r="Q600" s="81"/>
      <c r="R600" s="79"/>
      <c r="S600" s="79"/>
      <c r="T600" s="79"/>
      <c r="U600" s="79"/>
      <c r="V600" s="79"/>
    </row>
    <row r="601" spans="1:22" ht="12.5" x14ac:dyDescent="0.25">
      <c r="A601" s="79"/>
      <c r="B601" s="79"/>
      <c r="C601" s="79"/>
      <c r="D601" s="79"/>
      <c r="E601" s="79"/>
      <c r="F601" s="77"/>
      <c r="G601" s="79"/>
      <c r="H601" s="79"/>
      <c r="I601" s="79"/>
      <c r="J601" s="78"/>
      <c r="K601" s="79"/>
      <c r="L601" s="79"/>
      <c r="M601" s="79"/>
      <c r="N601" s="77"/>
      <c r="O601" s="79"/>
      <c r="P601" s="81"/>
      <c r="Q601" s="81"/>
      <c r="R601" s="79"/>
      <c r="S601" s="79"/>
      <c r="T601" s="79"/>
      <c r="U601" s="79"/>
      <c r="V601" s="79"/>
    </row>
    <row r="602" spans="1:22" ht="12.5" x14ac:dyDescent="0.25">
      <c r="A602" s="79"/>
      <c r="B602" s="79"/>
      <c r="C602" s="79"/>
      <c r="D602" s="79"/>
      <c r="E602" s="79"/>
      <c r="F602" s="77"/>
      <c r="G602" s="79"/>
      <c r="H602" s="79"/>
      <c r="I602" s="79"/>
      <c r="J602" s="78"/>
      <c r="K602" s="79"/>
      <c r="L602" s="79"/>
      <c r="M602" s="79"/>
      <c r="N602" s="77"/>
      <c r="O602" s="79"/>
      <c r="P602" s="81"/>
      <c r="Q602" s="81"/>
      <c r="R602" s="79"/>
      <c r="S602" s="79"/>
      <c r="T602" s="79"/>
      <c r="U602" s="79"/>
      <c r="V602" s="79"/>
    </row>
    <row r="603" spans="1:22" ht="12.5" x14ac:dyDescent="0.25">
      <c r="A603" s="79"/>
      <c r="B603" s="79"/>
      <c r="C603" s="79"/>
      <c r="D603" s="79"/>
      <c r="E603" s="79"/>
      <c r="F603" s="77"/>
      <c r="G603" s="79"/>
      <c r="H603" s="79"/>
      <c r="I603" s="79"/>
      <c r="J603" s="78"/>
      <c r="K603" s="79"/>
      <c r="L603" s="79"/>
      <c r="M603" s="79"/>
      <c r="N603" s="77"/>
      <c r="O603" s="79"/>
      <c r="P603" s="81"/>
      <c r="Q603" s="81"/>
      <c r="R603" s="79"/>
      <c r="S603" s="79"/>
      <c r="T603" s="79"/>
      <c r="U603" s="79"/>
      <c r="V603" s="79"/>
    </row>
    <row r="604" spans="1:22" ht="12.5" x14ac:dyDescent="0.25">
      <c r="A604" s="79"/>
      <c r="B604" s="79"/>
      <c r="C604" s="79"/>
      <c r="D604" s="79"/>
      <c r="E604" s="79"/>
      <c r="F604" s="77"/>
      <c r="G604" s="79"/>
      <c r="H604" s="79"/>
      <c r="I604" s="79"/>
      <c r="J604" s="78"/>
      <c r="K604" s="79"/>
      <c r="L604" s="79"/>
      <c r="M604" s="79"/>
      <c r="N604" s="77"/>
      <c r="O604" s="79"/>
      <c r="P604" s="81"/>
      <c r="Q604" s="81"/>
      <c r="R604" s="79"/>
      <c r="S604" s="79"/>
      <c r="T604" s="79"/>
      <c r="U604" s="79"/>
      <c r="V604" s="79"/>
    </row>
    <row r="605" spans="1:22" ht="12.5" x14ac:dyDescent="0.25">
      <c r="A605" s="79"/>
      <c r="B605" s="79"/>
      <c r="C605" s="79"/>
      <c r="D605" s="79"/>
      <c r="E605" s="79"/>
      <c r="F605" s="77"/>
      <c r="G605" s="79"/>
      <c r="H605" s="79"/>
      <c r="I605" s="79"/>
      <c r="J605" s="78"/>
      <c r="K605" s="79"/>
      <c r="L605" s="79"/>
      <c r="M605" s="79"/>
      <c r="N605" s="77"/>
      <c r="O605" s="79"/>
      <c r="P605" s="81"/>
      <c r="Q605" s="81"/>
      <c r="R605" s="79"/>
      <c r="S605" s="79"/>
      <c r="T605" s="79"/>
      <c r="U605" s="79"/>
      <c r="V605" s="79"/>
    </row>
    <row r="606" spans="1:22" ht="12.5" x14ac:dyDescent="0.25">
      <c r="A606" s="79"/>
      <c r="B606" s="79"/>
      <c r="C606" s="79"/>
      <c r="D606" s="79"/>
      <c r="E606" s="79"/>
      <c r="F606" s="77"/>
      <c r="G606" s="79"/>
      <c r="H606" s="79"/>
      <c r="I606" s="79"/>
      <c r="J606" s="78"/>
      <c r="K606" s="79"/>
      <c r="L606" s="79"/>
      <c r="M606" s="79"/>
      <c r="N606" s="77"/>
      <c r="O606" s="79"/>
      <c r="P606" s="81"/>
      <c r="Q606" s="81"/>
      <c r="R606" s="79"/>
      <c r="S606" s="79"/>
      <c r="T606" s="79"/>
      <c r="U606" s="79"/>
      <c r="V606" s="79"/>
    </row>
    <row r="607" spans="1:22" ht="12.5" x14ac:dyDescent="0.25">
      <c r="A607" s="79"/>
      <c r="B607" s="79"/>
      <c r="C607" s="79"/>
      <c r="D607" s="79"/>
      <c r="E607" s="79"/>
      <c r="F607" s="77"/>
      <c r="G607" s="79"/>
      <c r="H607" s="79"/>
      <c r="I607" s="79"/>
      <c r="J607" s="78"/>
      <c r="K607" s="79"/>
      <c r="L607" s="79"/>
      <c r="M607" s="79"/>
      <c r="N607" s="77"/>
      <c r="O607" s="79"/>
      <c r="P607" s="81"/>
      <c r="Q607" s="81"/>
      <c r="R607" s="79"/>
      <c r="S607" s="79"/>
      <c r="T607" s="79"/>
      <c r="U607" s="79"/>
      <c r="V607" s="79"/>
    </row>
    <row r="608" spans="1:22" ht="12.5" x14ac:dyDescent="0.25">
      <c r="A608" s="79"/>
      <c r="B608" s="79"/>
      <c r="C608" s="79"/>
      <c r="D608" s="79"/>
      <c r="E608" s="79"/>
      <c r="F608" s="77"/>
      <c r="G608" s="79"/>
      <c r="H608" s="79"/>
      <c r="I608" s="79"/>
      <c r="J608" s="78"/>
      <c r="K608" s="79"/>
      <c r="L608" s="79"/>
      <c r="M608" s="79"/>
      <c r="N608" s="77"/>
      <c r="O608" s="79"/>
      <c r="P608" s="81"/>
      <c r="Q608" s="81"/>
      <c r="R608" s="79"/>
      <c r="S608" s="79"/>
      <c r="T608" s="79"/>
      <c r="U608" s="79"/>
      <c r="V608" s="79"/>
    </row>
    <row r="609" spans="1:22" ht="12.5" x14ac:dyDescent="0.25">
      <c r="A609" s="79"/>
      <c r="B609" s="79"/>
      <c r="C609" s="79"/>
      <c r="D609" s="79"/>
      <c r="E609" s="79"/>
      <c r="F609" s="77"/>
      <c r="G609" s="79"/>
      <c r="H609" s="79"/>
      <c r="I609" s="79"/>
      <c r="J609" s="78"/>
      <c r="K609" s="79"/>
      <c r="L609" s="79"/>
      <c r="M609" s="79"/>
      <c r="N609" s="77"/>
      <c r="O609" s="79"/>
      <c r="P609" s="81"/>
      <c r="Q609" s="81"/>
      <c r="R609" s="79"/>
      <c r="S609" s="79"/>
      <c r="T609" s="79"/>
      <c r="U609" s="79"/>
      <c r="V609" s="79"/>
    </row>
    <row r="610" spans="1:22" ht="12.5" x14ac:dyDescent="0.25">
      <c r="A610" s="79"/>
      <c r="B610" s="79"/>
      <c r="C610" s="79"/>
      <c r="D610" s="79"/>
      <c r="E610" s="79"/>
      <c r="F610" s="77"/>
      <c r="G610" s="79"/>
      <c r="H610" s="79"/>
      <c r="I610" s="79"/>
      <c r="J610" s="78"/>
      <c r="K610" s="79"/>
      <c r="L610" s="79"/>
      <c r="M610" s="79"/>
      <c r="N610" s="77"/>
      <c r="O610" s="79"/>
      <c r="P610" s="81"/>
      <c r="Q610" s="81"/>
      <c r="R610" s="79"/>
      <c r="S610" s="79"/>
      <c r="T610" s="79"/>
      <c r="U610" s="79"/>
      <c r="V610" s="79"/>
    </row>
    <row r="611" spans="1:22" ht="12.5" x14ac:dyDescent="0.25">
      <c r="A611" s="79"/>
      <c r="B611" s="79"/>
      <c r="C611" s="79"/>
      <c r="D611" s="79"/>
      <c r="E611" s="79"/>
      <c r="F611" s="77"/>
      <c r="G611" s="79"/>
      <c r="H611" s="79"/>
      <c r="I611" s="79"/>
      <c r="J611" s="78"/>
      <c r="K611" s="79"/>
      <c r="L611" s="79"/>
      <c r="M611" s="79"/>
      <c r="N611" s="77"/>
      <c r="O611" s="79"/>
      <c r="P611" s="81"/>
      <c r="Q611" s="81"/>
      <c r="R611" s="79"/>
      <c r="S611" s="79"/>
      <c r="T611" s="79"/>
      <c r="U611" s="79"/>
      <c r="V611" s="79"/>
    </row>
    <row r="612" spans="1:22" ht="12.5" x14ac:dyDescent="0.25">
      <c r="A612" s="79"/>
      <c r="B612" s="79"/>
      <c r="C612" s="79"/>
      <c r="D612" s="79"/>
      <c r="E612" s="79"/>
      <c r="F612" s="77"/>
      <c r="G612" s="79"/>
      <c r="H612" s="79"/>
      <c r="I612" s="79"/>
      <c r="J612" s="78"/>
      <c r="K612" s="79"/>
      <c r="L612" s="79"/>
      <c r="M612" s="79"/>
      <c r="N612" s="77"/>
      <c r="O612" s="79"/>
      <c r="P612" s="81"/>
      <c r="Q612" s="81"/>
      <c r="R612" s="79"/>
      <c r="S612" s="79"/>
      <c r="T612" s="79"/>
      <c r="U612" s="79"/>
      <c r="V612" s="79"/>
    </row>
    <row r="613" spans="1:22" ht="12.5" x14ac:dyDescent="0.25">
      <c r="A613" s="79"/>
      <c r="B613" s="79"/>
      <c r="C613" s="79"/>
      <c r="D613" s="79"/>
      <c r="E613" s="79"/>
      <c r="F613" s="77"/>
      <c r="G613" s="79"/>
      <c r="H613" s="79"/>
      <c r="I613" s="79"/>
      <c r="J613" s="78"/>
      <c r="K613" s="79"/>
      <c r="L613" s="79"/>
      <c r="M613" s="79"/>
      <c r="N613" s="77"/>
      <c r="O613" s="79"/>
      <c r="P613" s="81"/>
      <c r="Q613" s="81"/>
      <c r="R613" s="79"/>
      <c r="S613" s="79"/>
      <c r="T613" s="79"/>
      <c r="U613" s="79"/>
      <c r="V613" s="79"/>
    </row>
    <row r="614" spans="1:22" ht="12.5" x14ac:dyDescent="0.25">
      <c r="A614" s="79"/>
      <c r="B614" s="79"/>
      <c r="C614" s="79"/>
      <c r="D614" s="79"/>
      <c r="E614" s="79"/>
      <c r="F614" s="77"/>
      <c r="G614" s="79"/>
      <c r="H614" s="79"/>
      <c r="I614" s="79"/>
      <c r="J614" s="78"/>
      <c r="K614" s="79"/>
      <c r="L614" s="79"/>
      <c r="M614" s="79"/>
      <c r="N614" s="77"/>
      <c r="O614" s="79"/>
      <c r="P614" s="81"/>
      <c r="Q614" s="81"/>
      <c r="R614" s="79"/>
      <c r="S614" s="79"/>
      <c r="T614" s="79"/>
      <c r="U614" s="79"/>
      <c r="V614" s="79"/>
    </row>
    <row r="615" spans="1:22" ht="12.5" x14ac:dyDescent="0.25">
      <c r="A615" s="79"/>
      <c r="B615" s="79"/>
      <c r="C615" s="79"/>
      <c r="D615" s="79"/>
      <c r="E615" s="79"/>
      <c r="F615" s="77"/>
      <c r="G615" s="79"/>
      <c r="H615" s="79"/>
      <c r="I615" s="79"/>
      <c r="J615" s="78"/>
      <c r="K615" s="79"/>
      <c r="L615" s="79"/>
      <c r="M615" s="79"/>
      <c r="N615" s="77"/>
      <c r="O615" s="79"/>
      <c r="P615" s="81"/>
      <c r="Q615" s="81"/>
      <c r="R615" s="79"/>
      <c r="S615" s="79"/>
      <c r="T615" s="79"/>
      <c r="U615" s="79"/>
      <c r="V615" s="79"/>
    </row>
    <row r="616" spans="1:22" ht="12.5" x14ac:dyDescent="0.25">
      <c r="A616" s="79"/>
      <c r="B616" s="79"/>
      <c r="C616" s="79"/>
      <c r="D616" s="79"/>
      <c r="E616" s="79"/>
      <c r="F616" s="77"/>
      <c r="G616" s="79"/>
      <c r="H616" s="79"/>
      <c r="I616" s="79"/>
      <c r="J616" s="78"/>
      <c r="K616" s="79"/>
      <c r="L616" s="79"/>
      <c r="M616" s="79"/>
      <c r="N616" s="77"/>
      <c r="O616" s="79"/>
      <c r="P616" s="81"/>
      <c r="Q616" s="81"/>
      <c r="R616" s="79"/>
      <c r="S616" s="79"/>
      <c r="T616" s="79"/>
      <c r="U616" s="79"/>
      <c r="V616" s="79"/>
    </row>
    <row r="617" spans="1:22" ht="12.5" x14ac:dyDescent="0.25">
      <c r="A617" s="79"/>
      <c r="B617" s="79"/>
      <c r="C617" s="79"/>
      <c r="D617" s="79"/>
      <c r="E617" s="79"/>
      <c r="F617" s="77"/>
      <c r="G617" s="79"/>
      <c r="H617" s="79"/>
      <c r="I617" s="79"/>
      <c r="J617" s="78"/>
      <c r="K617" s="79"/>
      <c r="L617" s="79"/>
      <c r="M617" s="79"/>
      <c r="N617" s="77"/>
      <c r="O617" s="79"/>
      <c r="P617" s="81"/>
      <c r="Q617" s="81"/>
      <c r="R617" s="79"/>
      <c r="S617" s="79"/>
      <c r="T617" s="79"/>
      <c r="U617" s="79"/>
      <c r="V617" s="79"/>
    </row>
    <row r="618" spans="1:22" ht="12.5" x14ac:dyDescent="0.25">
      <c r="A618" s="79"/>
      <c r="B618" s="79"/>
      <c r="C618" s="79"/>
      <c r="D618" s="79"/>
      <c r="E618" s="79"/>
      <c r="F618" s="77"/>
      <c r="G618" s="79"/>
      <c r="H618" s="79"/>
      <c r="I618" s="79"/>
      <c r="J618" s="78"/>
      <c r="K618" s="79"/>
      <c r="L618" s="79"/>
      <c r="M618" s="79"/>
      <c r="N618" s="77"/>
      <c r="O618" s="79"/>
      <c r="P618" s="81"/>
      <c r="Q618" s="81"/>
      <c r="R618" s="79"/>
      <c r="S618" s="79"/>
      <c r="T618" s="79"/>
      <c r="U618" s="79"/>
      <c r="V618" s="79"/>
    </row>
    <row r="619" spans="1:22" ht="12.5" x14ac:dyDescent="0.25">
      <c r="A619" s="79"/>
      <c r="B619" s="79"/>
      <c r="C619" s="79"/>
      <c r="D619" s="79"/>
      <c r="E619" s="79"/>
      <c r="F619" s="77"/>
      <c r="G619" s="79"/>
      <c r="H619" s="79"/>
      <c r="I619" s="79"/>
      <c r="J619" s="78"/>
      <c r="K619" s="79"/>
      <c r="L619" s="79"/>
      <c r="M619" s="79"/>
      <c r="N619" s="77"/>
      <c r="O619" s="79"/>
      <c r="P619" s="81"/>
      <c r="Q619" s="81"/>
      <c r="R619" s="79"/>
      <c r="S619" s="79"/>
      <c r="T619" s="79"/>
      <c r="U619" s="79"/>
      <c r="V619" s="79"/>
    </row>
    <row r="620" spans="1:22" ht="12.5" x14ac:dyDescent="0.25">
      <c r="A620" s="79"/>
      <c r="B620" s="79"/>
      <c r="C620" s="79"/>
      <c r="D620" s="79"/>
      <c r="E620" s="79"/>
      <c r="F620" s="77"/>
      <c r="G620" s="79"/>
      <c r="H620" s="79"/>
      <c r="I620" s="79"/>
      <c r="J620" s="78"/>
      <c r="K620" s="79"/>
      <c r="L620" s="79"/>
      <c r="M620" s="79"/>
      <c r="N620" s="77"/>
      <c r="O620" s="79"/>
      <c r="P620" s="81"/>
      <c r="Q620" s="81"/>
      <c r="R620" s="79"/>
      <c r="S620" s="79"/>
      <c r="T620" s="79"/>
      <c r="U620" s="79"/>
      <c r="V620" s="79"/>
    </row>
    <row r="621" spans="1:22" ht="12.5" x14ac:dyDescent="0.25">
      <c r="A621" s="79"/>
      <c r="B621" s="79"/>
      <c r="C621" s="79"/>
      <c r="D621" s="79"/>
      <c r="E621" s="79"/>
      <c r="F621" s="77"/>
      <c r="G621" s="79"/>
      <c r="H621" s="79"/>
      <c r="I621" s="79"/>
      <c r="J621" s="78"/>
      <c r="K621" s="79"/>
      <c r="L621" s="79"/>
      <c r="M621" s="79"/>
      <c r="N621" s="77"/>
      <c r="O621" s="79"/>
      <c r="P621" s="81"/>
      <c r="Q621" s="81"/>
      <c r="R621" s="79"/>
      <c r="S621" s="79"/>
      <c r="T621" s="79"/>
      <c r="U621" s="79"/>
      <c r="V621" s="79"/>
    </row>
    <row r="622" spans="1:22" ht="12.5" x14ac:dyDescent="0.25">
      <c r="A622" s="79"/>
      <c r="B622" s="79"/>
      <c r="C622" s="79"/>
      <c r="D622" s="79"/>
      <c r="E622" s="79"/>
      <c r="F622" s="77"/>
      <c r="G622" s="79"/>
      <c r="H622" s="79"/>
      <c r="I622" s="79"/>
      <c r="J622" s="78"/>
      <c r="K622" s="79"/>
      <c r="L622" s="79"/>
      <c r="M622" s="79"/>
      <c r="N622" s="77"/>
      <c r="O622" s="79"/>
      <c r="P622" s="81"/>
      <c r="Q622" s="81"/>
      <c r="R622" s="79"/>
      <c r="S622" s="79"/>
      <c r="T622" s="79"/>
      <c r="U622" s="79"/>
      <c r="V622" s="79"/>
    </row>
    <row r="623" spans="1:22" ht="12.5" x14ac:dyDescent="0.25">
      <c r="A623" s="79"/>
      <c r="B623" s="79"/>
      <c r="C623" s="79"/>
      <c r="D623" s="79"/>
      <c r="E623" s="79"/>
      <c r="F623" s="77"/>
      <c r="G623" s="79"/>
      <c r="H623" s="79"/>
      <c r="I623" s="79"/>
      <c r="J623" s="78"/>
      <c r="K623" s="79"/>
      <c r="L623" s="79"/>
      <c r="M623" s="79"/>
      <c r="N623" s="77"/>
      <c r="O623" s="79"/>
      <c r="P623" s="81"/>
      <c r="Q623" s="81"/>
      <c r="R623" s="79"/>
      <c r="S623" s="79"/>
      <c r="T623" s="79"/>
      <c r="U623" s="79"/>
      <c r="V623" s="79"/>
    </row>
    <row r="624" spans="1:22" ht="12.5" x14ac:dyDescent="0.25">
      <c r="A624" s="79"/>
      <c r="B624" s="79"/>
      <c r="C624" s="79"/>
      <c r="D624" s="79"/>
      <c r="E624" s="79"/>
      <c r="F624" s="77"/>
      <c r="G624" s="79"/>
      <c r="H624" s="79"/>
      <c r="I624" s="79"/>
      <c r="J624" s="78"/>
      <c r="K624" s="79"/>
      <c r="L624" s="79"/>
      <c r="M624" s="79"/>
      <c r="N624" s="77"/>
      <c r="O624" s="79"/>
      <c r="P624" s="81"/>
      <c r="Q624" s="81"/>
      <c r="R624" s="79"/>
      <c r="S624" s="79"/>
      <c r="T624" s="79"/>
      <c r="U624" s="79"/>
      <c r="V624" s="79"/>
    </row>
    <row r="625" spans="1:22" ht="12.5" x14ac:dyDescent="0.25">
      <c r="A625" s="79"/>
      <c r="B625" s="79"/>
      <c r="C625" s="79"/>
      <c r="D625" s="79"/>
      <c r="E625" s="79"/>
      <c r="F625" s="77"/>
      <c r="G625" s="79"/>
      <c r="H625" s="79"/>
      <c r="I625" s="79"/>
      <c r="J625" s="78"/>
      <c r="K625" s="79"/>
      <c r="L625" s="79"/>
      <c r="M625" s="79"/>
      <c r="N625" s="77"/>
      <c r="O625" s="79"/>
      <c r="P625" s="81"/>
      <c r="Q625" s="81"/>
      <c r="R625" s="79"/>
      <c r="S625" s="79"/>
      <c r="T625" s="79"/>
      <c r="U625" s="79"/>
      <c r="V625" s="79"/>
    </row>
    <row r="626" spans="1:22" ht="12.5" x14ac:dyDescent="0.25">
      <c r="A626" s="79"/>
      <c r="B626" s="79"/>
      <c r="C626" s="79"/>
      <c r="D626" s="79"/>
      <c r="E626" s="79"/>
      <c r="F626" s="77"/>
      <c r="G626" s="79"/>
      <c r="H626" s="79"/>
      <c r="I626" s="79"/>
      <c r="J626" s="78"/>
      <c r="K626" s="79"/>
      <c r="L626" s="79"/>
      <c r="M626" s="79"/>
      <c r="N626" s="77"/>
      <c r="O626" s="79"/>
      <c r="P626" s="81"/>
      <c r="Q626" s="81"/>
      <c r="R626" s="79"/>
      <c r="S626" s="79"/>
      <c r="T626" s="79"/>
      <c r="U626" s="79"/>
      <c r="V626" s="79"/>
    </row>
    <row r="627" spans="1:22" ht="12.5" x14ac:dyDescent="0.25">
      <c r="A627" s="79"/>
      <c r="B627" s="79"/>
      <c r="C627" s="79"/>
      <c r="D627" s="79"/>
      <c r="E627" s="79"/>
      <c r="F627" s="77"/>
      <c r="G627" s="79"/>
      <c r="H627" s="79"/>
      <c r="I627" s="79"/>
      <c r="J627" s="78"/>
      <c r="K627" s="79"/>
      <c r="L627" s="79"/>
      <c r="M627" s="79"/>
      <c r="N627" s="77"/>
      <c r="O627" s="79"/>
      <c r="P627" s="81"/>
      <c r="Q627" s="81"/>
      <c r="R627" s="79"/>
      <c r="S627" s="79"/>
      <c r="T627" s="79"/>
      <c r="U627" s="79"/>
      <c r="V627" s="79"/>
    </row>
    <row r="628" spans="1:22" ht="12.5" x14ac:dyDescent="0.25">
      <c r="A628" s="79"/>
      <c r="B628" s="79"/>
      <c r="C628" s="79"/>
      <c r="D628" s="79"/>
      <c r="E628" s="79"/>
      <c r="F628" s="77"/>
      <c r="G628" s="79"/>
      <c r="H628" s="79"/>
      <c r="I628" s="79"/>
      <c r="J628" s="78"/>
      <c r="K628" s="79"/>
      <c r="L628" s="79"/>
      <c r="M628" s="79"/>
      <c r="N628" s="77"/>
      <c r="O628" s="79"/>
      <c r="P628" s="81"/>
      <c r="Q628" s="81"/>
      <c r="R628" s="79"/>
      <c r="S628" s="79"/>
      <c r="T628" s="79"/>
      <c r="U628" s="79"/>
      <c r="V628" s="79"/>
    </row>
    <row r="629" spans="1:22" ht="12.5" x14ac:dyDescent="0.25">
      <c r="A629" s="79"/>
      <c r="B629" s="79"/>
      <c r="C629" s="79"/>
      <c r="D629" s="79"/>
      <c r="E629" s="79"/>
      <c r="F629" s="77"/>
      <c r="G629" s="79"/>
      <c r="H629" s="79"/>
      <c r="I629" s="79"/>
      <c r="J629" s="78"/>
      <c r="K629" s="79"/>
      <c r="L629" s="79"/>
      <c r="M629" s="79"/>
      <c r="N629" s="77"/>
      <c r="O629" s="79"/>
      <c r="P629" s="81"/>
      <c r="Q629" s="81"/>
      <c r="R629" s="79"/>
      <c r="S629" s="79"/>
      <c r="T629" s="79"/>
      <c r="U629" s="79"/>
      <c r="V629" s="79"/>
    </row>
    <row r="630" spans="1:22" ht="12.5" x14ac:dyDescent="0.25">
      <c r="A630" s="79"/>
      <c r="B630" s="79"/>
      <c r="C630" s="79"/>
      <c r="D630" s="79"/>
      <c r="E630" s="79"/>
      <c r="F630" s="77"/>
      <c r="G630" s="79"/>
      <c r="H630" s="79"/>
      <c r="I630" s="79"/>
      <c r="J630" s="78"/>
      <c r="K630" s="79"/>
      <c r="L630" s="79"/>
      <c r="M630" s="79"/>
      <c r="N630" s="77"/>
      <c r="O630" s="79"/>
      <c r="P630" s="81"/>
      <c r="Q630" s="81"/>
      <c r="R630" s="79"/>
      <c r="S630" s="79"/>
      <c r="T630" s="79"/>
      <c r="U630" s="79"/>
      <c r="V630" s="79"/>
    </row>
    <row r="631" spans="1:22" ht="12.5" x14ac:dyDescent="0.25">
      <c r="A631" s="79"/>
      <c r="B631" s="79"/>
      <c r="C631" s="79"/>
      <c r="D631" s="79"/>
      <c r="E631" s="79"/>
      <c r="F631" s="77"/>
      <c r="G631" s="79"/>
      <c r="H631" s="79"/>
      <c r="I631" s="79"/>
      <c r="J631" s="78"/>
      <c r="K631" s="79"/>
      <c r="L631" s="79"/>
      <c r="M631" s="79"/>
      <c r="N631" s="77"/>
      <c r="O631" s="79"/>
      <c r="P631" s="81"/>
      <c r="Q631" s="81"/>
      <c r="R631" s="79"/>
      <c r="S631" s="79"/>
      <c r="T631" s="79"/>
      <c r="U631" s="79"/>
      <c r="V631" s="79"/>
    </row>
    <row r="632" spans="1:22" ht="12.5" x14ac:dyDescent="0.25">
      <c r="A632" s="79"/>
      <c r="B632" s="79"/>
      <c r="C632" s="79"/>
      <c r="D632" s="79"/>
      <c r="E632" s="79"/>
      <c r="F632" s="77"/>
      <c r="G632" s="79"/>
      <c r="H632" s="79"/>
      <c r="I632" s="79"/>
      <c r="J632" s="78"/>
      <c r="K632" s="79"/>
      <c r="L632" s="79"/>
      <c r="M632" s="79"/>
      <c r="N632" s="77"/>
      <c r="O632" s="79"/>
      <c r="P632" s="81"/>
      <c r="Q632" s="81"/>
      <c r="R632" s="79"/>
      <c r="S632" s="79"/>
      <c r="T632" s="79"/>
      <c r="U632" s="79"/>
      <c r="V632" s="79"/>
    </row>
    <row r="633" spans="1:22" ht="12.5" x14ac:dyDescent="0.25">
      <c r="A633" s="79"/>
      <c r="B633" s="79"/>
      <c r="C633" s="79"/>
      <c r="D633" s="79"/>
      <c r="E633" s="79"/>
      <c r="F633" s="77"/>
      <c r="G633" s="79"/>
      <c r="H633" s="79"/>
      <c r="I633" s="79"/>
      <c r="J633" s="78"/>
      <c r="K633" s="79"/>
      <c r="L633" s="79"/>
      <c r="M633" s="79"/>
      <c r="N633" s="77"/>
      <c r="O633" s="79"/>
      <c r="P633" s="81"/>
      <c r="Q633" s="81"/>
      <c r="R633" s="79"/>
      <c r="S633" s="79"/>
      <c r="T633" s="79"/>
      <c r="U633" s="79"/>
      <c r="V633" s="79"/>
    </row>
    <row r="634" spans="1:22" ht="12.5" x14ac:dyDescent="0.25">
      <c r="A634" s="79"/>
      <c r="B634" s="79"/>
      <c r="C634" s="79"/>
      <c r="D634" s="79"/>
      <c r="E634" s="79"/>
      <c r="F634" s="77"/>
      <c r="G634" s="79"/>
      <c r="H634" s="79"/>
      <c r="I634" s="79"/>
      <c r="J634" s="78"/>
      <c r="K634" s="79"/>
      <c r="L634" s="79"/>
      <c r="M634" s="79"/>
      <c r="N634" s="77"/>
      <c r="O634" s="79"/>
      <c r="P634" s="81"/>
      <c r="Q634" s="81"/>
      <c r="R634" s="79"/>
      <c r="S634" s="79"/>
      <c r="T634" s="79"/>
      <c r="U634" s="79"/>
      <c r="V634" s="79"/>
    </row>
    <row r="635" spans="1:22" ht="12.5" x14ac:dyDescent="0.25">
      <c r="A635" s="79"/>
      <c r="B635" s="79"/>
      <c r="C635" s="79"/>
      <c r="D635" s="79"/>
      <c r="E635" s="79"/>
      <c r="F635" s="77"/>
      <c r="G635" s="79"/>
      <c r="H635" s="79"/>
      <c r="I635" s="79"/>
      <c r="J635" s="78"/>
      <c r="K635" s="79"/>
      <c r="L635" s="79"/>
      <c r="M635" s="79"/>
      <c r="N635" s="77"/>
      <c r="O635" s="79"/>
      <c r="P635" s="81"/>
      <c r="Q635" s="81"/>
      <c r="R635" s="79"/>
      <c r="S635" s="79"/>
      <c r="T635" s="79"/>
      <c r="U635" s="79"/>
      <c r="V635" s="79"/>
    </row>
    <row r="636" spans="1:22" ht="12.5" x14ac:dyDescent="0.25">
      <c r="A636" s="79"/>
      <c r="B636" s="79"/>
      <c r="C636" s="79"/>
      <c r="D636" s="79"/>
      <c r="E636" s="79"/>
      <c r="F636" s="77"/>
      <c r="G636" s="79"/>
      <c r="H636" s="79"/>
      <c r="I636" s="79"/>
      <c r="J636" s="78"/>
      <c r="K636" s="79"/>
      <c r="L636" s="79"/>
      <c r="M636" s="79"/>
      <c r="N636" s="77"/>
      <c r="O636" s="79"/>
      <c r="P636" s="81"/>
      <c r="Q636" s="81"/>
      <c r="R636" s="79"/>
      <c r="S636" s="79"/>
      <c r="T636" s="79"/>
      <c r="U636" s="79"/>
      <c r="V636" s="79"/>
    </row>
    <row r="637" spans="1:22" ht="12.5" x14ac:dyDescent="0.25">
      <c r="A637" s="79"/>
      <c r="B637" s="79"/>
      <c r="C637" s="79"/>
      <c r="D637" s="79"/>
      <c r="E637" s="79"/>
      <c r="F637" s="77"/>
      <c r="G637" s="79"/>
      <c r="H637" s="79"/>
      <c r="I637" s="79"/>
      <c r="J637" s="78"/>
      <c r="K637" s="79"/>
      <c r="L637" s="79"/>
      <c r="M637" s="79"/>
      <c r="N637" s="77"/>
      <c r="O637" s="79"/>
      <c r="P637" s="81"/>
      <c r="Q637" s="81"/>
      <c r="R637" s="79"/>
      <c r="S637" s="79"/>
      <c r="T637" s="79"/>
      <c r="U637" s="79"/>
      <c r="V637" s="79"/>
    </row>
    <row r="638" spans="1:22" ht="12.5" x14ac:dyDescent="0.25">
      <c r="A638" s="79"/>
      <c r="B638" s="79"/>
      <c r="C638" s="79"/>
      <c r="D638" s="79"/>
      <c r="E638" s="79"/>
      <c r="F638" s="77"/>
      <c r="G638" s="79"/>
      <c r="H638" s="79"/>
      <c r="I638" s="79"/>
      <c r="J638" s="78"/>
      <c r="K638" s="79"/>
      <c r="L638" s="79"/>
      <c r="M638" s="79"/>
      <c r="N638" s="77"/>
      <c r="O638" s="79"/>
      <c r="P638" s="81"/>
      <c r="Q638" s="81"/>
      <c r="R638" s="79"/>
      <c r="S638" s="79"/>
      <c r="T638" s="79"/>
      <c r="U638" s="79"/>
      <c r="V638" s="79"/>
    </row>
    <row r="639" spans="1:22" ht="12.5" x14ac:dyDescent="0.25">
      <c r="A639" s="79"/>
      <c r="B639" s="79"/>
      <c r="C639" s="79"/>
      <c r="D639" s="79"/>
      <c r="E639" s="79"/>
      <c r="F639" s="77"/>
      <c r="G639" s="79"/>
      <c r="H639" s="79"/>
      <c r="I639" s="79"/>
      <c r="J639" s="78"/>
      <c r="K639" s="79"/>
      <c r="L639" s="79"/>
      <c r="M639" s="79"/>
      <c r="N639" s="77"/>
      <c r="O639" s="79"/>
      <c r="P639" s="81"/>
      <c r="Q639" s="81"/>
      <c r="R639" s="79"/>
      <c r="S639" s="79"/>
      <c r="T639" s="79"/>
      <c r="U639" s="79"/>
      <c r="V639" s="79"/>
    </row>
    <row r="640" spans="1:22" ht="12.5" x14ac:dyDescent="0.25">
      <c r="A640" s="79"/>
      <c r="B640" s="79"/>
      <c r="C640" s="79"/>
      <c r="D640" s="79"/>
      <c r="E640" s="79"/>
      <c r="F640" s="77"/>
      <c r="G640" s="79"/>
      <c r="H640" s="79"/>
      <c r="I640" s="79"/>
      <c r="J640" s="78"/>
      <c r="K640" s="79"/>
      <c r="L640" s="79"/>
      <c r="M640" s="79"/>
      <c r="N640" s="77"/>
      <c r="O640" s="79"/>
      <c r="P640" s="81"/>
      <c r="Q640" s="81"/>
      <c r="R640" s="79"/>
      <c r="S640" s="79"/>
      <c r="T640" s="79"/>
      <c r="U640" s="79"/>
      <c r="V640" s="79"/>
    </row>
    <row r="641" spans="1:22" ht="12.5" x14ac:dyDescent="0.25">
      <c r="A641" s="79"/>
      <c r="B641" s="79"/>
      <c r="C641" s="79"/>
      <c r="D641" s="79"/>
      <c r="E641" s="79"/>
      <c r="F641" s="77"/>
      <c r="G641" s="79"/>
      <c r="H641" s="79"/>
      <c r="I641" s="79"/>
      <c r="J641" s="78"/>
      <c r="K641" s="79"/>
      <c r="L641" s="79"/>
      <c r="M641" s="79"/>
      <c r="N641" s="77"/>
      <c r="O641" s="79"/>
      <c r="P641" s="81"/>
      <c r="Q641" s="81"/>
      <c r="R641" s="79"/>
      <c r="S641" s="79"/>
      <c r="T641" s="79"/>
      <c r="U641" s="79"/>
      <c r="V641" s="79"/>
    </row>
    <row r="642" spans="1:22" ht="12.5" x14ac:dyDescent="0.25">
      <c r="A642" s="79"/>
      <c r="B642" s="79"/>
      <c r="C642" s="79"/>
      <c r="D642" s="79"/>
      <c r="E642" s="79"/>
      <c r="F642" s="77"/>
      <c r="G642" s="79"/>
      <c r="H642" s="79"/>
      <c r="I642" s="79"/>
      <c r="J642" s="78"/>
      <c r="K642" s="79"/>
      <c r="L642" s="79"/>
      <c r="M642" s="79"/>
      <c r="N642" s="77"/>
      <c r="O642" s="79"/>
      <c r="P642" s="81"/>
      <c r="Q642" s="81"/>
      <c r="R642" s="79"/>
      <c r="S642" s="79"/>
      <c r="T642" s="79"/>
      <c r="U642" s="79"/>
      <c r="V642" s="79"/>
    </row>
    <row r="643" spans="1:22" ht="12.5" x14ac:dyDescent="0.25">
      <c r="A643" s="79"/>
      <c r="B643" s="79"/>
      <c r="C643" s="79"/>
      <c r="D643" s="79"/>
      <c r="E643" s="79"/>
      <c r="F643" s="77"/>
      <c r="G643" s="79"/>
      <c r="H643" s="79"/>
      <c r="I643" s="79"/>
      <c r="J643" s="78"/>
      <c r="K643" s="79"/>
      <c r="L643" s="79"/>
      <c r="M643" s="79"/>
      <c r="N643" s="77"/>
      <c r="O643" s="79"/>
      <c r="P643" s="81"/>
      <c r="Q643" s="81"/>
      <c r="R643" s="79"/>
      <c r="S643" s="79"/>
      <c r="T643" s="79"/>
      <c r="U643" s="79"/>
      <c r="V643" s="79"/>
    </row>
    <row r="644" spans="1:22" ht="12.5" x14ac:dyDescent="0.25">
      <c r="A644" s="79"/>
      <c r="B644" s="79"/>
      <c r="C644" s="79"/>
      <c r="D644" s="79"/>
      <c r="E644" s="79"/>
      <c r="F644" s="77"/>
      <c r="G644" s="79"/>
      <c r="H644" s="79"/>
      <c r="I644" s="79"/>
      <c r="J644" s="78"/>
      <c r="K644" s="79"/>
      <c r="L644" s="79"/>
      <c r="M644" s="79"/>
      <c r="N644" s="77"/>
      <c r="O644" s="79"/>
      <c r="P644" s="81"/>
      <c r="Q644" s="81"/>
      <c r="R644" s="79"/>
      <c r="S644" s="79"/>
      <c r="T644" s="79"/>
      <c r="U644" s="79"/>
      <c r="V644" s="79"/>
    </row>
    <row r="645" spans="1:22" ht="12.5" x14ac:dyDescent="0.25">
      <c r="A645" s="79"/>
      <c r="B645" s="79"/>
      <c r="C645" s="79"/>
      <c r="D645" s="79"/>
      <c r="E645" s="79"/>
      <c r="F645" s="77"/>
      <c r="G645" s="79"/>
      <c r="H645" s="79"/>
      <c r="I645" s="79"/>
      <c r="J645" s="78"/>
      <c r="K645" s="79"/>
      <c r="L645" s="79"/>
      <c r="M645" s="79"/>
      <c r="N645" s="77"/>
      <c r="O645" s="79"/>
      <c r="P645" s="81"/>
      <c r="Q645" s="81"/>
      <c r="R645" s="79"/>
      <c r="S645" s="79"/>
      <c r="T645" s="79"/>
      <c r="U645" s="79"/>
      <c r="V645" s="79"/>
    </row>
    <row r="646" spans="1:22" ht="12.5" x14ac:dyDescent="0.25">
      <c r="A646" s="79"/>
      <c r="B646" s="79"/>
      <c r="C646" s="79"/>
      <c r="D646" s="79"/>
      <c r="E646" s="79"/>
      <c r="F646" s="77"/>
      <c r="G646" s="79"/>
      <c r="H646" s="79"/>
      <c r="I646" s="79"/>
      <c r="J646" s="78"/>
      <c r="K646" s="79"/>
      <c r="L646" s="79"/>
      <c r="M646" s="79"/>
      <c r="N646" s="77"/>
      <c r="O646" s="79"/>
      <c r="P646" s="81"/>
      <c r="Q646" s="81"/>
      <c r="R646" s="79"/>
      <c r="S646" s="79"/>
      <c r="T646" s="79"/>
      <c r="U646" s="79"/>
      <c r="V646" s="79"/>
    </row>
    <row r="647" spans="1:22" ht="12.5" x14ac:dyDescent="0.25">
      <c r="A647" s="79"/>
      <c r="B647" s="79"/>
      <c r="C647" s="79"/>
      <c r="D647" s="79"/>
      <c r="E647" s="79"/>
      <c r="F647" s="77"/>
      <c r="G647" s="79"/>
      <c r="H647" s="79"/>
      <c r="I647" s="79"/>
      <c r="J647" s="78"/>
      <c r="K647" s="79"/>
      <c r="L647" s="79"/>
      <c r="M647" s="79"/>
      <c r="N647" s="77"/>
      <c r="O647" s="79"/>
      <c r="P647" s="81"/>
      <c r="Q647" s="81"/>
      <c r="R647" s="79"/>
      <c r="S647" s="79"/>
      <c r="T647" s="79"/>
      <c r="U647" s="79"/>
      <c r="V647" s="79"/>
    </row>
    <row r="648" spans="1:22" ht="12.5" x14ac:dyDescent="0.25">
      <c r="A648" s="79"/>
      <c r="B648" s="79"/>
      <c r="C648" s="79"/>
      <c r="D648" s="79"/>
      <c r="E648" s="79"/>
      <c r="F648" s="77"/>
      <c r="G648" s="79"/>
      <c r="H648" s="79"/>
      <c r="I648" s="79"/>
      <c r="J648" s="78"/>
      <c r="K648" s="79"/>
      <c r="L648" s="79"/>
      <c r="M648" s="79"/>
      <c r="N648" s="77"/>
      <c r="O648" s="79"/>
      <c r="P648" s="81"/>
      <c r="Q648" s="81"/>
      <c r="R648" s="79"/>
      <c r="S648" s="79"/>
      <c r="T648" s="79"/>
      <c r="U648" s="79"/>
      <c r="V648" s="79"/>
    </row>
    <row r="649" spans="1:22" ht="12.5" x14ac:dyDescent="0.25">
      <c r="A649" s="79"/>
      <c r="B649" s="79"/>
      <c r="C649" s="79"/>
      <c r="D649" s="79"/>
      <c r="E649" s="79"/>
      <c r="F649" s="77"/>
      <c r="G649" s="79"/>
      <c r="H649" s="79"/>
      <c r="I649" s="79"/>
      <c r="J649" s="78"/>
      <c r="K649" s="79"/>
      <c r="L649" s="79"/>
      <c r="M649" s="79"/>
      <c r="N649" s="77"/>
      <c r="O649" s="79"/>
      <c r="P649" s="81"/>
      <c r="Q649" s="81"/>
      <c r="R649" s="79"/>
      <c r="S649" s="79"/>
      <c r="T649" s="79"/>
      <c r="U649" s="79"/>
      <c r="V649" s="79"/>
    </row>
    <row r="650" spans="1:22" ht="12.5" x14ac:dyDescent="0.25">
      <c r="A650" s="79"/>
      <c r="B650" s="79"/>
      <c r="C650" s="79"/>
      <c r="D650" s="79"/>
      <c r="E650" s="79"/>
      <c r="F650" s="77"/>
      <c r="G650" s="79"/>
      <c r="H650" s="79"/>
      <c r="I650" s="79"/>
      <c r="J650" s="78"/>
      <c r="K650" s="79"/>
      <c r="L650" s="79"/>
      <c r="M650" s="79"/>
      <c r="N650" s="77"/>
      <c r="O650" s="79"/>
      <c r="P650" s="81"/>
      <c r="Q650" s="81"/>
      <c r="R650" s="79"/>
      <c r="S650" s="79"/>
      <c r="T650" s="79"/>
      <c r="U650" s="79"/>
      <c r="V650" s="79"/>
    </row>
    <row r="651" spans="1:22" ht="12.5" x14ac:dyDescent="0.25">
      <c r="A651" s="79"/>
      <c r="B651" s="79"/>
      <c r="C651" s="79"/>
      <c r="D651" s="79"/>
      <c r="E651" s="79"/>
      <c r="F651" s="77"/>
      <c r="G651" s="79"/>
      <c r="H651" s="79"/>
      <c r="I651" s="79"/>
      <c r="J651" s="78"/>
      <c r="K651" s="79"/>
      <c r="L651" s="79"/>
      <c r="M651" s="79"/>
      <c r="N651" s="77"/>
      <c r="O651" s="79"/>
      <c r="P651" s="81"/>
      <c r="Q651" s="81"/>
      <c r="R651" s="79"/>
      <c r="S651" s="79"/>
      <c r="T651" s="79"/>
      <c r="U651" s="79"/>
      <c r="V651" s="79"/>
    </row>
    <row r="652" spans="1:22" ht="12.5" x14ac:dyDescent="0.25">
      <c r="A652" s="79"/>
      <c r="B652" s="79"/>
      <c r="C652" s="79"/>
      <c r="D652" s="79"/>
      <c r="E652" s="79"/>
      <c r="F652" s="77"/>
      <c r="G652" s="79"/>
      <c r="H652" s="79"/>
      <c r="I652" s="79"/>
      <c r="J652" s="78"/>
      <c r="K652" s="79"/>
      <c r="L652" s="79"/>
      <c r="M652" s="79"/>
      <c r="N652" s="77"/>
      <c r="O652" s="79"/>
      <c r="P652" s="81"/>
      <c r="Q652" s="81"/>
      <c r="R652" s="79"/>
      <c r="S652" s="79"/>
      <c r="T652" s="79"/>
      <c r="U652" s="79"/>
      <c r="V652" s="79"/>
    </row>
    <row r="653" spans="1:22" ht="12.5" x14ac:dyDescent="0.25">
      <c r="A653" s="79"/>
      <c r="B653" s="79"/>
      <c r="C653" s="79"/>
      <c r="D653" s="79"/>
      <c r="E653" s="79"/>
      <c r="F653" s="77"/>
      <c r="G653" s="79"/>
      <c r="H653" s="79"/>
      <c r="I653" s="79"/>
      <c r="J653" s="78"/>
      <c r="K653" s="79"/>
      <c r="L653" s="79"/>
      <c r="M653" s="79"/>
      <c r="N653" s="77"/>
      <c r="O653" s="79"/>
      <c r="P653" s="81"/>
      <c r="Q653" s="81"/>
      <c r="R653" s="79"/>
      <c r="S653" s="79"/>
      <c r="T653" s="79"/>
      <c r="U653" s="79"/>
      <c r="V653" s="79"/>
    </row>
    <row r="654" spans="1:22" ht="12.5" x14ac:dyDescent="0.25">
      <c r="A654" s="79"/>
      <c r="B654" s="79"/>
      <c r="C654" s="79"/>
      <c r="D654" s="79"/>
      <c r="E654" s="79"/>
      <c r="F654" s="77"/>
      <c r="G654" s="79"/>
      <c r="H654" s="79"/>
      <c r="I654" s="79"/>
      <c r="J654" s="78"/>
      <c r="K654" s="79"/>
      <c r="L654" s="79"/>
      <c r="M654" s="79"/>
      <c r="N654" s="77"/>
      <c r="O654" s="79"/>
      <c r="P654" s="81"/>
      <c r="Q654" s="81"/>
      <c r="R654" s="79"/>
      <c r="S654" s="79"/>
      <c r="T654" s="79"/>
      <c r="U654" s="79"/>
      <c r="V654" s="79"/>
    </row>
    <row r="655" spans="1:22" ht="12.5" x14ac:dyDescent="0.25">
      <c r="A655" s="79"/>
      <c r="B655" s="79"/>
      <c r="C655" s="79"/>
      <c r="D655" s="79"/>
      <c r="E655" s="79"/>
      <c r="F655" s="77"/>
      <c r="G655" s="79"/>
      <c r="H655" s="79"/>
      <c r="I655" s="79"/>
      <c r="J655" s="78"/>
      <c r="K655" s="79"/>
      <c r="L655" s="79"/>
      <c r="M655" s="79"/>
      <c r="N655" s="77"/>
      <c r="O655" s="79"/>
      <c r="P655" s="81"/>
      <c r="Q655" s="81"/>
      <c r="R655" s="79"/>
      <c r="S655" s="79"/>
      <c r="T655" s="79"/>
      <c r="U655" s="79"/>
      <c r="V655" s="79"/>
    </row>
    <row r="656" spans="1:22" ht="12.5" x14ac:dyDescent="0.25">
      <c r="A656" s="79"/>
      <c r="B656" s="79"/>
      <c r="C656" s="79"/>
      <c r="D656" s="79"/>
      <c r="E656" s="79"/>
      <c r="F656" s="77"/>
      <c r="G656" s="79"/>
      <c r="H656" s="79"/>
      <c r="I656" s="79"/>
      <c r="J656" s="78"/>
      <c r="K656" s="79"/>
      <c r="L656" s="79"/>
      <c r="M656" s="79"/>
      <c r="N656" s="77"/>
      <c r="O656" s="79"/>
      <c r="P656" s="81"/>
      <c r="Q656" s="81"/>
      <c r="R656" s="79"/>
      <c r="S656" s="79"/>
      <c r="T656" s="79"/>
      <c r="U656" s="79"/>
      <c r="V656" s="79"/>
    </row>
    <row r="657" spans="1:22" ht="12.5" x14ac:dyDescent="0.25">
      <c r="A657" s="79"/>
      <c r="B657" s="79"/>
      <c r="C657" s="79"/>
      <c r="D657" s="79"/>
      <c r="E657" s="79"/>
      <c r="F657" s="77"/>
      <c r="G657" s="79"/>
      <c r="H657" s="79"/>
      <c r="I657" s="79"/>
      <c r="J657" s="78"/>
      <c r="K657" s="79"/>
      <c r="L657" s="79"/>
      <c r="M657" s="79"/>
      <c r="N657" s="77"/>
      <c r="O657" s="79"/>
      <c r="P657" s="81"/>
      <c r="Q657" s="81"/>
      <c r="R657" s="79"/>
      <c r="S657" s="79"/>
      <c r="T657" s="79"/>
      <c r="U657" s="79"/>
      <c r="V657" s="79"/>
    </row>
    <row r="658" spans="1:22" ht="12.5" x14ac:dyDescent="0.25">
      <c r="A658" s="79"/>
      <c r="B658" s="79"/>
      <c r="C658" s="79"/>
      <c r="D658" s="79"/>
      <c r="E658" s="79"/>
      <c r="F658" s="77"/>
      <c r="G658" s="79"/>
      <c r="H658" s="79"/>
      <c r="I658" s="79"/>
      <c r="J658" s="78"/>
      <c r="K658" s="79"/>
      <c r="L658" s="79"/>
      <c r="M658" s="79"/>
      <c r="N658" s="77"/>
      <c r="O658" s="79"/>
      <c r="P658" s="81"/>
      <c r="Q658" s="81"/>
      <c r="R658" s="79"/>
      <c r="S658" s="79"/>
      <c r="T658" s="79"/>
      <c r="U658" s="79"/>
      <c r="V658" s="79"/>
    </row>
    <row r="659" spans="1:22" ht="12.5" x14ac:dyDescent="0.25">
      <c r="A659" s="79"/>
      <c r="B659" s="79"/>
      <c r="C659" s="79"/>
      <c r="D659" s="79"/>
      <c r="E659" s="79"/>
      <c r="F659" s="77"/>
      <c r="G659" s="79"/>
      <c r="H659" s="79"/>
      <c r="I659" s="79"/>
      <c r="J659" s="78"/>
      <c r="K659" s="79"/>
      <c r="L659" s="79"/>
      <c r="M659" s="79"/>
      <c r="N659" s="77"/>
      <c r="O659" s="79"/>
      <c r="P659" s="81"/>
      <c r="Q659" s="81"/>
      <c r="R659" s="79"/>
      <c r="S659" s="79"/>
      <c r="T659" s="79"/>
      <c r="U659" s="79"/>
      <c r="V659" s="79"/>
    </row>
    <row r="660" spans="1:22" ht="12.5" x14ac:dyDescent="0.25">
      <c r="A660" s="79"/>
      <c r="B660" s="79"/>
      <c r="C660" s="79"/>
      <c r="D660" s="79"/>
      <c r="E660" s="79"/>
      <c r="F660" s="77"/>
      <c r="G660" s="79"/>
      <c r="H660" s="79"/>
      <c r="I660" s="79"/>
      <c r="J660" s="78"/>
      <c r="K660" s="79"/>
      <c r="L660" s="79"/>
      <c r="M660" s="79"/>
      <c r="N660" s="77"/>
      <c r="O660" s="79"/>
      <c r="P660" s="81"/>
      <c r="Q660" s="81"/>
      <c r="R660" s="79"/>
      <c r="S660" s="79"/>
      <c r="T660" s="79"/>
      <c r="U660" s="79"/>
      <c r="V660" s="79"/>
    </row>
    <row r="661" spans="1:22" ht="12.5" x14ac:dyDescent="0.25">
      <c r="A661" s="79"/>
      <c r="B661" s="79"/>
      <c r="C661" s="79"/>
      <c r="D661" s="79"/>
      <c r="E661" s="79"/>
      <c r="F661" s="77"/>
      <c r="G661" s="79"/>
      <c r="H661" s="79"/>
      <c r="I661" s="79"/>
      <c r="J661" s="78"/>
      <c r="K661" s="79"/>
      <c r="L661" s="79"/>
      <c r="M661" s="79"/>
      <c r="N661" s="77"/>
      <c r="O661" s="79"/>
      <c r="P661" s="81"/>
      <c r="Q661" s="81"/>
      <c r="R661" s="79"/>
      <c r="S661" s="79"/>
      <c r="T661" s="79"/>
      <c r="U661" s="79"/>
      <c r="V661" s="79"/>
    </row>
    <row r="662" spans="1:22" ht="12.5" x14ac:dyDescent="0.25">
      <c r="A662" s="79"/>
      <c r="B662" s="79"/>
      <c r="C662" s="79"/>
      <c r="D662" s="79"/>
      <c r="E662" s="79"/>
      <c r="F662" s="77"/>
      <c r="G662" s="79"/>
      <c r="H662" s="79"/>
      <c r="I662" s="79"/>
      <c r="J662" s="78"/>
      <c r="K662" s="79"/>
      <c r="L662" s="79"/>
      <c r="M662" s="79"/>
      <c r="N662" s="77"/>
      <c r="O662" s="79"/>
      <c r="P662" s="81"/>
      <c r="Q662" s="81"/>
      <c r="R662" s="79"/>
      <c r="S662" s="79"/>
      <c r="T662" s="79"/>
      <c r="U662" s="79"/>
      <c r="V662" s="79"/>
    </row>
    <row r="663" spans="1:22" ht="12.5" x14ac:dyDescent="0.25">
      <c r="A663" s="79"/>
      <c r="B663" s="79"/>
      <c r="C663" s="79"/>
      <c r="D663" s="79"/>
      <c r="E663" s="79"/>
      <c r="F663" s="77"/>
      <c r="G663" s="79"/>
      <c r="H663" s="79"/>
      <c r="I663" s="79"/>
      <c r="J663" s="78"/>
      <c r="K663" s="79"/>
      <c r="L663" s="79"/>
      <c r="M663" s="79"/>
      <c r="N663" s="77"/>
      <c r="O663" s="79"/>
      <c r="P663" s="81"/>
      <c r="Q663" s="81"/>
      <c r="R663" s="79"/>
      <c r="S663" s="79"/>
      <c r="T663" s="79"/>
      <c r="U663" s="79"/>
      <c r="V663" s="79"/>
    </row>
    <row r="664" spans="1:22" ht="12.5" x14ac:dyDescent="0.25">
      <c r="A664" s="79"/>
      <c r="B664" s="79"/>
      <c r="C664" s="79"/>
      <c r="D664" s="79"/>
      <c r="E664" s="79"/>
      <c r="F664" s="77"/>
      <c r="G664" s="79"/>
      <c r="H664" s="79"/>
      <c r="I664" s="79"/>
      <c r="J664" s="78"/>
      <c r="K664" s="79"/>
      <c r="L664" s="79"/>
      <c r="M664" s="79"/>
      <c r="N664" s="77"/>
      <c r="O664" s="79"/>
      <c r="P664" s="81"/>
      <c r="Q664" s="81"/>
      <c r="R664" s="79"/>
      <c r="S664" s="79"/>
      <c r="T664" s="79"/>
      <c r="U664" s="79"/>
      <c r="V664" s="79"/>
    </row>
    <row r="665" spans="1:22" ht="12.5" x14ac:dyDescent="0.25">
      <c r="A665" s="79"/>
      <c r="B665" s="79"/>
      <c r="C665" s="79"/>
      <c r="D665" s="79"/>
      <c r="E665" s="79"/>
      <c r="F665" s="77"/>
      <c r="G665" s="79"/>
      <c r="H665" s="79"/>
      <c r="I665" s="79"/>
      <c r="J665" s="78"/>
      <c r="K665" s="79"/>
      <c r="L665" s="79"/>
      <c r="M665" s="79"/>
      <c r="N665" s="77"/>
      <c r="O665" s="79"/>
      <c r="P665" s="81"/>
      <c r="Q665" s="81"/>
      <c r="R665" s="79"/>
      <c r="S665" s="79"/>
      <c r="T665" s="79"/>
      <c r="U665" s="79"/>
      <c r="V665" s="79"/>
    </row>
    <row r="666" spans="1:22" ht="12.5" x14ac:dyDescent="0.25">
      <c r="A666" s="79"/>
      <c r="B666" s="79"/>
      <c r="C666" s="79"/>
      <c r="D666" s="79"/>
      <c r="E666" s="79"/>
      <c r="F666" s="77"/>
      <c r="G666" s="79"/>
      <c r="H666" s="79"/>
      <c r="I666" s="79"/>
      <c r="J666" s="78"/>
      <c r="K666" s="79"/>
      <c r="L666" s="79"/>
      <c r="M666" s="79"/>
      <c r="N666" s="77"/>
      <c r="O666" s="79"/>
      <c r="P666" s="81"/>
      <c r="Q666" s="81"/>
      <c r="R666" s="79"/>
      <c r="S666" s="79"/>
      <c r="T666" s="79"/>
      <c r="U666" s="79"/>
      <c r="V666" s="79"/>
    </row>
    <row r="667" spans="1:22" ht="12.5" x14ac:dyDescent="0.25">
      <c r="A667" s="79"/>
      <c r="B667" s="79"/>
      <c r="C667" s="79"/>
      <c r="D667" s="79"/>
      <c r="E667" s="79"/>
      <c r="F667" s="77"/>
      <c r="G667" s="79"/>
      <c r="H667" s="79"/>
      <c r="I667" s="79"/>
      <c r="J667" s="78"/>
      <c r="K667" s="79"/>
      <c r="L667" s="79"/>
      <c r="M667" s="79"/>
      <c r="N667" s="77"/>
      <c r="O667" s="79"/>
      <c r="P667" s="81"/>
      <c r="Q667" s="81"/>
      <c r="R667" s="79"/>
      <c r="S667" s="79"/>
      <c r="T667" s="79"/>
      <c r="U667" s="79"/>
      <c r="V667" s="79"/>
    </row>
    <row r="668" spans="1:22" ht="12.5" x14ac:dyDescent="0.25">
      <c r="A668" s="79"/>
      <c r="B668" s="79"/>
      <c r="C668" s="79"/>
      <c r="D668" s="79"/>
      <c r="E668" s="79"/>
      <c r="F668" s="77"/>
      <c r="G668" s="79"/>
      <c r="H668" s="79"/>
      <c r="I668" s="79"/>
      <c r="J668" s="78"/>
      <c r="K668" s="79"/>
      <c r="L668" s="79"/>
      <c r="M668" s="79"/>
      <c r="N668" s="77"/>
      <c r="O668" s="79"/>
      <c r="P668" s="81"/>
      <c r="Q668" s="81"/>
      <c r="R668" s="79"/>
      <c r="S668" s="79"/>
      <c r="T668" s="79"/>
      <c r="U668" s="79"/>
      <c r="V668" s="79"/>
    </row>
    <row r="669" spans="1:22" ht="12.5" x14ac:dyDescent="0.25">
      <c r="A669" s="79"/>
      <c r="B669" s="79"/>
      <c r="C669" s="79"/>
      <c r="D669" s="79"/>
      <c r="E669" s="79"/>
      <c r="F669" s="77"/>
      <c r="G669" s="79"/>
      <c r="H669" s="79"/>
      <c r="I669" s="79"/>
      <c r="J669" s="78"/>
      <c r="K669" s="79"/>
      <c r="L669" s="79"/>
      <c r="M669" s="79"/>
      <c r="N669" s="77"/>
      <c r="O669" s="79"/>
      <c r="P669" s="81"/>
      <c r="Q669" s="81"/>
      <c r="R669" s="79"/>
      <c r="S669" s="79"/>
      <c r="T669" s="79"/>
      <c r="U669" s="79"/>
      <c r="V669" s="79"/>
    </row>
    <row r="670" spans="1:22" ht="12.5" x14ac:dyDescent="0.25">
      <c r="A670" s="79"/>
      <c r="B670" s="79"/>
      <c r="C670" s="79"/>
      <c r="D670" s="79"/>
      <c r="E670" s="79"/>
      <c r="F670" s="77"/>
      <c r="G670" s="79"/>
      <c r="H670" s="79"/>
      <c r="I670" s="79"/>
      <c r="J670" s="78"/>
      <c r="K670" s="79"/>
      <c r="L670" s="79"/>
      <c r="M670" s="79"/>
      <c r="N670" s="77"/>
      <c r="O670" s="79"/>
      <c r="P670" s="81"/>
      <c r="Q670" s="81"/>
      <c r="R670" s="79"/>
      <c r="S670" s="79"/>
      <c r="T670" s="79"/>
      <c r="U670" s="79"/>
      <c r="V670" s="79"/>
    </row>
    <row r="671" spans="1:22" ht="12.5" x14ac:dyDescent="0.25">
      <c r="A671" s="79"/>
      <c r="B671" s="79"/>
      <c r="C671" s="79"/>
      <c r="D671" s="79"/>
      <c r="E671" s="79"/>
      <c r="F671" s="77"/>
      <c r="G671" s="79"/>
      <c r="H671" s="79"/>
      <c r="I671" s="79"/>
      <c r="J671" s="78"/>
      <c r="K671" s="79"/>
      <c r="L671" s="79"/>
      <c r="M671" s="79"/>
      <c r="N671" s="77"/>
      <c r="O671" s="79"/>
      <c r="P671" s="81"/>
      <c r="Q671" s="81"/>
      <c r="R671" s="79"/>
      <c r="S671" s="79"/>
      <c r="T671" s="79"/>
      <c r="U671" s="79"/>
      <c r="V671" s="79"/>
    </row>
    <row r="672" spans="1:22" ht="12.5" x14ac:dyDescent="0.25">
      <c r="A672" s="79"/>
      <c r="B672" s="79"/>
      <c r="C672" s="79"/>
      <c r="D672" s="79"/>
      <c r="E672" s="79"/>
      <c r="F672" s="77"/>
      <c r="G672" s="79"/>
      <c r="H672" s="79"/>
      <c r="I672" s="79"/>
      <c r="J672" s="78"/>
      <c r="K672" s="79"/>
      <c r="L672" s="79"/>
      <c r="M672" s="79"/>
      <c r="N672" s="77"/>
      <c r="O672" s="79"/>
      <c r="P672" s="81"/>
      <c r="Q672" s="81"/>
      <c r="R672" s="79"/>
      <c r="S672" s="79"/>
      <c r="T672" s="79"/>
      <c r="U672" s="79"/>
      <c r="V672" s="79"/>
    </row>
    <row r="673" spans="1:22" ht="12.5" x14ac:dyDescent="0.25">
      <c r="A673" s="79"/>
      <c r="B673" s="79"/>
      <c r="C673" s="79"/>
      <c r="D673" s="79"/>
      <c r="E673" s="79"/>
      <c r="F673" s="77"/>
      <c r="G673" s="79"/>
      <c r="H673" s="79"/>
      <c r="I673" s="79"/>
      <c r="J673" s="78"/>
      <c r="K673" s="79"/>
      <c r="L673" s="79"/>
      <c r="M673" s="79"/>
      <c r="N673" s="77"/>
      <c r="O673" s="79"/>
      <c r="P673" s="81"/>
      <c r="Q673" s="81"/>
      <c r="R673" s="79"/>
      <c r="S673" s="79"/>
      <c r="T673" s="79"/>
      <c r="U673" s="79"/>
      <c r="V673" s="79"/>
    </row>
    <row r="674" spans="1:22" ht="12.5" x14ac:dyDescent="0.25">
      <c r="A674" s="79"/>
      <c r="B674" s="79"/>
      <c r="C674" s="79"/>
      <c r="D674" s="79"/>
      <c r="E674" s="79"/>
      <c r="F674" s="77"/>
      <c r="G674" s="79"/>
      <c r="H674" s="79"/>
      <c r="I674" s="79"/>
      <c r="J674" s="78"/>
      <c r="K674" s="79"/>
      <c r="L674" s="79"/>
      <c r="M674" s="79"/>
      <c r="N674" s="77"/>
      <c r="O674" s="79"/>
      <c r="P674" s="81"/>
      <c r="Q674" s="81"/>
      <c r="R674" s="79"/>
      <c r="S674" s="79"/>
      <c r="T674" s="79"/>
      <c r="U674" s="79"/>
      <c r="V674" s="79"/>
    </row>
    <row r="675" spans="1:22" ht="12.5" x14ac:dyDescent="0.25">
      <c r="A675" s="79"/>
      <c r="B675" s="79"/>
      <c r="C675" s="79"/>
      <c r="D675" s="79"/>
      <c r="E675" s="79"/>
      <c r="F675" s="77"/>
      <c r="G675" s="79"/>
      <c r="H675" s="79"/>
      <c r="I675" s="79"/>
      <c r="J675" s="78"/>
      <c r="K675" s="79"/>
      <c r="L675" s="79"/>
      <c r="M675" s="79"/>
      <c r="N675" s="77"/>
      <c r="O675" s="79"/>
      <c r="P675" s="81"/>
      <c r="Q675" s="81"/>
      <c r="R675" s="79"/>
      <c r="S675" s="79"/>
      <c r="T675" s="79"/>
      <c r="U675" s="79"/>
      <c r="V675" s="79"/>
    </row>
    <row r="676" spans="1:22" ht="12.5" x14ac:dyDescent="0.25">
      <c r="A676" s="79"/>
      <c r="B676" s="79"/>
      <c r="C676" s="79"/>
      <c r="D676" s="79"/>
      <c r="E676" s="79"/>
      <c r="F676" s="77"/>
      <c r="G676" s="79"/>
      <c r="H676" s="79"/>
      <c r="I676" s="79"/>
      <c r="J676" s="78"/>
      <c r="K676" s="79"/>
      <c r="L676" s="79"/>
      <c r="M676" s="79"/>
      <c r="N676" s="77"/>
      <c r="O676" s="79"/>
      <c r="P676" s="81"/>
      <c r="Q676" s="81"/>
      <c r="R676" s="79"/>
      <c r="S676" s="79"/>
      <c r="T676" s="79"/>
      <c r="U676" s="79"/>
      <c r="V676" s="79"/>
    </row>
    <row r="677" spans="1:22" ht="12.5" x14ac:dyDescent="0.25">
      <c r="A677" s="79"/>
      <c r="B677" s="79"/>
      <c r="C677" s="79"/>
      <c r="D677" s="79"/>
      <c r="E677" s="79"/>
      <c r="F677" s="77"/>
      <c r="G677" s="79"/>
      <c r="H677" s="79"/>
      <c r="I677" s="79"/>
      <c r="J677" s="78"/>
      <c r="K677" s="79"/>
      <c r="L677" s="79"/>
      <c r="M677" s="79"/>
      <c r="N677" s="77"/>
      <c r="O677" s="79"/>
      <c r="P677" s="81"/>
      <c r="Q677" s="81"/>
      <c r="R677" s="79"/>
      <c r="S677" s="79"/>
      <c r="T677" s="79"/>
      <c r="U677" s="79"/>
      <c r="V677" s="79"/>
    </row>
    <row r="678" spans="1:22" ht="12.5" x14ac:dyDescent="0.25">
      <c r="A678" s="79"/>
      <c r="B678" s="79"/>
      <c r="C678" s="79"/>
      <c r="D678" s="79"/>
      <c r="E678" s="79"/>
      <c r="F678" s="77"/>
      <c r="G678" s="79"/>
      <c r="H678" s="79"/>
      <c r="I678" s="79"/>
      <c r="J678" s="78"/>
      <c r="K678" s="79"/>
      <c r="L678" s="79"/>
      <c r="M678" s="79"/>
      <c r="N678" s="77"/>
      <c r="O678" s="79"/>
      <c r="P678" s="81"/>
      <c r="Q678" s="81"/>
      <c r="R678" s="79"/>
      <c r="S678" s="79"/>
      <c r="T678" s="79"/>
      <c r="U678" s="79"/>
      <c r="V678" s="79"/>
    </row>
    <row r="679" spans="1:22" ht="12.5" x14ac:dyDescent="0.25">
      <c r="A679" s="79"/>
      <c r="B679" s="79"/>
      <c r="C679" s="79"/>
      <c r="D679" s="79"/>
      <c r="E679" s="79"/>
      <c r="F679" s="77"/>
      <c r="G679" s="79"/>
      <c r="H679" s="79"/>
      <c r="I679" s="79"/>
      <c r="J679" s="78"/>
      <c r="K679" s="79"/>
      <c r="L679" s="79"/>
      <c r="M679" s="79"/>
      <c r="N679" s="77"/>
      <c r="O679" s="79"/>
      <c r="P679" s="81"/>
      <c r="Q679" s="81"/>
      <c r="R679" s="79"/>
      <c r="S679" s="79"/>
      <c r="T679" s="79"/>
      <c r="U679" s="79"/>
      <c r="V679" s="79"/>
    </row>
    <row r="680" spans="1:22" ht="12.5" x14ac:dyDescent="0.25">
      <c r="A680" s="79"/>
      <c r="B680" s="79"/>
      <c r="C680" s="79"/>
      <c r="D680" s="79"/>
      <c r="E680" s="79"/>
      <c r="F680" s="77"/>
      <c r="G680" s="79"/>
      <c r="H680" s="79"/>
      <c r="I680" s="79"/>
      <c r="J680" s="78"/>
      <c r="K680" s="79"/>
      <c r="L680" s="79"/>
      <c r="M680" s="79"/>
      <c r="N680" s="77"/>
      <c r="O680" s="79"/>
      <c r="P680" s="81"/>
      <c r="Q680" s="81"/>
      <c r="R680" s="79"/>
      <c r="S680" s="79"/>
      <c r="T680" s="79"/>
      <c r="U680" s="79"/>
      <c r="V680" s="79"/>
    </row>
    <row r="681" spans="1:22" ht="12.5" x14ac:dyDescent="0.25">
      <c r="A681" s="79"/>
      <c r="B681" s="79"/>
      <c r="C681" s="79"/>
      <c r="D681" s="79"/>
      <c r="E681" s="79"/>
      <c r="F681" s="77"/>
      <c r="G681" s="79"/>
      <c r="H681" s="79"/>
      <c r="I681" s="79"/>
      <c r="J681" s="78"/>
      <c r="K681" s="79"/>
      <c r="L681" s="79"/>
      <c r="M681" s="79"/>
      <c r="N681" s="77"/>
      <c r="O681" s="79"/>
      <c r="P681" s="81"/>
      <c r="Q681" s="81"/>
      <c r="R681" s="79"/>
      <c r="S681" s="79"/>
      <c r="T681" s="79"/>
      <c r="U681" s="79"/>
      <c r="V681" s="79"/>
    </row>
    <row r="682" spans="1:22" ht="12.5" x14ac:dyDescent="0.25">
      <c r="A682" s="79"/>
      <c r="B682" s="79"/>
      <c r="C682" s="79"/>
      <c r="D682" s="79"/>
      <c r="E682" s="79"/>
      <c r="F682" s="77"/>
      <c r="G682" s="79"/>
      <c r="H682" s="79"/>
      <c r="I682" s="79"/>
      <c r="J682" s="78"/>
      <c r="K682" s="79"/>
      <c r="L682" s="79"/>
      <c r="M682" s="79"/>
      <c r="N682" s="77"/>
      <c r="O682" s="79"/>
      <c r="P682" s="81"/>
      <c r="Q682" s="81"/>
      <c r="R682" s="79"/>
      <c r="S682" s="79"/>
      <c r="T682" s="79"/>
      <c r="U682" s="79"/>
      <c r="V682" s="79"/>
    </row>
    <row r="683" spans="1:22" ht="12.5" x14ac:dyDescent="0.25">
      <c r="A683" s="79"/>
      <c r="B683" s="79"/>
      <c r="C683" s="79"/>
      <c r="D683" s="79"/>
      <c r="E683" s="79"/>
      <c r="F683" s="77"/>
      <c r="G683" s="79"/>
      <c r="H683" s="79"/>
      <c r="I683" s="79"/>
      <c r="J683" s="78"/>
      <c r="K683" s="79"/>
      <c r="L683" s="79"/>
      <c r="M683" s="79"/>
      <c r="N683" s="77"/>
      <c r="O683" s="79"/>
      <c r="P683" s="81"/>
      <c r="Q683" s="81"/>
      <c r="R683" s="79"/>
      <c r="S683" s="79"/>
      <c r="T683" s="79"/>
      <c r="U683" s="79"/>
      <c r="V683" s="79"/>
    </row>
    <row r="684" spans="1:22" ht="12.5" x14ac:dyDescent="0.25">
      <c r="A684" s="79"/>
      <c r="B684" s="79"/>
      <c r="C684" s="79"/>
      <c r="D684" s="79"/>
      <c r="E684" s="79"/>
      <c r="F684" s="77"/>
      <c r="G684" s="79"/>
      <c r="H684" s="79"/>
      <c r="I684" s="79"/>
      <c r="J684" s="78"/>
      <c r="K684" s="79"/>
      <c r="L684" s="79"/>
      <c r="M684" s="79"/>
      <c r="N684" s="77"/>
      <c r="O684" s="79"/>
      <c r="P684" s="81"/>
      <c r="Q684" s="81"/>
      <c r="R684" s="79"/>
      <c r="S684" s="79"/>
      <c r="T684" s="79"/>
      <c r="U684" s="79"/>
      <c r="V684" s="79"/>
    </row>
    <row r="685" spans="1:22" ht="12.5" x14ac:dyDescent="0.25">
      <c r="A685" s="79"/>
      <c r="B685" s="79"/>
      <c r="C685" s="79"/>
      <c r="D685" s="79"/>
      <c r="E685" s="79"/>
      <c r="F685" s="77"/>
      <c r="G685" s="79"/>
      <c r="H685" s="79"/>
      <c r="I685" s="79"/>
      <c r="J685" s="78"/>
      <c r="K685" s="79"/>
      <c r="L685" s="79"/>
      <c r="M685" s="79"/>
      <c r="N685" s="77"/>
      <c r="O685" s="79"/>
      <c r="P685" s="81"/>
      <c r="Q685" s="81"/>
      <c r="R685" s="79"/>
      <c r="S685" s="79"/>
      <c r="T685" s="79"/>
      <c r="U685" s="79"/>
      <c r="V685" s="79"/>
    </row>
    <row r="686" spans="1:22" ht="12.5" x14ac:dyDescent="0.25">
      <c r="A686" s="79"/>
      <c r="B686" s="79"/>
      <c r="C686" s="79"/>
      <c r="D686" s="79"/>
      <c r="E686" s="79"/>
      <c r="F686" s="77"/>
      <c r="G686" s="79"/>
      <c r="H686" s="79"/>
      <c r="I686" s="79"/>
      <c r="J686" s="78"/>
      <c r="K686" s="79"/>
      <c r="L686" s="79"/>
      <c r="M686" s="79"/>
      <c r="N686" s="77"/>
      <c r="O686" s="79"/>
      <c r="P686" s="81"/>
      <c r="Q686" s="81"/>
      <c r="R686" s="79"/>
      <c r="S686" s="79"/>
      <c r="T686" s="79"/>
      <c r="U686" s="79"/>
      <c r="V686" s="79"/>
    </row>
    <row r="687" spans="1:22" ht="12.5" x14ac:dyDescent="0.25">
      <c r="A687" s="79"/>
      <c r="B687" s="79"/>
      <c r="C687" s="79"/>
      <c r="D687" s="79"/>
      <c r="E687" s="79"/>
      <c r="F687" s="77"/>
      <c r="G687" s="79"/>
      <c r="H687" s="79"/>
      <c r="I687" s="79"/>
      <c r="J687" s="78"/>
      <c r="K687" s="79"/>
      <c r="L687" s="79"/>
      <c r="M687" s="79"/>
      <c r="N687" s="77"/>
      <c r="O687" s="79"/>
      <c r="P687" s="81"/>
      <c r="Q687" s="81"/>
      <c r="R687" s="79"/>
      <c r="S687" s="79"/>
      <c r="T687" s="79"/>
      <c r="U687" s="79"/>
      <c r="V687" s="79"/>
    </row>
    <row r="688" spans="1:22" ht="12.5" x14ac:dyDescent="0.25">
      <c r="A688" s="79"/>
      <c r="B688" s="79"/>
      <c r="C688" s="79"/>
      <c r="D688" s="79"/>
      <c r="E688" s="79"/>
      <c r="F688" s="77"/>
      <c r="G688" s="79"/>
      <c r="H688" s="79"/>
      <c r="I688" s="79"/>
      <c r="J688" s="78"/>
      <c r="K688" s="79"/>
      <c r="L688" s="79"/>
      <c r="M688" s="79"/>
      <c r="N688" s="77"/>
      <c r="O688" s="79"/>
      <c r="P688" s="81"/>
      <c r="Q688" s="81"/>
      <c r="R688" s="79"/>
      <c r="S688" s="79"/>
      <c r="T688" s="79"/>
      <c r="U688" s="79"/>
      <c r="V688" s="79"/>
    </row>
    <row r="689" spans="1:22" ht="12.5" x14ac:dyDescent="0.25">
      <c r="A689" s="79"/>
      <c r="B689" s="79"/>
      <c r="C689" s="79"/>
      <c r="D689" s="79"/>
      <c r="E689" s="79"/>
      <c r="F689" s="77"/>
      <c r="G689" s="79"/>
      <c r="H689" s="79"/>
      <c r="I689" s="79"/>
      <c r="J689" s="78"/>
      <c r="K689" s="79"/>
      <c r="L689" s="79"/>
      <c r="M689" s="79"/>
      <c r="N689" s="77"/>
      <c r="O689" s="79"/>
      <c r="P689" s="81"/>
      <c r="Q689" s="81"/>
      <c r="R689" s="79"/>
      <c r="S689" s="79"/>
      <c r="T689" s="79"/>
      <c r="U689" s="79"/>
      <c r="V689" s="79"/>
    </row>
    <row r="690" spans="1:22" ht="12.5" x14ac:dyDescent="0.25">
      <c r="A690" s="79"/>
      <c r="B690" s="79"/>
      <c r="C690" s="79"/>
      <c r="D690" s="79"/>
      <c r="E690" s="79"/>
      <c r="F690" s="77"/>
      <c r="G690" s="79"/>
      <c r="H690" s="79"/>
      <c r="I690" s="79"/>
      <c r="J690" s="78"/>
      <c r="K690" s="79"/>
      <c r="L690" s="79"/>
      <c r="M690" s="79"/>
      <c r="N690" s="77"/>
      <c r="O690" s="79"/>
      <c r="P690" s="81"/>
      <c r="Q690" s="81"/>
      <c r="R690" s="79"/>
      <c r="S690" s="79"/>
      <c r="T690" s="79"/>
      <c r="U690" s="79"/>
      <c r="V690" s="79"/>
    </row>
    <row r="691" spans="1:22" ht="12.5" x14ac:dyDescent="0.25">
      <c r="A691" s="79"/>
      <c r="B691" s="79"/>
      <c r="C691" s="79"/>
      <c r="D691" s="79"/>
      <c r="E691" s="79"/>
      <c r="F691" s="77"/>
      <c r="G691" s="79"/>
      <c r="H691" s="79"/>
      <c r="I691" s="79"/>
      <c r="J691" s="78"/>
      <c r="K691" s="79"/>
      <c r="L691" s="79"/>
      <c r="M691" s="79"/>
      <c r="N691" s="77"/>
      <c r="O691" s="79"/>
      <c r="P691" s="81"/>
      <c r="Q691" s="81"/>
      <c r="R691" s="79"/>
      <c r="S691" s="79"/>
      <c r="T691" s="79"/>
      <c r="U691" s="79"/>
      <c r="V691" s="79"/>
    </row>
    <row r="692" spans="1:22" ht="12.5" x14ac:dyDescent="0.25">
      <c r="A692" s="79"/>
      <c r="B692" s="79"/>
      <c r="C692" s="79"/>
      <c r="D692" s="79"/>
      <c r="E692" s="79"/>
      <c r="F692" s="77"/>
      <c r="G692" s="79"/>
      <c r="H692" s="79"/>
      <c r="I692" s="79"/>
      <c r="J692" s="78"/>
      <c r="K692" s="79"/>
      <c r="L692" s="79"/>
      <c r="M692" s="79"/>
      <c r="N692" s="77"/>
      <c r="O692" s="79"/>
      <c r="P692" s="81"/>
      <c r="Q692" s="81"/>
      <c r="R692" s="79"/>
      <c r="S692" s="79"/>
      <c r="T692" s="79"/>
      <c r="U692" s="79"/>
      <c r="V692" s="79"/>
    </row>
    <row r="693" spans="1:22" ht="12.5" x14ac:dyDescent="0.25">
      <c r="A693" s="79"/>
      <c r="B693" s="79"/>
      <c r="C693" s="79"/>
      <c r="D693" s="79"/>
      <c r="E693" s="79"/>
      <c r="F693" s="77"/>
      <c r="G693" s="79"/>
      <c r="H693" s="79"/>
      <c r="I693" s="79"/>
      <c r="J693" s="78"/>
      <c r="K693" s="79"/>
      <c r="L693" s="79"/>
      <c r="M693" s="79"/>
      <c r="N693" s="77"/>
      <c r="O693" s="79"/>
      <c r="P693" s="81"/>
      <c r="Q693" s="81"/>
      <c r="R693" s="79"/>
      <c r="S693" s="79"/>
      <c r="T693" s="79"/>
      <c r="U693" s="79"/>
      <c r="V693" s="79"/>
    </row>
    <row r="694" spans="1:22" ht="12.5" x14ac:dyDescent="0.25">
      <c r="A694" s="79"/>
      <c r="B694" s="79"/>
      <c r="C694" s="79"/>
      <c r="D694" s="79"/>
      <c r="E694" s="79"/>
      <c r="F694" s="77"/>
      <c r="G694" s="79"/>
      <c r="H694" s="79"/>
      <c r="I694" s="79"/>
      <c r="J694" s="78"/>
      <c r="K694" s="79"/>
      <c r="L694" s="79"/>
      <c r="M694" s="79"/>
      <c r="N694" s="77"/>
      <c r="O694" s="79"/>
      <c r="P694" s="81"/>
      <c r="Q694" s="81"/>
      <c r="R694" s="79"/>
      <c r="S694" s="79"/>
      <c r="T694" s="79"/>
      <c r="U694" s="79"/>
      <c r="V694" s="79"/>
    </row>
    <row r="695" spans="1:22" ht="12.5" x14ac:dyDescent="0.25">
      <c r="A695" s="79"/>
      <c r="B695" s="79"/>
      <c r="C695" s="79"/>
      <c r="D695" s="79"/>
      <c r="E695" s="79"/>
      <c r="F695" s="77"/>
      <c r="G695" s="79"/>
      <c r="H695" s="79"/>
      <c r="I695" s="79"/>
      <c r="J695" s="78"/>
      <c r="K695" s="79"/>
      <c r="L695" s="79"/>
      <c r="M695" s="79"/>
      <c r="N695" s="77"/>
      <c r="O695" s="79"/>
      <c r="P695" s="81"/>
      <c r="Q695" s="81"/>
      <c r="R695" s="79"/>
      <c r="S695" s="79"/>
      <c r="T695" s="79"/>
      <c r="U695" s="79"/>
      <c r="V695" s="79"/>
    </row>
    <row r="696" spans="1:22" ht="12.5" x14ac:dyDescent="0.25">
      <c r="A696" s="79"/>
      <c r="B696" s="79"/>
      <c r="C696" s="79"/>
      <c r="D696" s="79"/>
      <c r="E696" s="79"/>
      <c r="F696" s="77"/>
      <c r="G696" s="79"/>
      <c r="H696" s="79"/>
      <c r="I696" s="79"/>
      <c r="J696" s="78"/>
      <c r="K696" s="79"/>
      <c r="L696" s="79"/>
      <c r="M696" s="79"/>
      <c r="N696" s="77"/>
      <c r="O696" s="79"/>
      <c r="P696" s="81"/>
      <c r="Q696" s="81"/>
      <c r="R696" s="79"/>
      <c r="S696" s="79"/>
      <c r="T696" s="79"/>
      <c r="U696" s="79"/>
      <c r="V696" s="79"/>
    </row>
    <row r="697" spans="1:22" ht="12.5" x14ac:dyDescent="0.25">
      <c r="A697" s="79"/>
      <c r="B697" s="79"/>
      <c r="C697" s="79"/>
      <c r="D697" s="79"/>
      <c r="E697" s="79"/>
      <c r="F697" s="77"/>
      <c r="G697" s="79"/>
      <c r="H697" s="79"/>
      <c r="I697" s="79"/>
      <c r="J697" s="78"/>
      <c r="K697" s="79"/>
      <c r="L697" s="79"/>
      <c r="M697" s="79"/>
      <c r="N697" s="77"/>
      <c r="O697" s="79"/>
      <c r="P697" s="81"/>
      <c r="Q697" s="81"/>
      <c r="R697" s="79"/>
      <c r="S697" s="79"/>
      <c r="T697" s="79"/>
      <c r="U697" s="79"/>
      <c r="V697" s="79"/>
    </row>
    <row r="698" spans="1:22" ht="12.5" x14ac:dyDescent="0.25">
      <c r="A698" s="79"/>
      <c r="B698" s="79"/>
      <c r="C698" s="79"/>
      <c r="D698" s="79"/>
      <c r="E698" s="79"/>
      <c r="F698" s="77"/>
      <c r="G698" s="79"/>
      <c r="H698" s="79"/>
      <c r="I698" s="79"/>
      <c r="J698" s="78"/>
      <c r="K698" s="79"/>
      <c r="L698" s="79"/>
      <c r="M698" s="79"/>
      <c r="N698" s="77"/>
      <c r="O698" s="79"/>
      <c r="P698" s="81"/>
      <c r="Q698" s="81"/>
      <c r="R698" s="79"/>
      <c r="S698" s="79"/>
      <c r="T698" s="79"/>
      <c r="U698" s="79"/>
      <c r="V698" s="79"/>
    </row>
    <row r="699" spans="1:22" ht="12.5" x14ac:dyDescent="0.25">
      <c r="A699" s="79"/>
      <c r="B699" s="79"/>
      <c r="C699" s="79"/>
      <c r="D699" s="79"/>
      <c r="E699" s="79"/>
      <c r="F699" s="77"/>
      <c r="G699" s="79"/>
      <c r="H699" s="79"/>
      <c r="I699" s="79"/>
      <c r="J699" s="78"/>
      <c r="K699" s="79"/>
      <c r="L699" s="79"/>
      <c r="M699" s="79"/>
      <c r="N699" s="77"/>
      <c r="O699" s="79"/>
      <c r="P699" s="81"/>
      <c r="Q699" s="81"/>
      <c r="R699" s="79"/>
      <c r="S699" s="79"/>
      <c r="T699" s="79"/>
      <c r="U699" s="79"/>
      <c r="V699" s="79"/>
    </row>
    <row r="700" spans="1:22" ht="12.5" x14ac:dyDescent="0.25">
      <c r="A700" s="79"/>
      <c r="B700" s="79"/>
      <c r="C700" s="79"/>
      <c r="D700" s="79"/>
      <c r="E700" s="79"/>
      <c r="F700" s="77"/>
      <c r="G700" s="79"/>
      <c r="H700" s="79"/>
      <c r="I700" s="79"/>
      <c r="J700" s="78"/>
      <c r="K700" s="79"/>
      <c r="L700" s="79"/>
      <c r="M700" s="79"/>
      <c r="N700" s="77"/>
      <c r="O700" s="79"/>
      <c r="P700" s="81"/>
      <c r="Q700" s="81"/>
      <c r="R700" s="79"/>
      <c r="S700" s="79"/>
      <c r="T700" s="79"/>
      <c r="U700" s="79"/>
      <c r="V700" s="79"/>
    </row>
    <row r="701" spans="1:22" ht="12.5" x14ac:dyDescent="0.25">
      <c r="A701" s="79"/>
      <c r="B701" s="79"/>
      <c r="C701" s="79"/>
      <c r="D701" s="79"/>
      <c r="E701" s="79"/>
      <c r="F701" s="77"/>
      <c r="G701" s="79"/>
      <c r="H701" s="79"/>
      <c r="I701" s="79"/>
      <c r="J701" s="78"/>
      <c r="K701" s="79"/>
      <c r="L701" s="79"/>
      <c r="M701" s="79"/>
      <c r="N701" s="77"/>
      <c r="O701" s="79"/>
      <c r="P701" s="81"/>
      <c r="Q701" s="81"/>
      <c r="R701" s="79"/>
      <c r="S701" s="79"/>
      <c r="T701" s="79"/>
      <c r="U701" s="79"/>
      <c r="V701" s="79"/>
    </row>
    <row r="702" spans="1:22" ht="12.5" x14ac:dyDescent="0.25">
      <c r="A702" s="79"/>
      <c r="B702" s="79"/>
      <c r="C702" s="79"/>
      <c r="D702" s="79"/>
      <c r="E702" s="79"/>
      <c r="F702" s="77"/>
      <c r="G702" s="79"/>
      <c r="H702" s="79"/>
      <c r="I702" s="79"/>
      <c r="J702" s="78"/>
      <c r="K702" s="79"/>
      <c r="L702" s="79"/>
      <c r="M702" s="79"/>
      <c r="N702" s="77"/>
      <c r="O702" s="79"/>
      <c r="P702" s="81"/>
      <c r="Q702" s="81"/>
      <c r="R702" s="79"/>
      <c r="S702" s="79"/>
      <c r="T702" s="79"/>
      <c r="U702" s="79"/>
      <c r="V702" s="79"/>
    </row>
    <row r="703" spans="1:22" ht="12.5" x14ac:dyDescent="0.25">
      <c r="A703" s="79"/>
      <c r="B703" s="79"/>
      <c r="C703" s="79"/>
      <c r="D703" s="79"/>
      <c r="E703" s="79"/>
      <c r="F703" s="77"/>
      <c r="G703" s="79"/>
      <c r="H703" s="79"/>
      <c r="I703" s="79"/>
      <c r="J703" s="78"/>
      <c r="K703" s="79"/>
      <c r="L703" s="79"/>
      <c r="M703" s="79"/>
      <c r="N703" s="77"/>
      <c r="O703" s="79"/>
      <c r="P703" s="81"/>
      <c r="Q703" s="81"/>
      <c r="R703" s="79"/>
      <c r="S703" s="79"/>
      <c r="T703" s="79"/>
      <c r="U703" s="79"/>
      <c r="V703" s="79"/>
    </row>
    <row r="704" spans="1:22" ht="12.5" x14ac:dyDescent="0.25">
      <c r="A704" s="79"/>
      <c r="B704" s="79"/>
      <c r="C704" s="79"/>
      <c r="D704" s="79"/>
      <c r="E704" s="79"/>
      <c r="F704" s="77"/>
      <c r="G704" s="79"/>
      <c r="H704" s="79"/>
      <c r="I704" s="79"/>
      <c r="J704" s="78"/>
      <c r="K704" s="79"/>
      <c r="L704" s="79"/>
      <c r="M704" s="79"/>
      <c r="N704" s="77"/>
      <c r="O704" s="79"/>
      <c r="P704" s="81"/>
      <c r="Q704" s="81"/>
      <c r="R704" s="79"/>
      <c r="S704" s="79"/>
      <c r="T704" s="79"/>
      <c r="U704" s="79"/>
      <c r="V704" s="79"/>
    </row>
    <row r="705" spans="1:22" ht="12.5" x14ac:dyDescent="0.25">
      <c r="A705" s="79"/>
      <c r="B705" s="79"/>
      <c r="C705" s="79"/>
      <c r="D705" s="79"/>
      <c r="E705" s="79"/>
      <c r="F705" s="77"/>
      <c r="G705" s="79"/>
      <c r="H705" s="79"/>
      <c r="I705" s="79"/>
      <c r="J705" s="78"/>
      <c r="K705" s="79"/>
      <c r="L705" s="79"/>
      <c r="M705" s="79"/>
      <c r="N705" s="77"/>
      <c r="O705" s="79"/>
      <c r="P705" s="81"/>
      <c r="Q705" s="81"/>
      <c r="R705" s="79"/>
      <c r="S705" s="79"/>
      <c r="T705" s="79"/>
      <c r="U705" s="79"/>
      <c r="V705" s="79"/>
    </row>
    <row r="706" spans="1:22" ht="12.5" x14ac:dyDescent="0.25">
      <c r="A706" s="79"/>
      <c r="B706" s="79"/>
      <c r="C706" s="79"/>
      <c r="D706" s="79"/>
      <c r="E706" s="79"/>
      <c r="F706" s="77"/>
      <c r="G706" s="79"/>
      <c r="H706" s="79"/>
      <c r="I706" s="79"/>
      <c r="J706" s="78"/>
      <c r="K706" s="79"/>
      <c r="L706" s="79"/>
      <c r="M706" s="79"/>
      <c r="N706" s="77"/>
      <c r="O706" s="79"/>
      <c r="P706" s="81"/>
      <c r="Q706" s="81"/>
      <c r="R706" s="79"/>
      <c r="S706" s="79"/>
      <c r="T706" s="79"/>
      <c r="U706" s="79"/>
      <c r="V706" s="79"/>
    </row>
    <row r="707" spans="1:22" ht="12.5" x14ac:dyDescent="0.25">
      <c r="A707" s="79"/>
      <c r="B707" s="79"/>
      <c r="C707" s="79"/>
      <c r="D707" s="79"/>
      <c r="E707" s="79"/>
      <c r="F707" s="77"/>
      <c r="G707" s="79"/>
      <c r="H707" s="79"/>
      <c r="I707" s="79"/>
      <c r="J707" s="78"/>
      <c r="K707" s="79"/>
      <c r="L707" s="79"/>
      <c r="M707" s="79"/>
      <c r="N707" s="77"/>
      <c r="O707" s="79"/>
      <c r="P707" s="81"/>
      <c r="Q707" s="81"/>
      <c r="R707" s="79"/>
      <c r="S707" s="79"/>
      <c r="T707" s="79"/>
      <c r="U707" s="79"/>
      <c r="V707" s="79"/>
    </row>
    <row r="708" spans="1:22" ht="12.5" x14ac:dyDescent="0.25">
      <c r="A708" s="79"/>
      <c r="B708" s="79"/>
      <c r="C708" s="79"/>
      <c r="D708" s="79"/>
      <c r="E708" s="79"/>
      <c r="F708" s="77"/>
      <c r="G708" s="79"/>
      <c r="H708" s="79"/>
      <c r="I708" s="79"/>
      <c r="J708" s="78"/>
      <c r="K708" s="79"/>
      <c r="L708" s="79"/>
      <c r="M708" s="79"/>
      <c r="N708" s="77"/>
      <c r="O708" s="79"/>
      <c r="P708" s="81"/>
      <c r="Q708" s="81"/>
      <c r="R708" s="79"/>
      <c r="S708" s="79"/>
      <c r="T708" s="79"/>
      <c r="U708" s="79"/>
      <c r="V708" s="79"/>
    </row>
    <row r="709" spans="1:22" ht="12.5" x14ac:dyDescent="0.25">
      <c r="A709" s="79"/>
      <c r="B709" s="79"/>
      <c r="C709" s="79"/>
      <c r="D709" s="79"/>
      <c r="E709" s="79"/>
      <c r="F709" s="77"/>
      <c r="G709" s="79"/>
      <c r="H709" s="79"/>
      <c r="I709" s="79"/>
      <c r="J709" s="78"/>
      <c r="K709" s="79"/>
      <c r="L709" s="79"/>
      <c r="M709" s="79"/>
      <c r="N709" s="77"/>
      <c r="O709" s="79"/>
      <c r="P709" s="81"/>
      <c r="Q709" s="81"/>
      <c r="R709" s="79"/>
      <c r="S709" s="79"/>
      <c r="T709" s="79"/>
      <c r="U709" s="79"/>
      <c r="V709" s="79"/>
    </row>
    <row r="710" spans="1:22" ht="12.5" x14ac:dyDescent="0.25">
      <c r="A710" s="79"/>
      <c r="B710" s="79"/>
      <c r="C710" s="79"/>
      <c r="D710" s="79"/>
      <c r="E710" s="79"/>
      <c r="F710" s="77"/>
      <c r="G710" s="79"/>
      <c r="H710" s="79"/>
      <c r="I710" s="79"/>
      <c r="J710" s="78"/>
      <c r="K710" s="79"/>
      <c r="L710" s="79"/>
      <c r="M710" s="79"/>
      <c r="N710" s="77"/>
      <c r="O710" s="79"/>
      <c r="P710" s="81"/>
      <c r="Q710" s="81"/>
      <c r="R710" s="79"/>
      <c r="S710" s="79"/>
      <c r="T710" s="79"/>
      <c r="U710" s="79"/>
      <c r="V710" s="79"/>
    </row>
    <row r="711" spans="1:22" ht="12.5" x14ac:dyDescent="0.25">
      <c r="A711" s="79"/>
      <c r="B711" s="79"/>
      <c r="C711" s="79"/>
      <c r="D711" s="79"/>
      <c r="E711" s="79"/>
      <c r="F711" s="77"/>
      <c r="G711" s="79"/>
      <c r="H711" s="79"/>
      <c r="I711" s="79"/>
      <c r="J711" s="78"/>
      <c r="K711" s="79"/>
      <c r="L711" s="79"/>
      <c r="M711" s="79"/>
      <c r="N711" s="77"/>
      <c r="O711" s="79"/>
      <c r="P711" s="81"/>
      <c r="Q711" s="81"/>
      <c r="R711" s="79"/>
      <c r="S711" s="79"/>
      <c r="T711" s="79"/>
      <c r="U711" s="79"/>
      <c r="V711" s="79"/>
    </row>
    <row r="712" spans="1:22" ht="12.5" x14ac:dyDescent="0.25">
      <c r="A712" s="79"/>
      <c r="B712" s="79"/>
      <c r="C712" s="79"/>
      <c r="D712" s="79"/>
      <c r="E712" s="79"/>
      <c r="F712" s="77"/>
      <c r="G712" s="79"/>
      <c r="H712" s="79"/>
      <c r="I712" s="79"/>
      <c r="J712" s="78"/>
      <c r="K712" s="79"/>
      <c r="L712" s="79"/>
      <c r="M712" s="79"/>
      <c r="N712" s="77"/>
      <c r="O712" s="79"/>
      <c r="P712" s="81"/>
      <c r="Q712" s="81"/>
      <c r="R712" s="79"/>
      <c r="S712" s="79"/>
      <c r="T712" s="79"/>
      <c r="U712" s="79"/>
      <c r="V712" s="79"/>
    </row>
    <row r="713" spans="1:22" ht="12.5" x14ac:dyDescent="0.25">
      <c r="A713" s="79"/>
      <c r="B713" s="79"/>
      <c r="C713" s="79"/>
      <c r="D713" s="79"/>
      <c r="E713" s="79"/>
      <c r="F713" s="77"/>
      <c r="G713" s="79"/>
      <c r="H713" s="79"/>
      <c r="I713" s="79"/>
      <c r="J713" s="78"/>
      <c r="K713" s="79"/>
      <c r="L713" s="79"/>
      <c r="M713" s="79"/>
      <c r="N713" s="77"/>
      <c r="O713" s="79"/>
      <c r="P713" s="81"/>
      <c r="Q713" s="81"/>
      <c r="R713" s="79"/>
      <c r="S713" s="79"/>
      <c r="T713" s="79"/>
      <c r="U713" s="79"/>
      <c r="V713" s="79"/>
    </row>
    <row r="714" spans="1:22" ht="12.5" x14ac:dyDescent="0.25">
      <c r="A714" s="79"/>
      <c r="B714" s="79"/>
      <c r="C714" s="79"/>
      <c r="D714" s="79"/>
      <c r="E714" s="79"/>
      <c r="F714" s="77"/>
      <c r="G714" s="79"/>
      <c r="H714" s="79"/>
      <c r="I714" s="79"/>
      <c r="J714" s="78"/>
      <c r="K714" s="79"/>
      <c r="L714" s="79"/>
      <c r="M714" s="79"/>
      <c r="N714" s="77"/>
      <c r="O714" s="79"/>
      <c r="P714" s="81"/>
      <c r="Q714" s="81"/>
      <c r="R714" s="79"/>
      <c r="S714" s="79"/>
      <c r="T714" s="79"/>
      <c r="U714" s="79"/>
      <c r="V714" s="79"/>
    </row>
    <row r="715" spans="1:22" ht="12.5" x14ac:dyDescent="0.25">
      <c r="A715" s="79"/>
      <c r="B715" s="79"/>
      <c r="C715" s="79"/>
      <c r="D715" s="79"/>
      <c r="E715" s="79"/>
      <c r="F715" s="77"/>
      <c r="G715" s="79"/>
      <c r="H715" s="79"/>
      <c r="I715" s="79"/>
      <c r="J715" s="78"/>
      <c r="K715" s="79"/>
      <c r="L715" s="79"/>
      <c r="M715" s="79"/>
      <c r="N715" s="77"/>
      <c r="O715" s="79"/>
      <c r="P715" s="81"/>
      <c r="Q715" s="81"/>
      <c r="R715" s="79"/>
      <c r="S715" s="79"/>
      <c r="T715" s="79"/>
      <c r="U715" s="79"/>
      <c r="V715" s="79"/>
    </row>
    <row r="716" spans="1:22" ht="12.5" x14ac:dyDescent="0.25">
      <c r="A716" s="79"/>
      <c r="B716" s="79"/>
      <c r="C716" s="79"/>
      <c r="D716" s="79"/>
      <c r="E716" s="79"/>
      <c r="F716" s="77"/>
      <c r="G716" s="79"/>
      <c r="H716" s="79"/>
      <c r="I716" s="79"/>
      <c r="J716" s="78"/>
      <c r="K716" s="79"/>
      <c r="L716" s="79"/>
      <c r="M716" s="79"/>
      <c r="N716" s="77"/>
      <c r="O716" s="79"/>
      <c r="P716" s="81"/>
      <c r="Q716" s="81"/>
      <c r="R716" s="79"/>
      <c r="S716" s="79"/>
      <c r="T716" s="79"/>
      <c r="U716" s="79"/>
      <c r="V716" s="79"/>
    </row>
    <row r="717" spans="1:22" ht="12.5" x14ac:dyDescent="0.25">
      <c r="A717" s="79"/>
      <c r="B717" s="79"/>
      <c r="C717" s="79"/>
      <c r="D717" s="79"/>
      <c r="E717" s="79"/>
      <c r="F717" s="77"/>
      <c r="G717" s="79"/>
      <c r="H717" s="79"/>
      <c r="I717" s="79"/>
      <c r="J717" s="78"/>
      <c r="K717" s="79"/>
      <c r="L717" s="79"/>
      <c r="M717" s="79"/>
      <c r="N717" s="77"/>
      <c r="O717" s="79"/>
      <c r="P717" s="81"/>
      <c r="Q717" s="81"/>
      <c r="R717" s="79"/>
      <c r="S717" s="79"/>
      <c r="T717" s="79"/>
      <c r="U717" s="79"/>
      <c r="V717" s="79"/>
    </row>
    <row r="718" spans="1:22" ht="12.5" x14ac:dyDescent="0.25">
      <c r="A718" s="79"/>
      <c r="B718" s="79"/>
      <c r="C718" s="79"/>
      <c r="D718" s="79"/>
      <c r="E718" s="79"/>
      <c r="F718" s="77"/>
      <c r="G718" s="79"/>
      <c r="H718" s="79"/>
      <c r="I718" s="79"/>
      <c r="J718" s="78"/>
      <c r="K718" s="79"/>
      <c r="L718" s="79"/>
      <c r="M718" s="79"/>
      <c r="N718" s="77"/>
      <c r="O718" s="79"/>
      <c r="P718" s="81"/>
      <c r="Q718" s="81"/>
      <c r="R718" s="79"/>
      <c r="S718" s="79"/>
      <c r="T718" s="79"/>
      <c r="U718" s="79"/>
      <c r="V718" s="79"/>
    </row>
    <row r="719" spans="1:22" ht="12.5" x14ac:dyDescent="0.25">
      <c r="A719" s="79"/>
      <c r="B719" s="79"/>
      <c r="C719" s="79"/>
      <c r="D719" s="79"/>
      <c r="E719" s="79"/>
      <c r="F719" s="77"/>
      <c r="G719" s="79"/>
      <c r="H719" s="79"/>
      <c r="I719" s="79"/>
      <c r="J719" s="78"/>
      <c r="K719" s="79"/>
      <c r="L719" s="79"/>
      <c r="M719" s="79"/>
      <c r="N719" s="77"/>
      <c r="O719" s="79"/>
      <c r="P719" s="81"/>
      <c r="Q719" s="81"/>
      <c r="R719" s="79"/>
      <c r="S719" s="79"/>
      <c r="T719" s="79"/>
      <c r="U719" s="79"/>
      <c r="V719" s="79"/>
    </row>
    <row r="720" spans="1:22" ht="12.5" x14ac:dyDescent="0.25">
      <c r="A720" s="79"/>
      <c r="B720" s="79"/>
      <c r="C720" s="79"/>
      <c r="D720" s="79"/>
      <c r="E720" s="79"/>
      <c r="F720" s="77"/>
      <c r="G720" s="79"/>
      <c r="H720" s="79"/>
      <c r="I720" s="79"/>
      <c r="J720" s="78"/>
      <c r="K720" s="79"/>
      <c r="L720" s="79"/>
      <c r="M720" s="79"/>
      <c r="N720" s="77"/>
      <c r="O720" s="79"/>
      <c r="P720" s="81"/>
      <c r="Q720" s="81"/>
      <c r="R720" s="79"/>
      <c r="S720" s="79"/>
      <c r="T720" s="79"/>
      <c r="U720" s="79"/>
      <c r="V720" s="79"/>
    </row>
    <row r="721" spans="1:22" ht="12.5" x14ac:dyDescent="0.25">
      <c r="A721" s="79"/>
      <c r="B721" s="79"/>
      <c r="C721" s="79"/>
      <c r="D721" s="79"/>
      <c r="E721" s="79"/>
      <c r="F721" s="77"/>
      <c r="G721" s="79"/>
      <c r="H721" s="79"/>
      <c r="I721" s="79"/>
      <c r="J721" s="78"/>
      <c r="K721" s="79"/>
      <c r="L721" s="79"/>
      <c r="M721" s="79"/>
      <c r="N721" s="77"/>
      <c r="O721" s="79"/>
      <c r="P721" s="81"/>
      <c r="Q721" s="81"/>
      <c r="R721" s="79"/>
      <c r="S721" s="79"/>
      <c r="T721" s="79"/>
      <c r="U721" s="79"/>
      <c r="V721" s="79"/>
    </row>
    <row r="722" spans="1:22" ht="12.5" x14ac:dyDescent="0.25">
      <c r="A722" s="79"/>
      <c r="B722" s="79"/>
      <c r="C722" s="79"/>
      <c r="D722" s="79"/>
      <c r="E722" s="79"/>
      <c r="F722" s="77"/>
      <c r="G722" s="79"/>
      <c r="H722" s="79"/>
      <c r="I722" s="79"/>
      <c r="J722" s="78"/>
      <c r="K722" s="79"/>
      <c r="L722" s="79"/>
      <c r="M722" s="79"/>
      <c r="N722" s="77"/>
      <c r="O722" s="79"/>
      <c r="P722" s="81"/>
      <c r="Q722" s="81"/>
      <c r="R722" s="79"/>
      <c r="S722" s="79"/>
      <c r="T722" s="79"/>
      <c r="U722" s="79"/>
      <c r="V722" s="79"/>
    </row>
    <row r="723" spans="1:22" ht="12.5" x14ac:dyDescent="0.25">
      <c r="A723" s="79"/>
      <c r="B723" s="79"/>
      <c r="C723" s="79"/>
      <c r="D723" s="79"/>
      <c r="E723" s="79"/>
      <c r="F723" s="77"/>
      <c r="G723" s="79"/>
      <c r="H723" s="79"/>
      <c r="I723" s="79"/>
      <c r="J723" s="78"/>
      <c r="K723" s="79"/>
      <c r="L723" s="79"/>
      <c r="M723" s="79"/>
      <c r="N723" s="77"/>
      <c r="O723" s="79"/>
      <c r="P723" s="81"/>
      <c r="Q723" s="81"/>
      <c r="R723" s="79"/>
      <c r="S723" s="79"/>
      <c r="T723" s="79"/>
      <c r="U723" s="79"/>
      <c r="V723" s="79"/>
    </row>
    <row r="724" spans="1:22" ht="12.5" x14ac:dyDescent="0.25">
      <c r="A724" s="79"/>
      <c r="B724" s="79"/>
      <c r="C724" s="79"/>
      <c r="D724" s="79"/>
      <c r="E724" s="79"/>
      <c r="F724" s="77"/>
      <c r="G724" s="79"/>
      <c r="H724" s="79"/>
      <c r="I724" s="79"/>
      <c r="J724" s="78"/>
      <c r="K724" s="79"/>
      <c r="L724" s="79"/>
      <c r="M724" s="79"/>
      <c r="N724" s="77"/>
      <c r="O724" s="79"/>
      <c r="P724" s="81"/>
      <c r="Q724" s="81"/>
      <c r="R724" s="79"/>
      <c r="S724" s="79"/>
      <c r="T724" s="79"/>
      <c r="U724" s="79"/>
      <c r="V724" s="79"/>
    </row>
    <row r="725" spans="1:22" ht="12.5" x14ac:dyDescent="0.25">
      <c r="A725" s="79"/>
      <c r="B725" s="79"/>
      <c r="C725" s="79"/>
      <c r="D725" s="79"/>
      <c r="E725" s="79"/>
      <c r="F725" s="77"/>
      <c r="G725" s="79"/>
      <c r="H725" s="79"/>
      <c r="I725" s="79"/>
      <c r="J725" s="78"/>
      <c r="K725" s="79"/>
      <c r="L725" s="79"/>
      <c r="M725" s="79"/>
      <c r="N725" s="77"/>
      <c r="O725" s="79"/>
      <c r="P725" s="81"/>
      <c r="Q725" s="81"/>
      <c r="R725" s="79"/>
      <c r="S725" s="79"/>
      <c r="T725" s="79"/>
      <c r="U725" s="79"/>
      <c r="V725" s="79"/>
    </row>
    <row r="726" spans="1:22" ht="12.5" x14ac:dyDescent="0.25">
      <c r="A726" s="79"/>
      <c r="B726" s="79"/>
      <c r="C726" s="79"/>
      <c r="D726" s="79"/>
      <c r="E726" s="79"/>
      <c r="F726" s="77"/>
      <c r="G726" s="79"/>
      <c r="H726" s="79"/>
      <c r="I726" s="79"/>
      <c r="J726" s="78"/>
      <c r="K726" s="79"/>
      <c r="L726" s="79"/>
      <c r="M726" s="79"/>
      <c r="N726" s="77"/>
      <c r="O726" s="79"/>
      <c r="P726" s="81"/>
      <c r="Q726" s="81"/>
      <c r="R726" s="79"/>
      <c r="S726" s="79"/>
      <c r="T726" s="79"/>
      <c r="U726" s="79"/>
      <c r="V726" s="79"/>
    </row>
    <row r="727" spans="1:22" ht="12.5" x14ac:dyDescent="0.25">
      <c r="A727" s="79"/>
      <c r="B727" s="79"/>
      <c r="C727" s="79"/>
      <c r="D727" s="79"/>
      <c r="E727" s="79"/>
      <c r="F727" s="77"/>
      <c r="G727" s="79"/>
      <c r="H727" s="79"/>
      <c r="I727" s="79"/>
      <c r="J727" s="78"/>
      <c r="K727" s="79"/>
      <c r="L727" s="79"/>
      <c r="M727" s="79"/>
      <c r="N727" s="77"/>
      <c r="O727" s="79"/>
      <c r="P727" s="81"/>
      <c r="Q727" s="81"/>
      <c r="R727" s="79"/>
      <c r="S727" s="79"/>
      <c r="T727" s="79"/>
      <c r="U727" s="79"/>
      <c r="V727" s="79"/>
    </row>
    <row r="728" spans="1:22" ht="12.5" x14ac:dyDescent="0.25">
      <c r="A728" s="79"/>
      <c r="B728" s="79"/>
      <c r="C728" s="79"/>
      <c r="D728" s="79"/>
      <c r="E728" s="79"/>
      <c r="F728" s="77"/>
      <c r="G728" s="79"/>
      <c r="H728" s="79"/>
      <c r="I728" s="79"/>
      <c r="J728" s="78"/>
      <c r="K728" s="79"/>
      <c r="L728" s="79"/>
      <c r="M728" s="79"/>
      <c r="N728" s="77"/>
      <c r="O728" s="79"/>
      <c r="P728" s="81"/>
      <c r="Q728" s="81"/>
      <c r="R728" s="79"/>
      <c r="S728" s="79"/>
      <c r="T728" s="79"/>
      <c r="U728" s="79"/>
      <c r="V728" s="79"/>
    </row>
    <row r="729" spans="1:22" ht="12.5" x14ac:dyDescent="0.25">
      <c r="A729" s="79"/>
      <c r="B729" s="79"/>
      <c r="C729" s="79"/>
      <c r="D729" s="79"/>
      <c r="E729" s="79"/>
      <c r="F729" s="77"/>
      <c r="G729" s="79"/>
      <c r="H729" s="79"/>
      <c r="I729" s="79"/>
      <c r="J729" s="78"/>
      <c r="K729" s="79"/>
      <c r="L729" s="79"/>
      <c r="M729" s="79"/>
      <c r="N729" s="77"/>
      <c r="O729" s="79"/>
      <c r="P729" s="81"/>
      <c r="Q729" s="81"/>
      <c r="R729" s="79"/>
      <c r="S729" s="79"/>
      <c r="T729" s="79"/>
      <c r="U729" s="79"/>
      <c r="V729" s="79"/>
    </row>
    <row r="730" spans="1:22" ht="12.5" x14ac:dyDescent="0.25">
      <c r="A730" s="79"/>
      <c r="B730" s="79"/>
      <c r="C730" s="79"/>
      <c r="D730" s="79"/>
      <c r="E730" s="79"/>
      <c r="F730" s="77"/>
      <c r="G730" s="79"/>
      <c r="H730" s="79"/>
      <c r="I730" s="79"/>
      <c r="J730" s="78"/>
      <c r="K730" s="79"/>
      <c r="L730" s="79"/>
      <c r="M730" s="79"/>
      <c r="N730" s="77"/>
      <c r="O730" s="79"/>
      <c r="P730" s="81"/>
      <c r="Q730" s="81"/>
      <c r="R730" s="79"/>
      <c r="S730" s="79"/>
      <c r="T730" s="79"/>
      <c r="U730" s="79"/>
      <c r="V730" s="79"/>
    </row>
    <row r="731" spans="1:22" ht="12.5" x14ac:dyDescent="0.25">
      <c r="A731" s="79"/>
      <c r="B731" s="79"/>
      <c r="C731" s="79"/>
      <c r="D731" s="79"/>
      <c r="E731" s="79"/>
      <c r="F731" s="77"/>
      <c r="G731" s="79"/>
      <c r="H731" s="79"/>
      <c r="I731" s="79"/>
      <c r="J731" s="78"/>
      <c r="K731" s="79"/>
      <c r="L731" s="79"/>
      <c r="M731" s="79"/>
      <c r="N731" s="77"/>
      <c r="O731" s="79"/>
      <c r="P731" s="81"/>
      <c r="Q731" s="81"/>
      <c r="R731" s="79"/>
      <c r="S731" s="79"/>
      <c r="T731" s="79"/>
      <c r="U731" s="79"/>
      <c r="V731" s="79"/>
    </row>
    <row r="732" spans="1:22" ht="12.5" x14ac:dyDescent="0.25">
      <c r="A732" s="79"/>
      <c r="B732" s="79"/>
      <c r="C732" s="79"/>
      <c r="D732" s="79"/>
      <c r="E732" s="79"/>
      <c r="F732" s="77"/>
      <c r="G732" s="79"/>
      <c r="H732" s="79"/>
      <c r="I732" s="79"/>
      <c r="J732" s="78"/>
      <c r="K732" s="79"/>
      <c r="L732" s="79"/>
      <c r="M732" s="79"/>
      <c r="N732" s="77"/>
      <c r="O732" s="79"/>
      <c r="P732" s="81"/>
      <c r="Q732" s="81"/>
      <c r="R732" s="79"/>
      <c r="S732" s="79"/>
      <c r="T732" s="79"/>
      <c r="U732" s="79"/>
      <c r="V732" s="79"/>
    </row>
    <row r="733" spans="1:22" ht="12.5" x14ac:dyDescent="0.25">
      <c r="A733" s="79"/>
      <c r="B733" s="79"/>
      <c r="C733" s="79"/>
      <c r="D733" s="79"/>
      <c r="E733" s="79"/>
      <c r="F733" s="77"/>
      <c r="G733" s="79"/>
      <c r="H733" s="79"/>
      <c r="I733" s="79"/>
      <c r="J733" s="78"/>
      <c r="K733" s="79"/>
      <c r="L733" s="79"/>
      <c r="M733" s="79"/>
      <c r="N733" s="77"/>
      <c r="O733" s="79"/>
      <c r="P733" s="81"/>
      <c r="Q733" s="81"/>
      <c r="R733" s="79"/>
      <c r="S733" s="79"/>
      <c r="T733" s="79"/>
      <c r="U733" s="79"/>
      <c r="V733" s="79"/>
    </row>
    <row r="734" spans="1:22" ht="12.5" x14ac:dyDescent="0.25">
      <c r="A734" s="79"/>
      <c r="B734" s="79"/>
      <c r="C734" s="79"/>
      <c r="D734" s="79"/>
      <c r="E734" s="79"/>
      <c r="F734" s="77"/>
      <c r="G734" s="79"/>
      <c r="H734" s="79"/>
      <c r="I734" s="79"/>
      <c r="J734" s="78"/>
      <c r="K734" s="79"/>
      <c r="L734" s="79"/>
      <c r="M734" s="79"/>
      <c r="N734" s="77"/>
      <c r="O734" s="79"/>
      <c r="P734" s="81"/>
      <c r="Q734" s="81"/>
      <c r="R734" s="79"/>
      <c r="S734" s="79"/>
      <c r="T734" s="79"/>
      <c r="U734" s="79"/>
      <c r="V734" s="79"/>
    </row>
    <row r="735" spans="1:22" ht="12.5" x14ac:dyDescent="0.25">
      <c r="A735" s="79"/>
      <c r="B735" s="79"/>
      <c r="C735" s="79"/>
      <c r="D735" s="79"/>
      <c r="E735" s="79"/>
      <c r="F735" s="77"/>
      <c r="G735" s="79"/>
      <c r="H735" s="79"/>
      <c r="I735" s="79"/>
      <c r="J735" s="78"/>
      <c r="K735" s="79"/>
      <c r="L735" s="79"/>
      <c r="M735" s="79"/>
      <c r="N735" s="77"/>
      <c r="O735" s="79"/>
      <c r="P735" s="81"/>
      <c r="Q735" s="81"/>
      <c r="R735" s="79"/>
      <c r="S735" s="79"/>
      <c r="T735" s="79"/>
      <c r="U735" s="79"/>
      <c r="V735" s="79"/>
    </row>
    <row r="736" spans="1:22" ht="12.5" x14ac:dyDescent="0.25">
      <c r="A736" s="79"/>
      <c r="B736" s="79"/>
      <c r="C736" s="79"/>
      <c r="D736" s="79"/>
      <c r="E736" s="79"/>
      <c r="F736" s="77"/>
      <c r="G736" s="79"/>
      <c r="H736" s="79"/>
      <c r="I736" s="79"/>
      <c r="J736" s="78"/>
      <c r="K736" s="79"/>
      <c r="L736" s="79"/>
      <c r="M736" s="79"/>
      <c r="N736" s="77"/>
      <c r="O736" s="79"/>
      <c r="P736" s="81"/>
      <c r="Q736" s="81"/>
      <c r="R736" s="79"/>
      <c r="S736" s="79"/>
      <c r="T736" s="79"/>
      <c r="U736" s="79"/>
      <c r="V736" s="79"/>
    </row>
    <row r="737" spans="1:22" ht="12.5" x14ac:dyDescent="0.25">
      <c r="A737" s="79"/>
      <c r="B737" s="79"/>
      <c r="C737" s="79"/>
      <c r="D737" s="79"/>
      <c r="E737" s="79"/>
      <c r="F737" s="77"/>
      <c r="G737" s="79"/>
      <c r="H737" s="79"/>
      <c r="I737" s="79"/>
      <c r="J737" s="78"/>
      <c r="K737" s="79"/>
      <c r="L737" s="79"/>
      <c r="M737" s="79"/>
      <c r="N737" s="77"/>
      <c r="O737" s="79"/>
      <c r="P737" s="81"/>
      <c r="Q737" s="81"/>
      <c r="R737" s="79"/>
      <c r="S737" s="79"/>
      <c r="T737" s="79"/>
      <c r="U737" s="79"/>
      <c r="V737" s="79"/>
    </row>
    <row r="738" spans="1:22" ht="12.5" x14ac:dyDescent="0.25">
      <c r="A738" s="79"/>
      <c r="B738" s="79"/>
      <c r="C738" s="79"/>
      <c r="D738" s="79"/>
      <c r="E738" s="79"/>
      <c r="F738" s="77"/>
      <c r="G738" s="79"/>
      <c r="H738" s="79"/>
      <c r="I738" s="79"/>
      <c r="J738" s="78"/>
      <c r="K738" s="79"/>
      <c r="L738" s="79"/>
      <c r="M738" s="79"/>
      <c r="N738" s="77"/>
      <c r="O738" s="79"/>
      <c r="P738" s="81"/>
      <c r="Q738" s="81"/>
      <c r="R738" s="79"/>
      <c r="S738" s="79"/>
      <c r="T738" s="79"/>
      <c r="U738" s="79"/>
      <c r="V738" s="79"/>
    </row>
    <row r="739" spans="1:22" ht="12.5" x14ac:dyDescent="0.25">
      <c r="A739" s="79"/>
      <c r="B739" s="79"/>
      <c r="C739" s="79"/>
      <c r="D739" s="79"/>
      <c r="E739" s="79"/>
      <c r="F739" s="77"/>
      <c r="G739" s="79"/>
      <c r="H739" s="79"/>
      <c r="I739" s="79"/>
      <c r="J739" s="78"/>
      <c r="K739" s="79"/>
      <c r="L739" s="79"/>
      <c r="M739" s="79"/>
      <c r="N739" s="77"/>
      <c r="O739" s="79"/>
      <c r="P739" s="81"/>
      <c r="Q739" s="81"/>
      <c r="R739" s="79"/>
      <c r="S739" s="79"/>
      <c r="T739" s="79"/>
      <c r="U739" s="79"/>
      <c r="V739" s="79"/>
    </row>
    <row r="740" spans="1:22" ht="12.5" x14ac:dyDescent="0.25">
      <c r="A740" s="79"/>
      <c r="B740" s="79"/>
      <c r="C740" s="79"/>
      <c r="D740" s="79"/>
      <c r="E740" s="79"/>
      <c r="F740" s="77"/>
      <c r="G740" s="79"/>
      <c r="H740" s="79"/>
      <c r="I740" s="79"/>
      <c r="J740" s="78"/>
      <c r="K740" s="79"/>
      <c r="L740" s="79"/>
      <c r="M740" s="79"/>
      <c r="N740" s="77"/>
      <c r="O740" s="79"/>
      <c r="P740" s="81"/>
      <c r="Q740" s="81"/>
      <c r="R740" s="79"/>
      <c r="S740" s="79"/>
      <c r="T740" s="79"/>
      <c r="U740" s="79"/>
      <c r="V740" s="79"/>
    </row>
    <row r="741" spans="1:22" ht="12.5" x14ac:dyDescent="0.25">
      <c r="A741" s="79"/>
      <c r="B741" s="79"/>
      <c r="C741" s="79"/>
      <c r="D741" s="79"/>
      <c r="E741" s="79"/>
      <c r="F741" s="77"/>
      <c r="G741" s="79"/>
      <c r="H741" s="79"/>
      <c r="I741" s="79"/>
      <c r="J741" s="78"/>
      <c r="K741" s="79"/>
      <c r="L741" s="79"/>
      <c r="M741" s="79"/>
      <c r="N741" s="77"/>
      <c r="O741" s="79"/>
      <c r="P741" s="81"/>
      <c r="Q741" s="81"/>
      <c r="R741" s="79"/>
      <c r="S741" s="79"/>
      <c r="T741" s="79"/>
      <c r="U741" s="79"/>
      <c r="V741" s="79"/>
    </row>
    <row r="742" spans="1:22" ht="12.5" x14ac:dyDescent="0.25">
      <c r="A742" s="79"/>
      <c r="B742" s="79"/>
      <c r="C742" s="79"/>
      <c r="D742" s="79"/>
      <c r="E742" s="79"/>
      <c r="F742" s="77"/>
      <c r="G742" s="79"/>
      <c r="H742" s="79"/>
      <c r="I742" s="79"/>
      <c r="J742" s="78"/>
      <c r="K742" s="79"/>
      <c r="L742" s="79"/>
      <c r="M742" s="79"/>
      <c r="N742" s="77"/>
      <c r="O742" s="79"/>
      <c r="P742" s="81"/>
      <c r="Q742" s="81"/>
      <c r="R742" s="79"/>
      <c r="S742" s="79"/>
      <c r="T742" s="79"/>
      <c r="U742" s="79"/>
      <c r="V742" s="79"/>
    </row>
    <row r="743" spans="1:22" ht="12.5" x14ac:dyDescent="0.25">
      <c r="A743" s="79"/>
      <c r="B743" s="79"/>
      <c r="C743" s="79"/>
      <c r="D743" s="79"/>
      <c r="E743" s="79"/>
      <c r="F743" s="77"/>
      <c r="G743" s="79"/>
      <c r="H743" s="79"/>
      <c r="I743" s="79"/>
      <c r="J743" s="78"/>
      <c r="K743" s="79"/>
      <c r="L743" s="79"/>
      <c r="M743" s="79"/>
      <c r="N743" s="77"/>
      <c r="O743" s="79"/>
      <c r="P743" s="81"/>
      <c r="Q743" s="81"/>
      <c r="R743" s="79"/>
      <c r="S743" s="79"/>
      <c r="T743" s="79"/>
      <c r="U743" s="79"/>
      <c r="V743" s="79"/>
    </row>
    <row r="744" spans="1:22" ht="12.5" x14ac:dyDescent="0.25">
      <c r="A744" s="79"/>
      <c r="B744" s="79"/>
      <c r="C744" s="79"/>
      <c r="D744" s="79"/>
      <c r="E744" s="79"/>
      <c r="F744" s="77"/>
      <c r="G744" s="79"/>
      <c r="H744" s="79"/>
      <c r="I744" s="79"/>
      <c r="J744" s="78"/>
      <c r="K744" s="79"/>
      <c r="L744" s="79"/>
      <c r="M744" s="79"/>
      <c r="N744" s="77"/>
      <c r="O744" s="79"/>
      <c r="P744" s="81"/>
      <c r="Q744" s="81"/>
      <c r="R744" s="79"/>
      <c r="S744" s="79"/>
      <c r="T744" s="79"/>
      <c r="U744" s="79"/>
      <c r="V744" s="79"/>
    </row>
    <row r="745" spans="1:22" ht="12.5" x14ac:dyDescent="0.25">
      <c r="A745" s="79"/>
      <c r="B745" s="79"/>
      <c r="C745" s="79"/>
      <c r="D745" s="79"/>
      <c r="E745" s="79"/>
      <c r="F745" s="77"/>
      <c r="G745" s="79"/>
      <c r="H745" s="79"/>
      <c r="I745" s="79"/>
      <c r="J745" s="78"/>
      <c r="K745" s="79"/>
      <c r="L745" s="79"/>
      <c r="M745" s="79"/>
      <c r="N745" s="77"/>
      <c r="O745" s="79"/>
      <c r="P745" s="81"/>
      <c r="Q745" s="81"/>
      <c r="R745" s="79"/>
      <c r="S745" s="79"/>
      <c r="T745" s="79"/>
      <c r="U745" s="79"/>
      <c r="V745" s="79"/>
    </row>
    <row r="746" spans="1:22" ht="12.5" x14ac:dyDescent="0.25">
      <c r="A746" s="79"/>
      <c r="B746" s="79"/>
      <c r="C746" s="79"/>
      <c r="D746" s="79"/>
      <c r="E746" s="79"/>
      <c r="F746" s="77"/>
      <c r="G746" s="79"/>
      <c r="H746" s="79"/>
      <c r="I746" s="79"/>
      <c r="J746" s="78"/>
      <c r="K746" s="79"/>
      <c r="L746" s="79"/>
      <c r="M746" s="79"/>
      <c r="N746" s="77"/>
      <c r="O746" s="79"/>
      <c r="P746" s="81"/>
      <c r="Q746" s="81"/>
      <c r="R746" s="79"/>
      <c r="S746" s="79"/>
      <c r="T746" s="79"/>
      <c r="U746" s="79"/>
      <c r="V746" s="79"/>
    </row>
    <row r="747" spans="1:22" ht="12.5" x14ac:dyDescent="0.25">
      <c r="A747" s="79"/>
      <c r="B747" s="79"/>
      <c r="C747" s="79"/>
      <c r="D747" s="79"/>
      <c r="E747" s="79"/>
      <c r="F747" s="77"/>
      <c r="G747" s="79"/>
      <c r="H747" s="79"/>
      <c r="I747" s="79"/>
      <c r="J747" s="78"/>
      <c r="K747" s="79"/>
      <c r="L747" s="79"/>
      <c r="M747" s="79"/>
      <c r="N747" s="77"/>
      <c r="O747" s="79"/>
      <c r="P747" s="81"/>
      <c r="Q747" s="81"/>
      <c r="R747" s="79"/>
      <c r="S747" s="79"/>
      <c r="T747" s="79"/>
      <c r="U747" s="79"/>
      <c r="V747" s="79"/>
    </row>
    <row r="748" spans="1:22" ht="12.5" x14ac:dyDescent="0.25">
      <c r="A748" s="79"/>
      <c r="B748" s="79"/>
      <c r="C748" s="79"/>
      <c r="D748" s="79"/>
      <c r="E748" s="79"/>
      <c r="F748" s="77"/>
      <c r="G748" s="79"/>
      <c r="H748" s="79"/>
      <c r="I748" s="79"/>
      <c r="J748" s="78"/>
      <c r="K748" s="79"/>
      <c r="L748" s="79"/>
      <c r="M748" s="79"/>
      <c r="N748" s="77"/>
      <c r="O748" s="79"/>
      <c r="P748" s="81"/>
      <c r="Q748" s="81"/>
      <c r="R748" s="79"/>
      <c r="S748" s="79"/>
      <c r="T748" s="79"/>
      <c r="U748" s="79"/>
      <c r="V748" s="79"/>
    </row>
    <row r="749" spans="1:22" ht="12.5" x14ac:dyDescent="0.25">
      <c r="A749" s="79"/>
      <c r="B749" s="79"/>
      <c r="C749" s="79"/>
      <c r="D749" s="79"/>
      <c r="E749" s="79"/>
      <c r="F749" s="77"/>
      <c r="G749" s="79"/>
      <c r="H749" s="79"/>
      <c r="I749" s="79"/>
      <c r="J749" s="78"/>
      <c r="K749" s="79"/>
      <c r="L749" s="79"/>
      <c r="M749" s="79"/>
      <c r="N749" s="77"/>
      <c r="O749" s="79"/>
      <c r="P749" s="81"/>
      <c r="Q749" s="81"/>
      <c r="R749" s="79"/>
      <c r="S749" s="79"/>
      <c r="T749" s="79"/>
      <c r="U749" s="79"/>
      <c r="V749" s="79"/>
    </row>
    <row r="750" spans="1:22" ht="12.5" x14ac:dyDescent="0.25">
      <c r="A750" s="79"/>
      <c r="B750" s="79"/>
      <c r="C750" s="79"/>
      <c r="D750" s="79"/>
      <c r="E750" s="79"/>
      <c r="F750" s="77"/>
      <c r="G750" s="79"/>
      <c r="H750" s="79"/>
      <c r="I750" s="79"/>
      <c r="J750" s="78"/>
      <c r="K750" s="79"/>
      <c r="L750" s="79"/>
      <c r="M750" s="79"/>
      <c r="N750" s="77"/>
      <c r="O750" s="79"/>
      <c r="P750" s="81"/>
      <c r="Q750" s="81"/>
      <c r="R750" s="79"/>
      <c r="S750" s="79"/>
      <c r="T750" s="79"/>
      <c r="U750" s="79"/>
      <c r="V750" s="79"/>
    </row>
    <row r="751" spans="1:22" ht="12.5" x14ac:dyDescent="0.25">
      <c r="A751" s="79"/>
      <c r="B751" s="79"/>
      <c r="C751" s="79"/>
      <c r="D751" s="79"/>
      <c r="E751" s="79"/>
      <c r="F751" s="77"/>
      <c r="G751" s="79"/>
      <c r="H751" s="79"/>
      <c r="I751" s="79"/>
      <c r="J751" s="78"/>
      <c r="K751" s="79"/>
      <c r="L751" s="79"/>
      <c r="M751" s="79"/>
      <c r="N751" s="77"/>
      <c r="O751" s="79"/>
      <c r="P751" s="81"/>
      <c r="Q751" s="81"/>
      <c r="R751" s="79"/>
      <c r="S751" s="79"/>
      <c r="T751" s="79"/>
      <c r="U751" s="79"/>
      <c r="V751" s="79"/>
    </row>
    <row r="752" spans="1:22" ht="12.5" x14ac:dyDescent="0.25">
      <c r="A752" s="79"/>
      <c r="B752" s="79"/>
      <c r="C752" s="79"/>
      <c r="D752" s="79"/>
      <c r="E752" s="79"/>
      <c r="F752" s="77"/>
      <c r="G752" s="79"/>
      <c r="H752" s="79"/>
      <c r="I752" s="79"/>
      <c r="J752" s="78"/>
      <c r="K752" s="79"/>
      <c r="L752" s="79"/>
      <c r="M752" s="79"/>
      <c r="N752" s="77"/>
      <c r="O752" s="79"/>
      <c r="P752" s="81"/>
      <c r="Q752" s="81"/>
      <c r="R752" s="79"/>
      <c r="S752" s="79"/>
      <c r="T752" s="79"/>
      <c r="U752" s="79"/>
      <c r="V752" s="79"/>
    </row>
    <row r="753" spans="1:22" ht="12.5" x14ac:dyDescent="0.25">
      <c r="A753" s="79"/>
      <c r="B753" s="79"/>
      <c r="C753" s="79"/>
      <c r="D753" s="79"/>
      <c r="E753" s="79"/>
      <c r="F753" s="77"/>
      <c r="G753" s="79"/>
      <c r="H753" s="79"/>
      <c r="I753" s="79"/>
      <c r="J753" s="78"/>
      <c r="K753" s="79"/>
      <c r="L753" s="79"/>
      <c r="M753" s="79"/>
      <c r="N753" s="77"/>
      <c r="O753" s="79"/>
      <c r="P753" s="81"/>
      <c r="Q753" s="81"/>
      <c r="R753" s="79"/>
      <c r="S753" s="79"/>
      <c r="T753" s="79"/>
      <c r="U753" s="79"/>
      <c r="V753" s="79"/>
    </row>
    <row r="754" spans="1:22" ht="12.5" x14ac:dyDescent="0.25">
      <c r="A754" s="79"/>
      <c r="B754" s="79"/>
      <c r="C754" s="79"/>
      <c r="D754" s="79"/>
      <c r="E754" s="79"/>
      <c r="F754" s="77"/>
      <c r="G754" s="79"/>
      <c r="H754" s="79"/>
      <c r="I754" s="79"/>
      <c r="J754" s="78"/>
      <c r="K754" s="79"/>
      <c r="L754" s="79"/>
      <c r="M754" s="79"/>
      <c r="N754" s="77"/>
      <c r="O754" s="79"/>
      <c r="P754" s="81"/>
      <c r="Q754" s="81"/>
      <c r="R754" s="79"/>
      <c r="S754" s="79"/>
      <c r="T754" s="79"/>
      <c r="U754" s="79"/>
      <c r="V754" s="79"/>
    </row>
    <row r="755" spans="1:22" ht="12.5" x14ac:dyDescent="0.25">
      <c r="A755" s="79"/>
      <c r="B755" s="79"/>
      <c r="C755" s="79"/>
      <c r="D755" s="79"/>
      <c r="E755" s="79"/>
      <c r="F755" s="77"/>
      <c r="G755" s="79"/>
      <c r="H755" s="79"/>
      <c r="I755" s="79"/>
      <c r="J755" s="78"/>
      <c r="K755" s="79"/>
      <c r="L755" s="79"/>
      <c r="M755" s="79"/>
      <c r="N755" s="77"/>
      <c r="O755" s="79"/>
      <c r="P755" s="81"/>
      <c r="Q755" s="81"/>
      <c r="R755" s="79"/>
      <c r="S755" s="79"/>
      <c r="T755" s="79"/>
      <c r="U755" s="79"/>
      <c r="V755" s="79"/>
    </row>
    <row r="756" spans="1:22" ht="12.5" x14ac:dyDescent="0.25">
      <c r="A756" s="79"/>
      <c r="B756" s="79"/>
      <c r="C756" s="79"/>
      <c r="D756" s="79"/>
      <c r="E756" s="79"/>
      <c r="F756" s="77"/>
      <c r="G756" s="79"/>
      <c r="H756" s="79"/>
      <c r="I756" s="79"/>
      <c r="J756" s="78"/>
      <c r="K756" s="79"/>
      <c r="L756" s="79"/>
      <c r="M756" s="79"/>
      <c r="N756" s="77"/>
      <c r="O756" s="79"/>
      <c r="P756" s="81"/>
      <c r="Q756" s="81"/>
      <c r="R756" s="79"/>
      <c r="S756" s="79"/>
      <c r="T756" s="79"/>
      <c r="U756" s="79"/>
      <c r="V756" s="79"/>
    </row>
    <row r="757" spans="1:22" ht="12.5" x14ac:dyDescent="0.25">
      <c r="A757" s="79"/>
      <c r="B757" s="79"/>
      <c r="C757" s="79"/>
      <c r="D757" s="79"/>
      <c r="E757" s="79"/>
      <c r="F757" s="77"/>
      <c r="G757" s="79"/>
      <c r="H757" s="79"/>
      <c r="I757" s="79"/>
      <c r="J757" s="78"/>
      <c r="K757" s="79"/>
      <c r="L757" s="79"/>
      <c r="M757" s="79"/>
      <c r="N757" s="77"/>
      <c r="O757" s="79"/>
      <c r="P757" s="81"/>
      <c r="Q757" s="81"/>
      <c r="R757" s="79"/>
      <c r="S757" s="79"/>
      <c r="T757" s="79"/>
      <c r="U757" s="79"/>
      <c r="V757" s="79"/>
    </row>
    <row r="758" spans="1:22" ht="12.5" x14ac:dyDescent="0.25">
      <c r="A758" s="79"/>
      <c r="B758" s="79"/>
      <c r="C758" s="79"/>
      <c r="D758" s="79"/>
      <c r="E758" s="79"/>
      <c r="F758" s="77"/>
      <c r="G758" s="79"/>
      <c r="H758" s="79"/>
      <c r="I758" s="79"/>
      <c r="J758" s="78"/>
      <c r="K758" s="79"/>
      <c r="L758" s="79"/>
      <c r="M758" s="79"/>
      <c r="N758" s="77"/>
      <c r="O758" s="79"/>
      <c r="P758" s="81"/>
      <c r="Q758" s="81"/>
      <c r="R758" s="79"/>
      <c r="S758" s="79"/>
      <c r="T758" s="79"/>
      <c r="U758" s="79"/>
      <c r="V758" s="79"/>
    </row>
    <row r="759" spans="1:22" ht="12.5" x14ac:dyDescent="0.25">
      <c r="A759" s="79"/>
      <c r="B759" s="79"/>
      <c r="C759" s="79"/>
      <c r="D759" s="79"/>
      <c r="E759" s="79"/>
      <c r="F759" s="77"/>
      <c r="G759" s="79"/>
      <c r="H759" s="79"/>
      <c r="I759" s="79"/>
      <c r="J759" s="78"/>
      <c r="K759" s="79"/>
      <c r="L759" s="79"/>
      <c r="M759" s="79"/>
      <c r="N759" s="77"/>
      <c r="O759" s="79"/>
      <c r="P759" s="81"/>
      <c r="Q759" s="81"/>
      <c r="R759" s="79"/>
      <c r="S759" s="79"/>
      <c r="T759" s="79"/>
      <c r="U759" s="79"/>
      <c r="V759" s="79"/>
    </row>
    <row r="760" spans="1:22" ht="12.5" x14ac:dyDescent="0.25">
      <c r="A760" s="79"/>
      <c r="B760" s="79"/>
      <c r="C760" s="79"/>
      <c r="D760" s="79"/>
      <c r="E760" s="79"/>
      <c r="F760" s="77"/>
      <c r="G760" s="79"/>
      <c r="H760" s="79"/>
      <c r="I760" s="79"/>
      <c r="J760" s="78"/>
      <c r="K760" s="79"/>
      <c r="L760" s="79"/>
      <c r="M760" s="79"/>
      <c r="N760" s="77"/>
      <c r="O760" s="79"/>
      <c r="P760" s="81"/>
      <c r="Q760" s="81"/>
      <c r="R760" s="79"/>
      <c r="S760" s="79"/>
      <c r="T760" s="79"/>
      <c r="U760" s="79"/>
      <c r="V760" s="79"/>
    </row>
    <row r="761" spans="1:22" ht="12.5" x14ac:dyDescent="0.25">
      <c r="A761" s="79"/>
      <c r="B761" s="79"/>
      <c r="C761" s="79"/>
      <c r="D761" s="79"/>
      <c r="E761" s="79"/>
      <c r="F761" s="77"/>
      <c r="G761" s="79"/>
      <c r="H761" s="79"/>
      <c r="I761" s="79"/>
      <c r="J761" s="78"/>
      <c r="K761" s="79"/>
      <c r="L761" s="79"/>
      <c r="M761" s="79"/>
      <c r="N761" s="77"/>
      <c r="O761" s="79"/>
      <c r="P761" s="81"/>
      <c r="Q761" s="81"/>
      <c r="R761" s="79"/>
      <c r="S761" s="79"/>
      <c r="T761" s="79"/>
      <c r="U761" s="79"/>
      <c r="V761" s="79"/>
    </row>
    <row r="762" spans="1:22" ht="12.5" x14ac:dyDescent="0.25">
      <c r="A762" s="79"/>
      <c r="B762" s="79"/>
      <c r="C762" s="79"/>
      <c r="D762" s="79"/>
      <c r="E762" s="79"/>
      <c r="F762" s="77"/>
      <c r="G762" s="79"/>
      <c r="H762" s="79"/>
      <c r="I762" s="79"/>
      <c r="J762" s="78"/>
      <c r="K762" s="79"/>
      <c r="L762" s="79"/>
      <c r="M762" s="79"/>
      <c r="N762" s="77"/>
      <c r="O762" s="79"/>
      <c r="P762" s="81"/>
      <c r="Q762" s="81"/>
      <c r="R762" s="79"/>
      <c r="S762" s="79"/>
      <c r="T762" s="79"/>
      <c r="U762" s="79"/>
      <c r="V762" s="79"/>
    </row>
    <row r="763" spans="1:22" ht="12.5" x14ac:dyDescent="0.25">
      <c r="A763" s="79"/>
      <c r="B763" s="79"/>
      <c r="C763" s="79"/>
      <c r="D763" s="79"/>
      <c r="E763" s="79"/>
      <c r="F763" s="77"/>
      <c r="G763" s="79"/>
      <c r="H763" s="79"/>
      <c r="I763" s="79"/>
      <c r="J763" s="78"/>
      <c r="K763" s="79"/>
      <c r="L763" s="79"/>
      <c r="M763" s="79"/>
      <c r="N763" s="77"/>
      <c r="O763" s="79"/>
      <c r="P763" s="81"/>
      <c r="Q763" s="81"/>
      <c r="R763" s="79"/>
      <c r="S763" s="79"/>
      <c r="T763" s="79"/>
      <c r="U763" s="79"/>
      <c r="V763" s="79"/>
    </row>
    <row r="764" spans="1:22" ht="12.5" x14ac:dyDescent="0.25">
      <c r="A764" s="79"/>
      <c r="B764" s="79"/>
      <c r="C764" s="79"/>
      <c r="D764" s="79"/>
      <c r="E764" s="79"/>
      <c r="F764" s="77"/>
      <c r="G764" s="79"/>
      <c r="H764" s="79"/>
      <c r="I764" s="79"/>
      <c r="J764" s="78"/>
      <c r="K764" s="79"/>
      <c r="L764" s="79"/>
      <c r="M764" s="79"/>
      <c r="N764" s="77"/>
      <c r="O764" s="79"/>
      <c r="P764" s="81"/>
      <c r="Q764" s="81"/>
      <c r="R764" s="79"/>
      <c r="S764" s="79"/>
      <c r="T764" s="79"/>
      <c r="U764" s="79"/>
      <c r="V764" s="79"/>
    </row>
    <row r="765" spans="1:22" ht="12.5" x14ac:dyDescent="0.25">
      <c r="A765" s="79"/>
      <c r="B765" s="79"/>
      <c r="C765" s="79"/>
      <c r="D765" s="79"/>
      <c r="E765" s="79"/>
      <c r="F765" s="77"/>
      <c r="G765" s="79"/>
      <c r="H765" s="79"/>
      <c r="I765" s="79"/>
      <c r="J765" s="78"/>
      <c r="K765" s="79"/>
      <c r="L765" s="79"/>
      <c r="M765" s="79"/>
      <c r="N765" s="77"/>
      <c r="O765" s="79"/>
      <c r="P765" s="81"/>
      <c r="Q765" s="81"/>
      <c r="R765" s="79"/>
      <c r="S765" s="79"/>
      <c r="T765" s="79"/>
      <c r="U765" s="79"/>
      <c r="V765" s="79"/>
    </row>
    <row r="766" spans="1:22" ht="12.5" x14ac:dyDescent="0.25">
      <c r="A766" s="79"/>
      <c r="B766" s="79"/>
      <c r="C766" s="79"/>
      <c r="D766" s="79"/>
      <c r="E766" s="79"/>
      <c r="F766" s="77"/>
      <c r="G766" s="79"/>
      <c r="H766" s="79"/>
      <c r="I766" s="79"/>
      <c r="J766" s="78"/>
      <c r="K766" s="79"/>
      <c r="L766" s="79"/>
      <c r="M766" s="79"/>
      <c r="N766" s="77"/>
      <c r="O766" s="79"/>
      <c r="P766" s="81"/>
      <c r="Q766" s="81"/>
      <c r="R766" s="79"/>
      <c r="S766" s="79"/>
      <c r="T766" s="79"/>
      <c r="U766" s="79"/>
      <c r="V766" s="79"/>
    </row>
    <row r="767" spans="1:22" ht="12.5" x14ac:dyDescent="0.25">
      <c r="A767" s="79"/>
      <c r="B767" s="79"/>
      <c r="C767" s="79"/>
      <c r="D767" s="79"/>
      <c r="E767" s="79"/>
      <c r="F767" s="77"/>
      <c r="G767" s="79"/>
      <c r="H767" s="79"/>
      <c r="I767" s="79"/>
      <c r="J767" s="78"/>
      <c r="K767" s="79"/>
      <c r="L767" s="79"/>
      <c r="M767" s="79"/>
      <c r="N767" s="77"/>
      <c r="O767" s="79"/>
      <c r="P767" s="81"/>
      <c r="Q767" s="81"/>
      <c r="R767" s="79"/>
      <c r="S767" s="79"/>
      <c r="T767" s="79"/>
      <c r="U767" s="79"/>
      <c r="V767" s="79"/>
    </row>
    <row r="768" spans="1:22" ht="12.5" x14ac:dyDescent="0.25">
      <c r="A768" s="79"/>
      <c r="B768" s="79"/>
      <c r="C768" s="79"/>
      <c r="D768" s="79"/>
      <c r="E768" s="79"/>
      <c r="F768" s="77"/>
      <c r="G768" s="79"/>
      <c r="H768" s="79"/>
      <c r="I768" s="79"/>
      <c r="J768" s="78"/>
      <c r="K768" s="79"/>
      <c r="L768" s="79"/>
      <c r="M768" s="79"/>
      <c r="N768" s="77"/>
      <c r="O768" s="79"/>
      <c r="P768" s="81"/>
      <c r="Q768" s="81"/>
      <c r="R768" s="79"/>
      <c r="S768" s="79"/>
      <c r="T768" s="79"/>
      <c r="U768" s="79"/>
      <c r="V768" s="79"/>
    </row>
    <row r="769" spans="1:22" ht="12.5" x14ac:dyDescent="0.25">
      <c r="A769" s="79"/>
      <c r="B769" s="79"/>
      <c r="C769" s="79"/>
      <c r="D769" s="79"/>
      <c r="E769" s="79"/>
      <c r="F769" s="77"/>
      <c r="G769" s="79"/>
      <c r="H769" s="79"/>
      <c r="I769" s="79"/>
      <c r="J769" s="78"/>
      <c r="K769" s="79"/>
      <c r="L769" s="79"/>
      <c r="M769" s="79"/>
      <c r="N769" s="77"/>
      <c r="O769" s="79"/>
      <c r="P769" s="81"/>
      <c r="Q769" s="81"/>
      <c r="R769" s="79"/>
      <c r="S769" s="79"/>
      <c r="T769" s="79"/>
      <c r="U769" s="79"/>
      <c r="V769" s="79"/>
    </row>
    <row r="770" spans="1:22" ht="12.5" x14ac:dyDescent="0.25">
      <c r="A770" s="79"/>
      <c r="B770" s="79"/>
      <c r="C770" s="79"/>
      <c r="D770" s="79"/>
      <c r="E770" s="79"/>
      <c r="F770" s="77"/>
      <c r="G770" s="79"/>
      <c r="H770" s="79"/>
      <c r="I770" s="79"/>
      <c r="J770" s="78"/>
      <c r="K770" s="79"/>
      <c r="L770" s="79"/>
      <c r="M770" s="79"/>
      <c r="N770" s="77"/>
      <c r="O770" s="79"/>
      <c r="P770" s="81"/>
      <c r="Q770" s="81"/>
      <c r="R770" s="79"/>
      <c r="S770" s="79"/>
      <c r="T770" s="79"/>
      <c r="U770" s="79"/>
      <c r="V770" s="79"/>
    </row>
    <row r="771" spans="1:22" ht="12.5" x14ac:dyDescent="0.25">
      <c r="A771" s="79"/>
      <c r="B771" s="79"/>
      <c r="C771" s="79"/>
      <c r="D771" s="79"/>
      <c r="E771" s="79"/>
      <c r="F771" s="77"/>
      <c r="G771" s="79"/>
      <c r="H771" s="79"/>
      <c r="I771" s="79"/>
      <c r="J771" s="78"/>
      <c r="K771" s="79"/>
      <c r="L771" s="79"/>
      <c r="M771" s="79"/>
      <c r="N771" s="77"/>
      <c r="O771" s="79"/>
      <c r="P771" s="81"/>
      <c r="Q771" s="81"/>
      <c r="R771" s="79"/>
      <c r="S771" s="79"/>
      <c r="T771" s="79"/>
      <c r="U771" s="79"/>
      <c r="V771" s="79"/>
    </row>
    <row r="772" spans="1:22" ht="12.5" x14ac:dyDescent="0.25">
      <c r="A772" s="79"/>
      <c r="B772" s="79"/>
      <c r="C772" s="79"/>
      <c r="D772" s="79"/>
      <c r="E772" s="79"/>
      <c r="F772" s="77"/>
      <c r="G772" s="79"/>
      <c r="H772" s="79"/>
      <c r="I772" s="79"/>
      <c r="J772" s="78"/>
      <c r="K772" s="79"/>
      <c r="L772" s="79"/>
      <c r="M772" s="79"/>
      <c r="N772" s="77"/>
      <c r="O772" s="79"/>
      <c r="P772" s="81"/>
      <c r="Q772" s="81"/>
      <c r="R772" s="79"/>
      <c r="S772" s="79"/>
      <c r="T772" s="79"/>
      <c r="U772" s="79"/>
      <c r="V772" s="79"/>
    </row>
    <row r="773" spans="1:22" ht="12.5" x14ac:dyDescent="0.25">
      <c r="A773" s="79"/>
      <c r="B773" s="79"/>
      <c r="C773" s="79"/>
      <c r="D773" s="79"/>
      <c r="E773" s="79"/>
      <c r="F773" s="77"/>
      <c r="G773" s="79"/>
      <c r="H773" s="79"/>
      <c r="I773" s="79"/>
      <c r="J773" s="78"/>
      <c r="K773" s="79"/>
      <c r="L773" s="79"/>
      <c r="M773" s="79"/>
      <c r="N773" s="77"/>
      <c r="O773" s="79"/>
      <c r="P773" s="81"/>
      <c r="Q773" s="81"/>
      <c r="R773" s="79"/>
      <c r="S773" s="79"/>
      <c r="T773" s="79"/>
      <c r="U773" s="79"/>
      <c r="V773" s="79"/>
    </row>
    <row r="774" spans="1:22" ht="12.5" x14ac:dyDescent="0.25">
      <c r="A774" s="79"/>
      <c r="B774" s="79"/>
      <c r="C774" s="79"/>
      <c r="D774" s="79"/>
      <c r="E774" s="79"/>
      <c r="F774" s="77"/>
      <c r="G774" s="79"/>
      <c r="H774" s="79"/>
      <c r="I774" s="79"/>
      <c r="J774" s="78"/>
      <c r="K774" s="79"/>
      <c r="L774" s="79"/>
      <c r="M774" s="79"/>
      <c r="N774" s="77"/>
      <c r="O774" s="79"/>
      <c r="P774" s="81"/>
      <c r="Q774" s="81"/>
      <c r="R774" s="79"/>
      <c r="S774" s="79"/>
      <c r="T774" s="79"/>
      <c r="U774" s="79"/>
      <c r="V774" s="79"/>
    </row>
    <row r="775" spans="1:22" ht="12.5" x14ac:dyDescent="0.25">
      <c r="A775" s="79"/>
      <c r="B775" s="79"/>
      <c r="C775" s="79"/>
      <c r="D775" s="79"/>
      <c r="E775" s="79"/>
      <c r="F775" s="77"/>
      <c r="G775" s="79"/>
      <c r="H775" s="79"/>
      <c r="I775" s="79"/>
      <c r="J775" s="78"/>
      <c r="K775" s="79"/>
      <c r="L775" s="79"/>
      <c r="M775" s="79"/>
      <c r="N775" s="77"/>
      <c r="O775" s="79"/>
      <c r="P775" s="81"/>
      <c r="Q775" s="81"/>
      <c r="R775" s="79"/>
      <c r="S775" s="79"/>
      <c r="T775" s="79"/>
      <c r="U775" s="79"/>
      <c r="V775" s="79"/>
    </row>
    <row r="776" spans="1:22" ht="12.5" x14ac:dyDescent="0.25">
      <c r="A776" s="79"/>
      <c r="B776" s="79"/>
      <c r="C776" s="79"/>
      <c r="D776" s="79"/>
      <c r="E776" s="79"/>
      <c r="F776" s="77"/>
      <c r="G776" s="79"/>
      <c r="H776" s="79"/>
      <c r="I776" s="79"/>
      <c r="J776" s="78"/>
      <c r="K776" s="79"/>
      <c r="L776" s="79"/>
      <c r="M776" s="79"/>
      <c r="N776" s="77"/>
      <c r="O776" s="79"/>
      <c r="P776" s="81"/>
      <c r="Q776" s="81"/>
      <c r="R776" s="79"/>
      <c r="S776" s="79"/>
      <c r="T776" s="79"/>
      <c r="U776" s="79"/>
      <c r="V776" s="79"/>
    </row>
    <row r="777" spans="1:22" ht="12.5" x14ac:dyDescent="0.25">
      <c r="A777" s="79"/>
      <c r="B777" s="79"/>
      <c r="C777" s="79"/>
      <c r="D777" s="79"/>
      <c r="E777" s="79"/>
      <c r="F777" s="77"/>
      <c r="G777" s="79"/>
      <c r="H777" s="79"/>
      <c r="I777" s="79"/>
      <c r="J777" s="78"/>
      <c r="K777" s="79"/>
      <c r="L777" s="79"/>
      <c r="M777" s="79"/>
      <c r="N777" s="77"/>
      <c r="O777" s="79"/>
      <c r="P777" s="81"/>
      <c r="Q777" s="81"/>
      <c r="R777" s="79"/>
      <c r="S777" s="79"/>
      <c r="T777" s="79"/>
      <c r="U777" s="79"/>
      <c r="V777" s="79"/>
    </row>
    <row r="778" spans="1:22" ht="12.5" x14ac:dyDescent="0.25">
      <c r="A778" s="79"/>
      <c r="B778" s="79"/>
      <c r="C778" s="79"/>
      <c r="D778" s="79"/>
      <c r="E778" s="79"/>
      <c r="F778" s="77"/>
      <c r="G778" s="79"/>
      <c r="H778" s="79"/>
      <c r="I778" s="79"/>
      <c r="J778" s="78"/>
      <c r="K778" s="79"/>
      <c r="L778" s="79"/>
      <c r="M778" s="79"/>
      <c r="N778" s="77"/>
      <c r="O778" s="79"/>
      <c r="P778" s="81"/>
      <c r="Q778" s="81"/>
      <c r="R778" s="79"/>
      <c r="S778" s="79"/>
      <c r="T778" s="79"/>
      <c r="U778" s="79"/>
      <c r="V778" s="79"/>
    </row>
    <row r="779" spans="1:22" ht="12.5" x14ac:dyDescent="0.25">
      <c r="A779" s="79"/>
      <c r="B779" s="79"/>
      <c r="C779" s="79"/>
      <c r="D779" s="79"/>
      <c r="E779" s="79"/>
      <c r="F779" s="77"/>
      <c r="G779" s="79"/>
      <c r="H779" s="79"/>
      <c r="I779" s="79"/>
      <c r="J779" s="78"/>
      <c r="K779" s="79"/>
      <c r="L779" s="79"/>
      <c r="M779" s="79"/>
      <c r="N779" s="77"/>
      <c r="O779" s="79"/>
      <c r="P779" s="81"/>
      <c r="Q779" s="81"/>
      <c r="R779" s="79"/>
      <c r="S779" s="79"/>
      <c r="T779" s="79"/>
      <c r="U779" s="79"/>
      <c r="V779" s="79"/>
    </row>
    <row r="780" spans="1:22" ht="12.5" x14ac:dyDescent="0.25">
      <c r="A780" s="79"/>
      <c r="B780" s="79"/>
      <c r="C780" s="79"/>
      <c r="D780" s="79"/>
      <c r="E780" s="79"/>
      <c r="F780" s="77"/>
      <c r="G780" s="79"/>
      <c r="H780" s="79"/>
      <c r="I780" s="79"/>
      <c r="J780" s="78"/>
      <c r="K780" s="79"/>
      <c r="L780" s="79"/>
      <c r="M780" s="79"/>
      <c r="N780" s="77"/>
      <c r="O780" s="79"/>
      <c r="P780" s="81"/>
      <c r="Q780" s="81"/>
      <c r="R780" s="79"/>
      <c r="S780" s="79"/>
      <c r="T780" s="79"/>
      <c r="U780" s="79"/>
      <c r="V780" s="79"/>
    </row>
    <row r="781" spans="1:22" ht="12.5" x14ac:dyDescent="0.25">
      <c r="A781" s="79"/>
      <c r="B781" s="79"/>
      <c r="C781" s="79"/>
      <c r="D781" s="79"/>
      <c r="E781" s="79"/>
      <c r="F781" s="77"/>
      <c r="G781" s="79"/>
      <c r="H781" s="79"/>
      <c r="I781" s="79"/>
      <c r="J781" s="78"/>
      <c r="K781" s="79"/>
      <c r="L781" s="79"/>
      <c r="M781" s="79"/>
      <c r="N781" s="77"/>
      <c r="O781" s="79"/>
      <c r="P781" s="81"/>
      <c r="Q781" s="81"/>
      <c r="R781" s="79"/>
      <c r="S781" s="79"/>
      <c r="T781" s="79"/>
      <c r="U781" s="79"/>
      <c r="V781" s="79"/>
    </row>
    <row r="782" spans="1:22" ht="12.5" x14ac:dyDescent="0.25">
      <c r="A782" s="79"/>
      <c r="B782" s="79"/>
      <c r="C782" s="79"/>
      <c r="D782" s="79"/>
      <c r="E782" s="79"/>
      <c r="F782" s="77"/>
      <c r="G782" s="79"/>
      <c r="H782" s="79"/>
      <c r="I782" s="79"/>
      <c r="J782" s="78"/>
      <c r="K782" s="79"/>
      <c r="L782" s="79"/>
      <c r="M782" s="79"/>
      <c r="N782" s="77"/>
      <c r="O782" s="79"/>
      <c r="P782" s="81"/>
      <c r="Q782" s="81"/>
      <c r="R782" s="79"/>
      <c r="S782" s="79"/>
      <c r="T782" s="79"/>
      <c r="U782" s="79"/>
      <c r="V782" s="79"/>
    </row>
    <row r="783" spans="1:22" ht="12.5" x14ac:dyDescent="0.25">
      <c r="A783" s="79"/>
      <c r="B783" s="79"/>
      <c r="C783" s="79"/>
      <c r="D783" s="79"/>
      <c r="E783" s="79"/>
      <c r="F783" s="77"/>
      <c r="G783" s="79"/>
      <c r="H783" s="79"/>
      <c r="I783" s="79"/>
      <c r="J783" s="78"/>
      <c r="K783" s="79"/>
      <c r="L783" s="79"/>
      <c r="M783" s="79"/>
      <c r="N783" s="77"/>
      <c r="O783" s="79"/>
      <c r="P783" s="81"/>
      <c r="Q783" s="81"/>
      <c r="R783" s="79"/>
      <c r="S783" s="79"/>
      <c r="T783" s="79"/>
      <c r="U783" s="79"/>
      <c r="V783" s="79"/>
    </row>
    <row r="784" spans="1:22" ht="12.5" x14ac:dyDescent="0.25">
      <c r="A784" s="79"/>
      <c r="B784" s="79"/>
      <c r="C784" s="79"/>
      <c r="D784" s="79"/>
      <c r="E784" s="79"/>
      <c r="F784" s="77"/>
      <c r="G784" s="79"/>
      <c r="H784" s="79"/>
      <c r="I784" s="79"/>
      <c r="J784" s="78"/>
      <c r="K784" s="79"/>
      <c r="L784" s="79"/>
      <c r="M784" s="79"/>
      <c r="N784" s="77"/>
      <c r="O784" s="79"/>
      <c r="P784" s="81"/>
      <c r="Q784" s="81"/>
      <c r="R784" s="79"/>
      <c r="S784" s="79"/>
      <c r="T784" s="79"/>
      <c r="U784" s="79"/>
      <c r="V784" s="79"/>
    </row>
    <row r="785" spans="1:22" ht="12.5" x14ac:dyDescent="0.25">
      <c r="A785" s="79"/>
      <c r="B785" s="79"/>
      <c r="C785" s="79"/>
      <c r="D785" s="79"/>
      <c r="E785" s="79"/>
      <c r="F785" s="77"/>
      <c r="G785" s="79"/>
      <c r="H785" s="79"/>
      <c r="I785" s="79"/>
      <c r="J785" s="78"/>
      <c r="K785" s="79"/>
      <c r="L785" s="79"/>
      <c r="M785" s="79"/>
      <c r="N785" s="77"/>
      <c r="O785" s="79"/>
      <c r="P785" s="81"/>
      <c r="Q785" s="81"/>
      <c r="R785" s="79"/>
      <c r="S785" s="79"/>
      <c r="T785" s="79"/>
      <c r="U785" s="79"/>
      <c r="V785" s="79"/>
    </row>
    <row r="786" spans="1:22" ht="12.5" x14ac:dyDescent="0.25">
      <c r="A786" s="79"/>
      <c r="B786" s="79"/>
      <c r="C786" s="79"/>
      <c r="D786" s="79"/>
      <c r="E786" s="79"/>
      <c r="F786" s="77"/>
      <c r="G786" s="79"/>
      <c r="H786" s="79"/>
      <c r="I786" s="79"/>
      <c r="J786" s="78"/>
      <c r="K786" s="79"/>
      <c r="L786" s="79"/>
      <c r="M786" s="79"/>
      <c r="N786" s="77"/>
      <c r="O786" s="79"/>
      <c r="P786" s="81"/>
      <c r="Q786" s="81"/>
      <c r="R786" s="79"/>
      <c r="S786" s="79"/>
      <c r="T786" s="79"/>
      <c r="U786" s="79"/>
      <c r="V786" s="79"/>
    </row>
    <row r="787" spans="1:22" ht="12.5" x14ac:dyDescent="0.25">
      <c r="A787" s="79"/>
      <c r="B787" s="79"/>
      <c r="C787" s="79"/>
      <c r="D787" s="79"/>
      <c r="E787" s="79"/>
      <c r="F787" s="77"/>
      <c r="G787" s="79"/>
      <c r="H787" s="79"/>
      <c r="I787" s="79"/>
      <c r="J787" s="78"/>
      <c r="K787" s="79"/>
      <c r="L787" s="79"/>
      <c r="M787" s="79"/>
      <c r="N787" s="77"/>
      <c r="O787" s="79"/>
      <c r="P787" s="81"/>
      <c r="Q787" s="81"/>
      <c r="R787" s="79"/>
      <c r="S787" s="79"/>
      <c r="T787" s="79"/>
      <c r="U787" s="79"/>
      <c r="V787" s="79"/>
    </row>
    <row r="788" spans="1:22" ht="12.5" x14ac:dyDescent="0.25">
      <c r="A788" s="79"/>
      <c r="B788" s="79"/>
      <c r="C788" s="79"/>
      <c r="D788" s="79"/>
      <c r="E788" s="79"/>
      <c r="F788" s="77"/>
      <c r="G788" s="79"/>
      <c r="H788" s="79"/>
      <c r="I788" s="79"/>
      <c r="J788" s="78"/>
      <c r="K788" s="79"/>
      <c r="L788" s="79"/>
      <c r="M788" s="79"/>
      <c r="N788" s="77"/>
      <c r="O788" s="79"/>
      <c r="P788" s="81"/>
      <c r="Q788" s="81"/>
      <c r="R788" s="79"/>
      <c r="S788" s="79"/>
      <c r="T788" s="79"/>
      <c r="U788" s="79"/>
      <c r="V788" s="79"/>
    </row>
    <row r="789" spans="1:22" ht="12.5" x14ac:dyDescent="0.25">
      <c r="A789" s="79"/>
      <c r="B789" s="79"/>
      <c r="C789" s="79"/>
      <c r="D789" s="79"/>
      <c r="E789" s="79"/>
      <c r="F789" s="77"/>
      <c r="G789" s="79"/>
      <c r="H789" s="79"/>
      <c r="I789" s="79"/>
      <c r="J789" s="78"/>
      <c r="K789" s="79"/>
      <c r="L789" s="79"/>
      <c r="M789" s="79"/>
      <c r="N789" s="77"/>
      <c r="O789" s="79"/>
      <c r="P789" s="81"/>
      <c r="Q789" s="81"/>
      <c r="R789" s="79"/>
      <c r="S789" s="79"/>
      <c r="T789" s="79"/>
      <c r="U789" s="79"/>
      <c r="V789" s="79"/>
    </row>
    <row r="790" spans="1:22" ht="12.5" x14ac:dyDescent="0.25">
      <c r="A790" s="79"/>
      <c r="B790" s="79"/>
      <c r="C790" s="79"/>
      <c r="D790" s="79"/>
      <c r="E790" s="79"/>
      <c r="F790" s="77"/>
      <c r="G790" s="79"/>
      <c r="H790" s="79"/>
      <c r="I790" s="79"/>
      <c r="J790" s="78"/>
      <c r="K790" s="79"/>
      <c r="L790" s="79"/>
      <c r="M790" s="79"/>
      <c r="N790" s="77"/>
      <c r="O790" s="79"/>
      <c r="P790" s="81"/>
      <c r="Q790" s="81"/>
      <c r="R790" s="79"/>
      <c r="S790" s="79"/>
      <c r="T790" s="79"/>
      <c r="U790" s="79"/>
      <c r="V790" s="79"/>
    </row>
    <row r="791" spans="1:22" ht="12.5" x14ac:dyDescent="0.25">
      <c r="A791" s="79"/>
      <c r="B791" s="79"/>
      <c r="C791" s="79"/>
      <c r="D791" s="79"/>
      <c r="E791" s="79"/>
      <c r="F791" s="77"/>
      <c r="G791" s="79"/>
      <c r="H791" s="79"/>
      <c r="I791" s="79"/>
      <c r="J791" s="78"/>
      <c r="K791" s="79"/>
      <c r="L791" s="79"/>
      <c r="M791" s="79"/>
      <c r="N791" s="77"/>
      <c r="O791" s="79"/>
      <c r="P791" s="81"/>
      <c r="Q791" s="81"/>
      <c r="R791" s="79"/>
      <c r="S791" s="79"/>
      <c r="T791" s="79"/>
      <c r="U791" s="79"/>
      <c r="V791" s="79"/>
    </row>
    <row r="792" spans="1:22" ht="12.5" x14ac:dyDescent="0.25">
      <c r="A792" s="79"/>
      <c r="B792" s="79"/>
      <c r="C792" s="79"/>
      <c r="D792" s="79"/>
      <c r="E792" s="79"/>
      <c r="F792" s="77"/>
      <c r="G792" s="79"/>
      <c r="H792" s="79"/>
      <c r="I792" s="79"/>
      <c r="J792" s="78"/>
      <c r="K792" s="79"/>
      <c r="L792" s="79"/>
      <c r="M792" s="79"/>
      <c r="N792" s="77"/>
      <c r="O792" s="79"/>
      <c r="P792" s="81"/>
      <c r="Q792" s="81"/>
      <c r="R792" s="79"/>
      <c r="S792" s="79"/>
      <c r="T792" s="79"/>
      <c r="U792" s="79"/>
      <c r="V792" s="79"/>
    </row>
    <row r="793" spans="1:22" ht="12.5" x14ac:dyDescent="0.25">
      <c r="A793" s="79"/>
      <c r="B793" s="79"/>
      <c r="C793" s="79"/>
      <c r="D793" s="79"/>
      <c r="E793" s="79"/>
      <c r="F793" s="77"/>
      <c r="G793" s="79"/>
      <c r="H793" s="79"/>
      <c r="I793" s="79"/>
      <c r="J793" s="78"/>
      <c r="K793" s="79"/>
      <c r="L793" s="79"/>
      <c r="M793" s="79"/>
      <c r="N793" s="77"/>
      <c r="O793" s="79"/>
      <c r="P793" s="81"/>
      <c r="Q793" s="81"/>
      <c r="R793" s="79"/>
      <c r="S793" s="79"/>
      <c r="T793" s="79"/>
      <c r="U793" s="79"/>
      <c r="V793" s="79"/>
    </row>
    <row r="794" spans="1:22" ht="12.5" x14ac:dyDescent="0.25">
      <c r="A794" s="79"/>
      <c r="B794" s="79"/>
      <c r="C794" s="79"/>
      <c r="D794" s="79"/>
      <c r="E794" s="79"/>
      <c r="F794" s="77"/>
      <c r="G794" s="79"/>
      <c r="H794" s="79"/>
      <c r="I794" s="79"/>
      <c r="J794" s="78"/>
      <c r="K794" s="79"/>
      <c r="L794" s="79"/>
      <c r="M794" s="79"/>
      <c r="N794" s="77"/>
      <c r="O794" s="79"/>
      <c r="P794" s="81"/>
      <c r="Q794" s="81"/>
      <c r="R794" s="79"/>
      <c r="S794" s="79"/>
      <c r="T794" s="79"/>
      <c r="U794" s="79"/>
      <c r="V794" s="79"/>
    </row>
    <row r="795" spans="1:22" ht="12.5" x14ac:dyDescent="0.25">
      <c r="A795" s="79"/>
      <c r="B795" s="79"/>
      <c r="C795" s="79"/>
      <c r="D795" s="79"/>
      <c r="E795" s="79"/>
      <c r="F795" s="77"/>
      <c r="G795" s="79"/>
      <c r="H795" s="79"/>
      <c r="I795" s="79"/>
      <c r="J795" s="78"/>
      <c r="K795" s="79"/>
      <c r="L795" s="79"/>
      <c r="M795" s="79"/>
      <c r="N795" s="77"/>
      <c r="O795" s="79"/>
      <c r="P795" s="81"/>
      <c r="Q795" s="81"/>
      <c r="R795" s="79"/>
      <c r="S795" s="79"/>
      <c r="T795" s="79"/>
      <c r="U795" s="79"/>
      <c r="V795" s="79"/>
    </row>
    <row r="796" spans="1:22" ht="12.5" x14ac:dyDescent="0.25">
      <c r="A796" s="79"/>
      <c r="B796" s="79"/>
      <c r="C796" s="79"/>
      <c r="D796" s="79"/>
      <c r="E796" s="79"/>
      <c r="F796" s="77"/>
      <c r="G796" s="79"/>
      <c r="H796" s="79"/>
      <c r="I796" s="79"/>
      <c r="J796" s="78"/>
      <c r="K796" s="79"/>
      <c r="L796" s="79"/>
      <c r="M796" s="79"/>
      <c r="N796" s="77"/>
      <c r="O796" s="79"/>
      <c r="P796" s="81"/>
      <c r="Q796" s="81"/>
      <c r="R796" s="79"/>
      <c r="S796" s="79"/>
      <c r="T796" s="79"/>
      <c r="U796" s="79"/>
      <c r="V796" s="79"/>
    </row>
    <row r="797" spans="1:22" ht="12.5" x14ac:dyDescent="0.25">
      <c r="A797" s="79"/>
      <c r="B797" s="79"/>
      <c r="C797" s="79"/>
      <c r="D797" s="79"/>
      <c r="E797" s="79"/>
      <c r="F797" s="77"/>
      <c r="G797" s="79"/>
      <c r="H797" s="79"/>
      <c r="I797" s="79"/>
      <c r="J797" s="78"/>
      <c r="K797" s="79"/>
      <c r="L797" s="79"/>
      <c r="M797" s="79"/>
      <c r="N797" s="77"/>
      <c r="O797" s="79"/>
      <c r="P797" s="81"/>
      <c r="Q797" s="81"/>
      <c r="R797" s="79"/>
      <c r="S797" s="79"/>
      <c r="T797" s="79"/>
      <c r="U797" s="79"/>
      <c r="V797" s="79"/>
    </row>
    <row r="798" spans="1:22" ht="12.5" x14ac:dyDescent="0.25">
      <c r="A798" s="79"/>
      <c r="B798" s="79"/>
      <c r="C798" s="79"/>
      <c r="D798" s="79"/>
      <c r="E798" s="79"/>
      <c r="F798" s="77"/>
      <c r="G798" s="79"/>
      <c r="H798" s="79"/>
      <c r="I798" s="79"/>
      <c r="J798" s="78"/>
      <c r="K798" s="79"/>
      <c r="L798" s="79"/>
      <c r="M798" s="79"/>
      <c r="N798" s="77"/>
      <c r="O798" s="79"/>
      <c r="P798" s="81"/>
      <c r="Q798" s="81"/>
      <c r="R798" s="79"/>
      <c r="S798" s="79"/>
      <c r="T798" s="79"/>
      <c r="U798" s="79"/>
      <c r="V798" s="79"/>
    </row>
    <row r="799" spans="1:22" ht="12.5" x14ac:dyDescent="0.25">
      <c r="A799" s="79"/>
      <c r="B799" s="79"/>
      <c r="C799" s="79"/>
      <c r="D799" s="79"/>
      <c r="E799" s="79"/>
      <c r="F799" s="77"/>
      <c r="G799" s="79"/>
      <c r="H799" s="79"/>
      <c r="I799" s="79"/>
      <c r="J799" s="78"/>
      <c r="K799" s="79"/>
      <c r="L799" s="79"/>
      <c r="M799" s="79"/>
      <c r="N799" s="77"/>
      <c r="O799" s="79"/>
      <c r="P799" s="81"/>
      <c r="Q799" s="81"/>
      <c r="R799" s="79"/>
      <c r="S799" s="79"/>
      <c r="T799" s="79"/>
      <c r="U799" s="79"/>
      <c r="V799" s="79"/>
    </row>
    <row r="800" spans="1:22" ht="12.5" x14ac:dyDescent="0.25">
      <c r="A800" s="79"/>
      <c r="B800" s="79"/>
      <c r="C800" s="79"/>
      <c r="D800" s="79"/>
      <c r="E800" s="79"/>
      <c r="F800" s="77"/>
      <c r="G800" s="79"/>
      <c r="H800" s="79"/>
      <c r="I800" s="79"/>
      <c r="J800" s="78"/>
      <c r="K800" s="79"/>
      <c r="L800" s="79"/>
      <c r="M800" s="79"/>
      <c r="N800" s="77"/>
      <c r="O800" s="79"/>
      <c r="P800" s="81"/>
      <c r="Q800" s="81"/>
      <c r="R800" s="79"/>
      <c r="S800" s="79"/>
      <c r="T800" s="79"/>
      <c r="U800" s="79"/>
      <c r="V800" s="79"/>
    </row>
    <row r="801" spans="1:22" ht="12.5" x14ac:dyDescent="0.25">
      <c r="A801" s="79"/>
      <c r="B801" s="79"/>
      <c r="C801" s="79"/>
      <c r="D801" s="79"/>
      <c r="E801" s="79"/>
      <c r="F801" s="77"/>
      <c r="G801" s="79"/>
      <c r="H801" s="79"/>
      <c r="I801" s="79"/>
      <c r="J801" s="78"/>
      <c r="K801" s="79"/>
      <c r="L801" s="79"/>
      <c r="M801" s="79"/>
      <c r="N801" s="77"/>
      <c r="O801" s="79"/>
      <c r="P801" s="81"/>
      <c r="Q801" s="81"/>
      <c r="R801" s="79"/>
      <c r="S801" s="79"/>
      <c r="T801" s="79"/>
      <c r="U801" s="79"/>
      <c r="V801" s="79"/>
    </row>
    <row r="802" spans="1:22" ht="12.5" x14ac:dyDescent="0.25">
      <c r="A802" s="79"/>
      <c r="B802" s="79"/>
      <c r="C802" s="79"/>
      <c r="D802" s="79"/>
      <c r="E802" s="79"/>
      <c r="F802" s="77"/>
      <c r="G802" s="79"/>
      <c r="H802" s="79"/>
      <c r="I802" s="79"/>
      <c r="J802" s="78"/>
      <c r="K802" s="79"/>
      <c r="L802" s="79"/>
      <c r="M802" s="79"/>
      <c r="N802" s="77"/>
      <c r="O802" s="79"/>
      <c r="P802" s="81"/>
      <c r="Q802" s="81"/>
      <c r="R802" s="79"/>
      <c r="S802" s="79"/>
      <c r="T802" s="79"/>
      <c r="U802" s="79"/>
      <c r="V802" s="79"/>
    </row>
    <row r="803" spans="1:22" ht="12.5" x14ac:dyDescent="0.25">
      <c r="A803" s="79"/>
      <c r="B803" s="79"/>
      <c r="C803" s="79"/>
      <c r="D803" s="79"/>
      <c r="E803" s="79"/>
      <c r="F803" s="77"/>
      <c r="G803" s="79"/>
      <c r="H803" s="79"/>
      <c r="I803" s="79"/>
      <c r="J803" s="78"/>
      <c r="K803" s="79"/>
      <c r="L803" s="79"/>
      <c r="M803" s="79"/>
      <c r="N803" s="77"/>
      <c r="O803" s="79"/>
      <c r="P803" s="81"/>
      <c r="Q803" s="81"/>
      <c r="R803" s="79"/>
      <c r="S803" s="79"/>
      <c r="T803" s="79"/>
      <c r="U803" s="79"/>
      <c r="V803" s="79"/>
    </row>
    <row r="804" spans="1:22" ht="12.5" x14ac:dyDescent="0.25">
      <c r="A804" s="79"/>
      <c r="B804" s="79"/>
      <c r="C804" s="79"/>
      <c r="D804" s="79"/>
      <c r="E804" s="79"/>
      <c r="F804" s="77"/>
      <c r="G804" s="79"/>
      <c r="H804" s="79"/>
      <c r="I804" s="79"/>
      <c r="J804" s="78"/>
      <c r="K804" s="79"/>
      <c r="L804" s="79"/>
      <c r="M804" s="79"/>
      <c r="N804" s="77"/>
      <c r="O804" s="79"/>
      <c r="P804" s="81"/>
      <c r="Q804" s="81"/>
      <c r="R804" s="79"/>
      <c r="S804" s="79"/>
      <c r="T804" s="79"/>
      <c r="U804" s="79"/>
      <c r="V804" s="79"/>
    </row>
    <row r="805" spans="1:22" ht="12.5" x14ac:dyDescent="0.25">
      <c r="A805" s="79"/>
      <c r="B805" s="79"/>
      <c r="C805" s="79"/>
      <c r="D805" s="79"/>
      <c r="E805" s="79"/>
      <c r="F805" s="77"/>
      <c r="G805" s="79"/>
      <c r="H805" s="79"/>
      <c r="I805" s="79"/>
      <c r="J805" s="78"/>
      <c r="K805" s="79"/>
      <c r="L805" s="79"/>
      <c r="M805" s="79"/>
      <c r="N805" s="77"/>
      <c r="O805" s="79"/>
      <c r="P805" s="81"/>
      <c r="Q805" s="81"/>
      <c r="R805" s="79"/>
      <c r="S805" s="79"/>
      <c r="T805" s="79"/>
      <c r="U805" s="79"/>
      <c r="V805" s="79"/>
    </row>
    <row r="806" spans="1:22" ht="12.5" x14ac:dyDescent="0.25">
      <c r="A806" s="79"/>
      <c r="B806" s="79"/>
      <c r="C806" s="79"/>
      <c r="D806" s="79"/>
      <c r="E806" s="79"/>
      <c r="F806" s="77"/>
      <c r="G806" s="79"/>
      <c r="H806" s="79"/>
      <c r="I806" s="79"/>
      <c r="J806" s="78"/>
      <c r="K806" s="79"/>
      <c r="L806" s="79"/>
      <c r="M806" s="79"/>
      <c r="N806" s="77"/>
      <c r="O806" s="79"/>
      <c r="P806" s="81"/>
      <c r="Q806" s="81"/>
      <c r="R806" s="79"/>
      <c r="S806" s="79"/>
      <c r="T806" s="79"/>
      <c r="U806" s="79"/>
      <c r="V806" s="79"/>
    </row>
    <row r="807" spans="1:22" ht="12.5" x14ac:dyDescent="0.25">
      <c r="A807" s="79"/>
      <c r="B807" s="79"/>
      <c r="C807" s="79"/>
      <c r="D807" s="79"/>
      <c r="E807" s="79"/>
      <c r="F807" s="77"/>
      <c r="G807" s="79"/>
      <c r="H807" s="79"/>
      <c r="I807" s="79"/>
      <c r="J807" s="78"/>
      <c r="K807" s="79"/>
      <c r="L807" s="79"/>
      <c r="M807" s="79"/>
      <c r="N807" s="77"/>
      <c r="O807" s="79"/>
      <c r="P807" s="81"/>
      <c r="Q807" s="81"/>
      <c r="R807" s="79"/>
      <c r="S807" s="79"/>
      <c r="T807" s="79"/>
      <c r="U807" s="79"/>
      <c r="V807" s="79"/>
    </row>
    <row r="808" spans="1:22" ht="12.5" x14ac:dyDescent="0.25">
      <c r="A808" s="79"/>
      <c r="B808" s="79"/>
      <c r="C808" s="79"/>
      <c r="D808" s="79"/>
      <c r="E808" s="79"/>
      <c r="F808" s="77"/>
      <c r="G808" s="79"/>
      <c r="H808" s="79"/>
      <c r="I808" s="79"/>
      <c r="J808" s="78"/>
      <c r="K808" s="79"/>
      <c r="L808" s="79"/>
      <c r="M808" s="79"/>
      <c r="N808" s="77"/>
      <c r="O808" s="79"/>
      <c r="P808" s="81"/>
      <c r="Q808" s="81"/>
      <c r="R808" s="79"/>
      <c r="S808" s="79"/>
      <c r="T808" s="79"/>
      <c r="U808" s="79"/>
      <c r="V808" s="79"/>
    </row>
    <row r="809" spans="1:22" ht="12.5" x14ac:dyDescent="0.25">
      <c r="A809" s="79"/>
      <c r="B809" s="79"/>
      <c r="C809" s="79"/>
      <c r="D809" s="79"/>
      <c r="E809" s="79"/>
      <c r="F809" s="77"/>
      <c r="G809" s="79"/>
      <c r="H809" s="79"/>
      <c r="I809" s="79"/>
      <c r="J809" s="78"/>
      <c r="K809" s="79"/>
      <c r="L809" s="79"/>
      <c r="M809" s="79"/>
      <c r="N809" s="77"/>
      <c r="O809" s="79"/>
      <c r="P809" s="81"/>
      <c r="Q809" s="81"/>
      <c r="R809" s="79"/>
      <c r="S809" s="79"/>
      <c r="T809" s="79"/>
      <c r="U809" s="79"/>
      <c r="V809" s="79"/>
    </row>
    <row r="810" spans="1:22" ht="12.5" x14ac:dyDescent="0.25">
      <c r="A810" s="79"/>
      <c r="B810" s="79"/>
      <c r="C810" s="79"/>
      <c r="D810" s="79"/>
      <c r="E810" s="79"/>
      <c r="F810" s="77"/>
      <c r="G810" s="79"/>
      <c r="H810" s="79"/>
      <c r="I810" s="79"/>
      <c r="J810" s="78"/>
      <c r="K810" s="79"/>
      <c r="L810" s="79"/>
      <c r="M810" s="79"/>
      <c r="N810" s="77"/>
      <c r="O810" s="79"/>
      <c r="P810" s="81"/>
      <c r="Q810" s="81"/>
      <c r="R810" s="79"/>
      <c r="S810" s="79"/>
      <c r="T810" s="79"/>
      <c r="U810" s="79"/>
      <c r="V810" s="79"/>
    </row>
    <row r="811" spans="1:22" ht="12.5" x14ac:dyDescent="0.25">
      <c r="A811" s="79"/>
      <c r="B811" s="79"/>
      <c r="C811" s="79"/>
      <c r="D811" s="79"/>
      <c r="E811" s="79"/>
      <c r="F811" s="77"/>
      <c r="G811" s="79"/>
      <c r="H811" s="79"/>
      <c r="I811" s="79"/>
      <c r="J811" s="78"/>
      <c r="K811" s="79"/>
      <c r="L811" s="79"/>
      <c r="M811" s="79"/>
      <c r="N811" s="77"/>
      <c r="O811" s="79"/>
      <c r="P811" s="81"/>
      <c r="Q811" s="81"/>
      <c r="R811" s="79"/>
      <c r="S811" s="79"/>
      <c r="T811" s="79"/>
      <c r="U811" s="79"/>
      <c r="V811" s="79"/>
    </row>
    <row r="812" spans="1:22" ht="12.5" x14ac:dyDescent="0.25">
      <c r="A812" s="79"/>
      <c r="B812" s="79"/>
      <c r="C812" s="79"/>
      <c r="D812" s="79"/>
      <c r="E812" s="79"/>
      <c r="F812" s="77"/>
      <c r="G812" s="79"/>
      <c r="H812" s="79"/>
      <c r="I812" s="79"/>
      <c r="J812" s="78"/>
      <c r="K812" s="79"/>
      <c r="L812" s="79"/>
      <c r="M812" s="79"/>
      <c r="N812" s="77"/>
      <c r="O812" s="79"/>
      <c r="P812" s="81"/>
      <c r="Q812" s="81"/>
      <c r="R812" s="79"/>
      <c r="S812" s="79"/>
      <c r="T812" s="79"/>
      <c r="U812" s="79"/>
      <c r="V812" s="79"/>
    </row>
    <row r="813" spans="1:22" ht="12.5" x14ac:dyDescent="0.25">
      <c r="A813" s="79"/>
      <c r="B813" s="79"/>
      <c r="C813" s="79"/>
      <c r="D813" s="79"/>
      <c r="E813" s="79"/>
      <c r="F813" s="77"/>
      <c r="G813" s="79"/>
      <c r="H813" s="79"/>
      <c r="I813" s="79"/>
      <c r="J813" s="78"/>
      <c r="K813" s="79"/>
      <c r="L813" s="79"/>
      <c r="M813" s="79"/>
      <c r="N813" s="77"/>
      <c r="O813" s="79"/>
      <c r="P813" s="81"/>
      <c r="Q813" s="81"/>
      <c r="R813" s="79"/>
      <c r="S813" s="79"/>
      <c r="T813" s="79"/>
      <c r="U813" s="79"/>
      <c r="V813" s="79"/>
    </row>
    <row r="814" spans="1:22" ht="12.5" x14ac:dyDescent="0.25">
      <c r="A814" s="79"/>
      <c r="B814" s="79"/>
      <c r="C814" s="79"/>
      <c r="D814" s="79"/>
      <c r="E814" s="79"/>
      <c r="F814" s="77"/>
      <c r="G814" s="79"/>
      <c r="H814" s="79"/>
      <c r="I814" s="79"/>
      <c r="J814" s="78"/>
      <c r="K814" s="79"/>
      <c r="L814" s="79"/>
      <c r="M814" s="79"/>
      <c r="N814" s="77"/>
      <c r="O814" s="79"/>
      <c r="P814" s="81"/>
      <c r="Q814" s="81"/>
      <c r="R814" s="79"/>
      <c r="S814" s="79"/>
      <c r="T814" s="79"/>
      <c r="U814" s="79"/>
      <c r="V814" s="79"/>
    </row>
    <row r="815" spans="1:22" ht="12.5" x14ac:dyDescent="0.25">
      <c r="A815" s="79"/>
      <c r="B815" s="79"/>
      <c r="C815" s="79"/>
      <c r="D815" s="79"/>
      <c r="E815" s="79"/>
      <c r="F815" s="77"/>
      <c r="G815" s="79"/>
      <c r="H815" s="79"/>
      <c r="I815" s="79"/>
      <c r="J815" s="78"/>
      <c r="K815" s="79"/>
      <c r="L815" s="79"/>
      <c r="M815" s="79"/>
      <c r="N815" s="77"/>
      <c r="O815" s="79"/>
      <c r="P815" s="81"/>
      <c r="Q815" s="81"/>
      <c r="R815" s="79"/>
      <c r="S815" s="79"/>
      <c r="T815" s="79"/>
      <c r="U815" s="79"/>
      <c r="V815" s="79"/>
    </row>
    <row r="816" spans="1:22" ht="12.5" x14ac:dyDescent="0.25">
      <c r="A816" s="79"/>
      <c r="B816" s="79"/>
      <c r="C816" s="79"/>
      <c r="D816" s="79"/>
      <c r="E816" s="79"/>
      <c r="F816" s="77"/>
      <c r="G816" s="79"/>
      <c r="H816" s="79"/>
      <c r="I816" s="79"/>
      <c r="J816" s="78"/>
      <c r="K816" s="79"/>
      <c r="L816" s="79"/>
      <c r="M816" s="79"/>
      <c r="N816" s="77"/>
      <c r="O816" s="79"/>
      <c r="P816" s="81"/>
      <c r="Q816" s="81"/>
      <c r="R816" s="79"/>
      <c r="S816" s="79"/>
      <c r="T816" s="79"/>
      <c r="U816" s="79"/>
      <c r="V816" s="79"/>
    </row>
    <row r="817" spans="1:22" ht="12.5" x14ac:dyDescent="0.25">
      <c r="A817" s="79"/>
      <c r="B817" s="79"/>
      <c r="C817" s="79"/>
      <c r="D817" s="79"/>
      <c r="E817" s="79"/>
      <c r="F817" s="77"/>
      <c r="G817" s="79"/>
      <c r="H817" s="79"/>
      <c r="I817" s="79"/>
      <c r="J817" s="78"/>
      <c r="K817" s="79"/>
      <c r="L817" s="79"/>
      <c r="M817" s="79"/>
      <c r="N817" s="77"/>
      <c r="O817" s="79"/>
      <c r="P817" s="81"/>
      <c r="Q817" s="81"/>
      <c r="R817" s="79"/>
      <c r="S817" s="79"/>
      <c r="T817" s="79"/>
      <c r="U817" s="79"/>
      <c r="V817" s="79"/>
    </row>
    <row r="818" spans="1:22" ht="12.5" x14ac:dyDescent="0.25">
      <c r="A818" s="79"/>
      <c r="B818" s="79"/>
      <c r="C818" s="79"/>
      <c r="D818" s="79"/>
      <c r="E818" s="79"/>
      <c r="F818" s="77"/>
      <c r="G818" s="79"/>
      <c r="H818" s="79"/>
      <c r="I818" s="79"/>
      <c r="J818" s="78"/>
      <c r="K818" s="79"/>
      <c r="L818" s="79"/>
      <c r="M818" s="79"/>
      <c r="N818" s="77"/>
      <c r="O818" s="79"/>
      <c r="P818" s="81"/>
      <c r="Q818" s="81"/>
      <c r="R818" s="79"/>
      <c r="S818" s="79"/>
      <c r="T818" s="79"/>
      <c r="U818" s="79"/>
      <c r="V818" s="79"/>
    </row>
    <row r="819" spans="1:22" ht="12.5" x14ac:dyDescent="0.25">
      <c r="A819" s="79"/>
      <c r="B819" s="79"/>
      <c r="C819" s="79"/>
      <c r="D819" s="79"/>
      <c r="E819" s="79"/>
      <c r="F819" s="77"/>
      <c r="G819" s="79"/>
      <c r="H819" s="79"/>
      <c r="I819" s="79"/>
      <c r="J819" s="78"/>
      <c r="K819" s="79"/>
      <c r="L819" s="79"/>
      <c r="M819" s="79"/>
      <c r="N819" s="77"/>
      <c r="O819" s="79"/>
      <c r="P819" s="81"/>
      <c r="Q819" s="81"/>
      <c r="R819" s="79"/>
      <c r="S819" s="79"/>
      <c r="T819" s="79"/>
      <c r="U819" s="79"/>
      <c r="V819" s="79"/>
    </row>
    <row r="820" spans="1:22" ht="12.5" x14ac:dyDescent="0.25">
      <c r="A820" s="79"/>
      <c r="B820" s="79"/>
      <c r="C820" s="79"/>
      <c r="D820" s="79"/>
      <c r="E820" s="79"/>
      <c r="F820" s="77"/>
      <c r="G820" s="79"/>
      <c r="H820" s="79"/>
      <c r="I820" s="79"/>
      <c r="J820" s="78"/>
      <c r="K820" s="79"/>
      <c r="L820" s="79"/>
      <c r="M820" s="79"/>
      <c r="N820" s="77"/>
      <c r="O820" s="79"/>
      <c r="P820" s="81"/>
      <c r="Q820" s="81"/>
      <c r="R820" s="79"/>
      <c r="S820" s="79"/>
      <c r="T820" s="79"/>
      <c r="U820" s="79"/>
      <c r="V820" s="79"/>
    </row>
    <row r="821" spans="1:22" ht="12.5" x14ac:dyDescent="0.25">
      <c r="A821" s="79"/>
      <c r="B821" s="79"/>
      <c r="C821" s="79"/>
      <c r="D821" s="79"/>
      <c r="E821" s="79"/>
      <c r="F821" s="77"/>
      <c r="G821" s="79"/>
      <c r="H821" s="79"/>
      <c r="I821" s="79"/>
      <c r="J821" s="78"/>
      <c r="K821" s="79"/>
      <c r="L821" s="79"/>
      <c r="M821" s="79"/>
      <c r="N821" s="77"/>
      <c r="O821" s="79"/>
      <c r="P821" s="81"/>
      <c r="Q821" s="81"/>
      <c r="R821" s="79"/>
      <c r="S821" s="79"/>
      <c r="T821" s="79"/>
      <c r="U821" s="79"/>
      <c r="V821" s="79"/>
    </row>
    <row r="822" spans="1:22" ht="12.5" x14ac:dyDescent="0.25">
      <c r="A822" s="79"/>
      <c r="B822" s="79"/>
      <c r="C822" s="79"/>
      <c r="D822" s="79"/>
      <c r="E822" s="79"/>
      <c r="F822" s="77"/>
      <c r="G822" s="79"/>
      <c r="H822" s="79"/>
      <c r="I822" s="79"/>
      <c r="J822" s="78"/>
      <c r="K822" s="79"/>
      <c r="L822" s="79"/>
      <c r="M822" s="79"/>
      <c r="N822" s="77"/>
      <c r="O822" s="79"/>
      <c r="P822" s="81"/>
      <c r="Q822" s="81"/>
      <c r="R822" s="79"/>
      <c r="S822" s="79"/>
      <c r="T822" s="79"/>
      <c r="U822" s="79"/>
      <c r="V822" s="79"/>
    </row>
    <row r="823" spans="1:22" ht="12.5" x14ac:dyDescent="0.25">
      <c r="A823" s="79"/>
      <c r="B823" s="79"/>
      <c r="C823" s="79"/>
      <c r="D823" s="79"/>
      <c r="E823" s="79"/>
      <c r="F823" s="77"/>
      <c r="G823" s="79"/>
      <c r="H823" s="79"/>
      <c r="I823" s="79"/>
      <c r="J823" s="78"/>
      <c r="K823" s="79"/>
      <c r="L823" s="79"/>
      <c r="M823" s="79"/>
      <c r="N823" s="77"/>
      <c r="O823" s="79"/>
      <c r="P823" s="81"/>
      <c r="Q823" s="81"/>
      <c r="R823" s="79"/>
      <c r="S823" s="79"/>
      <c r="T823" s="79"/>
      <c r="U823" s="79"/>
      <c r="V823" s="79"/>
    </row>
    <row r="824" spans="1:22" ht="12.5" x14ac:dyDescent="0.25">
      <c r="A824" s="79"/>
      <c r="B824" s="79"/>
      <c r="C824" s="79"/>
      <c r="D824" s="79"/>
      <c r="E824" s="79"/>
      <c r="F824" s="77"/>
      <c r="G824" s="79"/>
      <c r="H824" s="79"/>
      <c r="I824" s="79"/>
      <c r="J824" s="78"/>
      <c r="K824" s="79"/>
      <c r="L824" s="79"/>
      <c r="M824" s="79"/>
      <c r="N824" s="77"/>
      <c r="O824" s="79"/>
      <c r="P824" s="81"/>
      <c r="Q824" s="81"/>
      <c r="R824" s="79"/>
      <c r="S824" s="79"/>
      <c r="T824" s="79"/>
      <c r="U824" s="79"/>
      <c r="V824" s="79"/>
    </row>
    <row r="825" spans="1:22" ht="12.5" x14ac:dyDescent="0.25">
      <c r="A825" s="79"/>
      <c r="B825" s="79"/>
      <c r="C825" s="79"/>
      <c r="D825" s="79"/>
      <c r="E825" s="79"/>
      <c r="F825" s="77"/>
      <c r="G825" s="79"/>
      <c r="H825" s="79"/>
      <c r="I825" s="79"/>
      <c r="J825" s="78"/>
      <c r="K825" s="79"/>
      <c r="L825" s="79"/>
      <c r="M825" s="79"/>
      <c r="N825" s="77"/>
      <c r="O825" s="79"/>
      <c r="P825" s="81"/>
      <c r="Q825" s="81"/>
      <c r="R825" s="79"/>
      <c r="S825" s="79"/>
      <c r="T825" s="79"/>
      <c r="U825" s="79"/>
      <c r="V825" s="79"/>
    </row>
    <row r="826" spans="1:22" ht="12.5" x14ac:dyDescent="0.25">
      <c r="A826" s="79"/>
      <c r="B826" s="79"/>
      <c r="C826" s="79"/>
      <c r="D826" s="79"/>
      <c r="E826" s="79"/>
      <c r="F826" s="77"/>
      <c r="G826" s="79"/>
      <c r="H826" s="79"/>
      <c r="I826" s="79"/>
      <c r="J826" s="78"/>
      <c r="K826" s="79"/>
      <c r="L826" s="79"/>
      <c r="M826" s="79"/>
      <c r="N826" s="77"/>
      <c r="O826" s="79"/>
      <c r="P826" s="81"/>
      <c r="Q826" s="81"/>
      <c r="R826" s="79"/>
      <c r="S826" s="79"/>
      <c r="T826" s="79"/>
      <c r="U826" s="79"/>
      <c r="V826" s="79"/>
    </row>
    <row r="827" spans="1:22" ht="12.5" x14ac:dyDescent="0.25">
      <c r="A827" s="79"/>
      <c r="B827" s="79"/>
      <c r="C827" s="79"/>
      <c r="D827" s="79"/>
      <c r="E827" s="79"/>
      <c r="F827" s="77"/>
      <c r="G827" s="79"/>
      <c r="H827" s="79"/>
      <c r="I827" s="79"/>
      <c r="J827" s="78"/>
      <c r="K827" s="79"/>
      <c r="L827" s="79"/>
      <c r="M827" s="79"/>
      <c r="N827" s="77"/>
      <c r="O827" s="79"/>
      <c r="P827" s="81"/>
      <c r="Q827" s="81"/>
      <c r="R827" s="79"/>
      <c r="S827" s="79"/>
      <c r="T827" s="79"/>
      <c r="U827" s="79"/>
      <c r="V827" s="79"/>
    </row>
    <row r="828" spans="1:22" ht="12.5" x14ac:dyDescent="0.25">
      <c r="A828" s="79"/>
      <c r="B828" s="79"/>
      <c r="C828" s="79"/>
      <c r="D828" s="79"/>
      <c r="E828" s="79"/>
      <c r="F828" s="77"/>
      <c r="G828" s="79"/>
      <c r="H828" s="79"/>
      <c r="I828" s="79"/>
      <c r="J828" s="78"/>
      <c r="K828" s="79"/>
      <c r="L828" s="79"/>
      <c r="M828" s="79"/>
      <c r="N828" s="77"/>
      <c r="O828" s="79"/>
      <c r="P828" s="81"/>
      <c r="Q828" s="81"/>
      <c r="R828" s="79"/>
      <c r="S828" s="79"/>
      <c r="T828" s="79"/>
      <c r="U828" s="79"/>
      <c r="V828" s="79"/>
    </row>
    <row r="829" spans="1:22" ht="12.5" x14ac:dyDescent="0.25">
      <c r="A829" s="79"/>
      <c r="B829" s="79"/>
      <c r="C829" s="79"/>
      <c r="D829" s="79"/>
      <c r="E829" s="79"/>
      <c r="F829" s="77"/>
      <c r="G829" s="79"/>
      <c r="H829" s="79"/>
      <c r="I829" s="79"/>
      <c r="J829" s="78"/>
      <c r="K829" s="79"/>
      <c r="L829" s="79"/>
      <c r="M829" s="79"/>
      <c r="N829" s="77"/>
      <c r="O829" s="79"/>
      <c r="P829" s="81"/>
      <c r="Q829" s="81"/>
      <c r="R829" s="79"/>
      <c r="S829" s="79"/>
      <c r="T829" s="79"/>
      <c r="U829" s="79"/>
      <c r="V829" s="79"/>
    </row>
    <row r="830" spans="1:22" ht="12.5" x14ac:dyDescent="0.25">
      <c r="A830" s="79"/>
      <c r="B830" s="79"/>
      <c r="C830" s="79"/>
      <c r="D830" s="79"/>
      <c r="E830" s="79"/>
      <c r="F830" s="77"/>
      <c r="G830" s="79"/>
      <c r="H830" s="79"/>
      <c r="I830" s="79"/>
      <c r="J830" s="78"/>
      <c r="K830" s="79"/>
      <c r="L830" s="79"/>
      <c r="M830" s="79"/>
      <c r="N830" s="77"/>
      <c r="O830" s="79"/>
      <c r="P830" s="81"/>
      <c r="Q830" s="81"/>
      <c r="R830" s="79"/>
      <c r="S830" s="79"/>
      <c r="T830" s="79"/>
      <c r="U830" s="79"/>
      <c r="V830" s="79"/>
    </row>
    <row r="831" spans="1:22" ht="12.5" x14ac:dyDescent="0.25">
      <c r="A831" s="79"/>
      <c r="B831" s="79"/>
      <c r="C831" s="79"/>
      <c r="D831" s="79"/>
      <c r="E831" s="79"/>
      <c r="F831" s="77"/>
      <c r="G831" s="79"/>
      <c r="H831" s="79"/>
      <c r="I831" s="79"/>
      <c r="J831" s="78"/>
      <c r="K831" s="79"/>
      <c r="L831" s="79"/>
      <c r="M831" s="79"/>
      <c r="N831" s="77"/>
      <c r="O831" s="79"/>
      <c r="P831" s="81"/>
      <c r="Q831" s="81"/>
      <c r="R831" s="79"/>
      <c r="S831" s="79"/>
      <c r="T831" s="79"/>
      <c r="U831" s="79"/>
      <c r="V831" s="79"/>
    </row>
    <row r="832" spans="1:22" ht="12.5" x14ac:dyDescent="0.25">
      <c r="A832" s="79"/>
      <c r="B832" s="79"/>
      <c r="C832" s="79"/>
      <c r="D832" s="79"/>
      <c r="E832" s="79"/>
      <c r="F832" s="77"/>
      <c r="G832" s="79"/>
      <c r="H832" s="79"/>
      <c r="I832" s="79"/>
      <c r="J832" s="78"/>
      <c r="K832" s="79"/>
      <c r="L832" s="79"/>
      <c r="M832" s="79"/>
      <c r="N832" s="77"/>
      <c r="O832" s="79"/>
      <c r="P832" s="81"/>
      <c r="Q832" s="81"/>
      <c r="R832" s="79"/>
      <c r="S832" s="79"/>
      <c r="T832" s="79"/>
      <c r="U832" s="79"/>
      <c r="V832" s="79"/>
    </row>
    <row r="833" spans="1:22" ht="12.5" x14ac:dyDescent="0.25">
      <c r="A833" s="79"/>
      <c r="B833" s="79"/>
      <c r="C833" s="79"/>
      <c r="D833" s="79"/>
      <c r="E833" s="79"/>
      <c r="F833" s="77"/>
      <c r="G833" s="79"/>
      <c r="H833" s="79"/>
      <c r="I833" s="79"/>
      <c r="J833" s="78"/>
      <c r="K833" s="79"/>
      <c r="L833" s="79"/>
      <c r="M833" s="79"/>
      <c r="N833" s="77"/>
      <c r="O833" s="79"/>
      <c r="P833" s="81"/>
      <c r="Q833" s="81"/>
      <c r="R833" s="79"/>
      <c r="S833" s="79"/>
      <c r="T833" s="79"/>
      <c r="U833" s="79"/>
      <c r="V833" s="79"/>
    </row>
    <row r="834" spans="1:22" ht="12.5" x14ac:dyDescent="0.25">
      <c r="A834" s="79"/>
      <c r="B834" s="79"/>
      <c r="C834" s="79"/>
      <c r="D834" s="79"/>
      <c r="E834" s="79"/>
      <c r="F834" s="77"/>
      <c r="G834" s="79"/>
      <c r="H834" s="79"/>
      <c r="I834" s="79"/>
      <c r="J834" s="78"/>
      <c r="K834" s="79"/>
      <c r="L834" s="79"/>
      <c r="M834" s="79"/>
      <c r="N834" s="77"/>
      <c r="O834" s="79"/>
      <c r="P834" s="81"/>
      <c r="Q834" s="81"/>
      <c r="R834" s="79"/>
      <c r="S834" s="79"/>
      <c r="T834" s="79"/>
      <c r="U834" s="79"/>
      <c r="V834" s="79"/>
    </row>
    <row r="835" spans="1:22" ht="12.5" x14ac:dyDescent="0.25">
      <c r="A835" s="79"/>
      <c r="B835" s="79"/>
      <c r="C835" s="79"/>
      <c r="D835" s="79"/>
      <c r="E835" s="79"/>
      <c r="F835" s="77"/>
      <c r="G835" s="79"/>
      <c r="H835" s="79"/>
      <c r="I835" s="79"/>
      <c r="J835" s="78"/>
      <c r="K835" s="79"/>
      <c r="L835" s="79"/>
      <c r="M835" s="79"/>
      <c r="N835" s="77"/>
      <c r="O835" s="79"/>
      <c r="P835" s="81"/>
      <c r="Q835" s="81"/>
      <c r="R835" s="79"/>
      <c r="S835" s="79"/>
      <c r="T835" s="79"/>
      <c r="U835" s="79"/>
      <c r="V835" s="79"/>
    </row>
    <row r="836" spans="1:22" ht="12.5" x14ac:dyDescent="0.25">
      <c r="A836" s="79"/>
      <c r="B836" s="79"/>
      <c r="C836" s="79"/>
      <c r="D836" s="79"/>
      <c r="E836" s="79"/>
      <c r="F836" s="77"/>
      <c r="G836" s="79"/>
      <c r="H836" s="79"/>
      <c r="I836" s="79"/>
      <c r="J836" s="78"/>
      <c r="K836" s="79"/>
      <c r="L836" s="79"/>
      <c r="M836" s="79"/>
      <c r="N836" s="77"/>
      <c r="O836" s="79"/>
      <c r="P836" s="81"/>
      <c r="Q836" s="81"/>
      <c r="R836" s="79"/>
      <c r="S836" s="79"/>
      <c r="T836" s="79"/>
      <c r="U836" s="79"/>
      <c r="V836" s="79"/>
    </row>
    <row r="837" spans="1:22" ht="12.5" x14ac:dyDescent="0.25">
      <c r="A837" s="79"/>
      <c r="B837" s="79"/>
      <c r="C837" s="79"/>
      <c r="D837" s="79"/>
      <c r="E837" s="79"/>
      <c r="F837" s="77"/>
      <c r="G837" s="79"/>
      <c r="H837" s="79"/>
      <c r="I837" s="79"/>
      <c r="J837" s="78"/>
      <c r="K837" s="79"/>
      <c r="L837" s="79"/>
      <c r="M837" s="79"/>
      <c r="N837" s="77"/>
      <c r="O837" s="79"/>
      <c r="P837" s="81"/>
      <c r="Q837" s="81"/>
      <c r="R837" s="79"/>
      <c r="S837" s="79"/>
      <c r="T837" s="79"/>
      <c r="U837" s="79"/>
      <c r="V837" s="79"/>
    </row>
    <row r="838" spans="1:22" ht="12.5" x14ac:dyDescent="0.25">
      <c r="A838" s="79"/>
      <c r="B838" s="79"/>
      <c r="C838" s="79"/>
      <c r="D838" s="79"/>
      <c r="E838" s="79"/>
      <c r="F838" s="77"/>
      <c r="G838" s="79"/>
      <c r="H838" s="79"/>
      <c r="I838" s="79"/>
      <c r="J838" s="78"/>
      <c r="K838" s="79"/>
      <c r="L838" s="79"/>
      <c r="M838" s="79"/>
      <c r="N838" s="77"/>
      <c r="O838" s="79"/>
      <c r="P838" s="81"/>
      <c r="Q838" s="81"/>
      <c r="R838" s="79"/>
      <c r="S838" s="79"/>
      <c r="T838" s="79"/>
      <c r="U838" s="79"/>
      <c r="V838" s="79"/>
    </row>
    <row r="839" spans="1:22" ht="12.5" x14ac:dyDescent="0.25">
      <c r="A839" s="79"/>
      <c r="B839" s="79"/>
      <c r="C839" s="79"/>
      <c r="D839" s="79"/>
      <c r="E839" s="79"/>
      <c r="F839" s="77"/>
      <c r="G839" s="79"/>
      <c r="H839" s="79"/>
      <c r="I839" s="79"/>
      <c r="J839" s="78"/>
      <c r="K839" s="79"/>
      <c r="L839" s="79"/>
      <c r="M839" s="79"/>
      <c r="N839" s="77"/>
      <c r="O839" s="79"/>
      <c r="P839" s="81"/>
      <c r="Q839" s="81"/>
      <c r="R839" s="79"/>
      <c r="S839" s="79"/>
      <c r="T839" s="79"/>
      <c r="U839" s="79"/>
      <c r="V839" s="79"/>
    </row>
    <row r="840" spans="1:22" ht="12.5" x14ac:dyDescent="0.25">
      <c r="A840" s="79"/>
      <c r="B840" s="79"/>
      <c r="C840" s="79"/>
      <c r="D840" s="79"/>
      <c r="E840" s="79"/>
      <c r="F840" s="77"/>
      <c r="G840" s="79"/>
      <c r="H840" s="79"/>
      <c r="I840" s="79"/>
      <c r="J840" s="78"/>
      <c r="K840" s="79"/>
      <c r="L840" s="79"/>
      <c r="M840" s="79"/>
      <c r="N840" s="77"/>
      <c r="O840" s="79"/>
      <c r="P840" s="81"/>
      <c r="Q840" s="81"/>
      <c r="R840" s="79"/>
      <c r="S840" s="79"/>
      <c r="T840" s="79"/>
      <c r="U840" s="79"/>
      <c r="V840" s="79"/>
    </row>
    <row r="841" spans="1:22" ht="12.5" x14ac:dyDescent="0.25">
      <c r="A841" s="79"/>
      <c r="B841" s="79"/>
      <c r="C841" s="79"/>
      <c r="D841" s="79"/>
      <c r="E841" s="79"/>
      <c r="F841" s="77"/>
      <c r="G841" s="79"/>
      <c r="H841" s="79"/>
      <c r="I841" s="79"/>
      <c r="J841" s="78"/>
      <c r="K841" s="79"/>
      <c r="L841" s="79"/>
      <c r="M841" s="79"/>
      <c r="N841" s="77"/>
      <c r="O841" s="79"/>
      <c r="P841" s="81"/>
      <c r="Q841" s="81"/>
      <c r="R841" s="79"/>
      <c r="S841" s="79"/>
      <c r="T841" s="79"/>
      <c r="U841" s="79"/>
      <c r="V841" s="79"/>
    </row>
    <row r="842" spans="1:22" ht="12.5" x14ac:dyDescent="0.25">
      <c r="A842" s="79"/>
      <c r="B842" s="79"/>
      <c r="C842" s="79"/>
      <c r="D842" s="79"/>
      <c r="E842" s="79"/>
      <c r="F842" s="77"/>
      <c r="G842" s="79"/>
      <c r="H842" s="79"/>
      <c r="I842" s="79"/>
      <c r="J842" s="78"/>
      <c r="K842" s="79"/>
      <c r="L842" s="79"/>
      <c r="M842" s="79"/>
      <c r="N842" s="77"/>
      <c r="O842" s="79"/>
      <c r="P842" s="81"/>
      <c r="Q842" s="81"/>
      <c r="R842" s="79"/>
      <c r="S842" s="79"/>
      <c r="T842" s="79"/>
      <c r="U842" s="79"/>
      <c r="V842" s="79"/>
    </row>
    <row r="843" spans="1:22" ht="12.5" x14ac:dyDescent="0.25">
      <c r="A843" s="79"/>
      <c r="B843" s="79"/>
      <c r="C843" s="79"/>
      <c r="D843" s="79"/>
      <c r="E843" s="79"/>
      <c r="F843" s="77"/>
      <c r="G843" s="79"/>
      <c r="H843" s="79"/>
      <c r="I843" s="79"/>
      <c r="J843" s="78"/>
      <c r="K843" s="79"/>
      <c r="L843" s="79"/>
      <c r="M843" s="79"/>
      <c r="N843" s="77"/>
      <c r="O843" s="79"/>
      <c r="P843" s="81"/>
      <c r="Q843" s="81"/>
      <c r="R843" s="79"/>
      <c r="S843" s="79"/>
      <c r="T843" s="79"/>
      <c r="U843" s="79"/>
      <c r="V843" s="79"/>
    </row>
    <row r="844" spans="1:22" ht="12.5" x14ac:dyDescent="0.25">
      <c r="A844" s="79"/>
      <c r="B844" s="79"/>
      <c r="C844" s="79"/>
      <c r="D844" s="79"/>
      <c r="E844" s="79"/>
      <c r="F844" s="77"/>
      <c r="G844" s="79"/>
      <c r="H844" s="79"/>
      <c r="I844" s="79"/>
      <c r="J844" s="78"/>
      <c r="K844" s="79"/>
      <c r="L844" s="79"/>
      <c r="M844" s="79"/>
      <c r="N844" s="77"/>
      <c r="O844" s="79"/>
      <c r="P844" s="81"/>
      <c r="Q844" s="81"/>
      <c r="R844" s="79"/>
      <c r="S844" s="79"/>
      <c r="T844" s="79"/>
      <c r="U844" s="79"/>
      <c r="V844" s="79"/>
    </row>
    <row r="845" spans="1:22" ht="12.5" x14ac:dyDescent="0.25">
      <c r="A845" s="79"/>
      <c r="B845" s="79"/>
      <c r="C845" s="79"/>
      <c r="D845" s="79"/>
      <c r="E845" s="79"/>
      <c r="F845" s="77"/>
      <c r="G845" s="79"/>
      <c r="H845" s="79"/>
      <c r="I845" s="79"/>
      <c r="J845" s="78"/>
      <c r="K845" s="79"/>
      <c r="L845" s="79"/>
      <c r="M845" s="79"/>
      <c r="N845" s="77"/>
      <c r="O845" s="79"/>
      <c r="P845" s="81"/>
      <c r="Q845" s="81"/>
      <c r="R845" s="79"/>
      <c r="S845" s="79"/>
      <c r="T845" s="79"/>
      <c r="U845" s="79"/>
      <c r="V845" s="79"/>
    </row>
    <row r="846" spans="1:22" ht="12.5" x14ac:dyDescent="0.25">
      <c r="A846" s="79"/>
      <c r="B846" s="79"/>
      <c r="C846" s="79"/>
      <c r="D846" s="79"/>
      <c r="E846" s="79"/>
      <c r="F846" s="77"/>
      <c r="G846" s="79"/>
      <c r="H846" s="79"/>
      <c r="I846" s="79"/>
      <c r="J846" s="78"/>
      <c r="K846" s="79"/>
      <c r="L846" s="79"/>
      <c r="M846" s="79"/>
      <c r="N846" s="77"/>
      <c r="O846" s="79"/>
      <c r="P846" s="81"/>
      <c r="Q846" s="81"/>
      <c r="R846" s="79"/>
      <c r="S846" s="79"/>
      <c r="T846" s="79"/>
      <c r="U846" s="79"/>
      <c r="V846" s="79"/>
    </row>
    <row r="847" spans="1:22" ht="12.5" x14ac:dyDescent="0.25">
      <c r="A847" s="79"/>
      <c r="B847" s="79"/>
      <c r="C847" s="79"/>
      <c r="D847" s="79"/>
      <c r="E847" s="79"/>
      <c r="F847" s="77"/>
      <c r="G847" s="79"/>
      <c r="H847" s="79"/>
      <c r="I847" s="79"/>
      <c r="J847" s="78"/>
      <c r="K847" s="79"/>
      <c r="L847" s="79"/>
      <c r="M847" s="79"/>
      <c r="N847" s="77"/>
      <c r="O847" s="79"/>
      <c r="P847" s="81"/>
      <c r="Q847" s="81"/>
      <c r="R847" s="79"/>
      <c r="S847" s="79"/>
      <c r="T847" s="79"/>
      <c r="U847" s="79"/>
      <c r="V847" s="79"/>
    </row>
    <row r="848" spans="1:22" ht="12.5" x14ac:dyDescent="0.25">
      <c r="A848" s="79"/>
      <c r="B848" s="79"/>
      <c r="C848" s="79"/>
      <c r="D848" s="79"/>
      <c r="E848" s="79"/>
      <c r="F848" s="77"/>
      <c r="G848" s="79"/>
      <c r="H848" s="79"/>
      <c r="I848" s="79"/>
      <c r="J848" s="78"/>
      <c r="K848" s="79"/>
      <c r="L848" s="79"/>
      <c r="M848" s="79"/>
      <c r="N848" s="77"/>
      <c r="O848" s="79"/>
      <c r="P848" s="81"/>
      <c r="Q848" s="81"/>
      <c r="R848" s="79"/>
      <c r="S848" s="79"/>
      <c r="T848" s="79"/>
      <c r="U848" s="79"/>
      <c r="V848" s="79"/>
    </row>
    <row r="849" spans="1:22" ht="12.5" x14ac:dyDescent="0.25">
      <c r="A849" s="79"/>
      <c r="B849" s="79"/>
      <c r="C849" s="79"/>
      <c r="D849" s="79"/>
      <c r="E849" s="79"/>
      <c r="F849" s="77"/>
      <c r="G849" s="79"/>
      <c r="H849" s="79"/>
      <c r="I849" s="79"/>
      <c r="J849" s="78"/>
      <c r="K849" s="79"/>
      <c r="L849" s="79"/>
      <c r="M849" s="79"/>
      <c r="N849" s="77"/>
      <c r="O849" s="79"/>
      <c r="P849" s="81"/>
      <c r="Q849" s="81"/>
      <c r="R849" s="79"/>
      <c r="S849" s="79"/>
      <c r="T849" s="79"/>
      <c r="U849" s="79"/>
      <c r="V849" s="79"/>
    </row>
    <row r="850" spans="1:22" ht="12.5" x14ac:dyDescent="0.25">
      <c r="A850" s="79"/>
      <c r="B850" s="79"/>
      <c r="C850" s="79"/>
      <c r="D850" s="79"/>
      <c r="E850" s="79"/>
      <c r="F850" s="77"/>
      <c r="G850" s="79"/>
      <c r="H850" s="79"/>
      <c r="I850" s="79"/>
      <c r="J850" s="78"/>
      <c r="K850" s="79"/>
      <c r="L850" s="79"/>
      <c r="M850" s="79"/>
      <c r="N850" s="77"/>
      <c r="O850" s="79"/>
      <c r="P850" s="81"/>
      <c r="Q850" s="81"/>
      <c r="R850" s="79"/>
      <c r="S850" s="79"/>
      <c r="T850" s="79"/>
      <c r="U850" s="79"/>
      <c r="V850" s="79"/>
    </row>
    <row r="851" spans="1:22" ht="12.5" x14ac:dyDescent="0.25">
      <c r="A851" s="79"/>
      <c r="B851" s="79"/>
      <c r="C851" s="79"/>
      <c r="D851" s="79"/>
      <c r="E851" s="79"/>
      <c r="F851" s="77"/>
      <c r="G851" s="79"/>
      <c r="H851" s="79"/>
      <c r="I851" s="79"/>
      <c r="J851" s="78"/>
      <c r="K851" s="79"/>
      <c r="L851" s="79"/>
      <c r="M851" s="79"/>
      <c r="N851" s="77"/>
      <c r="O851" s="79"/>
      <c r="P851" s="81"/>
      <c r="Q851" s="81"/>
      <c r="R851" s="79"/>
      <c r="S851" s="79"/>
      <c r="T851" s="79"/>
      <c r="U851" s="79"/>
      <c r="V851" s="79"/>
    </row>
    <row r="852" spans="1:22" ht="12.5" x14ac:dyDescent="0.25">
      <c r="A852" s="79"/>
      <c r="B852" s="79"/>
      <c r="C852" s="79"/>
      <c r="D852" s="79"/>
      <c r="E852" s="79"/>
      <c r="F852" s="77"/>
      <c r="G852" s="79"/>
      <c r="H852" s="79"/>
      <c r="I852" s="79"/>
      <c r="J852" s="78"/>
      <c r="K852" s="79"/>
      <c r="L852" s="79"/>
      <c r="M852" s="79"/>
      <c r="N852" s="77"/>
      <c r="O852" s="79"/>
      <c r="P852" s="81"/>
      <c r="Q852" s="81"/>
      <c r="R852" s="79"/>
      <c r="S852" s="79"/>
      <c r="T852" s="79"/>
      <c r="U852" s="79"/>
      <c r="V852" s="79"/>
    </row>
    <row r="853" spans="1:22" ht="12.5" x14ac:dyDescent="0.25">
      <c r="A853" s="79"/>
      <c r="B853" s="79"/>
      <c r="C853" s="79"/>
      <c r="D853" s="79"/>
      <c r="E853" s="79"/>
      <c r="F853" s="77"/>
      <c r="G853" s="79"/>
      <c r="H853" s="79"/>
      <c r="I853" s="79"/>
      <c r="J853" s="78"/>
      <c r="K853" s="79"/>
      <c r="L853" s="79"/>
      <c r="M853" s="79"/>
      <c r="N853" s="77"/>
      <c r="O853" s="79"/>
      <c r="P853" s="81"/>
      <c r="Q853" s="81"/>
      <c r="R853" s="79"/>
      <c r="S853" s="79"/>
      <c r="T853" s="79"/>
      <c r="U853" s="79"/>
      <c r="V853" s="79"/>
    </row>
    <row r="854" spans="1:22" ht="12.5" x14ac:dyDescent="0.25">
      <c r="A854" s="79"/>
      <c r="B854" s="79"/>
      <c r="C854" s="79"/>
      <c r="D854" s="79"/>
      <c r="E854" s="79"/>
      <c r="F854" s="77"/>
      <c r="G854" s="79"/>
      <c r="H854" s="79"/>
      <c r="I854" s="79"/>
      <c r="J854" s="78"/>
      <c r="K854" s="79"/>
      <c r="L854" s="79"/>
      <c r="M854" s="79"/>
      <c r="N854" s="77"/>
      <c r="O854" s="79"/>
      <c r="P854" s="81"/>
      <c r="Q854" s="81"/>
      <c r="R854" s="79"/>
      <c r="S854" s="79"/>
      <c r="T854" s="79"/>
      <c r="U854" s="79"/>
      <c r="V854" s="79"/>
    </row>
    <row r="855" spans="1:22" ht="12.5" x14ac:dyDescent="0.25">
      <c r="A855" s="79"/>
      <c r="B855" s="79"/>
      <c r="C855" s="79"/>
      <c r="D855" s="79"/>
      <c r="E855" s="79"/>
      <c r="F855" s="77"/>
      <c r="G855" s="79"/>
      <c r="H855" s="79"/>
      <c r="I855" s="79"/>
      <c r="J855" s="78"/>
      <c r="K855" s="79"/>
      <c r="L855" s="79"/>
      <c r="M855" s="79"/>
      <c r="N855" s="77"/>
      <c r="O855" s="79"/>
      <c r="P855" s="81"/>
      <c r="Q855" s="81"/>
      <c r="R855" s="79"/>
      <c r="S855" s="79"/>
      <c r="T855" s="79"/>
      <c r="U855" s="79"/>
      <c r="V855" s="79"/>
    </row>
    <row r="856" spans="1:22" ht="12.5" x14ac:dyDescent="0.25">
      <c r="A856" s="79"/>
      <c r="B856" s="79"/>
      <c r="C856" s="79"/>
      <c r="D856" s="79"/>
      <c r="E856" s="79"/>
      <c r="F856" s="77"/>
      <c r="G856" s="79"/>
      <c r="H856" s="79"/>
      <c r="I856" s="79"/>
      <c r="J856" s="78"/>
      <c r="K856" s="79"/>
      <c r="L856" s="79"/>
      <c r="M856" s="79"/>
      <c r="N856" s="77"/>
      <c r="O856" s="79"/>
      <c r="P856" s="81"/>
      <c r="Q856" s="81"/>
      <c r="R856" s="79"/>
      <c r="S856" s="79"/>
      <c r="T856" s="79"/>
      <c r="U856" s="79"/>
      <c r="V856" s="79"/>
    </row>
    <row r="857" spans="1:22" ht="12.5" x14ac:dyDescent="0.25">
      <c r="A857" s="79"/>
      <c r="B857" s="79"/>
      <c r="C857" s="79"/>
      <c r="D857" s="79"/>
      <c r="E857" s="79"/>
      <c r="F857" s="77"/>
      <c r="G857" s="79"/>
      <c r="H857" s="79"/>
      <c r="I857" s="79"/>
      <c r="J857" s="78"/>
      <c r="K857" s="79"/>
      <c r="L857" s="79"/>
      <c r="M857" s="79"/>
      <c r="N857" s="77"/>
      <c r="O857" s="79"/>
      <c r="P857" s="81"/>
      <c r="Q857" s="81"/>
      <c r="R857" s="79"/>
      <c r="S857" s="79"/>
      <c r="T857" s="79"/>
      <c r="U857" s="79"/>
      <c r="V857" s="79"/>
    </row>
    <row r="858" spans="1:22" ht="12.5" x14ac:dyDescent="0.25">
      <c r="A858" s="79"/>
      <c r="B858" s="79"/>
      <c r="C858" s="79"/>
      <c r="D858" s="79"/>
      <c r="E858" s="79"/>
      <c r="F858" s="77"/>
      <c r="G858" s="79"/>
      <c r="H858" s="79"/>
      <c r="I858" s="79"/>
      <c r="J858" s="78"/>
      <c r="K858" s="79"/>
      <c r="L858" s="79"/>
      <c r="M858" s="79"/>
      <c r="N858" s="77"/>
      <c r="O858" s="79"/>
      <c r="P858" s="81"/>
      <c r="Q858" s="81"/>
      <c r="R858" s="79"/>
      <c r="S858" s="79"/>
      <c r="T858" s="79"/>
      <c r="U858" s="79"/>
      <c r="V858" s="79"/>
    </row>
    <row r="859" spans="1:22" ht="12.5" x14ac:dyDescent="0.25">
      <c r="A859" s="79"/>
      <c r="B859" s="79"/>
      <c r="C859" s="79"/>
      <c r="D859" s="79"/>
      <c r="E859" s="79"/>
      <c r="F859" s="77"/>
      <c r="G859" s="79"/>
      <c r="H859" s="79"/>
      <c r="I859" s="79"/>
      <c r="J859" s="78"/>
      <c r="K859" s="79"/>
      <c r="L859" s="79"/>
      <c r="M859" s="79"/>
      <c r="N859" s="77"/>
      <c r="O859" s="79"/>
      <c r="P859" s="81"/>
      <c r="Q859" s="81"/>
      <c r="R859" s="79"/>
      <c r="S859" s="79"/>
      <c r="T859" s="79"/>
      <c r="U859" s="79"/>
      <c r="V859" s="79"/>
    </row>
    <row r="860" spans="1:22" ht="12.5" x14ac:dyDescent="0.25">
      <c r="A860" s="79"/>
      <c r="B860" s="79"/>
      <c r="C860" s="79"/>
      <c r="D860" s="79"/>
      <c r="E860" s="79"/>
      <c r="F860" s="77"/>
      <c r="G860" s="79"/>
      <c r="H860" s="79"/>
      <c r="I860" s="79"/>
      <c r="J860" s="78"/>
      <c r="K860" s="79"/>
      <c r="L860" s="79"/>
      <c r="M860" s="79"/>
      <c r="N860" s="77"/>
      <c r="O860" s="79"/>
      <c r="P860" s="81"/>
      <c r="Q860" s="81"/>
      <c r="R860" s="79"/>
      <c r="S860" s="79"/>
      <c r="T860" s="79"/>
      <c r="U860" s="79"/>
      <c r="V860" s="79"/>
    </row>
    <row r="861" spans="1:22" ht="12.5" x14ac:dyDescent="0.25">
      <c r="A861" s="79"/>
      <c r="B861" s="79"/>
      <c r="C861" s="79"/>
      <c r="D861" s="79"/>
      <c r="E861" s="79"/>
      <c r="F861" s="77"/>
      <c r="G861" s="79"/>
      <c r="H861" s="79"/>
      <c r="I861" s="79"/>
      <c r="J861" s="78"/>
      <c r="K861" s="79"/>
      <c r="L861" s="79"/>
      <c r="M861" s="79"/>
      <c r="N861" s="77"/>
      <c r="O861" s="79"/>
      <c r="P861" s="81"/>
      <c r="Q861" s="81"/>
      <c r="R861" s="79"/>
      <c r="S861" s="79"/>
      <c r="T861" s="79"/>
      <c r="U861" s="79"/>
      <c r="V861" s="79"/>
    </row>
    <row r="862" spans="1:22" ht="12.5" x14ac:dyDescent="0.25">
      <c r="A862" s="79"/>
      <c r="B862" s="79"/>
      <c r="C862" s="79"/>
      <c r="D862" s="79"/>
      <c r="E862" s="79"/>
      <c r="F862" s="77"/>
      <c r="G862" s="79"/>
      <c r="H862" s="79"/>
      <c r="I862" s="79"/>
      <c r="J862" s="78"/>
      <c r="K862" s="79"/>
      <c r="L862" s="79"/>
      <c r="M862" s="79"/>
      <c r="N862" s="77"/>
      <c r="O862" s="79"/>
      <c r="P862" s="81"/>
      <c r="Q862" s="81"/>
      <c r="R862" s="79"/>
      <c r="S862" s="79"/>
      <c r="T862" s="79"/>
      <c r="U862" s="79"/>
      <c r="V862" s="79"/>
    </row>
    <row r="863" spans="1:22" ht="12.5" x14ac:dyDescent="0.25">
      <c r="A863" s="79"/>
      <c r="B863" s="79"/>
      <c r="C863" s="79"/>
      <c r="D863" s="79"/>
      <c r="E863" s="79"/>
      <c r="F863" s="77"/>
      <c r="G863" s="79"/>
      <c r="H863" s="79"/>
      <c r="I863" s="79"/>
      <c r="J863" s="78"/>
      <c r="K863" s="79"/>
      <c r="L863" s="79"/>
      <c r="M863" s="79"/>
      <c r="N863" s="77"/>
      <c r="O863" s="79"/>
      <c r="P863" s="81"/>
      <c r="Q863" s="81"/>
      <c r="R863" s="79"/>
      <c r="S863" s="79"/>
      <c r="T863" s="79"/>
      <c r="U863" s="79"/>
      <c r="V863" s="79"/>
    </row>
    <row r="864" spans="1:22" ht="12.5" x14ac:dyDescent="0.25">
      <c r="A864" s="79"/>
      <c r="B864" s="79"/>
      <c r="C864" s="79"/>
      <c r="D864" s="79"/>
      <c r="E864" s="79"/>
      <c r="F864" s="77"/>
      <c r="G864" s="79"/>
      <c r="H864" s="79"/>
      <c r="I864" s="79"/>
      <c r="J864" s="78"/>
      <c r="K864" s="79"/>
      <c r="L864" s="79"/>
      <c r="M864" s="79"/>
      <c r="N864" s="77"/>
      <c r="O864" s="79"/>
      <c r="P864" s="81"/>
      <c r="Q864" s="81"/>
      <c r="R864" s="79"/>
      <c r="S864" s="79"/>
      <c r="T864" s="79"/>
      <c r="U864" s="79"/>
      <c r="V864" s="79"/>
    </row>
    <row r="865" spans="1:22" ht="12.5" x14ac:dyDescent="0.25">
      <c r="A865" s="79"/>
      <c r="B865" s="79"/>
      <c r="C865" s="79"/>
      <c r="D865" s="79"/>
      <c r="E865" s="79"/>
      <c r="F865" s="77"/>
      <c r="G865" s="79"/>
      <c r="H865" s="79"/>
      <c r="I865" s="79"/>
      <c r="J865" s="78"/>
      <c r="K865" s="79"/>
      <c r="L865" s="79"/>
      <c r="M865" s="79"/>
      <c r="N865" s="77"/>
      <c r="O865" s="79"/>
      <c r="P865" s="81"/>
      <c r="Q865" s="81"/>
      <c r="R865" s="79"/>
      <c r="S865" s="79"/>
      <c r="T865" s="79"/>
      <c r="U865" s="79"/>
      <c r="V865" s="79"/>
    </row>
    <row r="866" spans="1:22" ht="12.5" x14ac:dyDescent="0.25">
      <c r="A866" s="79"/>
      <c r="B866" s="79"/>
      <c r="C866" s="79"/>
      <c r="D866" s="79"/>
      <c r="E866" s="79"/>
      <c r="F866" s="77"/>
      <c r="G866" s="79"/>
      <c r="H866" s="79"/>
      <c r="I866" s="79"/>
      <c r="J866" s="78"/>
      <c r="K866" s="79"/>
      <c r="L866" s="79"/>
      <c r="M866" s="79"/>
      <c r="N866" s="77"/>
      <c r="O866" s="79"/>
      <c r="P866" s="81"/>
      <c r="Q866" s="81"/>
      <c r="R866" s="79"/>
      <c r="S866" s="79"/>
      <c r="T866" s="79"/>
      <c r="U866" s="79"/>
      <c r="V866" s="79"/>
    </row>
    <row r="867" spans="1:22" ht="12.5" x14ac:dyDescent="0.25">
      <c r="A867" s="79"/>
      <c r="B867" s="79"/>
      <c r="C867" s="79"/>
      <c r="D867" s="79"/>
      <c r="E867" s="79"/>
      <c r="F867" s="77"/>
      <c r="G867" s="79"/>
      <c r="H867" s="79"/>
      <c r="I867" s="79"/>
      <c r="J867" s="78"/>
      <c r="K867" s="79"/>
      <c r="L867" s="79"/>
      <c r="M867" s="79"/>
      <c r="N867" s="77"/>
      <c r="O867" s="79"/>
      <c r="P867" s="81"/>
      <c r="Q867" s="81"/>
      <c r="R867" s="79"/>
      <c r="S867" s="79"/>
      <c r="T867" s="79"/>
      <c r="U867" s="79"/>
      <c r="V867" s="79"/>
    </row>
    <row r="868" spans="1:22" ht="12.5" x14ac:dyDescent="0.25">
      <c r="A868" s="79"/>
      <c r="B868" s="79"/>
      <c r="C868" s="79"/>
      <c r="D868" s="79"/>
      <c r="E868" s="79"/>
      <c r="F868" s="77"/>
      <c r="G868" s="79"/>
      <c r="H868" s="79"/>
      <c r="I868" s="79"/>
      <c r="J868" s="78"/>
      <c r="K868" s="79"/>
      <c r="L868" s="79"/>
      <c r="M868" s="79"/>
      <c r="N868" s="77"/>
      <c r="O868" s="79"/>
      <c r="P868" s="81"/>
      <c r="Q868" s="81"/>
      <c r="R868" s="79"/>
      <c r="S868" s="79"/>
      <c r="T868" s="79"/>
      <c r="U868" s="79"/>
      <c r="V868" s="79"/>
    </row>
    <row r="869" spans="1:22" ht="12.5" x14ac:dyDescent="0.25">
      <c r="A869" s="79"/>
      <c r="B869" s="79"/>
      <c r="C869" s="79"/>
      <c r="D869" s="79"/>
      <c r="E869" s="79"/>
      <c r="F869" s="77"/>
      <c r="G869" s="79"/>
      <c r="H869" s="79"/>
      <c r="I869" s="79"/>
      <c r="J869" s="78"/>
      <c r="K869" s="79"/>
      <c r="L869" s="79"/>
      <c r="M869" s="79"/>
      <c r="N869" s="77"/>
      <c r="O869" s="79"/>
      <c r="P869" s="81"/>
      <c r="Q869" s="81"/>
      <c r="R869" s="79"/>
      <c r="S869" s="79"/>
      <c r="T869" s="79"/>
      <c r="U869" s="79"/>
      <c r="V869" s="79"/>
    </row>
    <row r="870" spans="1:22" ht="12.5" x14ac:dyDescent="0.25">
      <c r="A870" s="79"/>
      <c r="B870" s="79"/>
      <c r="C870" s="79"/>
      <c r="D870" s="79"/>
      <c r="E870" s="79"/>
      <c r="F870" s="77"/>
      <c r="G870" s="79"/>
      <c r="H870" s="79"/>
      <c r="I870" s="79"/>
      <c r="J870" s="78"/>
      <c r="K870" s="79"/>
      <c r="L870" s="79"/>
      <c r="M870" s="79"/>
      <c r="N870" s="77"/>
      <c r="O870" s="79"/>
      <c r="P870" s="81"/>
      <c r="Q870" s="81"/>
      <c r="R870" s="79"/>
      <c r="S870" s="79"/>
      <c r="T870" s="79"/>
      <c r="U870" s="79"/>
      <c r="V870" s="79"/>
    </row>
    <row r="871" spans="1:22" ht="12.5" x14ac:dyDescent="0.25">
      <c r="A871" s="79"/>
      <c r="B871" s="79"/>
      <c r="C871" s="79"/>
      <c r="D871" s="79"/>
      <c r="E871" s="79"/>
      <c r="F871" s="77"/>
      <c r="G871" s="79"/>
      <c r="H871" s="79"/>
      <c r="I871" s="79"/>
      <c r="J871" s="78"/>
      <c r="K871" s="79"/>
      <c r="L871" s="79"/>
      <c r="M871" s="79"/>
      <c r="N871" s="77"/>
      <c r="O871" s="79"/>
      <c r="P871" s="81"/>
      <c r="Q871" s="81"/>
      <c r="R871" s="79"/>
      <c r="S871" s="79"/>
      <c r="T871" s="79"/>
      <c r="U871" s="79"/>
      <c r="V871" s="79"/>
    </row>
    <row r="872" spans="1:22" ht="12.5" x14ac:dyDescent="0.25">
      <c r="A872" s="79"/>
      <c r="B872" s="79"/>
      <c r="C872" s="79"/>
      <c r="D872" s="79"/>
      <c r="E872" s="79"/>
      <c r="F872" s="77"/>
      <c r="G872" s="79"/>
      <c r="H872" s="79"/>
      <c r="I872" s="79"/>
      <c r="J872" s="78"/>
      <c r="K872" s="79"/>
      <c r="L872" s="79"/>
      <c r="M872" s="79"/>
      <c r="N872" s="77"/>
      <c r="O872" s="79"/>
      <c r="P872" s="81"/>
      <c r="Q872" s="81"/>
      <c r="R872" s="79"/>
      <c r="S872" s="79"/>
      <c r="T872" s="79"/>
      <c r="U872" s="79"/>
      <c r="V872" s="79"/>
    </row>
    <row r="873" spans="1:22" ht="12.5" x14ac:dyDescent="0.25">
      <c r="A873" s="79"/>
      <c r="B873" s="79"/>
      <c r="C873" s="79"/>
      <c r="D873" s="79"/>
      <c r="E873" s="79"/>
      <c r="F873" s="77"/>
      <c r="G873" s="79"/>
      <c r="H873" s="79"/>
      <c r="I873" s="79"/>
      <c r="J873" s="78"/>
      <c r="K873" s="79"/>
      <c r="L873" s="79"/>
      <c r="M873" s="79"/>
      <c r="N873" s="77"/>
      <c r="O873" s="79"/>
      <c r="P873" s="81"/>
      <c r="Q873" s="81"/>
      <c r="R873" s="79"/>
      <c r="S873" s="79"/>
      <c r="T873" s="79"/>
      <c r="U873" s="79"/>
      <c r="V873" s="79"/>
    </row>
    <row r="874" spans="1:22" ht="12.5" x14ac:dyDescent="0.25">
      <c r="A874" s="79"/>
      <c r="B874" s="79"/>
      <c r="C874" s="79"/>
      <c r="D874" s="79"/>
      <c r="E874" s="79"/>
      <c r="F874" s="77"/>
      <c r="G874" s="79"/>
      <c r="H874" s="79"/>
      <c r="I874" s="79"/>
      <c r="J874" s="78"/>
      <c r="K874" s="79"/>
      <c r="L874" s="79"/>
      <c r="M874" s="79"/>
      <c r="N874" s="77"/>
      <c r="O874" s="79"/>
      <c r="P874" s="81"/>
      <c r="Q874" s="81"/>
      <c r="R874" s="79"/>
      <c r="S874" s="79"/>
      <c r="T874" s="79"/>
      <c r="U874" s="79"/>
      <c r="V874" s="79"/>
    </row>
    <row r="875" spans="1:22" ht="12.5" x14ac:dyDescent="0.25">
      <c r="A875" s="79"/>
      <c r="B875" s="79"/>
      <c r="C875" s="79"/>
      <c r="D875" s="79"/>
      <c r="E875" s="79"/>
      <c r="F875" s="77"/>
      <c r="G875" s="79"/>
      <c r="H875" s="79"/>
      <c r="I875" s="79"/>
      <c r="J875" s="78"/>
      <c r="K875" s="79"/>
      <c r="L875" s="79"/>
      <c r="M875" s="79"/>
      <c r="N875" s="77"/>
      <c r="O875" s="79"/>
      <c r="P875" s="81"/>
      <c r="Q875" s="81"/>
      <c r="R875" s="79"/>
      <c r="S875" s="79"/>
      <c r="T875" s="79"/>
      <c r="U875" s="79"/>
      <c r="V875" s="79"/>
    </row>
    <row r="876" spans="1:22" ht="12.5" x14ac:dyDescent="0.25">
      <c r="A876" s="79"/>
      <c r="B876" s="79"/>
      <c r="C876" s="79"/>
      <c r="D876" s="79"/>
      <c r="E876" s="79"/>
      <c r="F876" s="77"/>
      <c r="G876" s="79"/>
      <c r="H876" s="79"/>
      <c r="I876" s="79"/>
      <c r="J876" s="78"/>
      <c r="K876" s="79"/>
      <c r="L876" s="79"/>
      <c r="M876" s="79"/>
      <c r="N876" s="77"/>
      <c r="O876" s="79"/>
      <c r="P876" s="81"/>
      <c r="Q876" s="81"/>
      <c r="R876" s="79"/>
      <c r="S876" s="79"/>
      <c r="T876" s="79"/>
      <c r="U876" s="79"/>
      <c r="V876" s="79"/>
    </row>
    <row r="877" spans="1:22" ht="12.5" x14ac:dyDescent="0.25">
      <c r="A877" s="79"/>
      <c r="B877" s="79"/>
      <c r="C877" s="79"/>
      <c r="D877" s="79"/>
      <c r="E877" s="79"/>
      <c r="F877" s="77"/>
      <c r="G877" s="79"/>
      <c r="H877" s="79"/>
      <c r="I877" s="79"/>
      <c r="J877" s="78"/>
      <c r="K877" s="79"/>
      <c r="L877" s="79"/>
      <c r="M877" s="79"/>
      <c r="N877" s="77"/>
      <c r="O877" s="79"/>
      <c r="P877" s="81"/>
      <c r="Q877" s="81"/>
      <c r="R877" s="79"/>
      <c r="S877" s="79"/>
      <c r="T877" s="79"/>
      <c r="U877" s="79"/>
      <c r="V877" s="79"/>
    </row>
    <row r="878" spans="1:22" ht="12.5" x14ac:dyDescent="0.25">
      <c r="A878" s="79"/>
      <c r="B878" s="79"/>
      <c r="C878" s="79"/>
      <c r="D878" s="79"/>
      <c r="E878" s="79"/>
      <c r="F878" s="77"/>
      <c r="G878" s="79"/>
      <c r="H878" s="79"/>
      <c r="I878" s="79"/>
      <c r="J878" s="78"/>
      <c r="K878" s="79"/>
      <c r="L878" s="79"/>
      <c r="M878" s="79"/>
      <c r="N878" s="77"/>
      <c r="O878" s="79"/>
      <c r="P878" s="81"/>
      <c r="Q878" s="81"/>
      <c r="R878" s="79"/>
      <c r="S878" s="79"/>
      <c r="T878" s="79"/>
      <c r="U878" s="79"/>
      <c r="V878" s="79"/>
    </row>
    <row r="879" spans="1:22" ht="12.5" x14ac:dyDescent="0.25">
      <c r="A879" s="79"/>
      <c r="B879" s="79"/>
      <c r="C879" s="79"/>
      <c r="D879" s="79"/>
      <c r="E879" s="79"/>
      <c r="F879" s="77"/>
      <c r="G879" s="79"/>
      <c r="H879" s="79"/>
      <c r="I879" s="79"/>
      <c r="J879" s="78"/>
      <c r="K879" s="79"/>
      <c r="L879" s="79"/>
      <c r="M879" s="79"/>
      <c r="N879" s="77"/>
      <c r="O879" s="79"/>
      <c r="P879" s="81"/>
      <c r="Q879" s="81"/>
      <c r="R879" s="79"/>
      <c r="S879" s="79"/>
      <c r="T879" s="79"/>
      <c r="U879" s="79"/>
      <c r="V879" s="79"/>
    </row>
    <row r="880" spans="1:22" ht="12.5" x14ac:dyDescent="0.25">
      <c r="A880" s="79"/>
      <c r="B880" s="79"/>
      <c r="C880" s="79"/>
      <c r="D880" s="79"/>
      <c r="E880" s="79"/>
      <c r="F880" s="77"/>
      <c r="G880" s="79"/>
      <c r="H880" s="79"/>
      <c r="I880" s="79"/>
      <c r="J880" s="78"/>
      <c r="K880" s="79"/>
      <c r="L880" s="79"/>
      <c r="M880" s="79"/>
      <c r="N880" s="77"/>
      <c r="O880" s="79"/>
      <c r="P880" s="81"/>
      <c r="Q880" s="81"/>
      <c r="R880" s="79"/>
      <c r="S880" s="79"/>
      <c r="T880" s="79"/>
      <c r="U880" s="79"/>
      <c r="V880" s="79"/>
    </row>
    <row r="881" spans="1:22" ht="12.5" x14ac:dyDescent="0.25">
      <c r="A881" s="79"/>
      <c r="B881" s="79"/>
      <c r="C881" s="79"/>
      <c r="D881" s="79"/>
      <c r="E881" s="79"/>
      <c r="F881" s="77"/>
      <c r="G881" s="79"/>
      <c r="H881" s="79"/>
      <c r="I881" s="79"/>
      <c r="J881" s="78"/>
      <c r="K881" s="79"/>
      <c r="L881" s="79"/>
      <c r="M881" s="79"/>
      <c r="N881" s="77"/>
      <c r="O881" s="79"/>
      <c r="P881" s="81"/>
      <c r="Q881" s="81"/>
      <c r="R881" s="79"/>
      <c r="S881" s="79"/>
      <c r="T881" s="79"/>
      <c r="U881" s="79"/>
      <c r="V881" s="79"/>
    </row>
    <row r="882" spans="1:22" ht="12.5" x14ac:dyDescent="0.25">
      <c r="A882" s="79"/>
      <c r="B882" s="79"/>
      <c r="C882" s="79"/>
      <c r="D882" s="79"/>
      <c r="E882" s="79"/>
      <c r="F882" s="77"/>
      <c r="G882" s="79"/>
      <c r="H882" s="79"/>
      <c r="I882" s="79"/>
      <c r="J882" s="78"/>
      <c r="K882" s="79"/>
      <c r="L882" s="79"/>
      <c r="M882" s="79"/>
      <c r="N882" s="77"/>
      <c r="O882" s="79"/>
      <c r="P882" s="81"/>
      <c r="Q882" s="81"/>
      <c r="R882" s="79"/>
      <c r="S882" s="79"/>
      <c r="T882" s="79"/>
      <c r="U882" s="79"/>
      <c r="V882" s="79"/>
    </row>
    <row r="883" spans="1:22" ht="12.5" x14ac:dyDescent="0.25">
      <c r="A883" s="79"/>
      <c r="B883" s="79"/>
      <c r="C883" s="79"/>
      <c r="D883" s="79"/>
      <c r="E883" s="79"/>
      <c r="F883" s="77"/>
      <c r="G883" s="79"/>
      <c r="H883" s="79"/>
      <c r="I883" s="79"/>
      <c r="J883" s="78"/>
      <c r="K883" s="79"/>
      <c r="L883" s="79"/>
      <c r="M883" s="79"/>
      <c r="N883" s="77"/>
      <c r="O883" s="79"/>
      <c r="P883" s="81"/>
      <c r="Q883" s="81"/>
      <c r="R883" s="79"/>
      <c r="S883" s="79"/>
      <c r="T883" s="79"/>
      <c r="U883" s="79"/>
      <c r="V883" s="79"/>
    </row>
    <row r="884" spans="1:22" ht="12.5" x14ac:dyDescent="0.25">
      <c r="A884" s="79"/>
      <c r="B884" s="79"/>
      <c r="C884" s="79"/>
      <c r="D884" s="79"/>
      <c r="E884" s="79"/>
      <c r="F884" s="77"/>
      <c r="G884" s="79"/>
      <c r="H884" s="79"/>
      <c r="I884" s="79"/>
      <c r="J884" s="78"/>
      <c r="K884" s="79"/>
      <c r="L884" s="79"/>
      <c r="M884" s="79"/>
      <c r="N884" s="77"/>
      <c r="O884" s="79"/>
      <c r="P884" s="81"/>
      <c r="Q884" s="81"/>
      <c r="R884" s="79"/>
      <c r="S884" s="79"/>
      <c r="T884" s="79"/>
      <c r="U884" s="79"/>
      <c r="V884" s="79"/>
    </row>
    <row r="885" spans="1:22" ht="12.5" x14ac:dyDescent="0.25">
      <c r="A885" s="79"/>
      <c r="B885" s="79"/>
      <c r="C885" s="79"/>
      <c r="D885" s="79"/>
      <c r="E885" s="79"/>
      <c r="F885" s="77"/>
      <c r="G885" s="79"/>
      <c r="H885" s="79"/>
      <c r="I885" s="79"/>
      <c r="J885" s="78"/>
      <c r="K885" s="79"/>
      <c r="L885" s="79"/>
      <c r="M885" s="79"/>
      <c r="N885" s="77"/>
      <c r="O885" s="79"/>
      <c r="P885" s="81"/>
      <c r="Q885" s="81"/>
      <c r="R885" s="79"/>
      <c r="S885" s="79"/>
      <c r="T885" s="79"/>
      <c r="U885" s="79"/>
      <c r="V885" s="79"/>
    </row>
    <row r="886" spans="1:22" ht="12.5" x14ac:dyDescent="0.25">
      <c r="A886" s="79"/>
      <c r="B886" s="79"/>
      <c r="C886" s="79"/>
      <c r="D886" s="79"/>
      <c r="E886" s="79"/>
      <c r="F886" s="77"/>
      <c r="G886" s="79"/>
      <c r="H886" s="79"/>
      <c r="I886" s="79"/>
      <c r="J886" s="78"/>
      <c r="K886" s="79"/>
      <c r="L886" s="79"/>
      <c r="M886" s="79"/>
      <c r="N886" s="77"/>
      <c r="O886" s="79"/>
      <c r="P886" s="81"/>
      <c r="Q886" s="81"/>
      <c r="R886" s="79"/>
      <c r="S886" s="79"/>
      <c r="T886" s="79"/>
      <c r="U886" s="79"/>
      <c r="V886" s="79"/>
    </row>
    <row r="887" spans="1:22" ht="12.5" x14ac:dyDescent="0.25">
      <c r="A887" s="79"/>
      <c r="B887" s="79"/>
      <c r="C887" s="79"/>
      <c r="D887" s="79"/>
      <c r="E887" s="79"/>
      <c r="F887" s="77"/>
      <c r="G887" s="79"/>
      <c r="H887" s="79"/>
      <c r="I887" s="79"/>
      <c r="J887" s="78"/>
      <c r="K887" s="79"/>
      <c r="L887" s="79"/>
      <c r="M887" s="79"/>
      <c r="N887" s="77"/>
      <c r="O887" s="79"/>
      <c r="P887" s="81"/>
      <c r="Q887" s="81"/>
      <c r="R887" s="79"/>
      <c r="S887" s="79"/>
      <c r="T887" s="79"/>
      <c r="U887" s="79"/>
      <c r="V887" s="79"/>
    </row>
    <row r="888" spans="1:22" ht="12.5" x14ac:dyDescent="0.25">
      <c r="A888" s="79"/>
      <c r="B888" s="79"/>
      <c r="C888" s="79"/>
      <c r="D888" s="79"/>
      <c r="E888" s="79"/>
      <c r="F888" s="77"/>
      <c r="G888" s="79"/>
      <c r="H888" s="79"/>
      <c r="I888" s="79"/>
      <c r="J888" s="78"/>
      <c r="K888" s="79"/>
      <c r="L888" s="79"/>
      <c r="M888" s="79"/>
      <c r="N888" s="77"/>
      <c r="O888" s="79"/>
      <c r="P888" s="81"/>
      <c r="Q888" s="81"/>
      <c r="R888" s="79"/>
      <c r="S888" s="79"/>
      <c r="T888" s="79"/>
      <c r="U888" s="79"/>
      <c r="V888" s="79"/>
    </row>
    <row r="889" spans="1:22" ht="12.5" x14ac:dyDescent="0.25">
      <c r="A889" s="79"/>
      <c r="B889" s="79"/>
      <c r="C889" s="79"/>
      <c r="D889" s="79"/>
      <c r="E889" s="79"/>
      <c r="F889" s="77"/>
      <c r="G889" s="79"/>
      <c r="H889" s="79"/>
      <c r="I889" s="79"/>
      <c r="J889" s="78"/>
      <c r="K889" s="79"/>
      <c r="L889" s="79"/>
      <c r="M889" s="79"/>
      <c r="N889" s="77"/>
      <c r="O889" s="79"/>
      <c r="P889" s="81"/>
      <c r="Q889" s="81"/>
      <c r="R889" s="79"/>
      <c r="S889" s="79"/>
      <c r="T889" s="79"/>
      <c r="U889" s="79"/>
      <c r="V889" s="79"/>
    </row>
    <row r="890" spans="1:22" ht="12.5" x14ac:dyDescent="0.25">
      <c r="A890" s="79"/>
      <c r="B890" s="79"/>
      <c r="C890" s="79"/>
      <c r="D890" s="79"/>
      <c r="E890" s="79"/>
      <c r="F890" s="77"/>
      <c r="G890" s="79"/>
      <c r="H890" s="79"/>
      <c r="I890" s="79"/>
      <c r="J890" s="78"/>
      <c r="K890" s="79"/>
      <c r="L890" s="79"/>
      <c r="M890" s="79"/>
      <c r="N890" s="77"/>
      <c r="O890" s="79"/>
      <c r="P890" s="81"/>
      <c r="Q890" s="81"/>
      <c r="R890" s="79"/>
      <c r="S890" s="79"/>
      <c r="T890" s="79"/>
      <c r="U890" s="79"/>
      <c r="V890" s="79"/>
    </row>
    <row r="891" spans="1:22" ht="12.5" x14ac:dyDescent="0.25">
      <c r="A891" s="79"/>
      <c r="B891" s="79"/>
      <c r="C891" s="79"/>
      <c r="D891" s="79"/>
      <c r="E891" s="79"/>
      <c r="F891" s="77"/>
      <c r="G891" s="79"/>
      <c r="H891" s="79"/>
      <c r="I891" s="79"/>
      <c r="J891" s="78"/>
      <c r="K891" s="79"/>
      <c r="L891" s="79"/>
      <c r="M891" s="79"/>
      <c r="N891" s="77"/>
      <c r="O891" s="79"/>
      <c r="P891" s="81"/>
      <c r="Q891" s="81"/>
      <c r="R891" s="79"/>
      <c r="S891" s="79"/>
      <c r="T891" s="79"/>
      <c r="U891" s="79"/>
      <c r="V891" s="79"/>
    </row>
    <row r="892" spans="1:22" ht="12.5" x14ac:dyDescent="0.25">
      <c r="A892" s="79"/>
      <c r="B892" s="79"/>
      <c r="C892" s="79"/>
      <c r="D892" s="79"/>
      <c r="E892" s="79"/>
      <c r="F892" s="77"/>
      <c r="G892" s="79"/>
      <c r="H892" s="79"/>
      <c r="I892" s="79"/>
      <c r="J892" s="78"/>
      <c r="K892" s="79"/>
      <c r="L892" s="79"/>
      <c r="M892" s="79"/>
      <c r="N892" s="77"/>
      <c r="O892" s="79"/>
      <c r="P892" s="81"/>
      <c r="Q892" s="81"/>
      <c r="R892" s="79"/>
      <c r="S892" s="79"/>
      <c r="T892" s="79"/>
      <c r="U892" s="79"/>
      <c r="V892" s="79"/>
    </row>
    <row r="893" spans="1:22" ht="12.5" x14ac:dyDescent="0.25">
      <c r="A893" s="79"/>
      <c r="B893" s="79"/>
      <c r="C893" s="79"/>
      <c r="D893" s="79"/>
      <c r="E893" s="79"/>
      <c r="F893" s="77"/>
      <c r="G893" s="79"/>
      <c r="H893" s="79"/>
      <c r="I893" s="79"/>
      <c r="J893" s="78"/>
      <c r="K893" s="79"/>
      <c r="L893" s="79"/>
      <c r="M893" s="79"/>
      <c r="N893" s="77"/>
      <c r="O893" s="79"/>
      <c r="P893" s="81"/>
      <c r="Q893" s="81"/>
      <c r="R893" s="79"/>
      <c r="S893" s="79"/>
      <c r="T893" s="79"/>
      <c r="U893" s="79"/>
      <c r="V893" s="79"/>
    </row>
    <row r="894" spans="1:22" ht="12.5" x14ac:dyDescent="0.25">
      <c r="A894" s="79"/>
      <c r="B894" s="79"/>
      <c r="C894" s="79"/>
      <c r="D894" s="79"/>
      <c r="E894" s="79"/>
      <c r="F894" s="77"/>
      <c r="G894" s="79"/>
      <c r="H894" s="79"/>
      <c r="I894" s="79"/>
      <c r="J894" s="78"/>
      <c r="K894" s="79"/>
      <c r="L894" s="79"/>
      <c r="M894" s="79"/>
      <c r="N894" s="77"/>
      <c r="O894" s="79"/>
      <c r="P894" s="81"/>
      <c r="Q894" s="81"/>
      <c r="R894" s="79"/>
      <c r="S894" s="79"/>
      <c r="T894" s="79"/>
      <c r="U894" s="79"/>
      <c r="V894" s="79"/>
    </row>
    <row r="895" spans="1:22" ht="12.5" x14ac:dyDescent="0.25">
      <c r="A895" s="79"/>
      <c r="B895" s="79"/>
      <c r="C895" s="79"/>
      <c r="D895" s="79"/>
      <c r="E895" s="79"/>
      <c r="F895" s="77"/>
      <c r="G895" s="79"/>
      <c r="H895" s="79"/>
      <c r="I895" s="79"/>
      <c r="J895" s="78"/>
      <c r="K895" s="79"/>
      <c r="L895" s="79"/>
      <c r="M895" s="79"/>
      <c r="N895" s="77"/>
      <c r="O895" s="79"/>
      <c r="P895" s="81"/>
      <c r="Q895" s="81"/>
      <c r="R895" s="79"/>
      <c r="S895" s="79"/>
      <c r="T895" s="79"/>
      <c r="U895" s="79"/>
      <c r="V895" s="79"/>
    </row>
    <row r="896" spans="1:22" ht="12.5" x14ac:dyDescent="0.25">
      <c r="A896" s="79"/>
      <c r="B896" s="79"/>
      <c r="C896" s="79"/>
      <c r="D896" s="79"/>
      <c r="E896" s="79"/>
      <c r="F896" s="77"/>
      <c r="G896" s="79"/>
      <c r="H896" s="79"/>
      <c r="I896" s="79"/>
      <c r="J896" s="78"/>
      <c r="K896" s="79"/>
      <c r="L896" s="79"/>
      <c r="M896" s="79"/>
      <c r="N896" s="77"/>
      <c r="O896" s="79"/>
      <c r="P896" s="81"/>
      <c r="Q896" s="81"/>
      <c r="R896" s="79"/>
      <c r="S896" s="79"/>
      <c r="T896" s="79"/>
      <c r="U896" s="79"/>
      <c r="V896" s="79"/>
    </row>
    <row r="897" spans="1:22" ht="12.5" x14ac:dyDescent="0.25">
      <c r="A897" s="79"/>
      <c r="B897" s="79"/>
      <c r="C897" s="79"/>
      <c r="D897" s="79"/>
      <c r="E897" s="79"/>
      <c r="F897" s="77"/>
      <c r="G897" s="79"/>
      <c r="H897" s="79"/>
      <c r="I897" s="79"/>
      <c r="J897" s="78"/>
      <c r="K897" s="79"/>
      <c r="L897" s="79"/>
      <c r="M897" s="79"/>
      <c r="N897" s="77"/>
      <c r="O897" s="79"/>
      <c r="P897" s="81"/>
      <c r="Q897" s="81"/>
      <c r="R897" s="79"/>
      <c r="S897" s="79"/>
      <c r="T897" s="79"/>
      <c r="U897" s="79"/>
      <c r="V897" s="79"/>
    </row>
    <row r="898" spans="1:22" ht="12.5" x14ac:dyDescent="0.25">
      <c r="A898" s="79"/>
      <c r="B898" s="79"/>
      <c r="C898" s="79"/>
      <c r="D898" s="79"/>
      <c r="E898" s="79"/>
      <c r="F898" s="77"/>
      <c r="G898" s="79"/>
      <c r="H898" s="79"/>
      <c r="I898" s="79"/>
      <c r="J898" s="78"/>
      <c r="K898" s="79"/>
      <c r="L898" s="79"/>
      <c r="M898" s="79"/>
      <c r="N898" s="77"/>
      <c r="O898" s="79"/>
      <c r="P898" s="81"/>
      <c r="Q898" s="81"/>
      <c r="R898" s="79"/>
      <c r="S898" s="79"/>
      <c r="T898" s="79"/>
      <c r="U898" s="79"/>
      <c r="V898" s="79"/>
    </row>
    <row r="899" spans="1:22" ht="12.5" x14ac:dyDescent="0.25">
      <c r="A899" s="79"/>
      <c r="B899" s="79"/>
      <c r="C899" s="79"/>
      <c r="D899" s="79"/>
      <c r="E899" s="79"/>
      <c r="F899" s="77"/>
      <c r="G899" s="79"/>
      <c r="H899" s="79"/>
      <c r="I899" s="79"/>
      <c r="J899" s="78"/>
      <c r="K899" s="79"/>
      <c r="L899" s="79"/>
      <c r="M899" s="79"/>
      <c r="N899" s="77"/>
      <c r="O899" s="79"/>
      <c r="P899" s="81"/>
      <c r="Q899" s="81"/>
      <c r="R899" s="79"/>
      <c r="S899" s="79"/>
      <c r="T899" s="79"/>
      <c r="U899" s="79"/>
      <c r="V899" s="79"/>
    </row>
    <row r="900" spans="1:22" ht="12.5" x14ac:dyDescent="0.25">
      <c r="A900" s="79"/>
      <c r="B900" s="79"/>
      <c r="C900" s="79"/>
      <c r="D900" s="79"/>
      <c r="E900" s="79"/>
      <c r="F900" s="77"/>
      <c r="G900" s="79"/>
      <c r="H900" s="79"/>
      <c r="I900" s="79"/>
      <c r="J900" s="78"/>
      <c r="K900" s="79"/>
      <c r="L900" s="79"/>
      <c r="M900" s="79"/>
      <c r="N900" s="77"/>
      <c r="O900" s="79"/>
      <c r="P900" s="81"/>
      <c r="Q900" s="81"/>
      <c r="R900" s="79"/>
      <c r="S900" s="79"/>
      <c r="T900" s="79"/>
      <c r="U900" s="79"/>
      <c r="V900" s="79"/>
    </row>
    <row r="901" spans="1:22" ht="12.5" x14ac:dyDescent="0.25">
      <c r="A901" s="79"/>
      <c r="B901" s="79"/>
      <c r="C901" s="79"/>
      <c r="D901" s="79"/>
      <c r="E901" s="79"/>
      <c r="F901" s="77"/>
      <c r="G901" s="79"/>
      <c r="H901" s="79"/>
      <c r="I901" s="79"/>
      <c r="J901" s="78"/>
      <c r="K901" s="79"/>
      <c r="L901" s="79"/>
      <c r="M901" s="79"/>
      <c r="N901" s="77"/>
      <c r="O901" s="79"/>
      <c r="P901" s="81"/>
      <c r="Q901" s="81"/>
      <c r="R901" s="79"/>
      <c r="S901" s="79"/>
      <c r="T901" s="79"/>
      <c r="U901" s="79"/>
      <c r="V901" s="79"/>
    </row>
    <row r="902" spans="1:22" ht="12.5" x14ac:dyDescent="0.25">
      <c r="A902" s="79"/>
      <c r="B902" s="79"/>
      <c r="C902" s="79"/>
      <c r="D902" s="79"/>
      <c r="E902" s="79"/>
      <c r="F902" s="77"/>
      <c r="G902" s="79"/>
      <c r="H902" s="79"/>
      <c r="I902" s="79"/>
      <c r="J902" s="78"/>
      <c r="K902" s="79"/>
      <c r="L902" s="79"/>
      <c r="M902" s="79"/>
      <c r="N902" s="77"/>
      <c r="O902" s="79"/>
      <c r="P902" s="81"/>
      <c r="Q902" s="81"/>
      <c r="R902" s="79"/>
      <c r="S902" s="79"/>
      <c r="T902" s="79"/>
      <c r="U902" s="79"/>
      <c r="V902" s="79"/>
    </row>
    <row r="903" spans="1:22" ht="12.5" x14ac:dyDescent="0.25">
      <c r="A903" s="79"/>
      <c r="B903" s="79"/>
      <c r="C903" s="79"/>
      <c r="D903" s="79"/>
      <c r="E903" s="79"/>
      <c r="F903" s="77"/>
      <c r="G903" s="79"/>
      <c r="H903" s="79"/>
      <c r="I903" s="79"/>
      <c r="J903" s="78"/>
      <c r="K903" s="79"/>
      <c r="L903" s="79"/>
      <c r="M903" s="79"/>
      <c r="N903" s="77"/>
      <c r="O903" s="79"/>
      <c r="P903" s="81"/>
      <c r="Q903" s="81"/>
      <c r="R903" s="79"/>
      <c r="S903" s="79"/>
      <c r="T903" s="79"/>
      <c r="U903" s="79"/>
      <c r="V903" s="79"/>
    </row>
    <row r="904" spans="1:22" ht="12.5" x14ac:dyDescent="0.25">
      <c r="A904" s="79"/>
      <c r="B904" s="79"/>
      <c r="C904" s="79"/>
      <c r="D904" s="79"/>
      <c r="E904" s="79"/>
      <c r="F904" s="77"/>
      <c r="G904" s="79"/>
      <c r="H904" s="79"/>
      <c r="I904" s="79"/>
      <c r="J904" s="78"/>
      <c r="K904" s="79"/>
      <c r="L904" s="79"/>
      <c r="M904" s="79"/>
      <c r="N904" s="77"/>
      <c r="O904" s="79"/>
      <c r="P904" s="81"/>
      <c r="Q904" s="81"/>
      <c r="R904" s="79"/>
      <c r="S904" s="79"/>
      <c r="T904" s="79"/>
      <c r="U904" s="79"/>
      <c r="V904" s="79"/>
    </row>
    <row r="905" spans="1:22" ht="12.5" x14ac:dyDescent="0.25">
      <c r="A905" s="79"/>
      <c r="B905" s="79"/>
      <c r="C905" s="79"/>
      <c r="D905" s="79"/>
      <c r="E905" s="79"/>
      <c r="F905" s="77"/>
      <c r="G905" s="79"/>
      <c r="H905" s="79"/>
      <c r="I905" s="79"/>
      <c r="J905" s="78"/>
      <c r="K905" s="79"/>
      <c r="L905" s="79"/>
      <c r="M905" s="79"/>
      <c r="N905" s="77"/>
      <c r="O905" s="79"/>
      <c r="P905" s="81"/>
      <c r="Q905" s="81"/>
      <c r="R905" s="79"/>
      <c r="S905" s="79"/>
      <c r="T905" s="79"/>
      <c r="U905" s="79"/>
      <c r="V905" s="79"/>
    </row>
    <row r="906" spans="1:22" ht="12.5" x14ac:dyDescent="0.25">
      <c r="A906" s="79"/>
      <c r="B906" s="79"/>
      <c r="C906" s="79"/>
      <c r="D906" s="79"/>
      <c r="E906" s="79"/>
      <c r="F906" s="77"/>
      <c r="G906" s="79"/>
      <c r="H906" s="79"/>
      <c r="I906" s="79"/>
      <c r="J906" s="78"/>
      <c r="K906" s="79"/>
      <c r="L906" s="79"/>
      <c r="M906" s="79"/>
      <c r="N906" s="77"/>
      <c r="O906" s="79"/>
      <c r="P906" s="81"/>
      <c r="Q906" s="81"/>
      <c r="R906" s="79"/>
      <c r="S906" s="79"/>
      <c r="T906" s="79"/>
      <c r="U906" s="79"/>
      <c r="V906" s="79"/>
    </row>
    <row r="907" spans="1:22" ht="12.5" x14ac:dyDescent="0.25">
      <c r="A907" s="79"/>
      <c r="B907" s="79"/>
      <c r="C907" s="79"/>
      <c r="D907" s="79"/>
      <c r="E907" s="79"/>
      <c r="F907" s="77"/>
      <c r="G907" s="79"/>
      <c r="H907" s="79"/>
      <c r="I907" s="79"/>
      <c r="J907" s="78"/>
      <c r="K907" s="79"/>
      <c r="L907" s="79"/>
      <c r="M907" s="79"/>
      <c r="N907" s="77"/>
      <c r="O907" s="79"/>
      <c r="P907" s="81"/>
      <c r="Q907" s="81"/>
      <c r="R907" s="79"/>
      <c r="S907" s="79"/>
      <c r="T907" s="79"/>
      <c r="U907" s="79"/>
      <c r="V907" s="79"/>
    </row>
    <row r="908" spans="1:22" ht="12.5" x14ac:dyDescent="0.25">
      <c r="A908" s="79"/>
      <c r="B908" s="79"/>
      <c r="C908" s="79"/>
      <c r="D908" s="79"/>
      <c r="E908" s="79"/>
      <c r="F908" s="77"/>
      <c r="G908" s="79"/>
      <c r="H908" s="79"/>
      <c r="I908" s="79"/>
      <c r="J908" s="78"/>
      <c r="K908" s="79"/>
      <c r="L908" s="79"/>
      <c r="M908" s="79"/>
      <c r="N908" s="77"/>
      <c r="O908" s="79"/>
      <c r="P908" s="81"/>
      <c r="Q908" s="81"/>
      <c r="R908" s="79"/>
      <c r="S908" s="79"/>
      <c r="T908" s="79"/>
      <c r="U908" s="79"/>
      <c r="V908" s="79"/>
    </row>
    <row r="909" spans="1:22" ht="12.5" x14ac:dyDescent="0.25">
      <c r="A909" s="79"/>
      <c r="B909" s="79"/>
      <c r="C909" s="79"/>
      <c r="D909" s="79"/>
      <c r="E909" s="79"/>
      <c r="F909" s="77"/>
      <c r="G909" s="79"/>
      <c r="H909" s="79"/>
      <c r="I909" s="79"/>
      <c r="J909" s="78"/>
      <c r="K909" s="79"/>
      <c r="L909" s="79"/>
      <c r="M909" s="79"/>
      <c r="N909" s="77"/>
      <c r="O909" s="79"/>
      <c r="P909" s="81"/>
      <c r="Q909" s="81"/>
      <c r="R909" s="79"/>
      <c r="S909" s="79"/>
      <c r="T909" s="79"/>
      <c r="U909" s="79"/>
      <c r="V909" s="79"/>
    </row>
    <row r="910" spans="1:22" ht="12.5" x14ac:dyDescent="0.25">
      <c r="A910" s="79"/>
      <c r="B910" s="79"/>
      <c r="C910" s="79"/>
      <c r="D910" s="79"/>
      <c r="E910" s="79"/>
      <c r="F910" s="77"/>
      <c r="G910" s="79"/>
      <c r="H910" s="79"/>
      <c r="I910" s="79"/>
      <c r="J910" s="78"/>
      <c r="K910" s="79"/>
      <c r="L910" s="79"/>
      <c r="M910" s="79"/>
      <c r="N910" s="77"/>
      <c r="O910" s="79"/>
      <c r="P910" s="81"/>
      <c r="Q910" s="81"/>
      <c r="R910" s="79"/>
      <c r="S910" s="79"/>
      <c r="T910" s="79"/>
      <c r="U910" s="79"/>
      <c r="V910" s="79"/>
    </row>
    <row r="911" spans="1:22" ht="12.5" x14ac:dyDescent="0.25">
      <c r="A911" s="79"/>
      <c r="B911" s="79"/>
      <c r="C911" s="79"/>
      <c r="D911" s="79"/>
      <c r="E911" s="79"/>
      <c r="F911" s="77"/>
      <c r="G911" s="79"/>
      <c r="H911" s="79"/>
      <c r="I911" s="79"/>
      <c r="J911" s="78"/>
      <c r="K911" s="79"/>
      <c r="L911" s="79"/>
      <c r="M911" s="79"/>
      <c r="N911" s="77"/>
      <c r="O911" s="79"/>
      <c r="P911" s="81"/>
      <c r="Q911" s="81"/>
      <c r="R911" s="79"/>
      <c r="S911" s="79"/>
      <c r="T911" s="79"/>
      <c r="U911" s="79"/>
      <c r="V911" s="79"/>
    </row>
    <row r="912" spans="1:22" ht="12.5" x14ac:dyDescent="0.25">
      <c r="A912" s="79"/>
      <c r="B912" s="79"/>
      <c r="C912" s="79"/>
      <c r="D912" s="79"/>
      <c r="E912" s="79"/>
      <c r="F912" s="77"/>
      <c r="G912" s="79"/>
      <c r="H912" s="79"/>
      <c r="I912" s="79"/>
      <c r="J912" s="78"/>
      <c r="K912" s="79"/>
      <c r="L912" s="79"/>
      <c r="M912" s="79"/>
      <c r="N912" s="77"/>
      <c r="O912" s="79"/>
      <c r="P912" s="81"/>
      <c r="Q912" s="81"/>
      <c r="R912" s="79"/>
      <c r="S912" s="79"/>
      <c r="T912" s="79"/>
      <c r="U912" s="79"/>
      <c r="V912" s="79"/>
    </row>
    <row r="913" spans="1:22" ht="12.5" x14ac:dyDescent="0.25">
      <c r="A913" s="79"/>
      <c r="B913" s="79"/>
      <c r="C913" s="79"/>
      <c r="D913" s="79"/>
      <c r="E913" s="79"/>
      <c r="F913" s="77"/>
      <c r="G913" s="79"/>
      <c r="H913" s="79"/>
      <c r="I913" s="79"/>
      <c r="J913" s="78"/>
      <c r="K913" s="79"/>
      <c r="L913" s="79"/>
      <c r="M913" s="79"/>
      <c r="N913" s="77"/>
      <c r="O913" s="79"/>
      <c r="P913" s="81"/>
      <c r="Q913" s="81"/>
      <c r="R913" s="79"/>
      <c r="S913" s="79"/>
      <c r="T913" s="79"/>
      <c r="U913" s="79"/>
      <c r="V913" s="79"/>
    </row>
    <row r="914" spans="1:22" ht="12.5" x14ac:dyDescent="0.25">
      <c r="A914" s="79"/>
      <c r="B914" s="79"/>
      <c r="C914" s="79"/>
      <c r="D914" s="79"/>
      <c r="E914" s="79"/>
      <c r="F914" s="77"/>
      <c r="G914" s="79"/>
      <c r="H914" s="79"/>
      <c r="I914" s="79"/>
      <c r="J914" s="78"/>
      <c r="K914" s="79"/>
      <c r="L914" s="79"/>
      <c r="M914" s="79"/>
      <c r="N914" s="77"/>
      <c r="O914" s="79"/>
      <c r="P914" s="81"/>
      <c r="Q914" s="81"/>
      <c r="R914" s="79"/>
      <c r="S914" s="79"/>
      <c r="T914" s="79"/>
      <c r="U914" s="79"/>
      <c r="V914" s="79"/>
    </row>
    <row r="915" spans="1:22" ht="12.5" x14ac:dyDescent="0.25">
      <c r="A915" s="79"/>
      <c r="B915" s="79"/>
      <c r="C915" s="79"/>
      <c r="D915" s="79"/>
      <c r="E915" s="79"/>
      <c r="F915" s="77"/>
      <c r="G915" s="79"/>
      <c r="H915" s="79"/>
      <c r="I915" s="79"/>
      <c r="J915" s="78"/>
      <c r="K915" s="79"/>
      <c r="L915" s="79"/>
      <c r="M915" s="79"/>
      <c r="N915" s="77"/>
      <c r="O915" s="79"/>
      <c r="P915" s="81"/>
      <c r="Q915" s="81"/>
      <c r="R915" s="79"/>
      <c r="S915" s="79"/>
      <c r="T915" s="79"/>
      <c r="U915" s="79"/>
      <c r="V915" s="79"/>
    </row>
    <row r="916" spans="1:22" ht="12.5" x14ac:dyDescent="0.25">
      <c r="A916" s="79"/>
      <c r="B916" s="79"/>
      <c r="C916" s="79"/>
      <c r="D916" s="79"/>
      <c r="E916" s="79"/>
      <c r="F916" s="77"/>
      <c r="G916" s="79"/>
      <c r="H916" s="79"/>
      <c r="I916" s="79"/>
      <c r="J916" s="78"/>
      <c r="K916" s="79"/>
      <c r="L916" s="79"/>
      <c r="M916" s="79"/>
      <c r="N916" s="77"/>
      <c r="O916" s="79"/>
      <c r="P916" s="81"/>
      <c r="Q916" s="81"/>
      <c r="R916" s="79"/>
      <c r="S916" s="79"/>
      <c r="T916" s="79"/>
      <c r="U916" s="79"/>
      <c r="V916" s="79"/>
    </row>
    <row r="917" spans="1:22" ht="12.5" x14ac:dyDescent="0.25">
      <c r="A917" s="79"/>
      <c r="B917" s="79"/>
      <c r="C917" s="79"/>
      <c r="D917" s="79"/>
      <c r="E917" s="79"/>
      <c r="F917" s="77"/>
      <c r="G917" s="79"/>
      <c r="H917" s="79"/>
      <c r="I917" s="79"/>
      <c r="J917" s="78"/>
      <c r="K917" s="79"/>
      <c r="L917" s="79"/>
      <c r="M917" s="79"/>
      <c r="N917" s="77"/>
      <c r="O917" s="79"/>
      <c r="P917" s="81"/>
      <c r="Q917" s="81"/>
      <c r="R917" s="79"/>
      <c r="S917" s="79"/>
      <c r="T917" s="79"/>
      <c r="U917" s="79"/>
      <c r="V917" s="79"/>
    </row>
    <row r="918" spans="1:22" ht="12.5" x14ac:dyDescent="0.25">
      <c r="A918" s="79"/>
      <c r="B918" s="79"/>
      <c r="C918" s="79"/>
      <c r="D918" s="79"/>
      <c r="E918" s="79"/>
      <c r="F918" s="77"/>
      <c r="G918" s="79"/>
      <c r="H918" s="79"/>
      <c r="I918" s="79"/>
      <c r="J918" s="78"/>
      <c r="K918" s="79"/>
      <c r="L918" s="79"/>
      <c r="M918" s="79"/>
      <c r="N918" s="77"/>
      <c r="O918" s="79"/>
      <c r="P918" s="81"/>
      <c r="Q918" s="81"/>
      <c r="R918" s="79"/>
      <c r="S918" s="79"/>
      <c r="T918" s="79"/>
      <c r="U918" s="79"/>
      <c r="V918" s="79"/>
    </row>
    <row r="919" spans="1:22" ht="12.5" x14ac:dyDescent="0.25">
      <c r="A919" s="79"/>
      <c r="B919" s="79"/>
      <c r="C919" s="79"/>
      <c r="D919" s="79"/>
      <c r="E919" s="79"/>
      <c r="F919" s="77"/>
      <c r="G919" s="79"/>
      <c r="H919" s="79"/>
      <c r="I919" s="79"/>
      <c r="J919" s="78"/>
      <c r="K919" s="79"/>
      <c r="L919" s="79"/>
      <c r="M919" s="79"/>
      <c r="N919" s="77"/>
      <c r="O919" s="79"/>
      <c r="P919" s="81"/>
      <c r="Q919" s="81"/>
      <c r="R919" s="79"/>
      <c r="S919" s="79"/>
      <c r="T919" s="79"/>
      <c r="U919" s="79"/>
      <c r="V919" s="79"/>
    </row>
    <row r="920" spans="1:22" ht="12.5" x14ac:dyDescent="0.25">
      <c r="A920" s="79"/>
      <c r="B920" s="79"/>
      <c r="C920" s="79"/>
      <c r="D920" s="79"/>
      <c r="E920" s="79"/>
      <c r="F920" s="77"/>
      <c r="G920" s="79"/>
      <c r="H920" s="79"/>
      <c r="I920" s="79"/>
      <c r="J920" s="78"/>
      <c r="K920" s="79"/>
      <c r="L920" s="79"/>
      <c r="M920" s="79"/>
      <c r="N920" s="77"/>
      <c r="O920" s="79"/>
      <c r="P920" s="81"/>
      <c r="Q920" s="81"/>
      <c r="R920" s="79"/>
      <c r="S920" s="79"/>
      <c r="T920" s="79"/>
      <c r="U920" s="79"/>
      <c r="V920" s="79"/>
    </row>
    <row r="921" spans="1:22" ht="12.5" x14ac:dyDescent="0.25">
      <c r="A921" s="79"/>
      <c r="B921" s="79"/>
      <c r="C921" s="79"/>
      <c r="D921" s="79"/>
      <c r="E921" s="79"/>
      <c r="F921" s="77"/>
      <c r="G921" s="79"/>
      <c r="H921" s="79"/>
      <c r="I921" s="79"/>
      <c r="J921" s="78"/>
      <c r="K921" s="79"/>
      <c r="L921" s="79"/>
      <c r="M921" s="79"/>
      <c r="N921" s="77"/>
      <c r="O921" s="79"/>
      <c r="P921" s="81"/>
      <c r="Q921" s="81"/>
      <c r="R921" s="79"/>
      <c r="S921" s="79"/>
      <c r="T921" s="79"/>
      <c r="U921" s="79"/>
      <c r="V921" s="79"/>
    </row>
    <row r="922" spans="1:22" ht="12.5" x14ac:dyDescent="0.25">
      <c r="A922" s="79"/>
      <c r="B922" s="79"/>
      <c r="C922" s="79"/>
      <c r="D922" s="79"/>
      <c r="E922" s="79"/>
      <c r="F922" s="77"/>
      <c r="G922" s="79"/>
      <c r="H922" s="79"/>
      <c r="I922" s="79"/>
      <c r="J922" s="78"/>
      <c r="K922" s="79"/>
      <c r="L922" s="79"/>
      <c r="M922" s="79"/>
      <c r="N922" s="77"/>
      <c r="O922" s="79"/>
      <c r="P922" s="81"/>
      <c r="Q922" s="81"/>
      <c r="R922" s="79"/>
      <c r="S922" s="79"/>
      <c r="T922" s="79"/>
      <c r="U922" s="79"/>
      <c r="V922" s="79"/>
    </row>
    <row r="923" spans="1:22" ht="12.5" x14ac:dyDescent="0.25">
      <c r="A923" s="79"/>
      <c r="B923" s="79"/>
      <c r="C923" s="79"/>
      <c r="D923" s="79"/>
      <c r="E923" s="79"/>
      <c r="F923" s="77"/>
      <c r="G923" s="79"/>
      <c r="H923" s="79"/>
      <c r="I923" s="79"/>
      <c r="J923" s="78"/>
      <c r="K923" s="79"/>
      <c r="L923" s="79"/>
      <c r="M923" s="79"/>
      <c r="N923" s="77"/>
      <c r="O923" s="79"/>
      <c r="P923" s="81"/>
      <c r="Q923" s="81"/>
      <c r="R923" s="79"/>
      <c r="S923" s="79"/>
      <c r="T923" s="79"/>
      <c r="U923" s="79"/>
      <c r="V923" s="79"/>
    </row>
    <row r="924" spans="1:22" ht="12.5" x14ac:dyDescent="0.25">
      <c r="A924" s="79"/>
      <c r="B924" s="79"/>
      <c r="C924" s="79"/>
      <c r="D924" s="79"/>
      <c r="E924" s="79"/>
      <c r="F924" s="77"/>
      <c r="G924" s="79"/>
      <c r="H924" s="79"/>
      <c r="I924" s="79"/>
      <c r="J924" s="78"/>
      <c r="K924" s="79"/>
      <c r="L924" s="79"/>
      <c r="M924" s="79"/>
      <c r="N924" s="77"/>
      <c r="O924" s="79"/>
      <c r="P924" s="81"/>
      <c r="Q924" s="81"/>
      <c r="R924" s="79"/>
      <c r="S924" s="79"/>
      <c r="T924" s="79"/>
      <c r="U924" s="79"/>
      <c r="V924" s="79"/>
    </row>
    <row r="925" spans="1:22" ht="12.5" x14ac:dyDescent="0.25">
      <c r="A925" s="79"/>
      <c r="B925" s="79"/>
      <c r="C925" s="79"/>
      <c r="D925" s="79"/>
      <c r="E925" s="79"/>
      <c r="F925" s="77"/>
      <c r="G925" s="79"/>
      <c r="H925" s="79"/>
      <c r="I925" s="79"/>
      <c r="J925" s="78"/>
      <c r="K925" s="79"/>
      <c r="L925" s="79"/>
      <c r="M925" s="79"/>
      <c r="N925" s="77"/>
      <c r="O925" s="79"/>
      <c r="P925" s="81"/>
      <c r="Q925" s="81"/>
      <c r="R925" s="79"/>
      <c r="S925" s="79"/>
      <c r="T925" s="79"/>
      <c r="U925" s="79"/>
      <c r="V925" s="79"/>
    </row>
    <row r="926" spans="1:22" ht="12.5" x14ac:dyDescent="0.25">
      <c r="A926" s="79"/>
      <c r="B926" s="79"/>
      <c r="C926" s="79"/>
      <c r="D926" s="79"/>
      <c r="E926" s="79"/>
      <c r="F926" s="77"/>
      <c r="G926" s="79"/>
      <c r="H926" s="79"/>
      <c r="I926" s="79"/>
      <c r="J926" s="78"/>
      <c r="K926" s="79"/>
      <c r="L926" s="79"/>
      <c r="M926" s="79"/>
      <c r="N926" s="77"/>
      <c r="O926" s="79"/>
      <c r="P926" s="81"/>
      <c r="Q926" s="81"/>
      <c r="R926" s="79"/>
      <c r="S926" s="79"/>
      <c r="T926" s="79"/>
      <c r="U926" s="79"/>
      <c r="V926" s="79"/>
    </row>
    <row r="927" spans="1:22" ht="12.5" x14ac:dyDescent="0.25">
      <c r="A927" s="79"/>
      <c r="B927" s="79"/>
      <c r="C927" s="79"/>
      <c r="D927" s="79"/>
      <c r="E927" s="79"/>
      <c r="F927" s="77"/>
      <c r="G927" s="79"/>
      <c r="H927" s="79"/>
      <c r="I927" s="79"/>
      <c r="J927" s="78"/>
      <c r="K927" s="79"/>
      <c r="L927" s="79"/>
      <c r="M927" s="79"/>
      <c r="N927" s="77"/>
      <c r="O927" s="79"/>
      <c r="P927" s="81"/>
      <c r="Q927" s="81"/>
      <c r="R927" s="79"/>
      <c r="S927" s="79"/>
      <c r="T927" s="79"/>
      <c r="U927" s="79"/>
      <c r="V927" s="79"/>
    </row>
    <row r="928" spans="1:22" ht="12.5" x14ac:dyDescent="0.25">
      <c r="A928" s="79"/>
      <c r="B928" s="79"/>
      <c r="C928" s="79"/>
      <c r="D928" s="79"/>
      <c r="E928" s="79"/>
      <c r="F928" s="77"/>
      <c r="G928" s="79"/>
      <c r="H928" s="79"/>
      <c r="I928" s="79"/>
      <c r="J928" s="78"/>
      <c r="K928" s="79"/>
      <c r="L928" s="79"/>
      <c r="M928" s="79"/>
      <c r="N928" s="77"/>
      <c r="O928" s="79"/>
      <c r="P928" s="81"/>
      <c r="Q928" s="81"/>
      <c r="R928" s="79"/>
      <c r="S928" s="79"/>
      <c r="T928" s="79"/>
      <c r="U928" s="79"/>
      <c r="V928" s="79"/>
    </row>
    <row r="929" spans="1:22" ht="12.5" x14ac:dyDescent="0.25">
      <c r="A929" s="79"/>
      <c r="B929" s="79"/>
      <c r="C929" s="79"/>
      <c r="D929" s="79"/>
      <c r="E929" s="79"/>
      <c r="F929" s="77"/>
      <c r="G929" s="79"/>
      <c r="H929" s="79"/>
      <c r="I929" s="79"/>
      <c r="J929" s="78"/>
      <c r="K929" s="79"/>
      <c r="L929" s="79"/>
      <c r="M929" s="79"/>
      <c r="N929" s="77"/>
      <c r="O929" s="79"/>
      <c r="P929" s="81"/>
      <c r="Q929" s="81"/>
      <c r="R929" s="79"/>
      <c r="S929" s="79"/>
      <c r="T929" s="79"/>
      <c r="U929" s="79"/>
      <c r="V929" s="79"/>
    </row>
    <row r="930" spans="1:22" ht="12.5" x14ac:dyDescent="0.25">
      <c r="A930" s="79"/>
      <c r="B930" s="79"/>
      <c r="C930" s="79"/>
      <c r="D930" s="79"/>
      <c r="E930" s="79"/>
      <c r="F930" s="77"/>
      <c r="G930" s="79"/>
      <c r="H930" s="79"/>
      <c r="I930" s="79"/>
      <c r="J930" s="78"/>
      <c r="K930" s="79"/>
      <c r="L930" s="79"/>
      <c r="M930" s="79"/>
      <c r="N930" s="77"/>
      <c r="O930" s="79"/>
      <c r="P930" s="81"/>
      <c r="Q930" s="81"/>
      <c r="R930" s="79"/>
      <c r="S930" s="79"/>
      <c r="T930" s="79"/>
      <c r="U930" s="79"/>
      <c r="V930" s="79"/>
    </row>
    <row r="931" spans="1:22" ht="12.5" x14ac:dyDescent="0.25">
      <c r="A931" s="79"/>
      <c r="B931" s="79"/>
      <c r="C931" s="79"/>
      <c r="D931" s="79"/>
      <c r="E931" s="79"/>
      <c r="F931" s="77"/>
      <c r="G931" s="79"/>
      <c r="H931" s="79"/>
      <c r="I931" s="79"/>
      <c r="J931" s="78"/>
      <c r="K931" s="79"/>
      <c r="L931" s="79"/>
      <c r="M931" s="79"/>
      <c r="N931" s="77"/>
      <c r="O931" s="79"/>
      <c r="P931" s="81"/>
      <c r="Q931" s="81"/>
      <c r="R931" s="79"/>
      <c r="S931" s="79"/>
      <c r="T931" s="79"/>
      <c r="U931" s="79"/>
      <c r="V931" s="79"/>
    </row>
    <row r="932" spans="1:22" ht="12.5" x14ac:dyDescent="0.25">
      <c r="A932" s="79"/>
      <c r="B932" s="79"/>
      <c r="C932" s="79"/>
      <c r="D932" s="79"/>
      <c r="E932" s="79"/>
      <c r="F932" s="77"/>
      <c r="G932" s="79"/>
      <c r="H932" s="79"/>
      <c r="I932" s="79"/>
      <c r="J932" s="78"/>
      <c r="K932" s="79"/>
      <c r="L932" s="79"/>
      <c r="M932" s="79"/>
      <c r="N932" s="77"/>
      <c r="O932" s="79"/>
      <c r="P932" s="81"/>
      <c r="Q932" s="81"/>
      <c r="R932" s="79"/>
      <c r="S932" s="79"/>
      <c r="T932" s="79"/>
      <c r="U932" s="79"/>
      <c r="V932" s="79"/>
    </row>
    <row r="933" spans="1:22" ht="12.5" x14ac:dyDescent="0.25">
      <c r="A933" s="79"/>
      <c r="B933" s="79"/>
      <c r="C933" s="79"/>
      <c r="D933" s="79"/>
      <c r="E933" s="79"/>
      <c r="F933" s="77"/>
      <c r="G933" s="79"/>
      <c r="H933" s="79"/>
      <c r="I933" s="79"/>
      <c r="J933" s="78"/>
      <c r="K933" s="79"/>
      <c r="L933" s="79"/>
      <c r="M933" s="79"/>
      <c r="N933" s="77"/>
      <c r="O933" s="79"/>
      <c r="P933" s="81"/>
      <c r="Q933" s="81"/>
      <c r="R933" s="79"/>
      <c r="S933" s="79"/>
      <c r="T933" s="79"/>
      <c r="U933" s="79"/>
      <c r="V933" s="79"/>
    </row>
    <row r="934" spans="1:22" ht="12.5" x14ac:dyDescent="0.25">
      <c r="A934" s="79"/>
      <c r="B934" s="79"/>
      <c r="C934" s="79"/>
      <c r="D934" s="79"/>
      <c r="E934" s="79"/>
      <c r="F934" s="77"/>
      <c r="G934" s="79"/>
      <c r="H934" s="79"/>
      <c r="I934" s="79"/>
      <c r="J934" s="78"/>
      <c r="K934" s="79"/>
      <c r="L934" s="79"/>
      <c r="M934" s="79"/>
      <c r="N934" s="77"/>
      <c r="O934" s="79"/>
      <c r="P934" s="81"/>
      <c r="Q934" s="81"/>
      <c r="R934" s="79"/>
      <c r="S934" s="79"/>
      <c r="T934" s="79"/>
      <c r="U934" s="79"/>
      <c r="V934" s="79"/>
    </row>
    <row r="935" spans="1:22" ht="12.5" x14ac:dyDescent="0.25">
      <c r="A935" s="79"/>
      <c r="B935" s="79"/>
      <c r="C935" s="79"/>
      <c r="D935" s="79"/>
      <c r="E935" s="79"/>
      <c r="F935" s="77"/>
      <c r="G935" s="79"/>
      <c r="H935" s="79"/>
      <c r="I935" s="79"/>
      <c r="J935" s="78"/>
      <c r="K935" s="79"/>
      <c r="L935" s="79"/>
      <c r="M935" s="79"/>
      <c r="N935" s="77"/>
      <c r="O935" s="79"/>
      <c r="P935" s="81"/>
      <c r="Q935" s="81"/>
      <c r="R935" s="79"/>
      <c r="S935" s="79"/>
      <c r="T935" s="79"/>
      <c r="U935" s="79"/>
      <c r="V935" s="79"/>
    </row>
    <row r="936" spans="1:22" ht="12.5" x14ac:dyDescent="0.25">
      <c r="A936" s="79"/>
      <c r="B936" s="79"/>
      <c r="C936" s="79"/>
      <c r="D936" s="79"/>
      <c r="E936" s="79"/>
      <c r="F936" s="77"/>
      <c r="G936" s="79"/>
      <c r="H936" s="79"/>
      <c r="I936" s="79"/>
      <c r="J936" s="78"/>
      <c r="K936" s="79"/>
      <c r="L936" s="79"/>
      <c r="M936" s="79"/>
      <c r="N936" s="77"/>
      <c r="O936" s="79"/>
      <c r="P936" s="81"/>
      <c r="Q936" s="81"/>
      <c r="R936" s="79"/>
      <c r="S936" s="79"/>
      <c r="T936" s="79"/>
      <c r="U936" s="79"/>
      <c r="V936" s="79"/>
    </row>
    <row r="937" spans="1:22" ht="12.5" x14ac:dyDescent="0.25">
      <c r="A937" s="79"/>
      <c r="B937" s="79"/>
      <c r="C937" s="79"/>
      <c r="D937" s="79"/>
      <c r="E937" s="79"/>
      <c r="F937" s="77"/>
      <c r="G937" s="79"/>
      <c r="H937" s="79"/>
      <c r="I937" s="79"/>
      <c r="J937" s="78"/>
      <c r="K937" s="79"/>
      <c r="L937" s="79"/>
      <c r="M937" s="79"/>
      <c r="N937" s="77"/>
      <c r="O937" s="79"/>
      <c r="P937" s="81"/>
      <c r="Q937" s="81"/>
      <c r="R937" s="79"/>
      <c r="S937" s="79"/>
      <c r="T937" s="79"/>
      <c r="U937" s="79"/>
      <c r="V937" s="79"/>
    </row>
    <row r="938" spans="1:22" ht="12.5" x14ac:dyDescent="0.25">
      <c r="A938" s="79"/>
      <c r="B938" s="79"/>
      <c r="C938" s="79"/>
      <c r="D938" s="79"/>
      <c r="E938" s="79"/>
      <c r="F938" s="77"/>
      <c r="G938" s="79"/>
      <c r="H938" s="79"/>
      <c r="I938" s="79"/>
      <c r="J938" s="78"/>
      <c r="K938" s="79"/>
      <c r="L938" s="79"/>
      <c r="M938" s="79"/>
      <c r="N938" s="77"/>
      <c r="O938" s="79"/>
      <c r="P938" s="81"/>
      <c r="Q938" s="81"/>
      <c r="R938" s="79"/>
      <c r="S938" s="79"/>
      <c r="T938" s="79"/>
      <c r="U938" s="79"/>
      <c r="V938" s="79"/>
    </row>
    <row r="939" spans="1:22" ht="12.5" x14ac:dyDescent="0.25">
      <c r="A939" s="79"/>
      <c r="B939" s="79"/>
      <c r="C939" s="79"/>
      <c r="D939" s="79"/>
      <c r="E939" s="79"/>
      <c r="F939" s="77"/>
      <c r="G939" s="79"/>
      <c r="H939" s="79"/>
      <c r="I939" s="79"/>
      <c r="J939" s="78"/>
      <c r="K939" s="79"/>
      <c r="L939" s="79"/>
      <c r="M939" s="79"/>
      <c r="N939" s="77"/>
      <c r="O939" s="79"/>
      <c r="P939" s="81"/>
      <c r="Q939" s="81"/>
      <c r="R939" s="79"/>
      <c r="S939" s="79"/>
      <c r="T939" s="79"/>
      <c r="U939" s="79"/>
      <c r="V939" s="79"/>
    </row>
    <row r="940" spans="1:22" ht="12.5" x14ac:dyDescent="0.25">
      <c r="A940" s="79"/>
      <c r="B940" s="79"/>
      <c r="C940" s="79"/>
      <c r="D940" s="79"/>
      <c r="E940" s="79"/>
      <c r="F940" s="77"/>
      <c r="G940" s="79"/>
      <c r="H940" s="79"/>
      <c r="I940" s="79"/>
      <c r="J940" s="78"/>
      <c r="K940" s="79"/>
      <c r="L940" s="79"/>
      <c r="M940" s="79"/>
      <c r="N940" s="77"/>
      <c r="O940" s="79"/>
      <c r="P940" s="81"/>
      <c r="Q940" s="81"/>
      <c r="R940" s="79"/>
      <c r="S940" s="79"/>
      <c r="T940" s="79"/>
      <c r="U940" s="79"/>
      <c r="V940" s="79"/>
    </row>
    <row r="941" spans="1:22" ht="12.5" x14ac:dyDescent="0.25">
      <c r="A941" s="79"/>
      <c r="B941" s="79"/>
      <c r="C941" s="79"/>
      <c r="D941" s="79"/>
      <c r="E941" s="79"/>
      <c r="F941" s="77"/>
      <c r="G941" s="79"/>
      <c r="H941" s="79"/>
      <c r="I941" s="79"/>
      <c r="J941" s="78"/>
      <c r="K941" s="79"/>
      <c r="L941" s="79"/>
      <c r="M941" s="79"/>
      <c r="N941" s="77"/>
      <c r="O941" s="79"/>
      <c r="P941" s="81"/>
      <c r="Q941" s="81"/>
      <c r="R941" s="79"/>
      <c r="S941" s="79"/>
      <c r="T941" s="79"/>
      <c r="U941" s="79"/>
      <c r="V941" s="79"/>
    </row>
    <row r="942" spans="1:22" ht="12.5" x14ac:dyDescent="0.25">
      <c r="A942" s="79"/>
      <c r="B942" s="79"/>
      <c r="C942" s="79"/>
      <c r="D942" s="79"/>
      <c r="E942" s="79"/>
      <c r="F942" s="77"/>
      <c r="G942" s="79"/>
      <c r="H942" s="79"/>
      <c r="I942" s="79"/>
      <c r="J942" s="78"/>
      <c r="K942" s="79"/>
      <c r="L942" s="79"/>
      <c r="M942" s="79"/>
      <c r="N942" s="77"/>
      <c r="O942" s="79"/>
      <c r="P942" s="81"/>
      <c r="Q942" s="81"/>
      <c r="R942" s="79"/>
      <c r="S942" s="79"/>
      <c r="T942" s="79"/>
      <c r="U942" s="79"/>
      <c r="V942" s="79"/>
    </row>
    <row r="943" spans="1:22" ht="12.5" x14ac:dyDescent="0.25">
      <c r="A943" s="79"/>
      <c r="B943" s="79"/>
      <c r="C943" s="79"/>
      <c r="D943" s="79"/>
      <c r="E943" s="79"/>
      <c r="F943" s="77"/>
      <c r="G943" s="79"/>
      <c r="H943" s="79"/>
      <c r="I943" s="79"/>
      <c r="J943" s="78"/>
      <c r="K943" s="79"/>
      <c r="L943" s="79"/>
      <c r="M943" s="79"/>
      <c r="N943" s="77"/>
      <c r="O943" s="79"/>
      <c r="P943" s="81"/>
      <c r="Q943" s="81"/>
      <c r="R943" s="79"/>
      <c r="S943" s="79"/>
      <c r="T943" s="79"/>
      <c r="U943" s="79"/>
      <c r="V943" s="79"/>
    </row>
    <row r="944" spans="1:22" ht="12.5" x14ac:dyDescent="0.25">
      <c r="A944" s="79"/>
      <c r="B944" s="79"/>
      <c r="C944" s="79"/>
      <c r="D944" s="79"/>
      <c r="E944" s="79"/>
      <c r="F944" s="77"/>
      <c r="G944" s="79"/>
      <c r="H944" s="79"/>
      <c r="I944" s="79"/>
      <c r="J944" s="78"/>
      <c r="K944" s="79"/>
      <c r="L944" s="79"/>
      <c r="M944" s="79"/>
      <c r="N944" s="77"/>
      <c r="O944" s="79"/>
      <c r="P944" s="81"/>
      <c r="Q944" s="81"/>
      <c r="R944" s="79"/>
      <c r="S944" s="79"/>
      <c r="T944" s="79"/>
      <c r="U944" s="79"/>
      <c r="V944" s="79"/>
    </row>
    <row r="945" spans="1:22" ht="12.5" x14ac:dyDescent="0.25">
      <c r="A945" s="79"/>
      <c r="B945" s="79"/>
      <c r="C945" s="79"/>
      <c r="D945" s="79"/>
      <c r="E945" s="79"/>
      <c r="F945" s="77"/>
      <c r="G945" s="79"/>
      <c r="H945" s="79"/>
      <c r="I945" s="79"/>
      <c r="J945" s="78"/>
      <c r="K945" s="79"/>
      <c r="L945" s="79"/>
      <c r="M945" s="79"/>
      <c r="N945" s="77"/>
      <c r="O945" s="79"/>
      <c r="P945" s="81"/>
      <c r="Q945" s="81"/>
      <c r="R945" s="79"/>
      <c r="S945" s="79"/>
      <c r="T945" s="79"/>
      <c r="U945" s="79"/>
      <c r="V945" s="79"/>
    </row>
    <row r="946" spans="1:22" ht="12.5" x14ac:dyDescent="0.25">
      <c r="A946" s="79"/>
      <c r="B946" s="79"/>
      <c r="C946" s="79"/>
      <c r="D946" s="79"/>
      <c r="E946" s="79"/>
      <c r="F946" s="77"/>
      <c r="G946" s="79"/>
      <c r="H946" s="79"/>
      <c r="I946" s="79"/>
      <c r="J946" s="78"/>
      <c r="K946" s="79"/>
      <c r="L946" s="79"/>
      <c r="M946" s="79"/>
      <c r="N946" s="77"/>
      <c r="O946" s="79"/>
      <c r="P946" s="81"/>
      <c r="Q946" s="81"/>
      <c r="R946" s="79"/>
      <c r="S946" s="79"/>
      <c r="T946" s="79"/>
      <c r="U946" s="79"/>
      <c r="V946" s="79"/>
    </row>
    <row r="947" spans="1:22" ht="12.5" x14ac:dyDescent="0.25">
      <c r="A947" s="79"/>
      <c r="B947" s="79"/>
      <c r="C947" s="79"/>
      <c r="D947" s="79"/>
      <c r="E947" s="79"/>
      <c r="F947" s="77"/>
      <c r="G947" s="79"/>
      <c r="H947" s="79"/>
      <c r="I947" s="79"/>
      <c r="J947" s="78"/>
      <c r="K947" s="79"/>
      <c r="L947" s="79"/>
      <c r="M947" s="79"/>
      <c r="N947" s="77"/>
      <c r="O947" s="79"/>
      <c r="P947" s="81"/>
      <c r="Q947" s="81"/>
      <c r="R947" s="79"/>
      <c r="S947" s="79"/>
      <c r="T947" s="79"/>
      <c r="U947" s="79"/>
      <c r="V947" s="79"/>
    </row>
    <row r="948" spans="1:22" ht="12.5" x14ac:dyDescent="0.25">
      <c r="A948" s="79"/>
      <c r="B948" s="79"/>
      <c r="C948" s="79"/>
      <c r="D948" s="79"/>
      <c r="E948" s="79"/>
      <c r="F948" s="77"/>
      <c r="G948" s="79"/>
      <c r="H948" s="79"/>
      <c r="I948" s="79"/>
      <c r="J948" s="78"/>
      <c r="K948" s="79"/>
      <c r="L948" s="79"/>
      <c r="M948" s="79"/>
      <c r="N948" s="77"/>
      <c r="O948" s="79"/>
      <c r="P948" s="81"/>
      <c r="Q948" s="81"/>
      <c r="R948" s="79"/>
      <c r="S948" s="79"/>
      <c r="T948" s="79"/>
      <c r="U948" s="79"/>
      <c r="V948" s="79"/>
    </row>
    <row r="949" spans="1:22" ht="12.5" x14ac:dyDescent="0.25">
      <c r="A949" s="79"/>
      <c r="B949" s="79"/>
      <c r="C949" s="79"/>
      <c r="D949" s="79"/>
      <c r="E949" s="79"/>
      <c r="F949" s="77"/>
      <c r="G949" s="79"/>
      <c r="H949" s="79"/>
      <c r="I949" s="79"/>
      <c r="J949" s="78"/>
      <c r="K949" s="79"/>
      <c r="L949" s="79"/>
      <c r="M949" s="79"/>
      <c r="N949" s="77"/>
      <c r="O949" s="79"/>
      <c r="P949" s="81"/>
      <c r="Q949" s="81"/>
      <c r="R949" s="79"/>
      <c r="S949" s="79"/>
      <c r="T949" s="79"/>
      <c r="U949" s="79"/>
      <c r="V949" s="79"/>
    </row>
    <row r="950" spans="1:22" ht="12.5" x14ac:dyDescent="0.25">
      <c r="A950" s="79"/>
      <c r="B950" s="79"/>
      <c r="C950" s="79"/>
      <c r="D950" s="79"/>
      <c r="E950" s="79"/>
      <c r="F950" s="77"/>
      <c r="G950" s="79"/>
      <c r="H950" s="79"/>
      <c r="I950" s="79"/>
      <c r="J950" s="78"/>
      <c r="K950" s="79"/>
      <c r="L950" s="79"/>
      <c r="M950" s="79"/>
      <c r="N950" s="77"/>
      <c r="O950" s="79"/>
      <c r="P950" s="81"/>
      <c r="Q950" s="81"/>
      <c r="R950" s="79"/>
      <c r="S950" s="79"/>
      <c r="T950" s="79"/>
      <c r="U950" s="79"/>
      <c r="V950" s="79"/>
    </row>
    <row r="951" spans="1:22" ht="12.5" x14ac:dyDescent="0.25">
      <c r="A951" s="79"/>
      <c r="B951" s="79"/>
      <c r="C951" s="79"/>
      <c r="D951" s="79"/>
      <c r="E951" s="79"/>
      <c r="F951" s="77"/>
      <c r="G951" s="79"/>
      <c r="H951" s="79"/>
      <c r="I951" s="79"/>
      <c r="J951" s="78"/>
      <c r="K951" s="79"/>
      <c r="L951" s="79"/>
      <c r="M951" s="79"/>
      <c r="N951" s="77"/>
      <c r="O951" s="79"/>
      <c r="P951" s="81"/>
      <c r="Q951" s="81"/>
      <c r="R951" s="79"/>
      <c r="S951" s="79"/>
      <c r="T951" s="79"/>
      <c r="U951" s="79"/>
      <c r="V951" s="79"/>
    </row>
    <row r="952" spans="1:22" ht="12.5" x14ac:dyDescent="0.25">
      <c r="A952" s="79"/>
      <c r="B952" s="79"/>
      <c r="C952" s="79"/>
      <c r="D952" s="79"/>
      <c r="E952" s="79"/>
      <c r="F952" s="77"/>
      <c r="G952" s="79"/>
      <c r="H952" s="79"/>
      <c r="I952" s="79"/>
      <c r="J952" s="78"/>
      <c r="K952" s="79"/>
      <c r="L952" s="79"/>
      <c r="M952" s="79"/>
      <c r="N952" s="77"/>
      <c r="O952" s="79"/>
      <c r="P952" s="81"/>
      <c r="Q952" s="81"/>
      <c r="R952" s="79"/>
      <c r="S952" s="79"/>
      <c r="T952" s="79"/>
      <c r="U952" s="79"/>
      <c r="V952" s="79"/>
    </row>
    <row r="953" spans="1:22" ht="12.5" x14ac:dyDescent="0.25">
      <c r="A953" s="79"/>
      <c r="B953" s="79"/>
      <c r="C953" s="79"/>
      <c r="D953" s="79"/>
      <c r="E953" s="79"/>
      <c r="F953" s="77"/>
      <c r="G953" s="79"/>
      <c r="H953" s="79"/>
      <c r="I953" s="79"/>
      <c r="J953" s="78"/>
      <c r="K953" s="79"/>
      <c r="L953" s="79"/>
      <c r="M953" s="79"/>
      <c r="N953" s="77"/>
      <c r="O953" s="79"/>
      <c r="P953" s="81"/>
      <c r="Q953" s="81"/>
      <c r="R953" s="79"/>
      <c r="S953" s="79"/>
      <c r="T953" s="79"/>
      <c r="U953" s="79"/>
      <c r="V953" s="79"/>
    </row>
    <row r="954" spans="1:22" ht="12.5" x14ac:dyDescent="0.25">
      <c r="A954" s="79"/>
      <c r="B954" s="79"/>
      <c r="C954" s="79"/>
      <c r="D954" s="79"/>
      <c r="E954" s="79"/>
      <c r="F954" s="77"/>
      <c r="G954" s="79"/>
      <c r="H954" s="79"/>
      <c r="I954" s="79"/>
      <c r="J954" s="78"/>
      <c r="K954" s="79"/>
      <c r="L954" s="79"/>
      <c r="M954" s="79"/>
      <c r="N954" s="77"/>
      <c r="O954" s="79"/>
      <c r="P954" s="81"/>
      <c r="Q954" s="81"/>
      <c r="R954" s="79"/>
      <c r="S954" s="79"/>
      <c r="T954" s="79"/>
      <c r="U954" s="79"/>
      <c r="V954" s="79"/>
    </row>
    <row r="955" spans="1:22" ht="12.5" x14ac:dyDescent="0.25">
      <c r="A955" s="79"/>
      <c r="B955" s="79"/>
      <c r="C955" s="79"/>
      <c r="D955" s="79"/>
      <c r="E955" s="79"/>
      <c r="F955" s="77"/>
      <c r="G955" s="79"/>
      <c r="H955" s="79"/>
      <c r="I955" s="79"/>
      <c r="J955" s="78"/>
      <c r="K955" s="79"/>
      <c r="L955" s="79"/>
      <c r="M955" s="79"/>
      <c r="N955" s="77"/>
      <c r="O955" s="79"/>
      <c r="P955" s="81"/>
      <c r="Q955" s="81"/>
      <c r="R955" s="79"/>
      <c r="S955" s="79"/>
      <c r="T955" s="79"/>
      <c r="U955" s="79"/>
      <c r="V955" s="79"/>
    </row>
    <row r="956" spans="1:22" ht="12.5" x14ac:dyDescent="0.25">
      <c r="A956" s="79"/>
      <c r="B956" s="79"/>
      <c r="C956" s="79"/>
      <c r="D956" s="79"/>
      <c r="E956" s="79"/>
      <c r="F956" s="77"/>
      <c r="G956" s="79"/>
      <c r="H956" s="79"/>
      <c r="I956" s="79"/>
      <c r="J956" s="78"/>
      <c r="K956" s="79"/>
      <c r="L956" s="79"/>
      <c r="M956" s="79"/>
      <c r="N956" s="77"/>
      <c r="O956" s="79"/>
      <c r="P956" s="81"/>
      <c r="Q956" s="81"/>
      <c r="R956" s="79"/>
      <c r="S956" s="79"/>
      <c r="T956" s="79"/>
      <c r="U956" s="79"/>
      <c r="V956" s="79"/>
    </row>
    <row r="957" spans="1:22" ht="12.5" x14ac:dyDescent="0.25">
      <c r="A957" s="79"/>
      <c r="B957" s="79"/>
      <c r="C957" s="79"/>
      <c r="D957" s="79"/>
      <c r="E957" s="79"/>
      <c r="F957" s="77"/>
      <c r="G957" s="79"/>
      <c r="H957" s="79"/>
      <c r="I957" s="79"/>
      <c r="J957" s="78"/>
      <c r="K957" s="79"/>
      <c r="L957" s="79"/>
      <c r="M957" s="79"/>
      <c r="N957" s="77"/>
      <c r="O957" s="79"/>
      <c r="P957" s="81"/>
      <c r="Q957" s="81"/>
      <c r="R957" s="79"/>
      <c r="S957" s="79"/>
      <c r="T957" s="79"/>
      <c r="U957" s="79"/>
      <c r="V957" s="79"/>
    </row>
    <row r="958" spans="1:22" ht="12.5" x14ac:dyDescent="0.25">
      <c r="A958" s="79"/>
      <c r="B958" s="79"/>
      <c r="C958" s="79"/>
      <c r="D958" s="79"/>
      <c r="E958" s="79"/>
      <c r="F958" s="77"/>
      <c r="G958" s="79"/>
      <c r="H958" s="79"/>
      <c r="I958" s="79"/>
      <c r="J958" s="78"/>
      <c r="K958" s="79"/>
      <c r="L958" s="79"/>
      <c r="M958" s="79"/>
      <c r="N958" s="77"/>
      <c r="O958" s="79"/>
      <c r="P958" s="81"/>
      <c r="Q958" s="81"/>
      <c r="R958" s="79"/>
      <c r="S958" s="79"/>
      <c r="T958" s="79"/>
      <c r="U958" s="79"/>
      <c r="V958" s="79"/>
    </row>
    <row r="959" spans="1:22" ht="12.5" x14ac:dyDescent="0.25">
      <c r="A959" s="79"/>
      <c r="B959" s="79"/>
      <c r="C959" s="79"/>
      <c r="D959" s="79"/>
      <c r="E959" s="79"/>
      <c r="F959" s="77"/>
      <c r="G959" s="79"/>
      <c r="H959" s="79"/>
      <c r="I959" s="79"/>
      <c r="J959" s="78"/>
      <c r="K959" s="79"/>
      <c r="L959" s="79"/>
      <c r="M959" s="79"/>
      <c r="N959" s="77"/>
      <c r="O959" s="79"/>
      <c r="P959" s="81"/>
      <c r="Q959" s="81"/>
      <c r="R959" s="79"/>
      <c r="S959" s="79"/>
      <c r="T959" s="79"/>
      <c r="U959" s="79"/>
      <c r="V959" s="79"/>
    </row>
    <row r="960" spans="1:22" ht="12.5" x14ac:dyDescent="0.25">
      <c r="A960" s="79"/>
      <c r="B960" s="79"/>
      <c r="C960" s="79"/>
      <c r="D960" s="79"/>
      <c r="E960" s="79"/>
      <c r="F960" s="77"/>
      <c r="G960" s="79"/>
      <c r="H960" s="79"/>
      <c r="I960" s="79"/>
      <c r="J960" s="78"/>
      <c r="K960" s="79"/>
      <c r="L960" s="79"/>
      <c r="M960" s="79"/>
      <c r="N960" s="77"/>
      <c r="O960" s="79"/>
      <c r="P960" s="81"/>
      <c r="Q960" s="81"/>
      <c r="R960" s="79"/>
      <c r="S960" s="79"/>
      <c r="T960" s="79"/>
      <c r="U960" s="79"/>
      <c r="V960" s="79"/>
    </row>
    <row r="961" spans="1:22" ht="12.5" x14ac:dyDescent="0.25">
      <c r="A961" s="79"/>
      <c r="B961" s="79"/>
      <c r="C961" s="79"/>
      <c r="D961" s="79"/>
      <c r="E961" s="79"/>
      <c r="F961" s="77"/>
      <c r="G961" s="79"/>
      <c r="H961" s="79"/>
      <c r="I961" s="79"/>
      <c r="J961" s="78"/>
      <c r="K961" s="79"/>
      <c r="L961" s="79"/>
      <c r="M961" s="79"/>
      <c r="N961" s="77"/>
      <c r="O961" s="79"/>
      <c r="P961" s="81"/>
      <c r="Q961" s="81"/>
      <c r="R961" s="79"/>
      <c r="S961" s="79"/>
      <c r="T961" s="79"/>
      <c r="U961" s="79"/>
      <c r="V961" s="79"/>
    </row>
    <row r="962" spans="1:22" ht="12.5" x14ac:dyDescent="0.25">
      <c r="A962" s="79"/>
      <c r="B962" s="79"/>
      <c r="C962" s="79"/>
      <c r="D962" s="79"/>
      <c r="E962" s="79"/>
      <c r="F962" s="77"/>
      <c r="G962" s="79"/>
      <c r="H962" s="79"/>
      <c r="I962" s="79"/>
      <c r="J962" s="78"/>
      <c r="K962" s="79"/>
      <c r="L962" s="79"/>
      <c r="M962" s="79"/>
      <c r="N962" s="77"/>
      <c r="O962" s="79"/>
      <c r="P962" s="81"/>
      <c r="Q962" s="81"/>
      <c r="R962" s="79"/>
      <c r="S962" s="79"/>
      <c r="T962" s="79"/>
      <c r="U962" s="79"/>
      <c r="V962" s="79"/>
    </row>
    <row r="963" spans="1:22" ht="12.5" x14ac:dyDescent="0.25">
      <c r="A963" s="79"/>
      <c r="B963" s="79"/>
      <c r="C963" s="79"/>
      <c r="D963" s="79"/>
      <c r="E963" s="79"/>
      <c r="F963" s="77"/>
      <c r="G963" s="79"/>
      <c r="H963" s="79"/>
      <c r="I963" s="79"/>
      <c r="J963" s="78"/>
      <c r="K963" s="79"/>
      <c r="L963" s="79"/>
      <c r="M963" s="79"/>
      <c r="N963" s="77"/>
      <c r="O963" s="79"/>
      <c r="P963" s="81"/>
      <c r="Q963" s="81"/>
      <c r="R963" s="79"/>
      <c r="S963" s="79"/>
      <c r="T963" s="79"/>
      <c r="U963" s="79"/>
      <c r="V963" s="79"/>
    </row>
    <row r="964" spans="1:22" ht="12.5" x14ac:dyDescent="0.25">
      <c r="A964" s="79"/>
      <c r="B964" s="79"/>
      <c r="C964" s="79"/>
      <c r="D964" s="79"/>
      <c r="E964" s="79"/>
      <c r="F964" s="77"/>
      <c r="G964" s="79"/>
      <c r="H964" s="79"/>
      <c r="I964" s="79"/>
      <c r="J964" s="78"/>
      <c r="K964" s="79"/>
      <c r="L964" s="79"/>
      <c r="M964" s="79"/>
      <c r="N964" s="77"/>
      <c r="O964" s="79"/>
      <c r="P964" s="81"/>
      <c r="Q964" s="81"/>
      <c r="R964" s="79"/>
      <c r="S964" s="79"/>
      <c r="T964" s="79"/>
      <c r="U964" s="79"/>
      <c r="V964" s="79"/>
    </row>
    <row r="965" spans="1:22" ht="12.5" x14ac:dyDescent="0.25">
      <c r="A965" s="79"/>
      <c r="B965" s="79"/>
      <c r="C965" s="79"/>
      <c r="D965" s="79"/>
      <c r="E965" s="79"/>
      <c r="F965" s="77"/>
      <c r="G965" s="79"/>
      <c r="H965" s="79"/>
      <c r="I965" s="79"/>
      <c r="J965" s="78"/>
      <c r="K965" s="79"/>
      <c r="L965" s="79"/>
      <c r="M965" s="79"/>
      <c r="N965" s="77"/>
      <c r="O965" s="79"/>
      <c r="P965" s="81"/>
      <c r="Q965" s="81"/>
      <c r="R965" s="79"/>
      <c r="S965" s="79"/>
      <c r="T965" s="79"/>
      <c r="U965" s="79"/>
      <c r="V965" s="79"/>
    </row>
    <row r="966" spans="1:22" ht="12.5" x14ac:dyDescent="0.25">
      <c r="A966" s="79"/>
      <c r="B966" s="79"/>
      <c r="C966" s="79"/>
      <c r="D966" s="79"/>
      <c r="E966" s="79"/>
      <c r="F966" s="77"/>
      <c r="G966" s="79"/>
      <c r="H966" s="79"/>
      <c r="I966" s="79"/>
      <c r="J966" s="78"/>
      <c r="K966" s="79"/>
      <c r="L966" s="79"/>
      <c r="M966" s="79"/>
      <c r="N966" s="77"/>
      <c r="O966" s="79"/>
      <c r="P966" s="81"/>
      <c r="Q966" s="81"/>
      <c r="R966" s="79"/>
      <c r="S966" s="79"/>
      <c r="T966" s="79"/>
      <c r="U966" s="79"/>
      <c r="V966" s="79"/>
    </row>
    <row r="967" spans="1:22" ht="12.5" x14ac:dyDescent="0.25">
      <c r="A967" s="79"/>
      <c r="B967" s="79"/>
      <c r="C967" s="79"/>
      <c r="D967" s="79"/>
      <c r="E967" s="79"/>
      <c r="F967" s="77"/>
      <c r="G967" s="79"/>
      <c r="H967" s="79"/>
      <c r="I967" s="79"/>
      <c r="J967" s="78"/>
      <c r="K967" s="79"/>
      <c r="L967" s="79"/>
      <c r="M967" s="79"/>
      <c r="N967" s="77"/>
      <c r="O967" s="79"/>
      <c r="P967" s="81"/>
      <c r="Q967" s="81"/>
      <c r="R967" s="79"/>
      <c r="S967" s="79"/>
      <c r="T967" s="79"/>
      <c r="U967" s="79"/>
      <c r="V967" s="79"/>
    </row>
    <row r="968" spans="1:22" ht="12.5" x14ac:dyDescent="0.25">
      <c r="A968" s="79"/>
      <c r="B968" s="79"/>
      <c r="C968" s="79"/>
      <c r="D968" s="79"/>
      <c r="E968" s="79"/>
      <c r="F968" s="77"/>
      <c r="G968" s="79"/>
      <c r="H968" s="79"/>
      <c r="I968" s="79"/>
      <c r="J968" s="78"/>
      <c r="K968" s="79"/>
      <c r="L968" s="79"/>
      <c r="M968" s="79"/>
      <c r="N968" s="77"/>
      <c r="O968" s="79"/>
      <c r="P968" s="81"/>
      <c r="Q968" s="81"/>
      <c r="R968" s="79"/>
      <c r="S968" s="79"/>
      <c r="T968" s="79"/>
      <c r="U968" s="79"/>
      <c r="V968" s="79"/>
    </row>
    <row r="969" spans="1:22" ht="12.5" x14ac:dyDescent="0.25">
      <c r="A969" s="79"/>
      <c r="B969" s="79"/>
      <c r="C969" s="79"/>
      <c r="D969" s="79"/>
      <c r="E969" s="79"/>
      <c r="F969" s="77"/>
      <c r="G969" s="79"/>
      <c r="H969" s="79"/>
      <c r="I969" s="79"/>
      <c r="J969" s="78"/>
      <c r="K969" s="79"/>
      <c r="L969" s="79"/>
      <c r="M969" s="79"/>
      <c r="N969" s="77"/>
      <c r="O969" s="79"/>
      <c r="P969" s="81"/>
      <c r="Q969" s="81"/>
      <c r="R969" s="79"/>
      <c r="S969" s="79"/>
      <c r="T969" s="79"/>
      <c r="U969" s="79"/>
      <c r="V969" s="79"/>
    </row>
    <row r="970" spans="1:22" ht="12.5" x14ac:dyDescent="0.25">
      <c r="A970" s="79"/>
      <c r="B970" s="79"/>
      <c r="C970" s="79"/>
      <c r="D970" s="79"/>
      <c r="E970" s="79"/>
      <c r="F970" s="77"/>
      <c r="G970" s="79"/>
      <c r="H970" s="79"/>
      <c r="I970" s="79"/>
      <c r="J970" s="78"/>
      <c r="K970" s="79"/>
      <c r="L970" s="79"/>
      <c r="M970" s="79"/>
      <c r="N970" s="77"/>
      <c r="O970" s="79"/>
      <c r="P970" s="81"/>
      <c r="Q970" s="81"/>
      <c r="R970" s="79"/>
      <c r="S970" s="79"/>
      <c r="T970" s="79"/>
      <c r="U970" s="79"/>
      <c r="V970" s="79"/>
    </row>
    <row r="971" spans="1:22" ht="12.5" x14ac:dyDescent="0.25">
      <c r="A971" s="79"/>
      <c r="B971" s="79"/>
      <c r="C971" s="79"/>
      <c r="D971" s="79"/>
      <c r="E971" s="79"/>
      <c r="F971" s="77"/>
      <c r="G971" s="79"/>
      <c r="H971" s="79"/>
      <c r="I971" s="79"/>
      <c r="J971" s="78"/>
      <c r="K971" s="79"/>
      <c r="L971" s="79"/>
      <c r="M971" s="79"/>
      <c r="N971" s="77"/>
      <c r="O971" s="79"/>
      <c r="P971" s="81"/>
      <c r="Q971" s="81"/>
      <c r="R971" s="79"/>
      <c r="S971" s="79"/>
      <c r="T971" s="79"/>
      <c r="U971" s="79"/>
      <c r="V971" s="79"/>
    </row>
    <row r="972" spans="1:22" ht="12.5" x14ac:dyDescent="0.25">
      <c r="A972" s="79"/>
      <c r="B972" s="79"/>
      <c r="C972" s="79"/>
      <c r="D972" s="79"/>
      <c r="E972" s="79"/>
      <c r="F972" s="77"/>
      <c r="G972" s="79"/>
      <c r="H972" s="79"/>
      <c r="I972" s="79"/>
      <c r="J972" s="78"/>
      <c r="K972" s="79"/>
      <c r="L972" s="79"/>
      <c r="M972" s="79"/>
      <c r="N972" s="77"/>
      <c r="O972" s="79"/>
      <c r="P972" s="81"/>
      <c r="Q972" s="81"/>
      <c r="R972" s="79"/>
      <c r="S972" s="79"/>
      <c r="T972" s="79"/>
      <c r="U972" s="79"/>
      <c r="V972" s="79"/>
    </row>
    <row r="973" spans="1:22" ht="12.5" x14ac:dyDescent="0.25">
      <c r="A973" s="79"/>
      <c r="B973" s="79"/>
      <c r="C973" s="79"/>
      <c r="D973" s="79"/>
      <c r="E973" s="79"/>
      <c r="F973" s="77"/>
      <c r="G973" s="79"/>
      <c r="H973" s="79"/>
      <c r="I973" s="79"/>
      <c r="J973" s="78"/>
      <c r="K973" s="79"/>
      <c r="L973" s="79"/>
      <c r="M973" s="79"/>
      <c r="N973" s="77"/>
      <c r="O973" s="79"/>
      <c r="P973" s="81"/>
      <c r="Q973" s="81"/>
      <c r="R973" s="79"/>
      <c r="S973" s="79"/>
      <c r="T973" s="79"/>
      <c r="U973" s="79"/>
      <c r="V973" s="79"/>
    </row>
    <row r="974" spans="1:22" ht="12.5" x14ac:dyDescent="0.25">
      <c r="A974" s="79"/>
      <c r="B974" s="79"/>
      <c r="C974" s="79"/>
      <c r="D974" s="79"/>
      <c r="E974" s="79"/>
      <c r="F974" s="77"/>
      <c r="G974" s="79"/>
      <c r="H974" s="79"/>
      <c r="I974" s="79"/>
      <c r="J974" s="78"/>
      <c r="K974" s="79"/>
      <c r="L974" s="79"/>
      <c r="M974" s="79"/>
      <c r="N974" s="77"/>
      <c r="O974" s="79"/>
      <c r="P974" s="81"/>
      <c r="Q974" s="81"/>
      <c r="R974" s="79"/>
      <c r="S974" s="79"/>
      <c r="T974" s="79"/>
      <c r="U974" s="79"/>
      <c r="V974" s="79"/>
    </row>
    <row r="975" spans="1:22" ht="12.5" x14ac:dyDescent="0.25">
      <c r="A975" s="79"/>
      <c r="B975" s="79"/>
      <c r="C975" s="79"/>
      <c r="D975" s="79"/>
      <c r="E975" s="79"/>
      <c r="F975" s="77"/>
      <c r="G975" s="79"/>
      <c r="H975" s="79"/>
      <c r="I975" s="79"/>
      <c r="J975" s="78"/>
      <c r="K975" s="79"/>
      <c r="L975" s="79"/>
      <c r="M975" s="79"/>
      <c r="N975" s="77"/>
      <c r="O975" s="79"/>
      <c r="P975" s="81"/>
      <c r="Q975" s="81"/>
      <c r="R975" s="79"/>
      <c r="S975" s="79"/>
      <c r="T975" s="79"/>
      <c r="U975" s="79"/>
      <c r="V975" s="79"/>
    </row>
    <row r="976" spans="1:22" ht="12.5" x14ac:dyDescent="0.25">
      <c r="A976" s="79"/>
      <c r="B976" s="79"/>
      <c r="C976" s="79"/>
      <c r="D976" s="79"/>
      <c r="E976" s="79"/>
      <c r="F976" s="77"/>
      <c r="G976" s="79"/>
      <c r="H976" s="79"/>
      <c r="I976" s="79"/>
      <c r="J976" s="78"/>
      <c r="K976" s="79"/>
      <c r="L976" s="79"/>
      <c r="M976" s="79"/>
      <c r="N976" s="77"/>
      <c r="O976" s="79"/>
      <c r="P976" s="81"/>
      <c r="Q976" s="81"/>
      <c r="R976" s="79"/>
      <c r="S976" s="79"/>
      <c r="T976" s="79"/>
      <c r="U976" s="79"/>
      <c r="V976" s="79"/>
    </row>
    <row r="977" spans="1:22" ht="12.5" x14ac:dyDescent="0.25">
      <c r="A977" s="79"/>
      <c r="B977" s="79"/>
      <c r="C977" s="79"/>
      <c r="D977" s="79"/>
      <c r="E977" s="79"/>
      <c r="F977" s="77"/>
      <c r="G977" s="79"/>
      <c r="H977" s="79"/>
      <c r="I977" s="79"/>
      <c r="J977" s="78"/>
      <c r="K977" s="79"/>
      <c r="L977" s="79"/>
      <c r="M977" s="79"/>
      <c r="N977" s="77"/>
      <c r="O977" s="79"/>
      <c r="P977" s="81"/>
      <c r="Q977" s="81"/>
      <c r="R977" s="79"/>
      <c r="S977" s="79"/>
      <c r="T977" s="79"/>
      <c r="U977" s="79"/>
      <c r="V977" s="79"/>
    </row>
    <row r="978" spans="1:22" ht="12.5" x14ac:dyDescent="0.25">
      <c r="A978" s="79"/>
      <c r="B978" s="79"/>
      <c r="C978" s="79"/>
      <c r="D978" s="79"/>
      <c r="E978" s="79"/>
      <c r="F978" s="77"/>
      <c r="G978" s="79"/>
      <c r="H978" s="79"/>
      <c r="I978" s="79"/>
      <c r="J978" s="78"/>
      <c r="K978" s="79"/>
      <c r="L978" s="79"/>
      <c r="M978" s="79"/>
      <c r="N978" s="77"/>
      <c r="O978" s="79"/>
      <c r="P978" s="81"/>
      <c r="Q978" s="81"/>
      <c r="R978" s="79"/>
      <c r="S978" s="79"/>
      <c r="T978" s="79"/>
      <c r="U978" s="79"/>
      <c r="V978" s="79"/>
    </row>
    <row r="979" spans="1:22" ht="12.5" x14ac:dyDescent="0.25">
      <c r="A979" s="79"/>
      <c r="B979" s="79"/>
      <c r="C979" s="79"/>
      <c r="D979" s="79"/>
      <c r="E979" s="79"/>
      <c r="F979" s="77"/>
      <c r="G979" s="79"/>
      <c r="H979" s="79"/>
      <c r="I979" s="79"/>
      <c r="J979" s="78"/>
      <c r="K979" s="79"/>
      <c r="L979" s="79"/>
      <c r="M979" s="79"/>
      <c r="N979" s="77"/>
      <c r="O979" s="79"/>
      <c r="P979" s="81"/>
      <c r="Q979" s="81"/>
      <c r="R979" s="79"/>
      <c r="S979" s="79"/>
      <c r="T979" s="79"/>
      <c r="U979" s="79"/>
      <c r="V979" s="79"/>
    </row>
    <row r="980" spans="1:22" ht="12.5" x14ac:dyDescent="0.25">
      <c r="A980" s="79"/>
      <c r="B980" s="79"/>
      <c r="C980" s="79"/>
      <c r="D980" s="79"/>
      <c r="E980" s="79"/>
      <c r="F980" s="77"/>
      <c r="G980" s="79"/>
      <c r="H980" s="79"/>
      <c r="I980" s="79"/>
      <c r="J980" s="78"/>
      <c r="K980" s="79"/>
      <c r="L980" s="79"/>
      <c r="M980" s="79"/>
      <c r="N980" s="77"/>
      <c r="O980" s="79"/>
      <c r="P980" s="81"/>
      <c r="Q980" s="81"/>
      <c r="R980" s="79"/>
      <c r="S980" s="79"/>
      <c r="T980" s="79"/>
      <c r="U980" s="79"/>
      <c r="V980" s="79"/>
    </row>
    <row r="981" spans="1:22" ht="12.5" x14ac:dyDescent="0.25">
      <c r="A981" s="79"/>
      <c r="B981" s="79"/>
      <c r="C981" s="79"/>
      <c r="D981" s="79"/>
      <c r="E981" s="79"/>
      <c r="F981" s="77"/>
      <c r="G981" s="79"/>
      <c r="H981" s="79"/>
      <c r="I981" s="79"/>
      <c r="J981" s="78"/>
      <c r="K981" s="79"/>
      <c r="L981" s="79"/>
      <c r="M981" s="79"/>
      <c r="N981" s="77"/>
      <c r="O981" s="79"/>
      <c r="P981" s="81"/>
      <c r="Q981" s="81"/>
      <c r="R981" s="79"/>
      <c r="S981" s="79"/>
      <c r="T981" s="79"/>
      <c r="U981" s="79"/>
      <c r="V981" s="79"/>
    </row>
    <row r="982" spans="1:22" ht="12.5" x14ac:dyDescent="0.25">
      <c r="A982" s="79"/>
      <c r="B982" s="79"/>
      <c r="C982" s="79"/>
      <c r="D982" s="79"/>
      <c r="E982" s="79"/>
      <c r="F982" s="77"/>
      <c r="G982" s="79"/>
      <c r="H982" s="79"/>
      <c r="I982" s="79"/>
      <c r="J982" s="78"/>
      <c r="K982" s="79"/>
      <c r="L982" s="79"/>
      <c r="M982" s="79"/>
      <c r="N982" s="77"/>
      <c r="O982" s="79"/>
      <c r="P982" s="81"/>
      <c r="Q982" s="81"/>
      <c r="R982" s="79"/>
      <c r="S982" s="79"/>
      <c r="T982" s="79"/>
      <c r="U982" s="79"/>
      <c r="V982" s="79"/>
    </row>
    <row r="983" spans="1:22" ht="12.5" x14ac:dyDescent="0.25">
      <c r="A983" s="79"/>
      <c r="B983" s="79"/>
      <c r="C983" s="79"/>
      <c r="D983" s="79"/>
      <c r="E983" s="79"/>
      <c r="F983" s="77"/>
      <c r="G983" s="79"/>
      <c r="H983" s="79"/>
      <c r="I983" s="79"/>
      <c r="J983" s="78"/>
      <c r="K983" s="79"/>
      <c r="L983" s="79"/>
      <c r="M983" s="79"/>
      <c r="N983" s="77"/>
      <c r="O983" s="79"/>
      <c r="P983" s="81"/>
      <c r="Q983" s="81"/>
      <c r="R983" s="79"/>
      <c r="S983" s="79"/>
      <c r="T983" s="79"/>
      <c r="U983" s="79"/>
      <c r="V983" s="79"/>
    </row>
    <row r="984" spans="1:22" ht="12.5" x14ac:dyDescent="0.25">
      <c r="A984" s="79"/>
      <c r="B984" s="79"/>
      <c r="C984" s="79"/>
      <c r="D984" s="79"/>
      <c r="E984" s="79"/>
      <c r="F984" s="77"/>
      <c r="G984" s="79"/>
      <c r="H984" s="79"/>
      <c r="I984" s="79"/>
      <c r="J984" s="78"/>
      <c r="K984" s="79"/>
      <c r="L984" s="79"/>
      <c r="M984" s="79"/>
      <c r="N984" s="77"/>
      <c r="O984" s="79"/>
      <c r="P984" s="81"/>
      <c r="Q984" s="81"/>
      <c r="R984" s="79"/>
      <c r="S984" s="79"/>
      <c r="T984" s="79"/>
      <c r="U984" s="79"/>
      <c r="V984" s="79"/>
    </row>
    <row r="985" spans="1:22" ht="12.5" x14ac:dyDescent="0.25">
      <c r="A985" s="79"/>
      <c r="B985" s="79"/>
      <c r="C985" s="79"/>
      <c r="D985" s="79"/>
      <c r="E985" s="79"/>
      <c r="F985" s="77"/>
      <c r="G985" s="79"/>
      <c r="H985" s="79"/>
      <c r="I985" s="79"/>
      <c r="J985" s="78"/>
      <c r="K985" s="79"/>
      <c r="L985" s="79"/>
      <c r="M985" s="79"/>
      <c r="N985" s="77"/>
      <c r="O985" s="79"/>
      <c r="P985" s="81"/>
      <c r="Q985" s="81"/>
      <c r="R985" s="79"/>
      <c r="S985" s="79"/>
      <c r="T985" s="79"/>
      <c r="U985" s="79"/>
      <c r="V985" s="79"/>
    </row>
    <row r="986" spans="1:22" ht="12.5" x14ac:dyDescent="0.25">
      <c r="A986" s="79"/>
      <c r="B986" s="79"/>
      <c r="C986" s="79"/>
      <c r="D986" s="79"/>
      <c r="E986" s="79"/>
      <c r="F986" s="77"/>
      <c r="G986" s="79"/>
      <c r="H986" s="79"/>
      <c r="I986" s="79"/>
      <c r="J986" s="78"/>
      <c r="K986" s="79"/>
      <c r="L986" s="79"/>
      <c r="M986" s="79"/>
      <c r="N986" s="77"/>
      <c r="O986" s="79"/>
      <c r="P986" s="81"/>
      <c r="Q986" s="81"/>
      <c r="R986" s="79"/>
      <c r="S986" s="79"/>
      <c r="T986" s="79"/>
      <c r="U986" s="79"/>
      <c r="V986" s="79"/>
    </row>
    <row r="987" spans="1:22" ht="12.5" x14ac:dyDescent="0.25">
      <c r="A987" s="79"/>
      <c r="B987" s="79"/>
      <c r="C987" s="79"/>
      <c r="D987" s="79"/>
      <c r="E987" s="79"/>
      <c r="F987" s="77"/>
      <c r="G987" s="79"/>
      <c r="H987" s="79"/>
      <c r="I987" s="79"/>
      <c r="J987" s="78"/>
      <c r="K987" s="79"/>
      <c r="L987" s="79"/>
      <c r="M987" s="79"/>
      <c r="N987" s="77"/>
      <c r="O987" s="79"/>
      <c r="P987" s="81"/>
      <c r="Q987" s="81"/>
      <c r="R987" s="79"/>
      <c r="S987" s="79"/>
      <c r="T987" s="79"/>
      <c r="U987" s="79"/>
      <c r="V987" s="79"/>
    </row>
    <row r="988" spans="1:22" ht="12.5" x14ac:dyDescent="0.25">
      <c r="A988" s="79"/>
      <c r="B988" s="79"/>
      <c r="C988" s="79"/>
      <c r="D988" s="79"/>
      <c r="E988" s="79"/>
      <c r="F988" s="77"/>
      <c r="G988" s="79"/>
      <c r="H988" s="79"/>
      <c r="I988" s="79"/>
      <c r="J988" s="78"/>
      <c r="K988" s="79"/>
      <c r="L988" s="79"/>
      <c r="M988" s="79"/>
      <c r="N988" s="77"/>
      <c r="O988" s="79"/>
      <c r="P988" s="81"/>
      <c r="Q988" s="81"/>
      <c r="R988" s="79"/>
      <c r="S988" s="79"/>
      <c r="T988" s="79"/>
      <c r="U988" s="79"/>
      <c r="V988" s="79"/>
    </row>
    <row r="989" spans="1:22" ht="12.5" x14ac:dyDescent="0.25">
      <c r="A989" s="79"/>
      <c r="B989" s="79"/>
      <c r="C989" s="79"/>
      <c r="D989" s="79"/>
      <c r="E989" s="79"/>
      <c r="F989" s="77"/>
      <c r="G989" s="79"/>
      <c r="H989" s="79"/>
      <c r="I989" s="79"/>
      <c r="J989" s="78"/>
      <c r="K989" s="79"/>
      <c r="L989" s="79"/>
      <c r="M989" s="79"/>
      <c r="N989" s="77"/>
      <c r="O989" s="79"/>
      <c r="P989" s="81"/>
      <c r="Q989" s="81"/>
      <c r="R989" s="79"/>
      <c r="S989" s="79"/>
      <c r="T989" s="79"/>
      <c r="U989" s="79"/>
      <c r="V989" s="79"/>
    </row>
    <row r="990" spans="1:22" ht="12.5" x14ac:dyDescent="0.25">
      <c r="A990" s="79"/>
      <c r="B990" s="79"/>
      <c r="C990" s="79"/>
      <c r="D990" s="79"/>
      <c r="E990" s="79"/>
      <c r="F990" s="77"/>
      <c r="G990" s="79"/>
      <c r="H990" s="79"/>
      <c r="I990" s="79"/>
      <c r="J990" s="78"/>
      <c r="K990" s="79"/>
      <c r="L990" s="79"/>
      <c r="M990" s="79"/>
      <c r="N990" s="77"/>
      <c r="O990" s="79"/>
      <c r="P990" s="81"/>
      <c r="Q990" s="81"/>
      <c r="R990" s="79"/>
      <c r="S990" s="79"/>
      <c r="T990" s="79"/>
      <c r="U990" s="79"/>
      <c r="V990" s="79"/>
    </row>
    <row r="991" spans="1:22" ht="12.5" x14ac:dyDescent="0.25">
      <c r="A991" s="79"/>
      <c r="B991" s="79"/>
      <c r="C991" s="79"/>
      <c r="D991" s="79"/>
      <c r="E991" s="79"/>
      <c r="F991" s="77"/>
      <c r="G991" s="79"/>
      <c r="H991" s="79"/>
      <c r="I991" s="79"/>
      <c r="J991" s="78"/>
      <c r="K991" s="79"/>
      <c r="L991" s="79"/>
      <c r="M991" s="79"/>
      <c r="N991" s="77"/>
      <c r="O991" s="79"/>
      <c r="P991" s="81"/>
      <c r="Q991" s="81"/>
      <c r="R991" s="79"/>
      <c r="S991" s="79"/>
      <c r="T991" s="79"/>
      <c r="U991" s="79"/>
      <c r="V991" s="79"/>
    </row>
    <row r="992" spans="1:22" ht="12.5" x14ac:dyDescent="0.25">
      <c r="A992" s="79"/>
      <c r="B992" s="79"/>
      <c r="C992" s="79"/>
      <c r="D992" s="79"/>
      <c r="E992" s="79"/>
      <c r="F992" s="77"/>
      <c r="G992" s="79"/>
      <c r="H992" s="79"/>
      <c r="I992" s="79"/>
      <c r="J992" s="78"/>
      <c r="K992" s="79"/>
      <c r="L992" s="79"/>
      <c r="M992" s="79"/>
      <c r="N992" s="77"/>
      <c r="O992" s="79"/>
      <c r="P992" s="81"/>
      <c r="Q992" s="81"/>
      <c r="R992" s="79"/>
      <c r="S992" s="79"/>
      <c r="T992" s="79"/>
      <c r="U992" s="79"/>
      <c r="V992" s="79"/>
    </row>
    <row r="993" spans="1:22" ht="12.5" x14ac:dyDescent="0.25">
      <c r="A993" s="79"/>
      <c r="B993" s="79"/>
      <c r="C993" s="79"/>
      <c r="D993" s="79"/>
      <c r="E993" s="79"/>
      <c r="F993" s="77"/>
      <c r="G993" s="79"/>
      <c r="H993" s="79"/>
      <c r="I993" s="79"/>
      <c r="J993" s="78"/>
      <c r="K993" s="79"/>
      <c r="L993" s="79"/>
      <c r="M993" s="79"/>
      <c r="N993" s="77"/>
      <c r="O993" s="79"/>
      <c r="P993" s="81"/>
      <c r="Q993" s="81"/>
      <c r="R993" s="79"/>
      <c r="S993" s="79"/>
      <c r="T993" s="79"/>
      <c r="U993" s="79"/>
      <c r="V993" s="79"/>
    </row>
    <row r="994" spans="1:22" ht="12.5" x14ac:dyDescent="0.25">
      <c r="A994" s="79"/>
      <c r="B994" s="79"/>
      <c r="C994" s="79"/>
      <c r="D994" s="79"/>
      <c r="E994" s="79"/>
      <c r="F994" s="77"/>
      <c r="G994" s="79"/>
      <c r="H994" s="79"/>
      <c r="I994" s="79"/>
      <c r="J994" s="78"/>
      <c r="K994" s="79"/>
      <c r="L994" s="79"/>
      <c r="M994" s="79"/>
      <c r="N994" s="77"/>
      <c r="O994" s="79"/>
      <c r="P994" s="81"/>
      <c r="Q994" s="81"/>
      <c r="R994" s="79"/>
      <c r="S994" s="79"/>
      <c r="T994" s="79"/>
      <c r="U994" s="79"/>
      <c r="V994" s="79"/>
    </row>
    <row r="995" spans="1:22" ht="12.5" x14ac:dyDescent="0.25">
      <c r="A995" s="79"/>
      <c r="B995" s="79"/>
      <c r="C995" s="79"/>
      <c r="D995" s="79"/>
      <c r="E995" s="79"/>
      <c r="F995" s="77"/>
      <c r="G995" s="79"/>
      <c r="H995" s="79"/>
      <c r="I995" s="79"/>
      <c r="J995" s="78"/>
      <c r="K995" s="79"/>
      <c r="L995" s="79"/>
      <c r="M995" s="79"/>
      <c r="N995" s="77"/>
      <c r="O995" s="79"/>
      <c r="P995" s="81"/>
      <c r="Q995" s="81"/>
      <c r="R995" s="79"/>
      <c r="S995" s="79"/>
      <c r="T995" s="79"/>
      <c r="U995" s="79"/>
      <c r="V995" s="79"/>
    </row>
    <row r="996" spans="1:22" ht="12.5" x14ac:dyDescent="0.25">
      <c r="A996" s="79"/>
      <c r="B996" s="79"/>
      <c r="C996" s="79"/>
      <c r="D996" s="79"/>
      <c r="E996" s="79"/>
      <c r="F996" s="77"/>
      <c r="G996" s="79"/>
      <c r="H996" s="79"/>
      <c r="I996" s="79"/>
      <c r="J996" s="78"/>
      <c r="K996" s="79"/>
      <c r="L996" s="79"/>
      <c r="M996" s="79"/>
      <c r="N996" s="77"/>
      <c r="O996" s="79"/>
      <c r="P996" s="81"/>
      <c r="Q996" s="81"/>
      <c r="R996" s="79"/>
      <c r="S996" s="79"/>
      <c r="T996" s="79"/>
      <c r="U996" s="79"/>
      <c r="V996" s="79"/>
    </row>
    <row r="997" spans="1:22" ht="12.5" x14ac:dyDescent="0.25">
      <c r="A997" s="79"/>
      <c r="B997" s="79"/>
      <c r="C997" s="79"/>
      <c r="D997" s="79"/>
      <c r="E997" s="79"/>
      <c r="F997" s="77"/>
      <c r="G997" s="79"/>
      <c r="H997" s="79"/>
      <c r="I997" s="79"/>
      <c r="J997" s="78"/>
      <c r="K997" s="79"/>
      <c r="L997" s="79"/>
      <c r="M997" s="79"/>
      <c r="N997" s="77"/>
      <c r="O997" s="79"/>
      <c r="P997" s="81"/>
      <c r="Q997" s="81"/>
      <c r="R997" s="79"/>
      <c r="S997" s="79"/>
      <c r="T997" s="79"/>
      <c r="U997" s="79"/>
      <c r="V997" s="79"/>
    </row>
    <row r="998" spans="1:22" ht="12.5" x14ac:dyDescent="0.25">
      <c r="A998" s="79"/>
      <c r="B998" s="79"/>
      <c r="C998" s="79"/>
      <c r="D998" s="79"/>
      <c r="E998" s="79"/>
      <c r="F998" s="77"/>
      <c r="G998" s="79"/>
      <c r="H998" s="79"/>
      <c r="I998" s="79"/>
      <c r="J998" s="78"/>
      <c r="K998" s="79"/>
      <c r="L998" s="79"/>
      <c r="M998" s="79"/>
      <c r="N998" s="77"/>
      <c r="O998" s="79"/>
      <c r="P998" s="81"/>
      <c r="Q998" s="81"/>
      <c r="R998" s="79"/>
      <c r="S998" s="79"/>
      <c r="T998" s="79"/>
      <c r="U998" s="79"/>
      <c r="V998" s="79"/>
    </row>
    <row r="999" spans="1:22" ht="12.5" x14ac:dyDescent="0.25">
      <c r="A999" s="79"/>
      <c r="B999" s="79"/>
      <c r="C999" s="79"/>
      <c r="D999" s="79"/>
      <c r="E999" s="79"/>
      <c r="F999" s="77"/>
      <c r="G999" s="79"/>
      <c r="H999" s="79"/>
      <c r="I999" s="79"/>
      <c r="J999" s="78"/>
      <c r="K999" s="79"/>
      <c r="L999" s="79"/>
      <c r="M999" s="79"/>
      <c r="N999" s="77"/>
      <c r="O999" s="79"/>
      <c r="P999" s="81"/>
      <c r="Q999" s="81"/>
      <c r="R999" s="79"/>
      <c r="S999" s="79"/>
      <c r="T999" s="79"/>
      <c r="U999" s="79"/>
      <c r="V999" s="79"/>
    </row>
    <row r="1000" spans="1:22" ht="12.5" x14ac:dyDescent="0.25">
      <c r="A1000" s="79"/>
      <c r="B1000" s="79"/>
      <c r="C1000" s="79"/>
      <c r="D1000" s="79"/>
      <c r="E1000" s="79"/>
      <c r="F1000" s="77"/>
      <c r="G1000" s="79"/>
      <c r="H1000" s="79"/>
      <c r="I1000" s="79"/>
      <c r="J1000" s="78"/>
      <c r="K1000" s="79"/>
      <c r="L1000" s="79"/>
      <c r="M1000" s="79"/>
      <c r="N1000" s="77"/>
      <c r="O1000" s="79"/>
      <c r="P1000" s="81"/>
      <c r="Q1000" s="81"/>
      <c r="R1000" s="79"/>
      <c r="S1000" s="79"/>
      <c r="T1000" s="79"/>
      <c r="U1000" s="79"/>
      <c r="V1000" s="79"/>
    </row>
    <row r="1001" spans="1:22" ht="12.5" x14ac:dyDescent="0.25">
      <c r="A1001" s="79"/>
      <c r="B1001" s="79"/>
      <c r="C1001" s="79"/>
      <c r="D1001" s="79"/>
      <c r="E1001" s="79"/>
      <c r="F1001" s="77"/>
      <c r="G1001" s="79"/>
      <c r="H1001" s="79"/>
      <c r="I1001" s="79"/>
      <c r="J1001" s="78"/>
      <c r="K1001" s="79"/>
      <c r="L1001" s="79"/>
      <c r="M1001" s="79"/>
      <c r="N1001" s="77"/>
      <c r="O1001" s="79"/>
      <c r="P1001" s="81"/>
      <c r="Q1001" s="81"/>
      <c r="R1001" s="79"/>
      <c r="S1001" s="79"/>
      <c r="T1001" s="79"/>
      <c r="U1001" s="79"/>
      <c r="V1001" s="79"/>
    </row>
  </sheetData>
  <mergeCells count="5">
    <mergeCell ref="A1:A2"/>
    <mergeCell ref="B1:F1"/>
    <mergeCell ref="G1:J1"/>
    <mergeCell ref="K1:N1"/>
    <mergeCell ref="O1: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868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2" max="2" width="13.08984375" customWidth="1"/>
    <col min="9" max="9" width="17.81640625" customWidth="1"/>
  </cols>
  <sheetData>
    <row r="1" spans="1:20" ht="15.75" customHeight="1" x14ac:dyDescent="0.25">
      <c r="A1" s="87" t="s">
        <v>0</v>
      </c>
      <c r="B1" s="87" t="s">
        <v>85</v>
      </c>
      <c r="C1" s="87" t="s">
        <v>86</v>
      </c>
      <c r="D1" s="88" t="s">
        <v>87</v>
      </c>
      <c r="E1" s="89" t="s">
        <v>88</v>
      </c>
      <c r="F1" s="90" t="s">
        <v>89</v>
      </c>
      <c r="G1" s="90" t="s">
        <v>75</v>
      </c>
      <c r="H1" s="90" t="s">
        <v>76</v>
      </c>
      <c r="I1" s="91" t="s">
        <v>90</v>
      </c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</row>
    <row r="2" spans="1:20" ht="15.75" customHeight="1" x14ac:dyDescent="0.35">
      <c r="A2" s="93">
        <v>43890</v>
      </c>
      <c r="B2" s="94">
        <v>40</v>
      </c>
      <c r="C2" s="94">
        <v>0</v>
      </c>
      <c r="D2" s="94">
        <f t="shared" ref="D2:D504" si="0">B2-C2</f>
        <v>40</v>
      </c>
      <c r="E2" s="95">
        <f t="shared" ref="E2:E504" si="1">C2/B2</f>
        <v>0</v>
      </c>
      <c r="F2" s="96">
        <v>40</v>
      </c>
      <c r="G2" s="97">
        <v>0</v>
      </c>
      <c r="H2" s="97">
        <v>40</v>
      </c>
      <c r="I2" s="98" t="s">
        <v>91</v>
      </c>
    </row>
    <row r="3" spans="1:20" ht="15.75" customHeight="1" x14ac:dyDescent="0.35">
      <c r="A3" s="93">
        <v>43891</v>
      </c>
      <c r="B3" s="94">
        <v>39</v>
      </c>
      <c r="C3" s="94">
        <v>0</v>
      </c>
      <c r="D3" s="94">
        <f t="shared" si="0"/>
        <v>39</v>
      </c>
      <c r="E3" s="95">
        <f t="shared" si="1"/>
        <v>0</v>
      </c>
      <c r="F3" s="96">
        <v>39</v>
      </c>
      <c r="G3" s="97">
        <v>0</v>
      </c>
      <c r="H3" s="97">
        <v>39</v>
      </c>
      <c r="I3" s="98" t="s">
        <v>91</v>
      </c>
    </row>
    <row r="4" spans="1:20" ht="15.75" customHeight="1" x14ac:dyDescent="0.35">
      <c r="A4" s="93">
        <v>43892</v>
      </c>
      <c r="B4" s="94">
        <v>3</v>
      </c>
      <c r="C4" s="94">
        <v>0</v>
      </c>
      <c r="D4" s="94">
        <f t="shared" si="0"/>
        <v>3</v>
      </c>
      <c r="E4" s="95">
        <f t="shared" si="1"/>
        <v>0</v>
      </c>
      <c r="F4" s="96">
        <v>3</v>
      </c>
      <c r="G4" s="97">
        <v>0</v>
      </c>
      <c r="H4" s="97">
        <v>3</v>
      </c>
      <c r="I4" s="98" t="s">
        <v>91</v>
      </c>
    </row>
    <row r="5" spans="1:20" ht="15.75" customHeight="1" x14ac:dyDescent="0.35">
      <c r="A5" s="93">
        <v>43893</v>
      </c>
      <c r="B5" s="94">
        <v>15</v>
      </c>
      <c r="C5" s="94">
        <v>3</v>
      </c>
      <c r="D5" s="94">
        <f t="shared" si="0"/>
        <v>12</v>
      </c>
      <c r="E5" s="95">
        <f t="shared" si="1"/>
        <v>0.2</v>
      </c>
      <c r="F5" s="96">
        <v>15</v>
      </c>
      <c r="G5" s="97">
        <v>3</v>
      </c>
      <c r="H5" s="97">
        <v>12</v>
      </c>
      <c r="I5" s="98" t="s">
        <v>92</v>
      </c>
    </row>
    <row r="6" spans="1:20" ht="15.75" customHeight="1" x14ac:dyDescent="0.35">
      <c r="A6" s="93">
        <v>43894</v>
      </c>
      <c r="B6" s="94">
        <v>7</v>
      </c>
      <c r="C6" s="94">
        <v>0</v>
      </c>
      <c r="D6" s="94">
        <f t="shared" si="0"/>
        <v>7</v>
      </c>
      <c r="E6" s="95">
        <f t="shared" si="1"/>
        <v>0</v>
      </c>
      <c r="F6" s="96">
        <v>7</v>
      </c>
      <c r="G6" s="97">
        <v>0</v>
      </c>
      <c r="H6" s="97">
        <v>7</v>
      </c>
      <c r="I6" s="98" t="s">
        <v>91</v>
      </c>
    </row>
    <row r="7" spans="1:20" ht="15.75" customHeight="1" x14ac:dyDescent="0.35">
      <c r="A7" s="93">
        <v>43895</v>
      </c>
      <c r="B7" s="94">
        <v>27</v>
      </c>
      <c r="C7" s="94">
        <v>0</v>
      </c>
      <c r="D7" s="94">
        <f t="shared" si="0"/>
        <v>27</v>
      </c>
      <c r="E7" s="95">
        <f t="shared" si="1"/>
        <v>0</v>
      </c>
      <c r="F7" s="96">
        <v>27</v>
      </c>
      <c r="G7" s="97">
        <v>3</v>
      </c>
      <c r="H7" s="97">
        <v>24</v>
      </c>
      <c r="I7" s="98" t="s">
        <v>93</v>
      </c>
    </row>
    <row r="8" spans="1:20" ht="15.75" customHeight="1" x14ac:dyDescent="0.35">
      <c r="A8" s="93">
        <v>43896</v>
      </c>
      <c r="B8" s="94">
        <v>5</v>
      </c>
      <c r="C8" s="94">
        <v>0</v>
      </c>
      <c r="D8" s="94">
        <f t="shared" si="0"/>
        <v>5</v>
      </c>
      <c r="E8" s="95">
        <f t="shared" si="1"/>
        <v>0</v>
      </c>
      <c r="F8" s="96">
        <v>5</v>
      </c>
      <c r="G8" s="97">
        <v>0</v>
      </c>
      <c r="H8" s="97">
        <v>5</v>
      </c>
      <c r="I8" s="98" t="s">
        <v>91</v>
      </c>
    </row>
    <row r="9" spans="1:20" ht="15.75" customHeight="1" x14ac:dyDescent="0.35">
      <c r="A9" s="93">
        <v>43897</v>
      </c>
      <c r="B9" s="94">
        <v>26</v>
      </c>
      <c r="C9" s="94">
        <v>0</v>
      </c>
      <c r="D9" s="94">
        <f t="shared" si="0"/>
        <v>26</v>
      </c>
      <c r="E9" s="95">
        <f t="shared" si="1"/>
        <v>0</v>
      </c>
      <c r="F9" s="96">
        <v>26</v>
      </c>
      <c r="G9" s="97">
        <v>0</v>
      </c>
      <c r="H9" s="97">
        <v>26</v>
      </c>
      <c r="I9" s="98" t="s">
        <v>91</v>
      </c>
    </row>
    <row r="10" spans="1:20" ht="15.75" customHeight="1" x14ac:dyDescent="0.35">
      <c r="A10" s="93">
        <v>43898</v>
      </c>
      <c r="B10" s="94">
        <v>56</v>
      </c>
      <c r="C10" s="94">
        <v>1</v>
      </c>
      <c r="D10" s="94">
        <f t="shared" si="0"/>
        <v>55</v>
      </c>
      <c r="E10" s="95">
        <f t="shared" si="1"/>
        <v>1.7857142857142856E-2</v>
      </c>
      <c r="F10" s="96">
        <v>56</v>
      </c>
      <c r="G10" s="97">
        <v>0</v>
      </c>
      <c r="H10" s="97">
        <v>56</v>
      </c>
      <c r="I10" s="98" t="s">
        <v>91</v>
      </c>
    </row>
    <row r="11" spans="1:20" ht="15.75" customHeight="1" x14ac:dyDescent="0.35">
      <c r="A11" s="93">
        <v>43899</v>
      </c>
      <c r="B11" s="94">
        <v>73</v>
      </c>
      <c r="C11" s="94">
        <v>27</v>
      </c>
      <c r="D11" s="94">
        <f t="shared" si="0"/>
        <v>46</v>
      </c>
      <c r="E11" s="95">
        <f t="shared" si="1"/>
        <v>0.36986301369863012</v>
      </c>
      <c r="F11" s="96">
        <v>73</v>
      </c>
      <c r="G11" s="97">
        <v>25</v>
      </c>
      <c r="H11" s="97">
        <v>48</v>
      </c>
      <c r="I11" s="98" t="s">
        <v>94</v>
      </c>
    </row>
    <row r="12" spans="1:20" ht="15.75" customHeight="1" x14ac:dyDescent="0.35">
      <c r="A12" s="93">
        <v>43900</v>
      </c>
      <c r="B12" s="94">
        <v>52</v>
      </c>
      <c r="C12" s="94">
        <v>2</v>
      </c>
      <c r="D12" s="94">
        <f t="shared" si="0"/>
        <v>50</v>
      </c>
      <c r="E12" s="95">
        <f t="shared" si="1"/>
        <v>3.8461538461538464E-2</v>
      </c>
      <c r="F12" s="96">
        <v>52</v>
      </c>
      <c r="G12" s="97">
        <v>0</v>
      </c>
      <c r="H12" s="97">
        <v>52</v>
      </c>
      <c r="I12" s="98" t="s">
        <v>91</v>
      </c>
    </row>
    <row r="13" spans="1:20" ht="15.75" customHeight="1" x14ac:dyDescent="0.35">
      <c r="A13" s="93">
        <v>43901</v>
      </c>
      <c r="B13" s="94">
        <v>48</v>
      </c>
      <c r="C13" s="94">
        <v>26</v>
      </c>
      <c r="D13" s="94">
        <f t="shared" si="0"/>
        <v>22</v>
      </c>
      <c r="E13" s="95">
        <f t="shared" si="1"/>
        <v>0.54166666666666663</v>
      </c>
      <c r="F13" s="96">
        <v>48</v>
      </c>
      <c r="G13" s="97">
        <v>3</v>
      </c>
      <c r="H13" s="97">
        <v>45</v>
      </c>
      <c r="I13" s="98" t="s">
        <v>95</v>
      </c>
    </row>
    <row r="14" spans="1:20" ht="15.75" customHeight="1" x14ac:dyDescent="0.35">
      <c r="A14" s="93">
        <v>43902</v>
      </c>
      <c r="B14" s="94">
        <v>56</v>
      </c>
      <c r="C14" s="94">
        <v>10</v>
      </c>
      <c r="D14" s="94">
        <f t="shared" si="0"/>
        <v>46</v>
      </c>
      <c r="E14" s="95">
        <f t="shared" si="1"/>
        <v>0.17857142857142858</v>
      </c>
      <c r="F14" s="96">
        <v>56</v>
      </c>
      <c r="G14" s="97">
        <v>23</v>
      </c>
      <c r="H14" s="97">
        <v>33</v>
      </c>
      <c r="I14" s="98" t="s">
        <v>96</v>
      </c>
    </row>
    <row r="15" spans="1:20" ht="15.75" customHeight="1" x14ac:dyDescent="0.35">
      <c r="A15" s="93">
        <v>43903</v>
      </c>
      <c r="B15" s="94">
        <v>30</v>
      </c>
      <c r="C15" s="94">
        <v>7</v>
      </c>
      <c r="D15" s="94">
        <f t="shared" si="0"/>
        <v>23</v>
      </c>
      <c r="E15" s="95">
        <f t="shared" si="1"/>
        <v>0.23333333333333334</v>
      </c>
      <c r="F15" s="96">
        <v>30</v>
      </c>
      <c r="G15" s="97">
        <v>10</v>
      </c>
      <c r="H15" s="97">
        <v>20</v>
      </c>
      <c r="I15" s="98" t="s">
        <v>97</v>
      </c>
    </row>
    <row r="16" spans="1:20" ht="15.75" customHeight="1" x14ac:dyDescent="0.35">
      <c r="A16" s="93">
        <v>43904</v>
      </c>
      <c r="B16" s="94">
        <v>44</v>
      </c>
      <c r="C16" s="94">
        <v>16</v>
      </c>
      <c r="D16" s="94">
        <f t="shared" si="0"/>
        <v>28</v>
      </c>
      <c r="E16" s="95">
        <f t="shared" si="1"/>
        <v>0.36363636363636365</v>
      </c>
      <c r="F16" s="96">
        <v>44</v>
      </c>
      <c r="G16" s="97">
        <v>3</v>
      </c>
      <c r="H16" s="97">
        <v>41</v>
      </c>
      <c r="I16" s="98" t="s">
        <v>98</v>
      </c>
    </row>
    <row r="17" spans="1:9" ht="15.75" customHeight="1" x14ac:dyDescent="0.35">
      <c r="A17" s="93">
        <v>43905</v>
      </c>
      <c r="B17" s="94">
        <v>41</v>
      </c>
      <c r="C17" s="94">
        <v>2</v>
      </c>
      <c r="D17" s="94">
        <f t="shared" si="0"/>
        <v>39</v>
      </c>
      <c r="E17" s="95">
        <f t="shared" si="1"/>
        <v>4.878048780487805E-2</v>
      </c>
      <c r="F17" s="96">
        <v>41</v>
      </c>
      <c r="G17" s="97">
        <v>15</v>
      </c>
      <c r="H17" s="97">
        <v>26</v>
      </c>
      <c r="I17" s="98" t="s">
        <v>99</v>
      </c>
    </row>
    <row r="18" spans="1:9" ht="15.75" customHeight="1" x14ac:dyDescent="0.35">
      <c r="A18" s="93">
        <v>43906</v>
      </c>
      <c r="B18" s="94">
        <v>47</v>
      </c>
      <c r="C18" s="94">
        <v>25</v>
      </c>
      <c r="D18" s="94">
        <f t="shared" si="0"/>
        <v>22</v>
      </c>
      <c r="E18" s="95">
        <f t="shared" si="1"/>
        <v>0.53191489361702127</v>
      </c>
      <c r="F18" s="96">
        <v>47</v>
      </c>
      <c r="G18" s="97">
        <v>2</v>
      </c>
      <c r="H18" s="97">
        <v>45</v>
      </c>
      <c r="I18" s="98" t="s">
        <v>100</v>
      </c>
    </row>
    <row r="19" spans="1:9" ht="15.75" customHeight="1" x14ac:dyDescent="0.35">
      <c r="A19" s="93">
        <v>43907</v>
      </c>
      <c r="B19" s="94">
        <v>104</v>
      </c>
      <c r="C19" s="94">
        <v>38</v>
      </c>
      <c r="D19" s="94">
        <f t="shared" si="0"/>
        <v>66</v>
      </c>
      <c r="E19" s="95">
        <f t="shared" si="1"/>
        <v>0.36538461538461536</v>
      </c>
      <c r="F19" s="96">
        <v>104</v>
      </c>
      <c r="G19" s="97">
        <v>26</v>
      </c>
      <c r="H19" s="97">
        <v>78</v>
      </c>
      <c r="I19" s="98" t="s">
        <v>101</v>
      </c>
    </row>
    <row r="20" spans="1:9" ht="15.75" customHeight="1" x14ac:dyDescent="0.35">
      <c r="A20" s="93">
        <v>43908</v>
      </c>
      <c r="B20" s="94">
        <v>132</v>
      </c>
      <c r="C20" s="94">
        <v>51</v>
      </c>
      <c r="D20" s="94">
        <f t="shared" si="0"/>
        <v>81</v>
      </c>
      <c r="E20" s="95">
        <f t="shared" si="1"/>
        <v>0.38636363636363635</v>
      </c>
      <c r="F20" s="96">
        <v>132</v>
      </c>
      <c r="G20" s="97">
        <v>38</v>
      </c>
      <c r="H20" s="97">
        <v>94</v>
      </c>
      <c r="I20" s="98" t="s">
        <v>102</v>
      </c>
    </row>
    <row r="21" spans="1:9" ht="15.75" customHeight="1" x14ac:dyDescent="0.35">
      <c r="A21" s="93">
        <v>43909</v>
      </c>
      <c r="B21" s="94">
        <v>154</v>
      </c>
      <c r="C21" s="94">
        <v>13</v>
      </c>
      <c r="D21" s="94">
        <f t="shared" si="0"/>
        <v>141</v>
      </c>
      <c r="E21" s="95">
        <f t="shared" si="1"/>
        <v>8.4415584415584416E-2</v>
      </c>
      <c r="F21" s="96">
        <v>154</v>
      </c>
      <c r="G21" s="97">
        <v>48</v>
      </c>
      <c r="H21" s="97">
        <v>106</v>
      </c>
      <c r="I21" s="98" t="s">
        <v>103</v>
      </c>
    </row>
    <row r="22" spans="1:9" ht="15.75" customHeight="1" x14ac:dyDescent="0.35">
      <c r="A22" s="93">
        <v>43910</v>
      </c>
      <c r="B22" s="94">
        <v>118</v>
      </c>
      <c r="C22" s="94">
        <v>44</v>
      </c>
      <c r="D22" s="94">
        <f t="shared" si="0"/>
        <v>74</v>
      </c>
      <c r="E22" s="95">
        <f t="shared" si="1"/>
        <v>0.3728813559322034</v>
      </c>
      <c r="F22" s="96">
        <v>118</v>
      </c>
      <c r="G22" s="97">
        <v>12</v>
      </c>
      <c r="H22" s="97">
        <v>106</v>
      </c>
      <c r="I22" s="98" t="s">
        <v>104</v>
      </c>
    </row>
    <row r="23" spans="1:9" ht="15.5" x14ac:dyDescent="0.35">
      <c r="A23" s="93">
        <v>43911</v>
      </c>
      <c r="B23" s="94">
        <v>501</v>
      </c>
      <c r="C23" s="94">
        <v>39</v>
      </c>
      <c r="D23" s="94">
        <f t="shared" si="0"/>
        <v>462</v>
      </c>
      <c r="E23" s="95">
        <f t="shared" si="1"/>
        <v>7.7844311377245512E-2</v>
      </c>
      <c r="F23" s="96">
        <v>501</v>
      </c>
      <c r="G23" s="97">
        <v>48</v>
      </c>
      <c r="H23" s="99">
        <v>453</v>
      </c>
      <c r="I23" s="98" t="s">
        <v>105</v>
      </c>
    </row>
    <row r="24" spans="1:9" ht="15.5" x14ac:dyDescent="0.35">
      <c r="A24" s="93">
        <v>43912</v>
      </c>
      <c r="B24" s="94">
        <v>1097</v>
      </c>
      <c r="C24" s="94">
        <v>49</v>
      </c>
      <c r="D24" s="94">
        <f t="shared" si="0"/>
        <v>1048</v>
      </c>
      <c r="E24" s="95">
        <f t="shared" si="1"/>
        <v>4.4667274384685506E-2</v>
      </c>
      <c r="F24" s="96">
        <v>1097</v>
      </c>
      <c r="G24" s="97">
        <v>37</v>
      </c>
      <c r="H24" s="97">
        <v>1060</v>
      </c>
      <c r="I24" s="98" t="s">
        <v>106</v>
      </c>
    </row>
    <row r="25" spans="1:9" ht="15.5" x14ac:dyDescent="0.35">
      <c r="A25" s="93">
        <v>43913</v>
      </c>
      <c r="B25" s="94">
        <v>378</v>
      </c>
      <c r="C25" s="94">
        <v>71</v>
      </c>
      <c r="D25" s="94">
        <f t="shared" si="0"/>
        <v>307</v>
      </c>
      <c r="E25" s="95">
        <f t="shared" si="1"/>
        <v>0.18783068783068782</v>
      </c>
      <c r="F25" s="96">
        <v>378</v>
      </c>
      <c r="G25" s="97">
        <v>30</v>
      </c>
      <c r="H25" s="97">
        <v>348</v>
      </c>
      <c r="I25" s="98" t="s">
        <v>107</v>
      </c>
    </row>
    <row r="26" spans="1:9" ht="15.5" x14ac:dyDescent="0.35">
      <c r="A26" s="93">
        <v>43914</v>
      </c>
      <c r="B26" s="94">
        <v>347</v>
      </c>
      <c r="C26" s="94">
        <v>45</v>
      </c>
      <c r="D26" s="94">
        <f t="shared" si="0"/>
        <v>302</v>
      </c>
      <c r="E26" s="95">
        <f t="shared" si="1"/>
        <v>0.12968299711815562</v>
      </c>
      <c r="F26" s="96">
        <v>347</v>
      </c>
      <c r="G26" s="97">
        <v>71</v>
      </c>
      <c r="H26" s="97">
        <v>276</v>
      </c>
      <c r="I26" s="98" t="s">
        <v>108</v>
      </c>
    </row>
    <row r="27" spans="1:9" ht="15.5" x14ac:dyDescent="0.35">
      <c r="A27" s="93">
        <v>43915</v>
      </c>
      <c r="B27" s="94">
        <v>196</v>
      </c>
      <c r="C27" s="94">
        <v>43</v>
      </c>
      <c r="D27" s="94">
        <f t="shared" si="0"/>
        <v>153</v>
      </c>
      <c r="E27" s="95">
        <f t="shared" si="1"/>
        <v>0.21938775510204081</v>
      </c>
      <c r="F27" s="96">
        <v>196</v>
      </c>
      <c r="G27" s="97">
        <v>46</v>
      </c>
      <c r="H27" s="97">
        <v>150</v>
      </c>
      <c r="I27" s="98" t="s">
        <v>109</v>
      </c>
    </row>
    <row r="28" spans="1:9" ht="15.5" x14ac:dyDescent="0.35">
      <c r="A28" s="93">
        <v>43916</v>
      </c>
      <c r="B28" s="94">
        <v>248</v>
      </c>
      <c r="C28" s="94">
        <v>51</v>
      </c>
      <c r="D28" s="94">
        <f t="shared" si="0"/>
        <v>197</v>
      </c>
      <c r="E28" s="95">
        <f t="shared" si="1"/>
        <v>0.20564516129032259</v>
      </c>
      <c r="F28" s="96">
        <v>248</v>
      </c>
      <c r="G28" s="97">
        <v>37</v>
      </c>
      <c r="H28" s="97">
        <v>211</v>
      </c>
      <c r="I28" s="98" t="s">
        <v>110</v>
      </c>
    </row>
    <row r="29" spans="1:9" ht="15.5" x14ac:dyDescent="0.35">
      <c r="A29" s="93">
        <v>43917</v>
      </c>
      <c r="B29" s="94">
        <v>199</v>
      </c>
      <c r="C29" s="94">
        <v>37</v>
      </c>
      <c r="D29" s="94">
        <f t="shared" si="0"/>
        <v>162</v>
      </c>
      <c r="E29" s="95">
        <f t="shared" si="1"/>
        <v>0.18592964824120603</v>
      </c>
      <c r="F29" s="96">
        <v>200</v>
      </c>
      <c r="G29" s="97">
        <v>48</v>
      </c>
      <c r="H29" s="97">
        <v>152</v>
      </c>
      <c r="I29" s="98" t="s">
        <v>111</v>
      </c>
    </row>
    <row r="30" spans="1:9" ht="15.5" x14ac:dyDescent="0.35">
      <c r="A30" s="93">
        <v>43918</v>
      </c>
      <c r="B30" s="94">
        <v>359</v>
      </c>
      <c r="C30" s="94">
        <v>98</v>
      </c>
      <c r="D30" s="94">
        <f t="shared" si="0"/>
        <v>261</v>
      </c>
      <c r="E30" s="95">
        <f t="shared" si="1"/>
        <v>0.27298050139275765</v>
      </c>
      <c r="F30" s="96">
        <v>359</v>
      </c>
      <c r="G30" s="97">
        <v>35</v>
      </c>
      <c r="H30" s="97">
        <v>324</v>
      </c>
      <c r="I30" s="98" t="s">
        <v>112</v>
      </c>
    </row>
    <row r="31" spans="1:9" ht="15.5" x14ac:dyDescent="0.35">
      <c r="A31" s="93">
        <v>43919</v>
      </c>
      <c r="B31" s="94">
        <v>127</v>
      </c>
      <c r="C31" s="94">
        <v>26</v>
      </c>
      <c r="D31" s="94">
        <f t="shared" si="0"/>
        <v>101</v>
      </c>
      <c r="E31" s="95">
        <f t="shared" si="1"/>
        <v>0.20472440944881889</v>
      </c>
      <c r="F31" s="96">
        <v>127</v>
      </c>
      <c r="G31" s="97">
        <v>102</v>
      </c>
      <c r="H31" s="97">
        <v>25</v>
      </c>
      <c r="I31" s="98" t="s">
        <v>113</v>
      </c>
    </row>
    <row r="32" spans="1:9" ht="15.5" x14ac:dyDescent="0.35">
      <c r="A32" s="93">
        <v>43920</v>
      </c>
      <c r="B32" s="94">
        <v>217</v>
      </c>
      <c r="C32" s="94">
        <v>14</v>
      </c>
      <c r="D32" s="94">
        <f t="shared" si="0"/>
        <v>203</v>
      </c>
      <c r="E32" s="95">
        <f t="shared" si="1"/>
        <v>6.4516129032258063E-2</v>
      </c>
      <c r="F32" s="96">
        <v>217</v>
      </c>
      <c r="G32" s="97">
        <v>26</v>
      </c>
      <c r="H32" s="97">
        <v>191</v>
      </c>
      <c r="I32" s="98" t="s">
        <v>114</v>
      </c>
    </row>
    <row r="33" spans="1:9" ht="15.5" x14ac:dyDescent="0.35">
      <c r="A33" s="93">
        <v>43921</v>
      </c>
      <c r="B33" s="94">
        <v>300</v>
      </c>
      <c r="C33" s="94">
        <v>75</v>
      </c>
      <c r="D33" s="94">
        <f t="shared" si="0"/>
        <v>225</v>
      </c>
      <c r="E33" s="95">
        <f t="shared" si="1"/>
        <v>0.25</v>
      </c>
      <c r="F33" s="96">
        <v>300</v>
      </c>
      <c r="G33" s="97">
        <v>31</v>
      </c>
      <c r="H33" s="97">
        <v>269</v>
      </c>
      <c r="I33" s="98" t="s">
        <v>115</v>
      </c>
    </row>
    <row r="34" spans="1:9" ht="15.5" x14ac:dyDescent="0.35">
      <c r="A34" s="93">
        <v>43922</v>
      </c>
      <c r="B34" s="94">
        <v>164</v>
      </c>
      <c r="C34" s="94">
        <v>93</v>
      </c>
      <c r="D34" s="94">
        <f t="shared" si="0"/>
        <v>71</v>
      </c>
      <c r="E34" s="95">
        <f t="shared" si="1"/>
        <v>0.56707317073170727</v>
      </c>
      <c r="F34" s="96">
        <v>194</v>
      </c>
      <c r="G34" s="97">
        <v>78</v>
      </c>
      <c r="H34" s="97">
        <v>116</v>
      </c>
      <c r="I34" s="98" t="s">
        <v>116</v>
      </c>
    </row>
    <row r="35" spans="1:9" ht="15.5" x14ac:dyDescent="0.35">
      <c r="A35" s="93">
        <v>43923</v>
      </c>
      <c r="B35" s="94">
        <v>455</v>
      </c>
      <c r="C35" s="94">
        <v>81</v>
      </c>
      <c r="D35" s="94">
        <f t="shared" si="0"/>
        <v>374</v>
      </c>
      <c r="E35" s="95">
        <f t="shared" si="1"/>
        <v>0.17802197802197803</v>
      </c>
      <c r="F35" s="96">
        <v>615</v>
      </c>
      <c r="G35" s="97">
        <v>104</v>
      </c>
      <c r="H35" s="97">
        <v>511</v>
      </c>
      <c r="I35" s="98" t="s">
        <v>117</v>
      </c>
    </row>
    <row r="36" spans="1:9" ht="15.5" x14ac:dyDescent="0.35">
      <c r="A36" s="93">
        <v>43924</v>
      </c>
      <c r="B36" s="94">
        <v>908</v>
      </c>
      <c r="C36" s="94">
        <v>81</v>
      </c>
      <c r="D36" s="94">
        <f t="shared" si="0"/>
        <v>827</v>
      </c>
      <c r="E36" s="95">
        <f t="shared" si="1"/>
        <v>8.9207048458149779E-2</v>
      </c>
      <c r="F36" s="96">
        <v>788</v>
      </c>
      <c r="G36" s="97">
        <v>132</v>
      </c>
      <c r="H36" s="97">
        <v>656</v>
      </c>
      <c r="I36" s="98" t="s">
        <v>118</v>
      </c>
    </row>
    <row r="37" spans="1:9" ht="15.5" x14ac:dyDescent="0.35">
      <c r="A37" s="93">
        <v>43925</v>
      </c>
      <c r="B37" s="94">
        <v>1470</v>
      </c>
      <c r="C37" s="94">
        <v>80</v>
      </c>
      <c r="D37" s="94">
        <f t="shared" si="0"/>
        <v>1390</v>
      </c>
      <c r="E37" s="95">
        <f t="shared" si="1"/>
        <v>5.4421768707482991E-2</v>
      </c>
      <c r="F37" s="96">
        <v>1651</v>
      </c>
      <c r="G37" s="97">
        <v>145</v>
      </c>
      <c r="H37" s="97">
        <v>1506</v>
      </c>
      <c r="I37" s="98" t="s">
        <v>119</v>
      </c>
    </row>
    <row r="38" spans="1:9" ht="15.5" x14ac:dyDescent="0.35">
      <c r="A38" s="93">
        <v>43926</v>
      </c>
      <c r="B38" s="94">
        <v>1218</v>
      </c>
      <c r="C38" s="94">
        <v>148</v>
      </c>
      <c r="D38" s="94">
        <f t="shared" si="0"/>
        <v>1070</v>
      </c>
      <c r="E38" s="95">
        <f t="shared" si="1"/>
        <v>0.12151067323481117</v>
      </c>
      <c r="F38" s="96">
        <v>1618</v>
      </c>
      <c r="G38" s="97">
        <v>208</v>
      </c>
      <c r="H38" s="97">
        <v>1410</v>
      </c>
      <c r="I38" s="98" t="s">
        <v>120</v>
      </c>
    </row>
    <row r="39" spans="1:9" ht="15.5" x14ac:dyDescent="0.35">
      <c r="A39" s="93">
        <v>43927</v>
      </c>
      <c r="B39" s="94">
        <v>812</v>
      </c>
      <c r="C39" s="94">
        <v>144</v>
      </c>
      <c r="D39" s="94">
        <f t="shared" si="0"/>
        <v>668</v>
      </c>
      <c r="E39" s="95">
        <f t="shared" si="1"/>
        <v>0.17733990147783252</v>
      </c>
      <c r="F39" s="96">
        <v>1189</v>
      </c>
      <c r="G39" s="97">
        <v>138</v>
      </c>
      <c r="H39" s="97">
        <v>1051</v>
      </c>
      <c r="I39" s="98" t="s">
        <v>121</v>
      </c>
    </row>
    <row r="40" spans="1:9" ht="15.5" x14ac:dyDescent="0.35">
      <c r="A40" s="93">
        <v>43928</v>
      </c>
      <c r="B40" s="94">
        <v>877</v>
      </c>
      <c r="C40" s="94">
        <v>109</v>
      </c>
      <c r="D40" s="94">
        <f t="shared" si="0"/>
        <v>768</v>
      </c>
      <c r="E40" s="95">
        <f t="shared" si="1"/>
        <v>0.12428734321550741</v>
      </c>
      <c r="F40" s="96">
        <v>1476</v>
      </c>
      <c r="G40" s="97">
        <v>158</v>
      </c>
      <c r="H40" s="97">
        <v>1318</v>
      </c>
      <c r="I40" s="98" t="s">
        <v>122</v>
      </c>
    </row>
    <row r="41" spans="1:9" ht="15.5" x14ac:dyDescent="0.35">
      <c r="A41" s="93">
        <v>43929</v>
      </c>
      <c r="B41" s="94">
        <v>988</v>
      </c>
      <c r="C41" s="94">
        <v>167</v>
      </c>
      <c r="D41" s="94">
        <f t="shared" si="0"/>
        <v>821</v>
      </c>
      <c r="E41" s="95">
        <f t="shared" si="1"/>
        <v>0.16902834008097167</v>
      </c>
      <c r="F41" s="96">
        <v>1412</v>
      </c>
      <c r="G41" s="97">
        <v>134</v>
      </c>
      <c r="H41" s="97">
        <v>1278</v>
      </c>
      <c r="I41" s="98" t="s">
        <v>123</v>
      </c>
    </row>
    <row r="42" spans="1:9" ht="15.5" x14ac:dyDescent="0.35">
      <c r="A42" s="93">
        <v>43930</v>
      </c>
      <c r="B42" s="94">
        <v>1003</v>
      </c>
      <c r="C42" s="94">
        <v>91</v>
      </c>
      <c r="D42" s="94">
        <f t="shared" si="0"/>
        <v>912</v>
      </c>
      <c r="E42" s="95">
        <f t="shared" si="1"/>
        <v>9.072781655034895E-2</v>
      </c>
      <c r="F42" s="96">
        <v>1433</v>
      </c>
      <c r="G42" s="97">
        <v>201</v>
      </c>
      <c r="H42" s="97">
        <v>1232</v>
      </c>
      <c r="I42" s="98" t="s">
        <v>124</v>
      </c>
    </row>
    <row r="43" spans="1:9" ht="15.5" x14ac:dyDescent="0.35">
      <c r="A43" s="93">
        <v>43931</v>
      </c>
      <c r="B43" s="94">
        <v>1304</v>
      </c>
      <c r="C43" s="94">
        <v>93</v>
      </c>
      <c r="D43" s="94">
        <f t="shared" si="0"/>
        <v>1211</v>
      </c>
      <c r="E43" s="95">
        <f t="shared" si="1"/>
        <v>7.131901840490798E-2</v>
      </c>
      <c r="F43" s="96">
        <v>1863</v>
      </c>
      <c r="G43" s="97">
        <v>162</v>
      </c>
      <c r="H43" s="97">
        <v>1701</v>
      </c>
      <c r="I43" s="98" t="s">
        <v>125</v>
      </c>
    </row>
    <row r="44" spans="1:9" ht="15.5" x14ac:dyDescent="0.35">
      <c r="A44" s="93">
        <v>43932</v>
      </c>
      <c r="B44" s="94">
        <v>916</v>
      </c>
      <c r="C44" s="94">
        <v>179</v>
      </c>
      <c r="D44" s="94">
        <f t="shared" si="0"/>
        <v>737</v>
      </c>
      <c r="E44" s="95">
        <f t="shared" si="1"/>
        <v>0.19541484716157206</v>
      </c>
      <c r="F44" s="96">
        <v>1308</v>
      </c>
      <c r="G44" s="97">
        <v>160</v>
      </c>
      <c r="H44" s="97">
        <v>1148</v>
      </c>
      <c r="I44" s="98" t="s">
        <v>126</v>
      </c>
    </row>
    <row r="45" spans="1:9" ht="15.5" x14ac:dyDescent="0.35">
      <c r="A45" s="93">
        <v>43933</v>
      </c>
      <c r="B45" s="94">
        <v>844</v>
      </c>
      <c r="C45" s="94">
        <v>160</v>
      </c>
      <c r="D45" s="94">
        <f t="shared" si="0"/>
        <v>684</v>
      </c>
      <c r="E45" s="95">
        <f t="shared" si="1"/>
        <v>0.1895734597156398</v>
      </c>
      <c r="F45" s="96">
        <v>1205</v>
      </c>
      <c r="G45" s="97">
        <v>173</v>
      </c>
      <c r="H45" s="97">
        <v>1032</v>
      </c>
      <c r="I45" s="98" t="s">
        <v>127</v>
      </c>
    </row>
    <row r="46" spans="1:9" ht="15.5" x14ac:dyDescent="0.35">
      <c r="A46" s="93">
        <v>43934</v>
      </c>
      <c r="B46" s="94">
        <v>840</v>
      </c>
      <c r="C46" s="94">
        <v>107</v>
      </c>
      <c r="D46" s="94">
        <f t="shared" si="0"/>
        <v>733</v>
      </c>
      <c r="E46" s="95">
        <f t="shared" si="1"/>
        <v>0.12738095238095237</v>
      </c>
      <c r="F46" s="96">
        <v>1200</v>
      </c>
      <c r="G46" s="97">
        <v>133</v>
      </c>
      <c r="H46" s="97">
        <v>1067</v>
      </c>
      <c r="I46" s="98" t="s">
        <v>93</v>
      </c>
    </row>
    <row r="47" spans="1:9" ht="15.5" x14ac:dyDescent="0.35">
      <c r="A47" s="93">
        <v>43935</v>
      </c>
      <c r="B47" s="94">
        <v>1114</v>
      </c>
      <c r="C47" s="94">
        <v>98</v>
      </c>
      <c r="D47" s="94">
        <f t="shared" si="0"/>
        <v>1016</v>
      </c>
      <c r="E47" s="95">
        <f t="shared" si="1"/>
        <v>8.7971274685816878E-2</v>
      </c>
      <c r="F47" s="96">
        <v>1592</v>
      </c>
      <c r="G47" s="97">
        <v>160</v>
      </c>
      <c r="H47" s="97">
        <v>1432</v>
      </c>
      <c r="I47" s="98" t="s">
        <v>128</v>
      </c>
    </row>
    <row r="48" spans="1:9" ht="15.5" x14ac:dyDescent="0.35">
      <c r="A48" s="93">
        <v>43936</v>
      </c>
      <c r="B48" s="94">
        <v>981</v>
      </c>
      <c r="C48" s="94">
        <v>223</v>
      </c>
      <c r="D48" s="94">
        <f t="shared" si="0"/>
        <v>758</v>
      </c>
      <c r="E48" s="95">
        <f t="shared" si="1"/>
        <v>0.22731906218144751</v>
      </c>
      <c r="F48" s="96">
        <v>1401</v>
      </c>
      <c r="G48" s="97">
        <v>121</v>
      </c>
      <c r="H48" s="97">
        <v>1280</v>
      </c>
      <c r="I48" s="98" t="s">
        <v>129</v>
      </c>
    </row>
    <row r="49" spans="1:9" ht="15.5" x14ac:dyDescent="0.35">
      <c r="A49" s="93">
        <v>43937</v>
      </c>
      <c r="B49" s="94">
        <v>888</v>
      </c>
      <c r="C49" s="94">
        <v>153</v>
      </c>
      <c r="D49" s="94">
        <f t="shared" si="0"/>
        <v>735</v>
      </c>
      <c r="E49" s="95">
        <f t="shared" si="1"/>
        <v>0.17229729729729729</v>
      </c>
      <c r="F49" s="96">
        <v>1269</v>
      </c>
      <c r="G49" s="97">
        <v>168</v>
      </c>
      <c r="H49" s="97">
        <v>1101</v>
      </c>
      <c r="I49" s="98" t="s">
        <v>130</v>
      </c>
    </row>
    <row r="50" spans="1:9" ht="15.5" x14ac:dyDescent="0.35">
      <c r="A50" s="93">
        <v>43938</v>
      </c>
      <c r="B50" s="94">
        <v>1214</v>
      </c>
      <c r="C50" s="94">
        <v>79</v>
      </c>
      <c r="D50" s="94">
        <f t="shared" si="0"/>
        <v>1135</v>
      </c>
      <c r="E50" s="95">
        <f t="shared" si="1"/>
        <v>6.5074135090609553E-2</v>
      </c>
      <c r="F50" s="96">
        <v>1734</v>
      </c>
      <c r="G50" s="97">
        <v>131</v>
      </c>
      <c r="H50" s="97">
        <v>1603</v>
      </c>
      <c r="I50" s="98" t="s">
        <v>131</v>
      </c>
    </row>
    <row r="51" spans="1:9" ht="15.5" x14ac:dyDescent="0.35">
      <c r="A51" s="93">
        <v>43939</v>
      </c>
      <c r="B51" s="94">
        <v>1123</v>
      </c>
      <c r="C51" s="94">
        <v>131</v>
      </c>
      <c r="D51" s="94">
        <f t="shared" si="0"/>
        <v>992</v>
      </c>
      <c r="E51" s="95">
        <f t="shared" si="1"/>
        <v>0.11665182546749778</v>
      </c>
      <c r="F51" s="96">
        <v>1604</v>
      </c>
      <c r="G51" s="97">
        <v>125</v>
      </c>
      <c r="H51" s="97">
        <v>1479</v>
      </c>
      <c r="I51" s="98" t="s">
        <v>132</v>
      </c>
    </row>
    <row r="52" spans="1:9" ht="15.5" x14ac:dyDescent="0.35">
      <c r="A52" s="93">
        <v>43940</v>
      </c>
      <c r="B52" s="94">
        <v>1248</v>
      </c>
      <c r="C52" s="94">
        <v>79</v>
      </c>
      <c r="D52" s="94">
        <f t="shared" si="0"/>
        <v>1169</v>
      </c>
      <c r="E52" s="95">
        <f t="shared" si="1"/>
        <v>6.3301282051282048E-2</v>
      </c>
      <c r="F52" s="96">
        <v>1783</v>
      </c>
      <c r="G52" s="97">
        <v>66</v>
      </c>
      <c r="H52" s="97">
        <v>1717</v>
      </c>
      <c r="I52" s="98" t="s">
        <v>133</v>
      </c>
    </row>
    <row r="53" spans="1:9" ht="15.5" x14ac:dyDescent="0.35">
      <c r="A53" s="93">
        <v>43941</v>
      </c>
      <c r="B53" s="94">
        <v>1606</v>
      </c>
      <c r="C53" s="94">
        <v>167</v>
      </c>
      <c r="D53" s="94">
        <f t="shared" si="0"/>
        <v>1439</v>
      </c>
      <c r="E53" s="95">
        <f t="shared" si="1"/>
        <v>0.10398505603985056</v>
      </c>
      <c r="F53" s="96">
        <v>2294</v>
      </c>
      <c r="G53" s="97">
        <v>185</v>
      </c>
      <c r="H53" s="97">
        <v>2109</v>
      </c>
      <c r="I53" s="98" t="s">
        <v>134</v>
      </c>
    </row>
    <row r="54" spans="1:9" ht="15.5" x14ac:dyDescent="0.35">
      <c r="A54" s="93">
        <v>43942</v>
      </c>
      <c r="B54" s="94">
        <v>1599</v>
      </c>
      <c r="C54" s="94">
        <v>120</v>
      </c>
      <c r="D54" s="94">
        <f t="shared" si="0"/>
        <v>1479</v>
      </c>
      <c r="E54" s="95">
        <f t="shared" si="1"/>
        <v>7.5046904315197005E-2</v>
      </c>
      <c r="F54" s="96">
        <v>2284</v>
      </c>
      <c r="G54" s="97">
        <v>165</v>
      </c>
      <c r="H54" s="97">
        <v>2119</v>
      </c>
      <c r="I54" s="98" t="s">
        <v>135</v>
      </c>
    </row>
    <row r="55" spans="1:9" ht="15.5" x14ac:dyDescent="0.35">
      <c r="A55" s="93">
        <v>43943</v>
      </c>
      <c r="B55" s="94">
        <v>1552</v>
      </c>
      <c r="C55" s="94">
        <v>107</v>
      </c>
      <c r="D55" s="94">
        <f t="shared" si="0"/>
        <v>1445</v>
      </c>
      <c r="E55" s="95">
        <f t="shared" si="1"/>
        <v>6.894329896907217E-2</v>
      </c>
      <c r="F55" s="96">
        <v>2217</v>
      </c>
      <c r="G55" s="97">
        <v>113</v>
      </c>
      <c r="H55" s="97">
        <v>2104</v>
      </c>
      <c r="I55" s="98" t="s">
        <v>136</v>
      </c>
    </row>
    <row r="56" spans="1:9" ht="15.5" x14ac:dyDescent="0.35">
      <c r="A56" s="93">
        <v>43944</v>
      </c>
      <c r="B56" s="94">
        <v>1714</v>
      </c>
      <c r="C56" s="94">
        <v>99</v>
      </c>
      <c r="D56" s="94">
        <f t="shared" si="0"/>
        <v>1615</v>
      </c>
      <c r="E56" s="95">
        <f t="shared" si="1"/>
        <v>5.7759626604434074E-2</v>
      </c>
      <c r="F56" s="96">
        <v>2449</v>
      </c>
      <c r="G56" s="97">
        <v>127</v>
      </c>
      <c r="H56" s="97">
        <v>2322</v>
      </c>
      <c r="I56" s="98" t="s">
        <v>137</v>
      </c>
    </row>
    <row r="57" spans="1:9" ht="15.5" x14ac:dyDescent="0.35">
      <c r="A57" s="93">
        <v>43945</v>
      </c>
      <c r="B57" s="94">
        <v>1599</v>
      </c>
      <c r="C57" s="94">
        <v>76</v>
      </c>
      <c r="D57" s="94">
        <f t="shared" si="0"/>
        <v>1523</v>
      </c>
      <c r="E57" s="95">
        <f t="shared" si="1"/>
        <v>4.7529706066291436E-2</v>
      </c>
      <c r="F57" s="96">
        <v>2284</v>
      </c>
      <c r="G57" s="97">
        <v>122</v>
      </c>
      <c r="H57" s="97">
        <v>2162</v>
      </c>
      <c r="I57" s="98" t="s">
        <v>138</v>
      </c>
    </row>
    <row r="58" spans="1:9" ht="15.5" x14ac:dyDescent="0.35">
      <c r="A58" s="93">
        <v>43946</v>
      </c>
      <c r="B58" s="94">
        <v>1278</v>
      </c>
      <c r="C58" s="94">
        <v>65</v>
      </c>
      <c r="D58" s="94">
        <f t="shared" si="0"/>
        <v>1213</v>
      </c>
      <c r="E58" s="95">
        <f t="shared" si="1"/>
        <v>5.086071987480438E-2</v>
      </c>
      <c r="F58" s="96">
        <v>1826</v>
      </c>
      <c r="G58" s="97">
        <v>132</v>
      </c>
      <c r="H58" s="97">
        <v>1694</v>
      </c>
      <c r="I58" s="98" t="s">
        <v>135</v>
      </c>
    </row>
    <row r="59" spans="1:9" ht="15.5" x14ac:dyDescent="0.35">
      <c r="A59" s="93">
        <v>43947</v>
      </c>
      <c r="B59" s="94">
        <v>803</v>
      </c>
      <c r="C59" s="94">
        <v>86</v>
      </c>
      <c r="D59" s="94">
        <f t="shared" si="0"/>
        <v>717</v>
      </c>
      <c r="E59" s="95">
        <f t="shared" si="1"/>
        <v>0.10709838107098381</v>
      </c>
      <c r="F59" s="96">
        <v>1147</v>
      </c>
      <c r="G59" s="97">
        <v>38</v>
      </c>
      <c r="H59" s="97">
        <v>1109</v>
      </c>
      <c r="I59" s="98" t="s">
        <v>139</v>
      </c>
    </row>
    <row r="60" spans="1:9" ht="15.5" x14ac:dyDescent="0.35">
      <c r="A60" s="93">
        <v>43948</v>
      </c>
      <c r="B60" s="94">
        <v>1434</v>
      </c>
      <c r="C60" s="94">
        <v>118</v>
      </c>
      <c r="D60" s="94">
        <f t="shared" si="0"/>
        <v>1316</v>
      </c>
      <c r="E60" s="95">
        <f t="shared" si="1"/>
        <v>8.2287308228730829E-2</v>
      </c>
      <c r="F60" s="96">
        <v>2049</v>
      </c>
      <c r="G60" s="97">
        <v>53</v>
      </c>
      <c r="H60" s="97">
        <v>1996</v>
      </c>
      <c r="I60" s="98" t="s">
        <v>140</v>
      </c>
    </row>
    <row r="61" spans="1:9" ht="15.5" x14ac:dyDescent="0.35">
      <c r="A61" s="93">
        <v>43949</v>
      </c>
      <c r="B61" s="94">
        <v>1904</v>
      </c>
      <c r="C61" s="94">
        <v>83</v>
      </c>
      <c r="D61" s="94">
        <f t="shared" si="0"/>
        <v>1821</v>
      </c>
      <c r="E61" s="95">
        <f t="shared" si="1"/>
        <v>4.3592436974789914E-2</v>
      </c>
      <c r="F61" s="96">
        <v>2720</v>
      </c>
      <c r="G61" s="97">
        <v>183</v>
      </c>
      <c r="H61" s="97">
        <v>2537</v>
      </c>
      <c r="I61" s="98" t="s">
        <v>141</v>
      </c>
    </row>
    <row r="62" spans="1:9" ht="15.5" x14ac:dyDescent="0.35">
      <c r="A62" s="93">
        <v>43950</v>
      </c>
      <c r="B62" s="94">
        <v>2276</v>
      </c>
      <c r="C62" s="94">
        <v>105</v>
      </c>
      <c r="D62" s="94">
        <f t="shared" si="0"/>
        <v>2171</v>
      </c>
      <c r="E62" s="95">
        <f t="shared" si="1"/>
        <v>4.6133567662565905E-2</v>
      </c>
      <c r="F62" s="96">
        <v>3251</v>
      </c>
      <c r="G62" s="97">
        <v>125</v>
      </c>
      <c r="H62" s="97">
        <v>3126</v>
      </c>
      <c r="I62" s="98" t="s">
        <v>142</v>
      </c>
    </row>
    <row r="63" spans="1:9" ht="15.5" x14ac:dyDescent="0.35">
      <c r="A63" s="93">
        <v>43951</v>
      </c>
      <c r="B63" s="94">
        <v>2339</v>
      </c>
      <c r="C63" s="94">
        <v>145</v>
      </c>
      <c r="D63" s="94">
        <f t="shared" si="0"/>
        <v>2194</v>
      </c>
      <c r="E63" s="95">
        <f t="shared" si="1"/>
        <v>6.1992304403591277E-2</v>
      </c>
      <c r="F63" s="96">
        <v>3342</v>
      </c>
      <c r="G63" s="97">
        <v>159</v>
      </c>
      <c r="H63" s="97">
        <v>3183</v>
      </c>
      <c r="I63" s="98" t="s">
        <v>143</v>
      </c>
    </row>
    <row r="64" spans="1:9" ht="15.5" x14ac:dyDescent="0.35">
      <c r="A64" s="93">
        <v>43952</v>
      </c>
      <c r="B64" s="94">
        <v>2496</v>
      </c>
      <c r="C64" s="94">
        <v>72</v>
      </c>
      <c r="D64" s="94">
        <f t="shared" si="0"/>
        <v>2424</v>
      </c>
      <c r="E64" s="95">
        <f t="shared" si="1"/>
        <v>2.8846153846153848E-2</v>
      </c>
      <c r="F64" s="96">
        <v>3566</v>
      </c>
      <c r="G64" s="97">
        <v>115</v>
      </c>
      <c r="H64" s="97">
        <v>3451</v>
      </c>
      <c r="I64" s="98" t="s">
        <v>144</v>
      </c>
    </row>
    <row r="65" spans="1:9" ht="15.5" x14ac:dyDescent="0.35">
      <c r="A65" s="93">
        <v>43953</v>
      </c>
      <c r="B65" s="94">
        <v>2211</v>
      </c>
      <c r="C65" s="94">
        <v>62</v>
      </c>
      <c r="D65" s="94">
        <f t="shared" si="0"/>
        <v>2149</v>
      </c>
      <c r="E65" s="95">
        <f t="shared" si="1"/>
        <v>2.8041610131162371E-2</v>
      </c>
      <c r="F65" s="96">
        <v>3158</v>
      </c>
      <c r="G65" s="97">
        <v>153</v>
      </c>
      <c r="H65" s="97">
        <v>3005</v>
      </c>
      <c r="I65" s="98" t="s">
        <v>143</v>
      </c>
    </row>
    <row r="66" spans="1:9" ht="15.5" x14ac:dyDescent="0.35">
      <c r="A66" s="93">
        <v>43954</v>
      </c>
      <c r="B66" s="94">
        <v>1127</v>
      </c>
      <c r="C66" s="94">
        <v>55</v>
      </c>
      <c r="D66" s="94">
        <f t="shared" si="0"/>
        <v>1072</v>
      </c>
      <c r="E66" s="95">
        <f t="shared" si="1"/>
        <v>4.8802129547471165E-2</v>
      </c>
      <c r="F66" s="96">
        <v>1610</v>
      </c>
      <c r="G66" s="97">
        <v>113</v>
      </c>
      <c r="H66" s="97">
        <v>1497</v>
      </c>
      <c r="I66" s="98" t="s">
        <v>145</v>
      </c>
    </row>
    <row r="67" spans="1:9" ht="15.5" x14ac:dyDescent="0.35">
      <c r="A67" s="93">
        <v>43955</v>
      </c>
      <c r="B67" s="94">
        <v>2594</v>
      </c>
      <c r="C67" s="94">
        <v>169</v>
      </c>
      <c r="D67" s="94">
        <f t="shared" si="0"/>
        <v>2425</v>
      </c>
      <c r="E67" s="95">
        <f t="shared" si="1"/>
        <v>6.5150346954510413E-2</v>
      </c>
      <c r="F67" s="96">
        <v>3702</v>
      </c>
      <c r="G67" s="97">
        <v>208</v>
      </c>
      <c r="H67" s="97">
        <v>3494</v>
      </c>
      <c r="I67" s="98" t="s">
        <v>146</v>
      </c>
    </row>
    <row r="68" spans="1:9" ht="15.5" x14ac:dyDescent="0.35">
      <c r="A68" s="93">
        <v>43956</v>
      </c>
      <c r="B68" s="94">
        <v>2520</v>
      </c>
      <c r="C68" s="94">
        <v>68</v>
      </c>
      <c r="D68" s="94">
        <f t="shared" si="0"/>
        <v>2452</v>
      </c>
      <c r="E68" s="95">
        <f t="shared" si="1"/>
        <v>2.6984126984126985E-2</v>
      </c>
      <c r="F68" s="96">
        <v>3600</v>
      </c>
      <c r="G68" s="97">
        <v>295</v>
      </c>
      <c r="H68" s="97">
        <v>3305</v>
      </c>
      <c r="I68" s="98" t="s">
        <v>147</v>
      </c>
    </row>
    <row r="69" spans="1:9" ht="15.5" x14ac:dyDescent="0.35">
      <c r="A69" s="93">
        <v>43957</v>
      </c>
      <c r="B69" s="94">
        <v>2985</v>
      </c>
      <c r="C69" s="94">
        <v>66</v>
      </c>
      <c r="D69" s="94">
        <f t="shared" si="0"/>
        <v>2919</v>
      </c>
      <c r="E69" s="95">
        <f t="shared" si="1"/>
        <v>2.2110552763819097E-2</v>
      </c>
      <c r="F69" s="96">
        <v>4264</v>
      </c>
      <c r="G69" s="97">
        <v>211</v>
      </c>
      <c r="H69" s="97">
        <v>4053</v>
      </c>
      <c r="I69" s="98" t="s">
        <v>148</v>
      </c>
    </row>
    <row r="70" spans="1:9" ht="15.5" x14ac:dyDescent="0.35">
      <c r="A70" s="93">
        <v>43958</v>
      </c>
      <c r="B70" s="94">
        <v>1733</v>
      </c>
      <c r="C70" s="94">
        <v>126</v>
      </c>
      <c r="D70" s="94">
        <f t="shared" si="0"/>
        <v>1607</v>
      </c>
      <c r="E70" s="95">
        <f t="shared" si="1"/>
        <v>7.2706289671090593E-2</v>
      </c>
      <c r="F70" s="96">
        <v>2475</v>
      </c>
      <c r="G70" s="97">
        <v>171</v>
      </c>
      <c r="H70" s="97">
        <v>2304</v>
      </c>
      <c r="I70" s="98" t="s">
        <v>149</v>
      </c>
    </row>
    <row r="71" spans="1:9" ht="15.5" x14ac:dyDescent="0.35">
      <c r="A71" s="93">
        <v>43959</v>
      </c>
      <c r="B71" s="94">
        <v>2500</v>
      </c>
      <c r="C71" s="94">
        <v>57</v>
      </c>
      <c r="D71" s="94">
        <f t="shared" si="0"/>
        <v>2443</v>
      </c>
      <c r="E71" s="95">
        <f t="shared" si="1"/>
        <v>2.2800000000000001E-2</v>
      </c>
      <c r="F71" s="96">
        <v>3572</v>
      </c>
      <c r="G71" s="97">
        <v>343</v>
      </c>
      <c r="H71" s="97">
        <v>3229</v>
      </c>
      <c r="I71" s="98" t="s">
        <v>105</v>
      </c>
    </row>
    <row r="72" spans="1:9" ht="15.5" x14ac:dyDescent="0.35">
      <c r="A72" s="93">
        <v>43960</v>
      </c>
      <c r="B72" s="94">
        <v>2629</v>
      </c>
      <c r="C72" s="94">
        <v>182</v>
      </c>
      <c r="D72" s="94">
        <f t="shared" si="0"/>
        <v>2447</v>
      </c>
      <c r="E72" s="95">
        <f t="shared" si="1"/>
        <v>6.922784328642069E-2</v>
      </c>
      <c r="F72" s="96">
        <v>3745</v>
      </c>
      <c r="G72" s="97">
        <v>378</v>
      </c>
      <c r="H72" s="97">
        <v>3367</v>
      </c>
      <c r="I72" s="98" t="s">
        <v>128</v>
      </c>
    </row>
    <row r="73" spans="1:9" ht="15.5" x14ac:dyDescent="0.35">
      <c r="A73" s="93">
        <v>43961</v>
      </c>
      <c r="B73" s="94">
        <v>1490</v>
      </c>
      <c r="C73" s="94">
        <v>55</v>
      </c>
      <c r="D73" s="94">
        <f t="shared" si="0"/>
        <v>1435</v>
      </c>
      <c r="E73" s="95">
        <f t="shared" si="1"/>
        <v>3.6912751677852351E-2</v>
      </c>
      <c r="F73" s="96">
        <v>2128</v>
      </c>
      <c r="G73" s="97">
        <v>262</v>
      </c>
      <c r="H73" s="97">
        <v>1866</v>
      </c>
      <c r="I73" s="98" t="s">
        <v>150</v>
      </c>
    </row>
    <row r="74" spans="1:9" ht="15.5" x14ac:dyDescent="0.35">
      <c r="A74" s="93">
        <v>43962</v>
      </c>
      <c r="B74" s="94">
        <v>2575</v>
      </c>
      <c r="C74" s="94">
        <v>108</v>
      </c>
      <c r="D74" s="94">
        <f t="shared" si="0"/>
        <v>2467</v>
      </c>
      <c r="E74" s="95">
        <f t="shared" si="1"/>
        <v>4.1941747572815533E-2</v>
      </c>
      <c r="F74" s="96">
        <v>3678</v>
      </c>
      <c r="G74" s="97">
        <v>430</v>
      </c>
      <c r="H74" s="97">
        <v>3248</v>
      </c>
      <c r="I74" s="98" t="s">
        <v>151</v>
      </c>
    </row>
    <row r="75" spans="1:9" ht="15.5" x14ac:dyDescent="0.35">
      <c r="A75" s="93">
        <v>43963</v>
      </c>
      <c r="B75" s="94">
        <v>3119</v>
      </c>
      <c r="C75" s="94">
        <v>134</v>
      </c>
      <c r="D75" s="94">
        <f t="shared" si="0"/>
        <v>2985</v>
      </c>
      <c r="E75" s="95">
        <f t="shared" si="1"/>
        <v>4.2962487976915681E-2</v>
      </c>
      <c r="F75" s="96">
        <v>4456</v>
      </c>
      <c r="G75" s="97">
        <v>371</v>
      </c>
      <c r="H75" s="97">
        <v>4085</v>
      </c>
      <c r="I75" s="98" t="s">
        <v>152</v>
      </c>
    </row>
    <row r="76" spans="1:9" ht="15.5" x14ac:dyDescent="0.35">
      <c r="A76" s="93">
        <v>43964</v>
      </c>
      <c r="B76" s="94">
        <v>2601</v>
      </c>
      <c r="C76" s="94">
        <v>180</v>
      </c>
      <c r="D76" s="94">
        <f t="shared" si="0"/>
        <v>2421</v>
      </c>
      <c r="E76" s="95">
        <f t="shared" si="1"/>
        <v>6.9204152249134954E-2</v>
      </c>
      <c r="F76" s="96">
        <v>3716</v>
      </c>
      <c r="G76" s="97">
        <v>272</v>
      </c>
      <c r="H76" s="97">
        <v>3444</v>
      </c>
      <c r="I76" s="98" t="s">
        <v>153</v>
      </c>
    </row>
    <row r="77" spans="1:9" ht="15.5" x14ac:dyDescent="0.35">
      <c r="A77" s="93">
        <v>43965</v>
      </c>
      <c r="B77" s="94">
        <v>2500</v>
      </c>
      <c r="C77" s="94">
        <v>62</v>
      </c>
      <c r="D77" s="94">
        <f t="shared" si="0"/>
        <v>2438</v>
      </c>
      <c r="E77" s="95">
        <f t="shared" si="1"/>
        <v>2.4799999999999999E-2</v>
      </c>
      <c r="F77" s="96">
        <v>3572</v>
      </c>
      <c r="G77" s="97">
        <v>219</v>
      </c>
      <c r="H77" s="97">
        <v>3353</v>
      </c>
      <c r="I77" s="98" t="s">
        <v>154</v>
      </c>
    </row>
    <row r="78" spans="1:9" ht="15.5" x14ac:dyDescent="0.35">
      <c r="A78" s="93">
        <v>43966</v>
      </c>
      <c r="B78" s="94">
        <v>2433</v>
      </c>
      <c r="C78" s="94">
        <v>116</v>
      </c>
      <c r="D78" s="94">
        <f t="shared" si="0"/>
        <v>2317</v>
      </c>
      <c r="E78" s="95">
        <f t="shared" si="1"/>
        <v>4.7677764077270861E-2</v>
      </c>
      <c r="F78" s="96">
        <v>3476</v>
      </c>
      <c r="G78" s="97">
        <v>330</v>
      </c>
      <c r="H78" s="97">
        <v>3146</v>
      </c>
      <c r="I78" s="98" t="s">
        <v>123</v>
      </c>
    </row>
    <row r="79" spans="1:9" ht="15.5" x14ac:dyDescent="0.35">
      <c r="A79" s="93">
        <v>43967</v>
      </c>
      <c r="B79" s="94">
        <v>2006</v>
      </c>
      <c r="C79" s="94">
        <v>127</v>
      </c>
      <c r="D79" s="94">
        <f t="shared" si="0"/>
        <v>1879</v>
      </c>
      <c r="E79" s="95">
        <f t="shared" si="1"/>
        <v>6.3310069790628115E-2</v>
      </c>
      <c r="F79" s="96">
        <v>2866</v>
      </c>
      <c r="G79" s="97">
        <v>245</v>
      </c>
      <c r="H79" s="97">
        <v>2621</v>
      </c>
      <c r="I79" s="98" t="s">
        <v>155</v>
      </c>
    </row>
    <row r="80" spans="1:9" ht="15.5" x14ac:dyDescent="0.35">
      <c r="A80" s="93">
        <v>43968</v>
      </c>
      <c r="B80" s="94">
        <v>1673</v>
      </c>
      <c r="C80" s="94">
        <v>88</v>
      </c>
      <c r="D80" s="94">
        <f t="shared" si="0"/>
        <v>1585</v>
      </c>
      <c r="E80" s="95">
        <f t="shared" si="1"/>
        <v>5.2600119545726243E-2</v>
      </c>
      <c r="F80" s="96">
        <v>2390</v>
      </c>
      <c r="G80" s="97">
        <v>185</v>
      </c>
      <c r="H80" s="97">
        <v>2205</v>
      </c>
      <c r="I80" s="98" t="s">
        <v>156</v>
      </c>
    </row>
    <row r="81" spans="1:9" ht="15.5" x14ac:dyDescent="0.35">
      <c r="A81" s="93">
        <v>43969</v>
      </c>
      <c r="B81" s="94">
        <v>2194</v>
      </c>
      <c r="C81" s="94">
        <v>43</v>
      </c>
      <c r="D81" s="94">
        <f t="shared" si="0"/>
        <v>2151</v>
      </c>
      <c r="E81" s="95">
        <f t="shared" si="1"/>
        <v>1.9598906107566091E-2</v>
      </c>
      <c r="F81" s="96">
        <v>3134</v>
      </c>
      <c r="G81" s="97">
        <v>217</v>
      </c>
      <c r="H81" s="97">
        <v>2917</v>
      </c>
      <c r="I81" s="98" t="s">
        <v>149</v>
      </c>
    </row>
    <row r="82" spans="1:9" ht="15.5" x14ac:dyDescent="0.35">
      <c r="A82" s="93">
        <v>43970</v>
      </c>
      <c r="B82" s="94">
        <v>2530</v>
      </c>
      <c r="C82" s="94">
        <v>97</v>
      </c>
      <c r="D82" s="94">
        <f t="shared" si="0"/>
        <v>2433</v>
      </c>
      <c r="E82" s="95">
        <f t="shared" si="1"/>
        <v>3.8339920948616601E-2</v>
      </c>
      <c r="F82" s="96">
        <v>3604</v>
      </c>
      <c r="G82" s="97">
        <v>231</v>
      </c>
      <c r="H82" s="97">
        <v>3373</v>
      </c>
      <c r="I82" s="98" t="s">
        <v>157</v>
      </c>
    </row>
    <row r="83" spans="1:9" ht="15.5" x14ac:dyDescent="0.35">
      <c r="A83" s="93">
        <v>43971</v>
      </c>
      <c r="B83" s="94">
        <v>2457</v>
      </c>
      <c r="C83" s="94">
        <v>72</v>
      </c>
      <c r="D83" s="94">
        <f t="shared" si="0"/>
        <v>2385</v>
      </c>
      <c r="E83" s="95">
        <f t="shared" si="1"/>
        <v>2.9304029304029304E-2</v>
      </c>
      <c r="F83" s="96">
        <v>3510</v>
      </c>
      <c r="G83" s="97">
        <v>267</v>
      </c>
      <c r="H83" s="97">
        <v>3243</v>
      </c>
      <c r="I83" s="98" t="s">
        <v>131</v>
      </c>
    </row>
    <row r="84" spans="1:9" ht="15.5" x14ac:dyDescent="0.35">
      <c r="A84" s="93">
        <v>43972</v>
      </c>
      <c r="B84" s="94">
        <v>1907</v>
      </c>
      <c r="C84" s="94">
        <v>97</v>
      </c>
      <c r="D84" s="94">
        <f t="shared" si="0"/>
        <v>1810</v>
      </c>
      <c r="E84" s="95">
        <f t="shared" si="1"/>
        <v>5.0865233350812798E-2</v>
      </c>
      <c r="F84" s="96">
        <v>2724</v>
      </c>
      <c r="G84" s="97">
        <v>220</v>
      </c>
      <c r="H84" s="97">
        <v>2504</v>
      </c>
      <c r="I84" s="98" t="s">
        <v>134</v>
      </c>
    </row>
    <row r="85" spans="1:9" ht="15.5" x14ac:dyDescent="0.35">
      <c r="A85" s="93">
        <v>43973</v>
      </c>
      <c r="B85" s="94">
        <v>3214</v>
      </c>
      <c r="C85" s="94">
        <v>127</v>
      </c>
      <c r="D85" s="94">
        <f t="shared" si="0"/>
        <v>3087</v>
      </c>
      <c r="E85" s="95">
        <f t="shared" si="1"/>
        <v>3.9514623522090855E-2</v>
      </c>
      <c r="F85" s="96">
        <v>4592</v>
      </c>
      <c r="G85" s="97">
        <v>399</v>
      </c>
      <c r="H85" s="97">
        <v>4193</v>
      </c>
      <c r="I85" s="98" t="s">
        <v>125</v>
      </c>
    </row>
    <row r="86" spans="1:9" ht="15.5" x14ac:dyDescent="0.35">
      <c r="A86" s="93">
        <v>43974</v>
      </c>
      <c r="B86" s="94">
        <v>1764</v>
      </c>
      <c r="C86" s="94">
        <v>118</v>
      </c>
      <c r="D86" s="94">
        <f t="shared" si="0"/>
        <v>1646</v>
      </c>
      <c r="E86" s="95">
        <f t="shared" si="1"/>
        <v>6.6893424036281179E-2</v>
      </c>
      <c r="F86" s="96">
        <v>2520</v>
      </c>
      <c r="G86" s="97">
        <v>243</v>
      </c>
      <c r="H86" s="97">
        <v>2277</v>
      </c>
      <c r="I86" s="98" t="s">
        <v>105</v>
      </c>
    </row>
    <row r="87" spans="1:9" ht="15.5" x14ac:dyDescent="0.35">
      <c r="A87" s="93">
        <v>43975</v>
      </c>
      <c r="B87" s="94">
        <v>871</v>
      </c>
      <c r="C87" s="94">
        <v>67</v>
      </c>
      <c r="D87" s="94">
        <f t="shared" si="0"/>
        <v>804</v>
      </c>
      <c r="E87" s="95">
        <f t="shared" si="1"/>
        <v>7.6923076923076927E-2</v>
      </c>
      <c r="F87" s="96">
        <v>1244</v>
      </c>
      <c r="G87" s="97">
        <v>99</v>
      </c>
      <c r="H87" s="97">
        <v>1145</v>
      </c>
      <c r="I87" s="98" t="s">
        <v>158</v>
      </c>
    </row>
    <row r="88" spans="1:9" ht="15.5" x14ac:dyDescent="0.35">
      <c r="A88" s="93">
        <v>43976</v>
      </c>
      <c r="B88" s="94">
        <v>1321</v>
      </c>
      <c r="C88" s="94">
        <v>93</v>
      </c>
      <c r="D88" s="94">
        <f t="shared" si="0"/>
        <v>1228</v>
      </c>
      <c r="E88" s="95">
        <f t="shared" si="1"/>
        <v>7.0401211203633615E-2</v>
      </c>
      <c r="F88" s="96">
        <v>1887</v>
      </c>
      <c r="G88" s="97">
        <v>190</v>
      </c>
      <c r="H88" s="97">
        <v>1697</v>
      </c>
      <c r="I88" s="98" t="s">
        <v>128</v>
      </c>
    </row>
    <row r="89" spans="1:9" ht="15.5" x14ac:dyDescent="0.35">
      <c r="A89" s="93">
        <v>43977</v>
      </c>
      <c r="B89" s="94">
        <v>1972</v>
      </c>
      <c r="C89" s="94">
        <v>105</v>
      </c>
      <c r="D89" s="94">
        <f t="shared" si="0"/>
        <v>1867</v>
      </c>
      <c r="E89" s="95">
        <f t="shared" si="1"/>
        <v>5.3245436105476676E-2</v>
      </c>
      <c r="F89" s="96">
        <v>2817</v>
      </c>
      <c r="G89" s="97">
        <v>311</v>
      </c>
      <c r="H89" s="97">
        <v>2506</v>
      </c>
      <c r="I89" s="98" t="s">
        <v>159</v>
      </c>
    </row>
    <row r="90" spans="1:9" ht="15.5" x14ac:dyDescent="0.35">
      <c r="A90" s="93">
        <v>43978</v>
      </c>
      <c r="B90" s="94">
        <v>2271</v>
      </c>
      <c r="C90" s="94">
        <v>103</v>
      </c>
      <c r="D90" s="94">
        <f t="shared" si="0"/>
        <v>2168</v>
      </c>
      <c r="E90" s="95">
        <f t="shared" si="1"/>
        <v>4.5354469396741523E-2</v>
      </c>
      <c r="F90" s="96">
        <v>3245</v>
      </c>
      <c r="G90" s="97">
        <v>327</v>
      </c>
      <c r="H90" s="97">
        <v>2918</v>
      </c>
      <c r="I90" s="98" t="s">
        <v>128</v>
      </c>
    </row>
    <row r="91" spans="1:9" ht="15.5" x14ac:dyDescent="0.35">
      <c r="A91" s="93">
        <v>43979</v>
      </c>
      <c r="B91" s="94">
        <v>2768</v>
      </c>
      <c r="C91" s="94">
        <v>124</v>
      </c>
      <c r="D91" s="94">
        <f t="shared" si="0"/>
        <v>2644</v>
      </c>
      <c r="E91" s="95">
        <f t="shared" si="1"/>
        <v>4.4797687861271675E-2</v>
      </c>
      <c r="F91" s="96">
        <v>3954</v>
      </c>
      <c r="G91" s="97">
        <v>323</v>
      </c>
      <c r="H91" s="97">
        <v>3631</v>
      </c>
      <c r="I91" s="98" t="s">
        <v>147</v>
      </c>
    </row>
    <row r="92" spans="1:9" ht="15.5" x14ac:dyDescent="0.35">
      <c r="A92" s="93">
        <v>43980</v>
      </c>
      <c r="B92" s="94">
        <v>2392</v>
      </c>
      <c r="C92" s="94">
        <v>100</v>
      </c>
      <c r="D92" s="94">
        <f t="shared" si="0"/>
        <v>2292</v>
      </c>
      <c r="E92" s="95">
        <f t="shared" si="1"/>
        <v>4.1806020066889632E-2</v>
      </c>
      <c r="F92" s="96">
        <v>3425</v>
      </c>
      <c r="G92" s="97">
        <v>334</v>
      </c>
      <c r="H92" s="97">
        <v>3091</v>
      </c>
      <c r="I92" s="98" t="s">
        <v>160</v>
      </c>
    </row>
    <row r="93" spans="1:9" ht="15.5" x14ac:dyDescent="0.35">
      <c r="A93" s="93">
        <v>43981</v>
      </c>
      <c r="B93" s="94">
        <v>2808</v>
      </c>
      <c r="C93" s="94">
        <v>119</v>
      </c>
      <c r="D93" s="94">
        <f t="shared" si="0"/>
        <v>2689</v>
      </c>
      <c r="E93" s="95">
        <f t="shared" si="1"/>
        <v>4.2378917378917379E-2</v>
      </c>
      <c r="F93" s="96">
        <v>4027</v>
      </c>
      <c r="G93" s="97">
        <v>369</v>
      </c>
      <c r="H93" s="97">
        <v>3658</v>
      </c>
      <c r="I93" s="98" t="s">
        <v>161</v>
      </c>
    </row>
    <row r="94" spans="1:9" ht="15.5" x14ac:dyDescent="0.35">
      <c r="A94" s="93">
        <v>43982</v>
      </c>
      <c r="B94" s="94">
        <v>1858</v>
      </c>
      <c r="C94" s="94">
        <v>111</v>
      </c>
      <c r="D94" s="94">
        <f t="shared" si="0"/>
        <v>1747</v>
      </c>
      <c r="E94" s="95">
        <f t="shared" si="1"/>
        <v>5.9741657696447792E-2</v>
      </c>
      <c r="F94" s="96">
        <v>2654</v>
      </c>
      <c r="G94" s="97">
        <v>261</v>
      </c>
      <c r="H94" s="97">
        <v>2393</v>
      </c>
      <c r="I94" s="98" t="s">
        <v>160</v>
      </c>
    </row>
    <row r="95" spans="1:9" ht="15.5" x14ac:dyDescent="0.35">
      <c r="A95" s="93">
        <v>43983</v>
      </c>
      <c r="B95" s="94">
        <v>1789</v>
      </c>
      <c r="C95" s="94">
        <v>73</v>
      </c>
      <c r="D95" s="94">
        <f t="shared" si="0"/>
        <v>1716</v>
      </c>
      <c r="E95" s="95">
        <f t="shared" si="1"/>
        <v>4.0804918949133594E-2</v>
      </c>
      <c r="F95" s="96">
        <v>2555</v>
      </c>
      <c r="G95" s="97">
        <v>258</v>
      </c>
      <c r="H95" s="97">
        <v>2297</v>
      </c>
      <c r="I95" s="98" t="s">
        <v>128</v>
      </c>
    </row>
    <row r="96" spans="1:9" ht="15.5" x14ac:dyDescent="0.35">
      <c r="A96" s="93">
        <v>43984</v>
      </c>
      <c r="B96" s="94">
        <v>2371</v>
      </c>
      <c r="C96" s="94">
        <v>101</v>
      </c>
      <c r="D96" s="94">
        <f t="shared" si="0"/>
        <v>2270</v>
      </c>
      <c r="E96" s="95">
        <f t="shared" si="1"/>
        <v>4.2598059890341627E-2</v>
      </c>
      <c r="F96" s="96">
        <v>3391</v>
      </c>
      <c r="G96" s="97">
        <v>199</v>
      </c>
      <c r="H96" s="97">
        <v>3192</v>
      </c>
      <c r="I96" s="98" t="s">
        <v>162</v>
      </c>
    </row>
    <row r="97" spans="1:9" ht="15.5" x14ac:dyDescent="0.35">
      <c r="A97" s="93">
        <v>43985</v>
      </c>
      <c r="B97" s="94">
        <v>3422</v>
      </c>
      <c r="C97" s="94">
        <v>62</v>
      </c>
      <c r="D97" s="94">
        <f t="shared" si="0"/>
        <v>3360</v>
      </c>
      <c r="E97" s="95">
        <f t="shared" si="1"/>
        <v>1.8118059614260665E-2</v>
      </c>
      <c r="F97" s="96">
        <v>4900</v>
      </c>
      <c r="G97" s="97">
        <v>301</v>
      </c>
      <c r="H97" s="97">
        <v>4599</v>
      </c>
      <c r="I97" s="98" t="s">
        <v>154</v>
      </c>
    </row>
    <row r="98" spans="1:9" ht="15.5" x14ac:dyDescent="0.35">
      <c r="A98" s="93">
        <v>43986</v>
      </c>
      <c r="B98" s="94">
        <v>2738</v>
      </c>
      <c r="C98" s="94">
        <v>83</v>
      </c>
      <c r="D98" s="94">
        <f t="shared" si="0"/>
        <v>2655</v>
      </c>
      <c r="E98" s="95">
        <f t="shared" si="1"/>
        <v>3.0314097881665451E-2</v>
      </c>
      <c r="F98" s="96">
        <v>3918</v>
      </c>
      <c r="G98" s="97">
        <v>296</v>
      </c>
      <c r="H98" s="97">
        <v>3622</v>
      </c>
      <c r="I98" s="98" t="s">
        <v>131</v>
      </c>
    </row>
    <row r="99" spans="1:9" ht="15.5" x14ac:dyDescent="0.35">
      <c r="A99" s="93">
        <v>43987</v>
      </c>
      <c r="B99" s="94">
        <v>2864</v>
      </c>
      <c r="C99" s="94">
        <v>102</v>
      </c>
      <c r="D99" s="94">
        <f t="shared" si="0"/>
        <v>2762</v>
      </c>
      <c r="E99" s="95">
        <f t="shared" si="1"/>
        <v>3.5614525139664802E-2</v>
      </c>
      <c r="F99" s="96">
        <v>4103</v>
      </c>
      <c r="G99" s="97">
        <v>341</v>
      </c>
      <c r="H99" s="97">
        <v>3762</v>
      </c>
      <c r="I99" s="98" t="s">
        <v>152</v>
      </c>
    </row>
    <row r="100" spans="1:9" ht="15.5" x14ac:dyDescent="0.35">
      <c r="A100" s="93">
        <v>43988</v>
      </c>
      <c r="B100" s="94">
        <v>3334</v>
      </c>
      <c r="C100" s="94">
        <v>160</v>
      </c>
      <c r="D100" s="94">
        <f t="shared" si="0"/>
        <v>3174</v>
      </c>
      <c r="E100" s="95">
        <f t="shared" si="1"/>
        <v>4.799040191961608E-2</v>
      </c>
      <c r="F100" s="96">
        <v>4766</v>
      </c>
      <c r="G100" s="97">
        <v>402</v>
      </c>
      <c r="H100" s="97">
        <v>4364</v>
      </c>
      <c r="I100" s="98" t="s">
        <v>163</v>
      </c>
    </row>
    <row r="101" spans="1:9" ht="15.5" x14ac:dyDescent="0.35">
      <c r="A101" s="93">
        <v>43989</v>
      </c>
      <c r="B101" s="94">
        <v>1808</v>
      </c>
      <c r="C101" s="94">
        <v>96</v>
      </c>
      <c r="D101" s="94">
        <f t="shared" si="0"/>
        <v>1712</v>
      </c>
      <c r="E101" s="95">
        <f t="shared" si="1"/>
        <v>5.3097345132743362E-2</v>
      </c>
      <c r="F101" s="96">
        <v>2589</v>
      </c>
      <c r="G101" s="97">
        <v>164</v>
      </c>
      <c r="H101" s="97">
        <v>2425</v>
      </c>
      <c r="I101" s="98" t="s">
        <v>95</v>
      </c>
    </row>
    <row r="102" spans="1:9" ht="15.5" x14ac:dyDescent="0.35">
      <c r="A102" s="93">
        <v>43990</v>
      </c>
      <c r="B102" s="94">
        <v>2798</v>
      </c>
      <c r="C102" s="94">
        <v>194</v>
      </c>
      <c r="D102" s="94">
        <f t="shared" si="0"/>
        <v>2604</v>
      </c>
      <c r="E102" s="95">
        <f t="shared" si="1"/>
        <v>6.9335239456754821E-2</v>
      </c>
      <c r="F102" s="96">
        <v>4015</v>
      </c>
      <c r="G102" s="97">
        <v>325</v>
      </c>
      <c r="H102" s="97">
        <v>3690</v>
      </c>
      <c r="I102" s="98" t="s">
        <v>134</v>
      </c>
    </row>
    <row r="103" spans="1:9" ht="15.5" x14ac:dyDescent="0.35">
      <c r="A103" s="93">
        <v>43991</v>
      </c>
      <c r="B103" s="94">
        <v>3590</v>
      </c>
      <c r="C103" s="94">
        <v>187</v>
      </c>
      <c r="D103" s="94">
        <f t="shared" si="0"/>
        <v>3403</v>
      </c>
      <c r="E103" s="95">
        <f t="shared" si="1"/>
        <v>5.2089136490250695E-2</v>
      </c>
      <c r="F103" s="96">
        <v>5159</v>
      </c>
      <c r="G103" s="97">
        <v>388</v>
      </c>
      <c r="H103" s="97">
        <v>4771</v>
      </c>
      <c r="I103" s="98" t="s">
        <v>164</v>
      </c>
    </row>
    <row r="104" spans="1:9" ht="15.5" x14ac:dyDescent="0.35">
      <c r="A104" s="93">
        <v>43992</v>
      </c>
      <c r="B104" s="94">
        <v>4064</v>
      </c>
      <c r="C104" s="94">
        <v>129</v>
      </c>
      <c r="D104" s="94">
        <f t="shared" si="0"/>
        <v>3935</v>
      </c>
      <c r="E104" s="95">
        <f t="shared" si="1"/>
        <v>3.1742125984251968E-2</v>
      </c>
      <c r="F104" s="96">
        <v>5840</v>
      </c>
      <c r="G104" s="97">
        <v>395</v>
      </c>
      <c r="H104" s="97">
        <v>5445</v>
      </c>
      <c r="I104" s="98" t="s">
        <v>98</v>
      </c>
    </row>
    <row r="105" spans="1:9" ht="15.5" x14ac:dyDescent="0.35">
      <c r="A105" s="93">
        <v>43993</v>
      </c>
      <c r="B105" s="94">
        <v>2827</v>
      </c>
      <c r="C105" s="94">
        <v>76</v>
      </c>
      <c r="D105" s="94">
        <f t="shared" si="0"/>
        <v>2751</v>
      </c>
      <c r="E105" s="95">
        <f t="shared" si="1"/>
        <v>2.6883622214361514E-2</v>
      </c>
      <c r="F105" s="96">
        <v>4076</v>
      </c>
      <c r="G105" s="97">
        <v>327</v>
      </c>
      <c r="H105" s="97">
        <v>3749</v>
      </c>
      <c r="I105" s="98" t="s">
        <v>158</v>
      </c>
    </row>
    <row r="106" spans="1:9" ht="15.5" x14ac:dyDescent="0.35">
      <c r="A106" s="93">
        <v>43994</v>
      </c>
      <c r="B106" s="94">
        <v>3411</v>
      </c>
      <c r="C106" s="94">
        <v>120</v>
      </c>
      <c r="D106" s="94">
        <f t="shared" si="0"/>
        <v>3291</v>
      </c>
      <c r="E106" s="95">
        <f t="shared" si="1"/>
        <v>3.518029903254178E-2</v>
      </c>
      <c r="F106" s="96">
        <v>4897</v>
      </c>
      <c r="G106" s="97">
        <v>452</v>
      </c>
      <c r="H106" s="97">
        <v>4445</v>
      </c>
      <c r="I106" s="98" t="s">
        <v>161</v>
      </c>
    </row>
    <row r="107" spans="1:9" ht="15.5" x14ac:dyDescent="0.35">
      <c r="A107" s="93">
        <v>43995</v>
      </c>
      <c r="B107" s="94">
        <v>4955</v>
      </c>
      <c r="C107" s="94">
        <v>115</v>
      </c>
      <c r="D107" s="94">
        <f t="shared" si="0"/>
        <v>4840</v>
      </c>
      <c r="E107" s="95">
        <f t="shared" si="1"/>
        <v>2.3208879919273461E-2</v>
      </c>
      <c r="F107" s="96">
        <v>7095</v>
      </c>
      <c r="G107" s="97">
        <v>474</v>
      </c>
      <c r="H107" s="97">
        <v>6621</v>
      </c>
      <c r="I107" s="98" t="s">
        <v>141</v>
      </c>
    </row>
    <row r="108" spans="1:9" ht="15.5" x14ac:dyDescent="0.35">
      <c r="A108" s="93">
        <v>43996</v>
      </c>
      <c r="B108" s="94">
        <v>1851</v>
      </c>
      <c r="C108" s="94">
        <v>105</v>
      </c>
      <c r="D108" s="94">
        <f t="shared" si="0"/>
        <v>1746</v>
      </c>
      <c r="E108" s="95">
        <f t="shared" si="1"/>
        <v>5.6726094003241488E-2</v>
      </c>
      <c r="F108" s="96">
        <v>3084</v>
      </c>
      <c r="G108" s="97">
        <v>196</v>
      </c>
      <c r="H108" s="97">
        <v>2888</v>
      </c>
      <c r="I108" s="98" t="s">
        <v>157</v>
      </c>
    </row>
    <row r="109" spans="1:9" ht="15.5" x14ac:dyDescent="0.35">
      <c r="A109" s="93">
        <v>43997</v>
      </c>
      <c r="B109" s="94">
        <v>4605</v>
      </c>
      <c r="C109" s="94">
        <v>94</v>
      </c>
      <c r="D109" s="94">
        <f t="shared" si="0"/>
        <v>4511</v>
      </c>
      <c r="E109" s="95">
        <f t="shared" si="1"/>
        <v>2.0412595005428882E-2</v>
      </c>
      <c r="F109" s="96">
        <v>6692</v>
      </c>
      <c r="G109" s="97">
        <v>366</v>
      </c>
      <c r="H109" s="97">
        <v>6326</v>
      </c>
      <c r="I109" s="98" t="s">
        <v>165</v>
      </c>
    </row>
    <row r="110" spans="1:9" ht="15.5" x14ac:dyDescent="0.35">
      <c r="A110" s="93">
        <v>43998</v>
      </c>
      <c r="B110" s="94">
        <v>4702</v>
      </c>
      <c r="C110" s="94">
        <v>147</v>
      </c>
      <c r="D110" s="94">
        <f t="shared" si="0"/>
        <v>4555</v>
      </c>
      <c r="E110" s="95">
        <f t="shared" si="1"/>
        <v>3.1263292216078264E-2</v>
      </c>
      <c r="F110" s="96">
        <v>6758</v>
      </c>
      <c r="G110" s="97">
        <v>593</v>
      </c>
      <c r="H110" s="97">
        <v>6165</v>
      </c>
      <c r="I110" s="98" t="s">
        <v>119</v>
      </c>
    </row>
    <row r="111" spans="1:9" ht="15.5" x14ac:dyDescent="0.35">
      <c r="A111" s="93">
        <v>43999</v>
      </c>
      <c r="B111" s="94">
        <v>4740</v>
      </c>
      <c r="C111" s="94">
        <v>176</v>
      </c>
      <c r="D111" s="94">
        <f t="shared" si="0"/>
        <v>4564</v>
      </c>
      <c r="E111" s="95">
        <f t="shared" si="1"/>
        <v>3.7130801687763712E-2</v>
      </c>
      <c r="F111" s="96">
        <v>6899</v>
      </c>
      <c r="G111" s="97">
        <v>581</v>
      </c>
      <c r="H111" s="97">
        <v>6318</v>
      </c>
      <c r="I111" s="98" t="s">
        <v>163</v>
      </c>
    </row>
    <row r="112" spans="1:9" ht="15.5" x14ac:dyDescent="0.35">
      <c r="A112" s="93">
        <v>44000</v>
      </c>
      <c r="B112" s="94">
        <v>4260</v>
      </c>
      <c r="C112" s="94">
        <v>140</v>
      </c>
      <c r="D112" s="94">
        <f t="shared" si="0"/>
        <v>4120</v>
      </c>
      <c r="E112" s="95">
        <f t="shared" si="1"/>
        <v>3.2863849765258218E-2</v>
      </c>
      <c r="F112" s="96">
        <v>6280</v>
      </c>
      <c r="G112" s="97">
        <v>451</v>
      </c>
      <c r="H112" s="97">
        <v>5829</v>
      </c>
      <c r="I112" s="98" t="s">
        <v>135</v>
      </c>
    </row>
    <row r="113" spans="1:9" ht="15.5" x14ac:dyDescent="0.35">
      <c r="A113" s="93">
        <v>44001</v>
      </c>
      <c r="B113" s="94">
        <v>4794</v>
      </c>
      <c r="C113" s="94">
        <v>178</v>
      </c>
      <c r="D113" s="94">
        <f t="shared" si="0"/>
        <v>4616</v>
      </c>
      <c r="E113" s="95">
        <f t="shared" si="1"/>
        <v>3.7129745515227366E-2</v>
      </c>
      <c r="F113" s="96">
        <v>6862</v>
      </c>
      <c r="G113" s="97">
        <v>487</v>
      </c>
      <c r="H113" s="97">
        <v>6375</v>
      </c>
      <c r="I113" s="98" t="s">
        <v>166</v>
      </c>
    </row>
    <row r="114" spans="1:9" ht="15.5" x14ac:dyDescent="0.35">
      <c r="A114" s="93">
        <v>44002</v>
      </c>
      <c r="B114" s="94">
        <v>3258</v>
      </c>
      <c r="C114" s="94">
        <v>132</v>
      </c>
      <c r="D114" s="94">
        <f t="shared" si="0"/>
        <v>3126</v>
      </c>
      <c r="E114" s="95">
        <f t="shared" si="1"/>
        <v>4.0515653775322284E-2</v>
      </c>
      <c r="F114" s="96">
        <v>4680</v>
      </c>
      <c r="G114" s="97">
        <v>403</v>
      </c>
      <c r="H114" s="97">
        <v>4277</v>
      </c>
      <c r="I114" s="98" t="s">
        <v>129</v>
      </c>
    </row>
    <row r="115" spans="1:9" ht="15.5" x14ac:dyDescent="0.35">
      <c r="A115" s="93">
        <v>44003</v>
      </c>
      <c r="B115" s="94">
        <v>2806</v>
      </c>
      <c r="C115" s="94">
        <v>132</v>
      </c>
      <c r="D115" s="94">
        <f t="shared" si="0"/>
        <v>2674</v>
      </c>
      <c r="E115" s="95">
        <f t="shared" si="1"/>
        <v>4.7042052744119746E-2</v>
      </c>
      <c r="F115" s="96">
        <v>4012</v>
      </c>
      <c r="G115" s="97">
        <v>237</v>
      </c>
      <c r="H115" s="97">
        <v>3775</v>
      </c>
      <c r="I115" s="98" t="s">
        <v>162</v>
      </c>
    </row>
    <row r="116" spans="1:9" ht="15.5" x14ac:dyDescent="0.35">
      <c r="A116" s="93">
        <v>44004</v>
      </c>
      <c r="B116" s="94">
        <v>3627</v>
      </c>
      <c r="C116" s="94">
        <v>171</v>
      </c>
      <c r="D116" s="94">
        <f t="shared" si="0"/>
        <v>3456</v>
      </c>
      <c r="E116" s="95">
        <f t="shared" si="1"/>
        <v>4.7146401985111663E-2</v>
      </c>
      <c r="F116" s="96">
        <v>5287</v>
      </c>
      <c r="G116" s="97">
        <v>325</v>
      </c>
      <c r="H116" s="97">
        <v>4962</v>
      </c>
      <c r="I116" s="98" t="s">
        <v>154</v>
      </c>
    </row>
    <row r="117" spans="1:9" ht="15.5" x14ac:dyDescent="0.35">
      <c r="A117" s="93">
        <v>44005</v>
      </c>
      <c r="B117" s="94">
        <v>5986</v>
      </c>
      <c r="C117" s="94">
        <v>159</v>
      </c>
      <c r="D117" s="94">
        <f t="shared" si="0"/>
        <v>5827</v>
      </c>
      <c r="E117" s="95">
        <f t="shared" si="1"/>
        <v>2.656197794854661E-2</v>
      </c>
      <c r="F117" s="96">
        <v>8605</v>
      </c>
      <c r="G117" s="97">
        <v>412</v>
      </c>
      <c r="H117" s="97">
        <v>8193</v>
      </c>
      <c r="I117" s="98" t="s">
        <v>143</v>
      </c>
    </row>
    <row r="118" spans="1:9" ht="15.5" x14ac:dyDescent="0.35">
      <c r="A118" s="93">
        <v>44006</v>
      </c>
      <c r="B118" s="94">
        <v>5142</v>
      </c>
      <c r="C118" s="94">
        <v>195</v>
      </c>
      <c r="D118" s="94">
        <f t="shared" si="0"/>
        <v>4947</v>
      </c>
      <c r="E118" s="95">
        <f t="shared" si="1"/>
        <v>3.7922987164527425E-2</v>
      </c>
      <c r="F118" s="96">
        <v>7405</v>
      </c>
      <c r="G118" s="97">
        <v>501</v>
      </c>
      <c r="H118" s="97">
        <v>6904</v>
      </c>
      <c r="I118" s="98" t="s">
        <v>98</v>
      </c>
    </row>
    <row r="119" spans="1:9" ht="15.5" x14ac:dyDescent="0.35">
      <c r="A119" s="93">
        <v>44007</v>
      </c>
      <c r="B119" s="94">
        <v>5444</v>
      </c>
      <c r="C119" s="94">
        <v>168</v>
      </c>
      <c r="D119" s="94">
        <f t="shared" si="0"/>
        <v>5276</v>
      </c>
      <c r="E119" s="95">
        <f t="shared" si="1"/>
        <v>3.0859662013225569E-2</v>
      </c>
      <c r="F119" s="96">
        <v>7878</v>
      </c>
      <c r="G119" s="97">
        <v>428</v>
      </c>
      <c r="H119" s="97">
        <v>7450</v>
      </c>
      <c r="I119" s="98" t="s">
        <v>167</v>
      </c>
    </row>
    <row r="120" spans="1:9" ht="15.5" x14ac:dyDescent="0.35">
      <c r="A120" s="93">
        <v>44008</v>
      </c>
      <c r="B120" s="94">
        <v>5295</v>
      </c>
      <c r="C120" s="94">
        <v>213</v>
      </c>
      <c r="D120" s="94">
        <f t="shared" si="0"/>
        <v>5082</v>
      </c>
      <c r="E120" s="95">
        <f t="shared" si="1"/>
        <v>4.0226628895184136E-2</v>
      </c>
      <c r="F120" s="96">
        <v>7620</v>
      </c>
      <c r="G120" s="97">
        <v>592</v>
      </c>
      <c r="H120" s="97">
        <v>7028</v>
      </c>
      <c r="I120" s="98" t="s">
        <v>132</v>
      </c>
    </row>
    <row r="121" spans="1:9" ht="15.5" x14ac:dyDescent="0.35">
      <c r="A121" s="93">
        <v>44009</v>
      </c>
      <c r="B121" s="94">
        <v>4440</v>
      </c>
      <c r="C121" s="94">
        <v>148</v>
      </c>
      <c r="D121" s="94">
        <f t="shared" si="0"/>
        <v>4292</v>
      </c>
      <c r="E121" s="95">
        <f t="shared" si="1"/>
        <v>3.3333333333333333E-2</v>
      </c>
      <c r="F121" s="96">
        <v>6388</v>
      </c>
      <c r="G121" s="97">
        <v>449</v>
      </c>
      <c r="H121" s="97">
        <v>5939</v>
      </c>
      <c r="I121" s="98" t="s">
        <v>145</v>
      </c>
    </row>
    <row r="122" spans="1:9" ht="15.5" x14ac:dyDescent="0.35">
      <c r="A122" s="93">
        <v>44010</v>
      </c>
      <c r="B122" s="94">
        <v>2434</v>
      </c>
      <c r="C122" s="94">
        <v>95</v>
      </c>
      <c r="D122" s="94">
        <f t="shared" si="0"/>
        <v>2339</v>
      </c>
      <c r="E122" s="95">
        <f t="shared" si="1"/>
        <v>3.9030402629416601E-2</v>
      </c>
      <c r="F122" s="96">
        <v>3482</v>
      </c>
      <c r="G122" s="97">
        <v>305</v>
      </c>
      <c r="H122" s="97">
        <v>3177</v>
      </c>
      <c r="I122" s="98" t="s">
        <v>119</v>
      </c>
    </row>
    <row r="123" spans="1:9" ht="15.5" x14ac:dyDescent="0.35">
      <c r="A123" s="93">
        <v>44011</v>
      </c>
      <c r="B123" s="94">
        <v>4598</v>
      </c>
      <c r="C123" s="94">
        <v>198</v>
      </c>
      <c r="D123" s="94">
        <f t="shared" si="0"/>
        <v>4400</v>
      </c>
      <c r="E123" s="95">
        <f t="shared" si="1"/>
        <v>4.3062200956937802E-2</v>
      </c>
      <c r="F123" s="96">
        <v>7081</v>
      </c>
      <c r="G123" s="97">
        <v>345</v>
      </c>
      <c r="H123" s="97">
        <v>6736</v>
      </c>
      <c r="I123" s="98" t="s">
        <v>148</v>
      </c>
    </row>
    <row r="124" spans="1:9" ht="15.5" x14ac:dyDescent="0.35">
      <c r="A124" s="93">
        <v>44012</v>
      </c>
      <c r="B124" s="94">
        <v>4618</v>
      </c>
      <c r="C124" s="94">
        <v>204</v>
      </c>
      <c r="D124" s="94">
        <f t="shared" si="0"/>
        <v>4414</v>
      </c>
      <c r="E124" s="95">
        <f t="shared" si="1"/>
        <v>4.4174967518406237E-2</v>
      </c>
      <c r="F124" s="96">
        <v>7033</v>
      </c>
      <c r="G124" s="97">
        <v>690</v>
      </c>
      <c r="H124" s="97">
        <v>6343</v>
      </c>
      <c r="I124" s="98" t="s">
        <v>160</v>
      </c>
    </row>
    <row r="125" spans="1:9" ht="15.5" x14ac:dyDescent="0.35">
      <c r="A125" s="93">
        <v>44013</v>
      </c>
      <c r="B125" s="94">
        <v>4257</v>
      </c>
      <c r="C125" s="94">
        <v>198</v>
      </c>
      <c r="D125" s="94">
        <f t="shared" si="0"/>
        <v>4059</v>
      </c>
      <c r="E125" s="95">
        <f t="shared" si="1"/>
        <v>4.6511627906976744E-2</v>
      </c>
      <c r="F125" s="96">
        <v>6594</v>
      </c>
      <c r="G125" s="97">
        <v>557</v>
      </c>
      <c r="H125" s="97">
        <v>6037</v>
      </c>
      <c r="I125" s="98" t="s">
        <v>163</v>
      </c>
    </row>
    <row r="126" spans="1:9" ht="15.5" x14ac:dyDescent="0.35">
      <c r="A126" s="93">
        <v>44014</v>
      </c>
      <c r="B126" s="94">
        <v>4255</v>
      </c>
      <c r="C126" s="94">
        <v>144</v>
      </c>
      <c r="D126" s="94">
        <f t="shared" si="0"/>
        <v>4111</v>
      </c>
      <c r="E126" s="95">
        <f t="shared" si="1"/>
        <v>3.3842538190364278E-2</v>
      </c>
      <c r="F126" s="96">
        <v>6490</v>
      </c>
      <c r="G126" s="97">
        <v>472</v>
      </c>
      <c r="H126" s="97">
        <v>6018</v>
      </c>
      <c r="I126" s="98" t="s">
        <v>153</v>
      </c>
    </row>
    <row r="127" spans="1:9" ht="15.5" x14ac:dyDescent="0.35">
      <c r="A127" s="93">
        <v>44015</v>
      </c>
      <c r="B127" s="94">
        <v>5955</v>
      </c>
      <c r="C127" s="94">
        <v>215</v>
      </c>
      <c r="D127" s="94">
        <f t="shared" si="0"/>
        <v>5740</v>
      </c>
      <c r="E127" s="95">
        <f t="shared" si="1"/>
        <v>3.6104114189756509E-2</v>
      </c>
      <c r="F127" s="96">
        <v>8817</v>
      </c>
      <c r="G127" s="97">
        <v>777</v>
      </c>
      <c r="H127" s="97">
        <v>8040</v>
      </c>
      <c r="I127" s="98" t="s">
        <v>119</v>
      </c>
    </row>
    <row r="128" spans="1:9" ht="15.5" x14ac:dyDescent="0.35">
      <c r="A128" s="93">
        <v>44016</v>
      </c>
      <c r="B128" s="94">
        <v>4305</v>
      </c>
      <c r="C128" s="94">
        <v>256</v>
      </c>
      <c r="D128" s="94">
        <f t="shared" si="0"/>
        <v>4049</v>
      </c>
      <c r="E128" s="95">
        <f t="shared" si="1"/>
        <v>5.9465737514518002E-2</v>
      </c>
      <c r="F128" s="96">
        <v>6587</v>
      </c>
      <c r="G128" s="97">
        <v>579</v>
      </c>
      <c r="H128" s="97">
        <v>6008</v>
      </c>
      <c r="I128" s="98" t="s">
        <v>119</v>
      </c>
    </row>
    <row r="129" spans="1:9" ht="15.5" x14ac:dyDescent="0.35">
      <c r="A129" s="93">
        <v>44017</v>
      </c>
      <c r="B129" s="94">
        <v>3092</v>
      </c>
      <c r="C129" s="94">
        <v>231</v>
      </c>
      <c r="D129" s="94">
        <f t="shared" si="0"/>
        <v>2861</v>
      </c>
      <c r="E129" s="95">
        <f t="shared" si="1"/>
        <v>7.470892626131953E-2</v>
      </c>
      <c r="F129" s="96">
        <v>4549</v>
      </c>
      <c r="G129" s="97">
        <v>355</v>
      </c>
      <c r="H129" s="97">
        <v>4194</v>
      </c>
      <c r="I129" s="98" t="s">
        <v>132</v>
      </c>
    </row>
    <row r="130" spans="1:9" ht="15.5" x14ac:dyDescent="0.35">
      <c r="A130" s="93">
        <v>44018</v>
      </c>
      <c r="B130" s="94">
        <v>4441</v>
      </c>
      <c r="C130" s="94">
        <v>199</v>
      </c>
      <c r="D130" s="94">
        <f t="shared" si="0"/>
        <v>4242</v>
      </c>
      <c r="E130" s="95">
        <f t="shared" si="1"/>
        <v>4.4809727538842603E-2</v>
      </c>
      <c r="F130" s="96">
        <v>6122</v>
      </c>
      <c r="G130" s="97">
        <v>510</v>
      </c>
      <c r="H130" s="97">
        <v>5612</v>
      </c>
      <c r="I130" s="98" t="s">
        <v>152</v>
      </c>
    </row>
    <row r="131" spans="1:9" ht="15.5" x14ac:dyDescent="0.35">
      <c r="A131" s="93">
        <v>44019</v>
      </c>
      <c r="B131" s="94">
        <v>5473</v>
      </c>
      <c r="C131" s="94">
        <v>308</v>
      </c>
      <c r="D131" s="94">
        <f t="shared" si="0"/>
        <v>5165</v>
      </c>
      <c r="E131" s="95">
        <f t="shared" si="1"/>
        <v>5.6276265302393567E-2</v>
      </c>
      <c r="F131" s="96">
        <v>7260</v>
      </c>
      <c r="G131" s="97">
        <v>773</v>
      </c>
      <c r="H131" s="97">
        <v>6487</v>
      </c>
      <c r="I131" s="98" t="s">
        <v>168</v>
      </c>
    </row>
    <row r="132" spans="1:9" ht="15.5" x14ac:dyDescent="0.35">
      <c r="A132" s="93">
        <v>44020</v>
      </c>
      <c r="B132" s="94">
        <v>6486</v>
      </c>
      <c r="C132" s="94">
        <v>293</v>
      </c>
      <c r="D132" s="94">
        <f t="shared" si="0"/>
        <v>6193</v>
      </c>
      <c r="E132" s="95">
        <f t="shared" si="1"/>
        <v>4.5174221399938326E-2</v>
      </c>
      <c r="F132" s="96">
        <v>9631</v>
      </c>
      <c r="G132" s="97">
        <v>710</v>
      </c>
      <c r="H132" s="97">
        <v>8921</v>
      </c>
      <c r="I132" s="98" t="s">
        <v>169</v>
      </c>
    </row>
    <row r="133" spans="1:9" ht="15.5" x14ac:dyDescent="0.35">
      <c r="A133" s="93">
        <v>44021</v>
      </c>
      <c r="B133" s="94">
        <v>6423</v>
      </c>
      <c r="C133" s="94">
        <v>236</v>
      </c>
      <c r="D133" s="94">
        <f t="shared" si="0"/>
        <v>6187</v>
      </c>
      <c r="E133" s="95">
        <f t="shared" si="1"/>
        <v>3.674295500544917E-2</v>
      </c>
      <c r="F133" s="96">
        <v>8958</v>
      </c>
      <c r="G133" s="97">
        <v>706</v>
      </c>
      <c r="H133" s="97">
        <v>8252</v>
      </c>
      <c r="I133" s="98" t="s">
        <v>107</v>
      </c>
    </row>
    <row r="134" spans="1:9" ht="15.5" x14ac:dyDescent="0.35">
      <c r="A134" s="93">
        <v>44022</v>
      </c>
      <c r="B134" s="94">
        <v>6584</v>
      </c>
      <c r="C134" s="94">
        <v>359</v>
      </c>
      <c r="D134" s="94">
        <f t="shared" si="0"/>
        <v>6225</v>
      </c>
      <c r="E134" s="95">
        <f t="shared" si="1"/>
        <v>5.4526123936816523E-2</v>
      </c>
      <c r="F134" s="96">
        <v>10412</v>
      </c>
      <c r="G134" s="97">
        <v>978</v>
      </c>
      <c r="H134" s="97">
        <v>9434</v>
      </c>
      <c r="I134" s="98" t="s">
        <v>170</v>
      </c>
    </row>
    <row r="135" spans="1:9" ht="15.5" x14ac:dyDescent="0.35">
      <c r="A135" s="93">
        <v>44023</v>
      </c>
      <c r="B135" s="94">
        <v>5690</v>
      </c>
      <c r="C135" s="94">
        <v>404</v>
      </c>
      <c r="D135" s="94">
        <f t="shared" si="0"/>
        <v>5286</v>
      </c>
      <c r="E135" s="95">
        <f t="shared" si="1"/>
        <v>7.1001757469244295E-2</v>
      </c>
      <c r="F135" s="96">
        <v>8117</v>
      </c>
      <c r="G135" s="97">
        <v>900</v>
      </c>
      <c r="H135" s="97">
        <v>7217</v>
      </c>
      <c r="I135" s="98" t="s">
        <v>93</v>
      </c>
    </row>
    <row r="136" spans="1:9" ht="15.5" x14ac:dyDescent="0.35">
      <c r="A136" s="93">
        <v>44024</v>
      </c>
      <c r="B136" s="94">
        <v>4102</v>
      </c>
      <c r="C136" s="94">
        <v>279</v>
      </c>
      <c r="D136" s="94">
        <f t="shared" si="0"/>
        <v>3823</v>
      </c>
      <c r="E136" s="95">
        <f t="shared" si="1"/>
        <v>6.8015602145294979E-2</v>
      </c>
      <c r="F136" s="96">
        <v>5188</v>
      </c>
      <c r="G136" s="97">
        <v>458</v>
      </c>
      <c r="H136" s="97">
        <v>4730</v>
      </c>
      <c r="I136" s="98" t="s">
        <v>119</v>
      </c>
    </row>
    <row r="137" spans="1:9" ht="15.5" x14ac:dyDescent="0.35">
      <c r="A137" s="93">
        <v>44025</v>
      </c>
      <c r="B137" s="94">
        <v>5998</v>
      </c>
      <c r="C137" s="94">
        <v>275</v>
      </c>
      <c r="D137" s="94">
        <f t="shared" si="0"/>
        <v>5723</v>
      </c>
      <c r="E137" s="95">
        <f t="shared" si="1"/>
        <v>4.5848616205401801E-2</v>
      </c>
      <c r="F137" s="96">
        <v>8616</v>
      </c>
      <c r="G137" s="97">
        <v>923</v>
      </c>
      <c r="H137" s="97">
        <v>7693</v>
      </c>
      <c r="I137" s="98" t="s">
        <v>122</v>
      </c>
    </row>
    <row r="138" spans="1:9" ht="15.5" x14ac:dyDescent="0.35">
      <c r="A138" s="93">
        <v>44026</v>
      </c>
      <c r="B138" s="94">
        <v>5414</v>
      </c>
      <c r="C138" s="94">
        <v>258</v>
      </c>
      <c r="D138" s="94">
        <f t="shared" si="0"/>
        <v>5156</v>
      </c>
      <c r="E138" s="95">
        <f t="shared" si="1"/>
        <v>4.7654229774658295E-2</v>
      </c>
      <c r="F138" s="96">
        <v>8626</v>
      </c>
      <c r="G138" s="97">
        <v>953</v>
      </c>
      <c r="H138" s="97">
        <v>7673</v>
      </c>
      <c r="I138" s="98" t="s">
        <v>159</v>
      </c>
    </row>
    <row r="139" spans="1:9" ht="15.5" x14ac:dyDescent="0.35">
      <c r="A139" s="93">
        <v>44027</v>
      </c>
      <c r="B139" s="94">
        <v>6405</v>
      </c>
      <c r="C139" s="94">
        <v>304</v>
      </c>
      <c r="D139" s="94">
        <f t="shared" si="0"/>
        <v>6101</v>
      </c>
      <c r="E139" s="95">
        <f t="shared" si="1"/>
        <v>4.7462919594067135E-2</v>
      </c>
      <c r="F139" s="96">
        <v>9056</v>
      </c>
      <c r="G139" s="97">
        <v>765</v>
      </c>
      <c r="H139" s="97">
        <v>8291</v>
      </c>
      <c r="I139" s="98" t="s">
        <v>163</v>
      </c>
    </row>
    <row r="140" spans="1:9" ht="15.5" x14ac:dyDescent="0.35">
      <c r="A140" s="93">
        <v>44028</v>
      </c>
      <c r="B140" s="94">
        <v>6448</v>
      </c>
      <c r="C140" s="94">
        <v>231</v>
      </c>
      <c r="D140" s="94">
        <f t="shared" si="0"/>
        <v>6217</v>
      </c>
      <c r="E140" s="95">
        <f t="shared" si="1"/>
        <v>3.5825062034739452E-2</v>
      </c>
      <c r="F140" s="96">
        <v>9924</v>
      </c>
      <c r="G140" s="97">
        <v>1085</v>
      </c>
      <c r="H140" s="97">
        <v>8839</v>
      </c>
      <c r="I140" s="98" t="s">
        <v>171</v>
      </c>
    </row>
    <row r="141" spans="1:9" ht="15.5" x14ac:dyDescent="0.35">
      <c r="A141" s="93">
        <v>44029</v>
      </c>
      <c r="B141" s="100">
        <v>9056</v>
      </c>
      <c r="C141" s="101">
        <v>331</v>
      </c>
      <c r="D141" s="94">
        <f t="shared" si="0"/>
        <v>8725</v>
      </c>
      <c r="E141" s="95">
        <f t="shared" si="1"/>
        <v>3.6550353356890462E-2</v>
      </c>
      <c r="F141" s="96">
        <v>12098</v>
      </c>
      <c r="G141" s="97">
        <v>802</v>
      </c>
      <c r="H141" s="97">
        <v>11296</v>
      </c>
      <c r="I141" s="98" t="s">
        <v>172</v>
      </c>
    </row>
    <row r="142" spans="1:9" ht="15.5" x14ac:dyDescent="0.35">
      <c r="A142" s="93">
        <v>44030</v>
      </c>
      <c r="B142" s="102">
        <v>6781</v>
      </c>
      <c r="C142" s="94">
        <v>312</v>
      </c>
      <c r="D142" s="94">
        <f t="shared" si="0"/>
        <v>6469</v>
      </c>
      <c r="E142" s="95">
        <f t="shared" si="1"/>
        <v>4.6010912844713169E-2</v>
      </c>
      <c r="F142" s="96">
        <v>9982</v>
      </c>
      <c r="G142" s="97">
        <v>927</v>
      </c>
      <c r="H142" s="97">
        <v>9055</v>
      </c>
      <c r="I142" s="98" t="s">
        <v>173</v>
      </c>
    </row>
    <row r="143" spans="1:9" ht="15.5" x14ac:dyDescent="0.35">
      <c r="A143" s="93">
        <v>44031</v>
      </c>
      <c r="B143" s="94">
        <v>3655</v>
      </c>
      <c r="C143" s="94">
        <v>361</v>
      </c>
      <c r="D143" s="94">
        <f t="shared" si="0"/>
        <v>3294</v>
      </c>
      <c r="E143" s="95">
        <f t="shared" si="1"/>
        <v>9.8768809849521202E-2</v>
      </c>
      <c r="F143" s="96">
        <v>4935</v>
      </c>
      <c r="G143" s="97">
        <v>519</v>
      </c>
      <c r="H143" s="97">
        <v>4416</v>
      </c>
      <c r="I143" s="98" t="s">
        <v>174</v>
      </c>
    </row>
    <row r="144" spans="1:9" ht="15.5" x14ac:dyDescent="0.35">
      <c r="A144" s="93">
        <v>44032</v>
      </c>
      <c r="B144" s="94">
        <v>6088</v>
      </c>
      <c r="C144" s="94">
        <v>441</v>
      </c>
      <c r="D144" s="94">
        <f t="shared" si="0"/>
        <v>5647</v>
      </c>
      <c r="E144" s="95">
        <f t="shared" si="1"/>
        <v>7.2437582128777919E-2</v>
      </c>
      <c r="F144" s="96">
        <v>9365</v>
      </c>
      <c r="G144" s="97">
        <v>932</v>
      </c>
      <c r="H144" s="97">
        <v>8433</v>
      </c>
      <c r="I144" s="98" t="s">
        <v>175</v>
      </c>
    </row>
    <row r="145" spans="1:9" ht="15.5" x14ac:dyDescent="0.35">
      <c r="A145" s="93">
        <v>44033</v>
      </c>
      <c r="B145" s="94">
        <v>8081</v>
      </c>
      <c r="C145" s="94">
        <v>382</v>
      </c>
      <c r="D145" s="94">
        <f t="shared" si="0"/>
        <v>7699</v>
      </c>
      <c r="E145" s="95">
        <f t="shared" si="1"/>
        <v>4.727137730478901E-2</v>
      </c>
      <c r="F145" s="96">
        <v>11413</v>
      </c>
      <c r="G145" s="97">
        <v>1271</v>
      </c>
      <c r="H145" s="97">
        <v>10142</v>
      </c>
      <c r="I145" s="98" t="s">
        <v>93</v>
      </c>
    </row>
    <row r="146" spans="1:9" ht="15.5" x14ac:dyDescent="0.35">
      <c r="A146" s="93">
        <v>44034</v>
      </c>
      <c r="B146" s="94">
        <v>10061</v>
      </c>
      <c r="C146" s="94">
        <v>416</v>
      </c>
      <c r="D146" s="94">
        <f t="shared" si="0"/>
        <v>9645</v>
      </c>
      <c r="E146" s="95">
        <f t="shared" si="1"/>
        <v>4.1347778550839875E-2</v>
      </c>
      <c r="F146" s="96">
        <v>11692</v>
      </c>
      <c r="G146" s="97">
        <v>1368</v>
      </c>
      <c r="H146" s="97">
        <v>10324</v>
      </c>
      <c r="I146" s="98" t="s">
        <v>151</v>
      </c>
    </row>
    <row r="147" spans="1:9" ht="15.5" x14ac:dyDescent="0.35">
      <c r="A147" s="93">
        <v>44035</v>
      </c>
      <c r="B147" s="94">
        <v>8773</v>
      </c>
      <c r="C147" s="94">
        <v>279</v>
      </c>
      <c r="D147" s="94">
        <f t="shared" si="0"/>
        <v>8494</v>
      </c>
      <c r="E147" s="95">
        <f t="shared" si="1"/>
        <v>3.1802120141342753E-2</v>
      </c>
      <c r="F147" s="96">
        <v>11009</v>
      </c>
      <c r="G147" s="97">
        <v>1142</v>
      </c>
      <c r="H147" s="97">
        <v>9867</v>
      </c>
      <c r="I147" s="98" t="s">
        <v>176</v>
      </c>
    </row>
    <row r="148" spans="1:9" ht="15.5" x14ac:dyDescent="0.35">
      <c r="A148" s="93">
        <v>44036</v>
      </c>
      <c r="B148" s="94">
        <v>9100</v>
      </c>
      <c r="C148" s="94">
        <v>393</v>
      </c>
      <c r="D148" s="94">
        <f t="shared" si="0"/>
        <v>8707</v>
      </c>
      <c r="E148" s="95">
        <f t="shared" si="1"/>
        <v>4.3186813186813187E-2</v>
      </c>
      <c r="F148" s="96">
        <v>10480</v>
      </c>
      <c r="G148" s="97">
        <v>931</v>
      </c>
      <c r="H148" s="97">
        <v>9549</v>
      </c>
      <c r="I148" s="98" t="s">
        <v>177</v>
      </c>
    </row>
    <row r="149" spans="1:9" ht="15.5" x14ac:dyDescent="0.35">
      <c r="A149" s="93">
        <v>44037</v>
      </c>
      <c r="B149" s="94">
        <v>6887</v>
      </c>
      <c r="C149" s="94">
        <v>611</v>
      </c>
      <c r="D149" s="94">
        <f t="shared" si="0"/>
        <v>6276</v>
      </c>
      <c r="E149" s="95">
        <f t="shared" si="1"/>
        <v>8.8717874255844348E-2</v>
      </c>
      <c r="F149" s="96">
        <v>8457</v>
      </c>
      <c r="G149" s="97">
        <v>922</v>
      </c>
      <c r="H149" s="97">
        <v>7535</v>
      </c>
      <c r="I149" s="98" t="s">
        <v>171</v>
      </c>
    </row>
    <row r="150" spans="1:9" ht="15.5" x14ac:dyDescent="0.35">
      <c r="A150" s="93">
        <v>44038</v>
      </c>
      <c r="B150" s="94">
        <v>3148</v>
      </c>
      <c r="C150" s="94">
        <v>270</v>
      </c>
      <c r="D150" s="94">
        <f t="shared" si="0"/>
        <v>2878</v>
      </c>
      <c r="E150" s="95">
        <f t="shared" si="1"/>
        <v>8.5768742058449809E-2</v>
      </c>
      <c r="F150" s="96">
        <v>4981</v>
      </c>
      <c r="G150" s="97">
        <v>344</v>
      </c>
      <c r="H150" s="97">
        <v>4637</v>
      </c>
      <c r="I150" s="98" t="s">
        <v>149</v>
      </c>
    </row>
    <row r="151" spans="1:9" ht="15.5" x14ac:dyDescent="0.35">
      <c r="A151" s="93">
        <v>44039</v>
      </c>
      <c r="B151" s="94">
        <v>8184</v>
      </c>
      <c r="C151" s="94">
        <v>436</v>
      </c>
      <c r="D151" s="94">
        <f t="shared" si="0"/>
        <v>7748</v>
      </c>
      <c r="E151" s="95">
        <f t="shared" si="1"/>
        <v>5.3274682306940373E-2</v>
      </c>
      <c r="F151" s="96">
        <v>11342</v>
      </c>
      <c r="G151" s="97">
        <v>1196</v>
      </c>
      <c r="H151" s="97">
        <v>10146</v>
      </c>
      <c r="I151" s="98" t="s">
        <v>174</v>
      </c>
    </row>
    <row r="152" spans="1:9" ht="15.5" x14ac:dyDescent="0.35">
      <c r="A152" s="93">
        <v>44040</v>
      </c>
      <c r="B152" s="94">
        <v>8824</v>
      </c>
      <c r="C152" s="94">
        <v>542</v>
      </c>
      <c r="D152" s="94">
        <f t="shared" si="0"/>
        <v>8282</v>
      </c>
      <c r="E152" s="95">
        <f t="shared" si="1"/>
        <v>6.1423390752493201E-2</v>
      </c>
      <c r="F152" s="96">
        <v>10634</v>
      </c>
      <c r="G152" s="97">
        <v>1478</v>
      </c>
      <c r="H152" s="97">
        <v>9156</v>
      </c>
      <c r="I152" s="98" t="s">
        <v>178</v>
      </c>
    </row>
    <row r="153" spans="1:9" ht="15.5" x14ac:dyDescent="0.35">
      <c r="A153" s="93">
        <v>44041</v>
      </c>
      <c r="B153" s="94">
        <v>9120</v>
      </c>
      <c r="C153" s="94">
        <v>340</v>
      </c>
      <c r="D153" s="94">
        <f t="shared" si="0"/>
        <v>8780</v>
      </c>
      <c r="E153" s="95">
        <f t="shared" si="1"/>
        <v>3.7280701754385963E-2</v>
      </c>
      <c r="F153" s="96">
        <v>12297</v>
      </c>
      <c r="G153" s="97">
        <v>1718</v>
      </c>
      <c r="H153" s="97">
        <v>10579</v>
      </c>
      <c r="I153" s="98" t="s">
        <v>124</v>
      </c>
    </row>
    <row r="154" spans="1:9" ht="15.5" x14ac:dyDescent="0.35">
      <c r="A154" s="93">
        <v>44042</v>
      </c>
      <c r="B154" s="94">
        <v>8520</v>
      </c>
      <c r="C154" s="94">
        <v>585</v>
      </c>
      <c r="D154" s="94">
        <f t="shared" si="0"/>
        <v>7935</v>
      </c>
      <c r="E154" s="95">
        <f t="shared" si="1"/>
        <v>6.8661971830985921E-2</v>
      </c>
      <c r="F154" s="96">
        <v>10856</v>
      </c>
      <c r="G154" s="97">
        <v>1081</v>
      </c>
      <c r="H154" s="97">
        <v>9775</v>
      </c>
      <c r="I154" s="98" t="s">
        <v>175</v>
      </c>
    </row>
    <row r="155" spans="1:9" ht="15.5" x14ac:dyDescent="0.35">
      <c r="A155" s="93">
        <v>44043</v>
      </c>
      <c r="B155" s="94">
        <v>4222</v>
      </c>
      <c r="C155" s="94">
        <v>330</v>
      </c>
      <c r="D155" s="94">
        <f t="shared" si="0"/>
        <v>3892</v>
      </c>
      <c r="E155" s="95">
        <f t="shared" si="1"/>
        <v>7.8162008526764568E-2</v>
      </c>
      <c r="F155" s="96">
        <v>5544</v>
      </c>
      <c r="G155" s="97">
        <v>486</v>
      </c>
      <c r="H155" s="97">
        <v>5058</v>
      </c>
      <c r="I155" s="98" t="s">
        <v>119</v>
      </c>
    </row>
    <row r="156" spans="1:9" ht="15.5" x14ac:dyDescent="0.35">
      <c r="A156" s="93">
        <v>44044</v>
      </c>
      <c r="B156" s="94">
        <v>6366</v>
      </c>
      <c r="C156" s="94">
        <v>329</v>
      </c>
      <c r="D156" s="94">
        <f t="shared" si="0"/>
        <v>6037</v>
      </c>
      <c r="E156" s="95">
        <f t="shared" si="1"/>
        <v>5.1680804272698715E-2</v>
      </c>
      <c r="F156" s="96">
        <v>9042</v>
      </c>
      <c r="G156" s="97">
        <v>1048</v>
      </c>
      <c r="H156" s="97">
        <v>7994</v>
      </c>
      <c r="I156" s="98" t="s">
        <v>121</v>
      </c>
    </row>
    <row r="157" spans="1:9" ht="15.5" x14ac:dyDescent="0.35">
      <c r="A157" s="93">
        <v>44045</v>
      </c>
      <c r="B157" s="94">
        <v>3675</v>
      </c>
      <c r="C157" s="94">
        <v>439</v>
      </c>
      <c r="D157" s="94">
        <f t="shared" si="0"/>
        <v>3236</v>
      </c>
      <c r="E157" s="95">
        <f t="shared" si="1"/>
        <v>0.11945578231292517</v>
      </c>
      <c r="F157" s="96">
        <v>4671</v>
      </c>
      <c r="G157" s="97">
        <v>489</v>
      </c>
      <c r="H157" s="97">
        <v>4182</v>
      </c>
      <c r="I157" s="98" t="s">
        <v>174</v>
      </c>
    </row>
    <row r="158" spans="1:9" ht="15.5" x14ac:dyDescent="0.35">
      <c r="A158" s="93">
        <v>44046</v>
      </c>
      <c r="B158" s="94">
        <v>7811</v>
      </c>
      <c r="C158" s="94">
        <v>386</v>
      </c>
      <c r="D158" s="94">
        <f t="shared" si="0"/>
        <v>7425</v>
      </c>
      <c r="E158" s="95">
        <f t="shared" si="1"/>
        <v>4.9417488157726286E-2</v>
      </c>
      <c r="F158" s="96">
        <v>10802</v>
      </c>
      <c r="G158" s="97">
        <v>995</v>
      </c>
      <c r="H158" s="97">
        <v>9807</v>
      </c>
      <c r="I158" s="98" t="s">
        <v>161</v>
      </c>
    </row>
    <row r="159" spans="1:9" ht="15.5" x14ac:dyDescent="0.35">
      <c r="A159" s="93">
        <v>44047</v>
      </c>
      <c r="B159" s="94">
        <v>7071</v>
      </c>
      <c r="C159" s="94">
        <v>468</v>
      </c>
      <c r="D159" s="94">
        <f t="shared" si="0"/>
        <v>6603</v>
      </c>
      <c r="E159" s="95">
        <f t="shared" si="1"/>
        <v>6.6185829444208741E-2</v>
      </c>
      <c r="F159" s="96">
        <v>11922</v>
      </c>
      <c r="G159" s="97">
        <v>1654</v>
      </c>
      <c r="H159" s="97">
        <v>10268</v>
      </c>
      <c r="I159" s="98" t="s">
        <v>178</v>
      </c>
    </row>
    <row r="160" spans="1:9" ht="15.5" x14ac:dyDescent="0.35">
      <c r="A160" s="93">
        <v>44048</v>
      </c>
      <c r="B160" s="94">
        <v>8124</v>
      </c>
      <c r="C160" s="94">
        <v>584</v>
      </c>
      <c r="D160" s="94">
        <f t="shared" si="0"/>
        <v>7540</v>
      </c>
      <c r="E160" s="95">
        <f t="shared" si="1"/>
        <v>7.1885770556376169E-2</v>
      </c>
      <c r="F160" s="96">
        <v>12034</v>
      </c>
      <c r="G160" s="97">
        <v>1616</v>
      </c>
      <c r="H160" s="97">
        <v>10418</v>
      </c>
      <c r="I160" s="98" t="s">
        <v>179</v>
      </c>
    </row>
    <row r="161" spans="1:9" ht="15.5" x14ac:dyDescent="0.35">
      <c r="A161" s="93">
        <v>44049</v>
      </c>
      <c r="B161" s="94">
        <v>8065</v>
      </c>
      <c r="C161" s="94">
        <v>693</v>
      </c>
      <c r="D161" s="94">
        <f t="shared" si="0"/>
        <v>7372</v>
      </c>
      <c r="E161" s="95">
        <f t="shared" si="1"/>
        <v>8.5926844389336635E-2</v>
      </c>
      <c r="F161" s="96">
        <v>12299</v>
      </c>
      <c r="G161" s="97">
        <v>1392</v>
      </c>
      <c r="H161" s="97">
        <v>10907</v>
      </c>
      <c r="I161" s="98" t="s">
        <v>180</v>
      </c>
    </row>
    <row r="162" spans="1:9" ht="15.5" x14ac:dyDescent="0.35">
      <c r="A162" s="93">
        <v>44050</v>
      </c>
      <c r="B162" s="94">
        <v>8791</v>
      </c>
      <c r="C162" s="94">
        <v>776</v>
      </c>
      <c r="D162" s="94">
        <f t="shared" si="0"/>
        <v>8015</v>
      </c>
      <c r="E162" s="95">
        <f t="shared" si="1"/>
        <v>8.8272096462290978E-2</v>
      </c>
      <c r="F162" s="96">
        <v>13298</v>
      </c>
      <c r="G162" s="97">
        <v>1506</v>
      </c>
      <c r="H162" s="97">
        <v>11792</v>
      </c>
      <c r="I162" s="98" t="s">
        <v>180</v>
      </c>
    </row>
    <row r="163" spans="1:9" ht="15.5" x14ac:dyDescent="0.35">
      <c r="A163" s="93">
        <v>44051</v>
      </c>
      <c r="B163" s="94">
        <v>6771</v>
      </c>
      <c r="C163" s="94">
        <v>534</v>
      </c>
      <c r="D163" s="94">
        <f t="shared" si="0"/>
        <v>6237</v>
      </c>
      <c r="E163" s="95">
        <f t="shared" si="1"/>
        <v>7.8865750996898534E-2</v>
      </c>
      <c r="F163" s="96">
        <v>9129</v>
      </c>
      <c r="G163" s="97">
        <v>1197</v>
      </c>
      <c r="H163" s="97">
        <v>7932</v>
      </c>
      <c r="I163" s="98" t="s">
        <v>181</v>
      </c>
    </row>
    <row r="164" spans="1:9" ht="15.5" x14ac:dyDescent="0.35">
      <c r="A164" s="93">
        <v>44052</v>
      </c>
      <c r="B164" s="94">
        <v>4433</v>
      </c>
      <c r="C164" s="94">
        <v>319</v>
      </c>
      <c r="D164" s="94">
        <f t="shared" si="0"/>
        <v>4114</v>
      </c>
      <c r="E164" s="95">
        <f t="shared" si="1"/>
        <v>7.1960297766749379E-2</v>
      </c>
      <c r="F164" s="96">
        <v>5412</v>
      </c>
      <c r="G164" s="97">
        <v>652</v>
      </c>
      <c r="H164" s="97">
        <v>4760</v>
      </c>
      <c r="I164" s="98" t="s">
        <v>114</v>
      </c>
    </row>
    <row r="165" spans="1:9" ht="15.5" x14ac:dyDescent="0.35">
      <c r="A165" s="93">
        <v>44053</v>
      </c>
      <c r="B165" s="94">
        <v>6059</v>
      </c>
      <c r="C165" s="94">
        <v>582</v>
      </c>
      <c r="D165" s="94">
        <f t="shared" si="0"/>
        <v>5477</v>
      </c>
      <c r="E165" s="95">
        <f t="shared" si="1"/>
        <v>9.6055454695494299E-2</v>
      </c>
      <c r="F165" s="96">
        <v>8939</v>
      </c>
      <c r="G165" s="97">
        <v>1169</v>
      </c>
      <c r="H165" s="97">
        <v>7770</v>
      </c>
      <c r="I165" s="98" t="s">
        <v>181</v>
      </c>
    </row>
    <row r="166" spans="1:9" ht="15.5" x14ac:dyDescent="0.35">
      <c r="A166" s="93">
        <v>44054</v>
      </c>
      <c r="B166" s="94">
        <v>5841</v>
      </c>
      <c r="C166" s="94">
        <v>487</v>
      </c>
      <c r="D166" s="94">
        <f t="shared" si="0"/>
        <v>5354</v>
      </c>
      <c r="E166" s="95">
        <f t="shared" si="1"/>
        <v>8.3376134223591844E-2</v>
      </c>
      <c r="F166" s="96">
        <v>8140</v>
      </c>
      <c r="G166" s="97">
        <v>896</v>
      </c>
      <c r="H166" s="97">
        <v>7244</v>
      </c>
      <c r="I166" s="98" t="s">
        <v>159</v>
      </c>
    </row>
    <row r="167" spans="1:9" ht="15.5" x14ac:dyDescent="0.35">
      <c r="A167" s="93">
        <v>44055</v>
      </c>
      <c r="B167" s="94">
        <v>8015</v>
      </c>
      <c r="C167" s="94">
        <v>591</v>
      </c>
      <c r="D167" s="94">
        <f t="shared" si="0"/>
        <v>7424</v>
      </c>
      <c r="E167" s="95">
        <f t="shared" si="1"/>
        <v>7.3736743605739244E-2</v>
      </c>
      <c r="F167" s="96">
        <v>10993</v>
      </c>
      <c r="G167" s="97">
        <v>1583</v>
      </c>
      <c r="H167" s="97">
        <v>9410</v>
      </c>
      <c r="I167" s="98" t="s">
        <v>127</v>
      </c>
    </row>
    <row r="168" spans="1:9" ht="15.5" x14ac:dyDescent="0.35">
      <c r="A168" s="93">
        <v>44056</v>
      </c>
      <c r="B168" s="94">
        <v>6881</v>
      </c>
      <c r="C168" s="94">
        <v>495</v>
      </c>
      <c r="D168" s="94">
        <f t="shared" si="0"/>
        <v>6386</v>
      </c>
      <c r="E168" s="95">
        <f t="shared" si="1"/>
        <v>7.1937218427554128E-2</v>
      </c>
      <c r="F168" s="96">
        <v>9144</v>
      </c>
      <c r="G168" s="97">
        <v>1362</v>
      </c>
      <c r="H168" s="97">
        <v>7782</v>
      </c>
      <c r="I168" s="98" t="s">
        <v>110</v>
      </c>
    </row>
    <row r="169" spans="1:9" ht="15.5" x14ac:dyDescent="0.35">
      <c r="A169" s="93">
        <v>44057</v>
      </c>
      <c r="B169" s="94">
        <v>8211</v>
      </c>
      <c r="C169" s="94">
        <v>729</v>
      </c>
      <c r="D169" s="94">
        <f t="shared" si="0"/>
        <v>7482</v>
      </c>
      <c r="E169" s="95">
        <f t="shared" si="1"/>
        <v>8.8783339422725607E-2</v>
      </c>
      <c r="F169" s="96">
        <v>11553</v>
      </c>
      <c r="G169" s="97">
        <v>1364</v>
      </c>
      <c r="H169" s="97">
        <v>10189</v>
      </c>
      <c r="I169" s="98" t="s">
        <v>182</v>
      </c>
    </row>
    <row r="170" spans="1:9" ht="15.5" x14ac:dyDescent="0.35">
      <c r="A170" s="93">
        <v>44058</v>
      </c>
      <c r="B170" s="94">
        <v>9669</v>
      </c>
      <c r="C170" s="94">
        <v>625</v>
      </c>
      <c r="D170" s="94">
        <f t="shared" si="0"/>
        <v>9044</v>
      </c>
      <c r="E170" s="95">
        <f t="shared" si="1"/>
        <v>6.4639569759023685E-2</v>
      </c>
      <c r="F170" s="96">
        <v>11769</v>
      </c>
      <c r="G170" s="97">
        <v>1656</v>
      </c>
      <c r="H170" s="97">
        <v>10113</v>
      </c>
      <c r="I170" s="98" t="s">
        <v>183</v>
      </c>
    </row>
    <row r="171" spans="1:9" ht="15.5" x14ac:dyDescent="0.35">
      <c r="A171" s="93">
        <v>44059</v>
      </c>
      <c r="B171" s="94">
        <v>5266</v>
      </c>
      <c r="C171" s="94">
        <v>534</v>
      </c>
      <c r="D171" s="94">
        <f t="shared" si="0"/>
        <v>4732</v>
      </c>
      <c r="E171" s="95">
        <f t="shared" si="1"/>
        <v>0.10140524116976833</v>
      </c>
      <c r="F171" s="96">
        <v>7387</v>
      </c>
      <c r="G171" s="97">
        <v>908</v>
      </c>
      <c r="H171" s="97">
        <v>6479</v>
      </c>
      <c r="I171" s="98" t="s">
        <v>150</v>
      </c>
    </row>
    <row r="172" spans="1:9" ht="15.5" x14ac:dyDescent="0.35">
      <c r="A172" s="93">
        <v>44060</v>
      </c>
      <c r="B172" s="94">
        <v>7215</v>
      </c>
      <c r="C172" s="94">
        <v>555</v>
      </c>
      <c r="D172" s="94">
        <f t="shared" si="0"/>
        <v>6660</v>
      </c>
      <c r="E172" s="95">
        <f t="shared" si="1"/>
        <v>7.6923076923076927E-2</v>
      </c>
      <c r="F172" s="96">
        <v>9212</v>
      </c>
      <c r="G172" s="97">
        <v>931</v>
      </c>
      <c r="H172" s="97">
        <v>8281</v>
      </c>
      <c r="I172" s="98" t="s">
        <v>128</v>
      </c>
    </row>
    <row r="173" spans="1:9" ht="15.5" x14ac:dyDescent="0.35">
      <c r="A173" s="93">
        <v>44061</v>
      </c>
      <c r="B173" s="94">
        <v>7097</v>
      </c>
      <c r="C173" s="94">
        <v>601</v>
      </c>
      <c r="D173" s="94">
        <f t="shared" si="0"/>
        <v>6496</v>
      </c>
      <c r="E173" s="95">
        <f t="shared" si="1"/>
        <v>8.4683669155981398E-2</v>
      </c>
      <c r="F173" s="96">
        <v>9548</v>
      </c>
      <c r="G173" s="97">
        <v>1327</v>
      </c>
      <c r="H173" s="97">
        <v>8221</v>
      </c>
      <c r="I173" s="98" t="s">
        <v>178</v>
      </c>
    </row>
    <row r="174" spans="1:9" ht="15.5" x14ac:dyDescent="0.35">
      <c r="A174" s="93">
        <v>44062</v>
      </c>
      <c r="B174" s="94">
        <v>10636</v>
      </c>
      <c r="C174" s="94">
        <v>695</v>
      </c>
      <c r="D174" s="94">
        <f t="shared" si="0"/>
        <v>9941</v>
      </c>
      <c r="E174" s="95">
        <f t="shared" si="1"/>
        <v>6.5344114328694997E-2</v>
      </c>
      <c r="F174" s="96">
        <v>14015</v>
      </c>
      <c r="G174" s="97">
        <v>2127</v>
      </c>
      <c r="H174" s="97">
        <v>11888</v>
      </c>
      <c r="I174" s="98" t="s">
        <v>184</v>
      </c>
    </row>
    <row r="175" spans="1:9" ht="15.5" x14ac:dyDescent="0.35">
      <c r="A175" s="93">
        <v>44063</v>
      </c>
      <c r="B175" s="94">
        <v>5422</v>
      </c>
      <c r="C175" s="94">
        <v>511</v>
      </c>
      <c r="D175" s="94">
        <f t="shared" si="0"/>
        <v>4911</v>
      </c>
      <c r="E175" s="95">
        <f t="shared" si="1"/>
        <v>9.4245665805975654E-2</v>
      </c>
      <c r="F175" s="96">
        <v>7015</v>
      </c>
      <c r="G175" s="97">
        <v>1076</v>
      </c>
      <c r="H175" s="97">
        <v>5939</v>
      </c>
      <c r="I175" s="98" t="s">
        <v>185</v>
      </c>
    </row>
    <row r="176" spans="1:9" ht="15.5" x14ac:dyDescent="0.35">
      <c r="A176" s="93">
        <v>44064</v>
      </c>
      <c r="B176" s="94">
        <v>7422</v>
      </c>
      <c r="C176" s="94">
        <v>760</v>
      </c>
      <c r="D176" s="94">
        <f t="shared" si="0"/>
        <v>6662</v>
      </c>
      <c r="E176" s="95">
        <f t="shared" si="1"/>
        <v>0.10239827539746699</v>
      </c>
      <c r="F176" s="96">
        <v>11260</v>
      </c>
      <c r="G176" s="97">
        <v>1858</v>
      </c>
      <c r="H176" s="97">
        <v>9402</v>
      </c>
      <c r="I176" s="98" t="s">
        <v>186</v>
      </c>
    </row>
    <row r="177" spans="1:9" ht="15.5" x14ac:dyDescent="0.35">
      <c r="A177" s="93">
        <v>44065</v>
      </c>
      <c r="B177" s="94">
        <v>6821</v>
      </c>
      <c r="C177" s="94">
        <v>854</v>
      </c>
      <c r="D177" s="94">
        <f t="shared" si="0"/>
        <v>5967</v>
      </c>
      <c r="E177" s="95">
        <f t="shared" si="1"/>
        <v>0.12520158334555051</v>
      </c>
      <c r="F177" s="96">
        <v>10132</v>
      </c>
      <c r="G177" s="97">
        <v>1864</v>
      </c>
      <c r="H177" s="97">
        <v>8268</v>
      </c>
      <c r="I177" s="98" t="s">
        <v>187</v>
      </c>
    </row>
    <row r="178" spans="1:9" ht="15.5" x14ac:dyDescent="0.35">
      <c r="A178" s="93">
        <v>44066</v>
      </c>
      <c r="B178" s="94">
        <v>3691</v>
      </c>
      <c r="C178" s="94">
        <v>508</v>
      </c>
      <c r="D178" s="94">
        <f t="shared" si="0"/>
        <v>3183</v>
      </c>
      <c r="E178" s="95">
        <f t="shared" si="1"/>
        <v>0.13763207802763477</v>
      </c>
      <c r="F178" s="96">
        <v>6484</v>
      </c>
      <c r="G178" s="97">
        <v>1157</v>
      </c>
      <c r="H178" s="97">
        <v>5327</v>
      </c>
      <c r="I178" s="98" t="s">
        <v>188</v>
      </c>
    </row>
    <row r="179" spans="1:9" ht="15.5" x14ac:dyDescent="0.35">
      <c r="A179" s="93">
        <v>44067</v>
      </c>
      <c r="B179" s="94">
        <v>8941</v>
      </c>
      <c r="C179" s="94">
        <v>704</v>
      </c>
      <c r="D179" s="94">
        <f t="shared" si="0"/>
        <v>8237</v>
      </c>
      <c r="E179" s="95">
        <f t="shared" si="1"/>
        <v>7.8738396152555637E-2</v>
      </c>
      <c r="F179" s="96">
        <v>11929</v>
      </c>
      <c r="G179" s="97">
        <v>1821</v>
      </c>
      <c r="H179" s="97">
        <v>10108</v>
      </c>
      <c r="I179" s="98" t="s">
        <v>185</v>
      </c>
    </row>
    <row r="180" spans="1:9" ht="15.5" x14ac:dyDescent="0.35">
      <c r="A180" s="93">
        <v>44068</v>
      </c>
      <c r="B180" s="94">
        <v>8794</v>
      </c>
      <c r="C180" s="94">
        <v>569</v>
      </c>
      <c r="D180" s="94">
        <f t="shared" si="0"/>
        <v>8225</v>
      </c>
      <c r="E180" s="95">
        <f t="shared" si="1"/>
        <v>6.4703206731862639E-2</v>
      </c>
      <c r="F180" s="96">
        <v>12056</v>
      </c>
      <c r="G180" s="97">
        <v>1871</v>
      </c>
      <c r="H180" s="97">
        <v>10185</v>
      </c>
      <c r="I180" s="98" t="s">
        <v>189</v>
      </c>
    </row>
    <row r="181" spans="1:9" ht="15.5" x14ac:dyDescent="0.35">
      <c r="A181" s="93">
        <v>44069</v>
      </c>
      <c r="B181" s="94">
        <v>11436</v>
      </c>
      <c r="C181" s="94">
        <v>907</v>
      </c>
      <c r="D181" s="94">
        <f t="shared" si="0"/>
        <v>10529</v>
      </c>
      <c r="E181" s="95">
        <f t="shared" si="1"/>
        <v>7.9310947883875479E-2</v>
      </c>
      <c r="F181" s="96">
        <v>14863</v>
      </c>
      <c r="G181" s="97">
        <v>2488</v>
      </c>
      <c r="H181" s="97">
        <v>12375</v>
      </c>
      <c r="I181" s="98" t="s">
        <v>190</v>
      </c>
    </row>
    <row r="182" spans="1:9" ht="15.5" x14ac:dyDescent="0.35">
      <c r="A182" s="93">
        <v>44070</v>
      </c>
      <c r="B182" s="94">
        <v>9360</v>
      </c>
      <c r="C182" s="94">
        <v>879</v>
      </c>
      <c r="D182" s="94">
        <f t="shared" si="0"/>
        <v>8481</v>
      </c>
      <c r="E182" s="95">
        <f t="shared" si="1"/>
        <v>9.391025641025641E-2</v>
      </c>
      <c r="F182" s="96">
        <v>14337</v>
      </c>
      <c r="G182" s="97">
        <v>2158</v>
      </c>
      <c r="H182" s="97">
        <v>12179</v>
      </c>
      <c r="I182" s="98" t="s">
        <v>191</v>
      </c>
    </row>
    <row r="183" spans="1:9" ht="15.5" x14ac:dyDescent="0.35">
      <c r="A183" s="93">
        <v>44071</v>
      </c>
      <c r="B183" s="94">
        <v>10266</v>
      </c>
      <c r="C183" s="94">
        <v>882</v>
      </c>
      <c r="D183" s="94">
        <f t="shared" si="0"/>
        <v>9384</v>
      </c>
      <c r="E183" s="95">
        <f t="shared" si="1"/>
        <v>8.5914669783752187E-2</v>
      </c>
      <c r="F183" s="96">
        <v>13469</v>
      </c>
      <c r="G183" s="97">
        <v>2047</v>
      </c>
      <c r="H183" s="97">
        <v>11422</v>
      </c>
      <c r="I183" s="98" t="s">
        <v>184</v>
      </c>
    </row>
    <row r="184" spans="1:9" ht="15.5" x14ac:dyDescent="0.35">
      <c r="A184" s="93">
        <v>44072</v>
      </c>
      <c r="B184" s="94">
        <v>9392</v>
      </c>
      <c r="C184" s="94">
        <v>974</v>
      </c>
      <c r="D184" s="94">
        <f t="shared" si="0"/>
        <v>8418</v>
      </c>
      <c r="E184" s="95">
        <f t="shared" si="1"/>
        <v>0.10370528109028961</v>
      </c>
      <c r="F184" s="96">
        <v>12916</v>
      </c>
      <c r="G184" s="97">
        <v>2111</v>
      </c>
      <c r="H184" s="97">
        <v>10805</v>
      </c>
      <c r="I184" s="98" t="s">
        <v>192</v>
      </c>
    </row>
    <row r="185" spans="1:9" ht="15.5" x14ac:dyDescent="0.35">
      <c r="A185" s="93">
        <v>44073</v>
      </c>
      <c r="B185" s="94">
        <v>4880</v>
      </c>
      <c r="C185" s="94">
        <v>703</v>
      </c>
      <c r="D185" s="94">
        <f t="shared" si="0"/>
        <v>4177</v>
      </c>
      <c r="E185" s="95">
        <f t="shared" si="1"/>
        <v>0.14405737704918034</v>
      </c>
      <c r="F185" s="96">
        <v>7578</v>
      </c>
      <c r="G185" s="97">
        <v>1567</v>
      </c>
      <c r="H185" s="97">
        <v>6011</v>
      </c>
      <c r="I185" s="98" t="s">
        <v>193</v>
      </c>
    </row>
    <row r="186" spans="1:9" ht="15.5" x14ac:dyDescent="0.35">
      <c r="A186" s="93">
        <v>44074</v>
      </c>
      <c r="B186" s="94">
        <v>7514</v>
      </c>
      <c r="C186" s="94">
        <v>1024</v>
      </c>
      <c r="D186" s="94">
        <f t="shared" si="0"/>
        <v>6490</v>
      </c>
      <c r="E186" s="95">
        <f t="shared" si="1"/>
        <v>0.13627894596752729</v>
      </c>
      <c r="F186" s="96">
        <v>10024</v>
      </c>
      <c r="G186" s="97">
        <v>1996</v>
      </c>
      <c r="H186" s="97">
        <v>8028</v>
      </c>
      <c r="I186" s="98" t="s">
        <v>194</v>
      </c>
    </row>
    <row r="187" spans="1:9" ht="15.5" x14ac:dyDescent="0.35">
      <c r="A187" s="93">
        <v>44075</v>
      </c>
      <c r="B187" s="94">
        <v>8222</v>
      </c>
      <c r="C187" s="94">
        <v>1121</v>
      </c>
      <c r="D187" s="94">
        <f t="shared" si="0"/>
        <v>7101</v>
      </c>
      <c r="E187" s="95">
        <f t="shared" si="1"/>
        <v>0.13634152274385794</v>
      </c>
      <c r="F187" s="96">
        <v>12001</v>
      </c>
      <c r="G187" s="97">
        <v>2172</v>
      </c>
      <c r="H187" s="97">
        <v>9829</v>
      </c>
      <c r="I187" s="98" t="s">
        <v>195</v>
      </c>
    </row>
    <row r="188" spans="1:9" ht="15.5" x14ac:dyDescent="0.35">
      <c r="A188" s="93">
        <v>44076</v>
      </c>
      <c r="B188" s="94">
        <v>9971</v>
      </c>
      <c r="C188" s="94">
        <v>1135</v>
      </c>
      <c r="D188" s="94">
        <f t="shared" si="0"/>
        <v>8836</v>
      </c>
      <c r="E188" s="95">
        <f t="shared" si="1"/>
        <v>0.11383010731120249</v>
      </c>
      <c r="F188" s="96">
        <v>12117</v>
      </c>
      <c r="G188" s="97">
        <v>2242</v>
      </c>
      <c r="H188" s="97">
        <v>9875</v>
      </c>
      <c r="I188" s="98" t="s">
        <v>196</v>
      </c>
    </row>
    <row r="189" spans="1:9" ht="15.5" x14ac:dyDescent="0.35">
      <c r="A189" s="93">
        <v>44077</v>
      </c>
      <c r="B189" s="94">
        <v>12131</v>
      </c>
      <c r="C189" s="94">
        <v>1013</v>
      </c>
      <c r="D189" s="94">
        <f t="shared" si="0"/>
        <v>11118</v>
      </c>
      <c r="E189" s="95">
        <f t="shared" si="1"/>
        <v>8.3505069656252581E-2</v>
      </c>
      <c r="F189" s="96">
        <v>15390</v>
      </c>
      <c r="G189" s="97">
        <v>2607</v>
      </c>
      <c r="H189" s="97">
        <v>12783</v>
      </c>
      <c r="I189" s="98" t="s">
        <v>117</v>
      </c>
    </row>
    <row r="190" spans="1:9" ht="15.5" x14ac:dyDescent="0.35">
      <c r="A190" s="93">
        <v>44078</v>
      </c>
      <c r="B190" s="94">
        <v>10248</v>
      </c>
      <c r="C190" s="94">
        <v>1242</v>
      </c>
      <c r="D190" s="94">
        <f t="shared" si="0"/>
        <v>9006</v>
      </c>
      <c r="E190" s="95">
        <f t="shared" si="1"/>
        <v>0.1211943793911007</v>
      </c>
      <c r="F190" s="96">
        <v>12252</v>
      </c>
      <c r="G190" s="97">
        <v>2263</v>
      </c>
      <c r="H190" s="97">
        <v>9989</v>
      </c>
      <c r="I190" s="98" t="s">
        <v>196</v>
      </c>
    </row>
    <row r="191" spans="1:9" ht="15.5" x14ac:dyDescent="0.35">
      <c r="A191" s="93">
        <v>44079</v>
      </c>
      <c r="B191" s="94">
        <v>9866</v>
      </c>
      <c r="C191" s="94">
        <v>1130</v>
      </c>
      <c r="D191" s="94">
        <f t="shared" si="0"/>
        <v>8736</v>
      </c>
      <c r="E191" s="95">
        <f t="shared" si="1"/>
        <v>0.11453476586255829</v>
      </c>
      <c r="F191" s="96">
        <v>11771</v>
      </c>
      <c r="G191" s="97">
        <v>2208</v>
      </c>
      <c r="H191" s="97">
        <v>9563</v>
      </c>
      <c r="I191" s="98" t="s">
        <v>197</v>
      </c>
    </row>
    <row r="192" spans="1:9" ht="15.5" x14ac:dyDescent="0.35">
      <c r="A192" s="93">
        <v>44080</v>
      </c>
      <c r="B192" s="94">
        <v>4979</v>
      </c>
      <c r="C192" s="94">
        <v>703</v>
      </c>
      <c r="D192" s="94">
        <f t="shared" si="0"/>
        <v>4276</v>
      </c>
      <c r="E192" s="95">
        <f t="shared" si="1"/>
        <v>0.14119301064470777</v>
      </c>
      <c r="F192" s="96">
        <v>6622</v>
      </c>
      <c r="G192" s="97">
        <v>1167</v>
      </c>
      <c r="H192" s="97">
        <v>5455</v>
      </c>
      <c r="I192" s="98" t="s">
        <v>198</v>
      </c>
    </row>
    <row r="193" spans="1:9" ht="15.5" x14ac:dyDescent="0.35">
      <c r="A193" s="93">
        <v>44081</v>
      </c>
      <c r="B193" s="94">
        <v>12302</v>
      </c>
      <c r="C193" s="94">
        <v>1289</v>
      </c>
      <c r="D193" s="94">
        <f t="shared" si="0"/>
        <v>11013</v>
      </c>
      <c r="E193" s="95">
        <f t="shared" si="1"/>
        <v>0.10477971061615997</v>
      </c>
      <c r="F193" s="96">
        <v>14808</v>
      </c>
      <c r="G193" s="97">
        <v>2427</v>
      </c>
      <c r="H193" s="97">
        <v>12381</v>
      </c>
      <c r="I193" s="98" t="s">
        <v>199</v>
      </c>
    </row>
    <row r="194" spans="1:9" ht="15.5" x14ac:dyDescent="0.35">
      <c r="A194" s="93">
        <v>44082</v>
      </c>
      <c r="B194" s="94">
        <v>12891</v>
      </c>
      <c r="C194" s="94">
        <v>1326</v>
      </c>
      <c r="D194" s="94">
        <f t="shared" si="0"/>
        <v>11565</v>
      </c>
      <c r="E194" s="95">
        <f t="shared" si="1"/>
        <v>0.10286246218291832</v>
      </c>
      <c r="F194" s="96">
        <v>14488</v>
      </c>
      <c r="G194" s="97">
        <v>2658</v>
      </c>
      <c r="H194" s="97">
        <v>11830</v>
      </c>
      <c r="I194" s="98" t="s">
        <v>200</v>
      </c>
    </row>
    <row r="195" spans="1:9" ht="15.5" x14ac:dyDescent="0.35">
      <c r="A195" s="93">
        <v>44083</v>
      </c>
      <c r="B195" s="94">
        <v>10005</v>
      </c>
      <c r="C195" s="94">
        <v>1102</v>
      </c>
      <c r="D195" s="94">
        <f t="shared" si="0"/>
        <v>8903</v>
      </c>
      <c r="E195" s="95">
        <f t="shared" si="1"/>
        <v>0.11014492753623188</v>
      </c>
      <c r="F195" s="96">
        <v>13666</v>
      </c>
      <c r="G195" s="97">
        <v>2232</v>
      </c>
      <c r="H195" s="97">
        <v>11434</v>
      </c>
      <c r="I195" s="98" t="s">
        <v>192</v>
      </c>
    </row>
    <row r="196" spans="1:9" ht="15.5" x14ac:dyDescent="0.35">
      <c r="A196" s="93">
        <v>44084</v>
      </c>
      <c r="B196" s="94">
        <v>12103</v>
      </c>
      <c r="C196" s="94">
        <v>1203</v>
      </c>
      <c r="D196" s="94">
        <f t="shared" si="0"/>
        <v>10900</v>
      </c>
      <c r="E196" s="95">
        <f t="shared" si="1"/>
        <v>9.9396843757746017E-2</v>
      </c>
      <c r="F196" s="96">
        <v>14034</v>
      </c>
      <c r="G196" s="97">
        <v>2476</v>
      </c>
      <c r="H196" s="97">
        <v>11558</v>
      </c>
      <c r="I196" s="98" t="s">
        <v>198</v>
      </c>
    </row>
    <row r="197" spans="1:9" ht="15.5" x14ac:dyDescent="0.35">
      <c r="A197" s="93">
        <v>44085</v>
      </c>
      <c r="B197" s="94">
        <v>10311</v>
      </c>
      <c r="C197" s="94">
        <v>1435</v>
      </c>
      <c r="D197" s="94">
        <f t="shared" si="0"/>
        <v>8876</v>
      </c>
      <c r="E197" s="95">
        <f t="shared" si="1"/>
        <v>0.13917175831636117</v>
      </c>
      <c r="F197" s="96">
        <v>13386</v>
      </c>
      <c r="G197" s="97">
        <v>2501</v>
      </c>
      <c r="H197" s="97">
        <v>10885</v>
      </c>
      <c r="I197" s="98" t="s">
        <v>201</v>
      </c>
    </row>
    <row r="198" spans="1:9" ht="15.5" x14ac:dyDescent="0.35">
      <c r="A198" s="93">
        <v>44086</v>
      </c>
      <c r="B198" s="94">
        <v>10567</v>
      </c>
      <c r="C198" s="94">
        <v>1702</v>
      </c>
      <c r="D198" s="94">
        <f t="shared" si="0"/>
        <v>8865</v>
      </c>
      <c r="E198" s="95">
        <f t="shared" si="1"/>
        <v>0.16106747421216996</v>
      </c>
      <c r="F198" s="96">
        <v>13078</v>
      </c>
      <c r="G198" s="97">
        <v>2826</v>
      </c>
      <c r="H198" s="97">
        <v>10252</v>
      </c>
      <c r="I198" s="98" t="s">
        <v>202</v>
      </c>
    </row>
    <row r="199" spans="1:9" ht="15.5" x14ac:dyDescent="0.35">
      <c r="A199" s="93">
        <v>44087</v>
      </c>
      <c r="B199" s="94">
        <v>5085</v>
      </c>
      <c r="C199" s="94">
        <v>768</v>
      </c>
      <c r="D199" s="94">
        <f t="shared" si="0"/>
        <v>4317</v>
      </c>
      <c r="E199" s="95">
        <f t="shared" si="1"/>
        <v>0.15103244837758112</v>
      </c>
      <c r="F199" s="96">
        <v>7427</v>
      </c>
      <c r="G199" s="97">
        <v>1528</v>
      </c>
      <c r="H199" s="97">
        <v>5899</v>
      </c>
      <c r="I199" s="98" t="s">
        <v>203</v>
      </c>
    </row>
    <row r="200" spans="1:9" ht="15.5" x14ac:dyDescent="0.35">
      <c r="A200" s="93">
        <v>44088</v>
      </c>
      <c r="B200" s="94">
        <v>12510</v>
      </c>
      <c r="C200" s="94">
        <v>1263</v>
      </c>
      <c r="D200" s="94">
        <f t="shared" si="0"/>
        <v>11247</v>
      </c>
      <c r="E200" s="95">
        <f t="shared" si="1"/>
        <v>0.10095923261390888</v>
      </c>
      <c r="F200" s="96">
        <v>14901</v>
      </c>
      <c r="G200" s="97">
        <v>3021</v>
      </c>
      <c r="H200" s="97">
        <v>11880</v>
      </c>
      <c r="I200" s="98" t="s">
        <v>204</v>
      </c>
    </row>
    <row r="201" spans="1:9" ht="15.5" x14ac:dyDescent="0.35">
      <c r="A201" s="93">
        <v>44089</v>
      </c>
      <c r="B201" s="94">
        <v>8677</v>
      </c>
      <c r="C201" s="94">
        <v>1037</v>
      </c>
      <c r="D201" s="94">
        <f t="shared" si="0"/>
        <v>7640</v>
      </c>
      <c r="E201" s="95">
        <f t="shared" si="1"/>
        <v>0.11951135184971765</v>
      </c>
      <c r="F201" s="96">
        <v>11472</v>
      </c>
      <c r="G201" s="97">
        <v>2074</v>
      </c>
      <c r="H201" s="97">
        <v>9398</v>
      </c>
      <c r="I201" s="98" t="s">
        <v>195</v>
      </c>
    </row>
    <row r="202" spans="1:9" ht="15.5" x14ac:dyDescent="0.35">
      <c r="A202" s="93">
        <v>44090</v>
      </c>
      <c r="B202" s="94">
        <v>13090</v>
      </c>
      <c r="C202" s="94">
        <v>1048</v>
      </c>
      <c r="D202" s="94">
        <f t="shared" si="0"/>
        <v>12042</v>
      </c>
      <c r="E202" s="95">
        <f t="shared" si="1"/>
        <v>8.0061115355232998E-2</v>
      </c>
      <c r="F202" s="96">
        <v>15747</v>
      </c>
      <c r="G202" s="97">
        <v>3215</v>
      </c>
      <c r="H202" s="97">
        <v>12532</v>
      </c>
      <c r="I202" s="98" t="s">
        <v>205</v>
      </c>
    </row>
    <row r="203" spans="1:9" ht="15.5" x14ac:dyDescent="0.35">
      <c r="A203" s="93">
        <v>44091</v>
      </c>
      <c r="B203" s="94">
        <v>13012</v>
      </c>
      <c r="C203" s="94">
        <v>1403</v>
      </c>
      <c r="D203" s="94">
        <f t="shared" si="0"/>
        <v>11609</v>
      </c>
      <c r="E203" s="95">
        <f t="shared" si="1"/>
        <v>0.10782354749462035</v>
      </c>
      <c r="F203" s="96">
        <v>15665</v>
      </c>
      <c r="G203" s="97">
        <v>2699</v>
      </c>
      <c r="H203" s="97">
        <v>12966</v>
      </c>
      <c r="I203" s="98" t="s">
        <v>206</v>
      </c>
    </row>
    <row r="204" spans="1:9" ht="15.5" x14ac:dyDescent="0.35">
      <c r="A204" s="93">
        <v>44092</v>
      </c>
      <c r="B204" s="94">
        <v>13890</v>
      </c>
      <c r="C204" s="94">
        <v>1166</v>
      </c>
      <c r="D204" s="94">
        <f t="shared" si="0"/>
        <v>12724</v>
      </c>
      <c r="E204" s="95">
        <f t="shared" si="1"/>
        <v>8.3945284377249824E-2</v>
      </c>
      <c r="F204" s="96">
        <v>16387</v>
      </c>
      <c r="G204" s="97">
        <v>2842</v>
      </c>
      <c r="H204" s="97">
        <v>13545</v>
      </c>
      <c r="I204" s="98" t="s">
        <v>207</v>
      </c>
    </row>
    <row r="205" spans="1:9" ht="15.5" x14ac:dyDescent="0.35">
      <c r="A205" s="93">
        <v>44093</v>
      </c>
      <c r="B205" s="94">
        <v>11118</v>
      </c>
      <c r="C205" s="94">
        <v>1177</v>
      </c>
      <c r="D205" s="94">
        <f t="shared" si="0"/>
        <v>9941</v>
      </c>
      <c r="E205" s="95">
        <f t="shared" si="1"/>
        <v>0.10586436409426156</v>
      </c>
      <c r="F205" s="96">
        <v>14296</v>
      </c>
      <c r="G205" s="97">
        <v>2878</v>
      </c>
      <c r="H205" s="97">
        <v>11418</v>
      </c>
      <c r="I205" s="98" t="s">
        <v>208</v>
      </c>
    </row>
    <row r="206" spans="1:9" ht="15.5" x14ac:dyDescent="0.35">
      <c r="A206" s="93">
        <v>44094</v>
      </c>
      <c r="B206" s="94">
        <v>6818</v>
      </c>
      <c r="C206" s="94">
        <v>929</v>
      </c>
      <c r="D206" s="94">
        <f t="shared" si="0"/>
        <v>5889</v>
      </c>
      <c r="E206" s="95">
        <f t="shared" si="1"/>
        <v>0.1362569668524494</v>
      </c>
      <c r="F206" s="96">
        <v>8583</v>
      </c>
      <c r="G206" s="97">
        <v>1824</v>
      </c>
      <c r="H206" s="97">
        <v>6759</v>
      </c>
      <c r="I206" s="98" t="s">
        <v>209</v>
      </c>
    </row>
    <row r="207" spans="1:9" ht="15.5" x14ac:dyDescent="0.35">
      <c r="A207" s="93">
        <v>44095</v>
      </c>
      <c r="B207" s="94">
        <v>14050</v>
      </c>
      <c r="C207" s="94">
        <v>1265</v>
      </c>
      <c r="D207" s="94">
        <f t="shared" si="0"/>
        <v>12785</v>
      </c>
      <c r="E207" s="95">
        <f t="shared" si="1"/>
        <v>9.0035587188612098E-2</v>
      </c>
      <c r="F207" s="96">
        <v>17814</v>
      </c>
      <c r="G207" s="97">
        <v>3127</v>
      </c>
      <c r="H207" s="97">
        <v>14687</v>
      </c>
      <c r="I207" s="98" t="s">
        <v>198</v>
      </c>
    </row>
    <row r="208" spans="1:9" ht="15.5" x14ac:dyDescent="0.35">
      <c r="A208" s="93">
        <v>44096</v>
      </c>
      <c r="B208" s="94">
        <v>12368</v>
      </c>
      <c r="C208" s="94">
        <v>1187</v>
      </c>
      <c r="D208" s="94">
        <f t="shared" si="0"/>
        <v>11181</v>
      </c>
      <c r="E208" s="95">
        <f t="shared" si="1"/>
        <v>9.5973479948253559E-2</v>
      </c>
      <c r="F208" s="96">
        <v>14999</v>
      </c>
      <c r="G208" s="97">
        <v>2424</v>
      </c>
      <c r="H208" s="97">
        <v>12575</v>
      </c>
      <c r="I208" s="98" t="s">
        <v>210</v>
      </c>
    </row>
    <row r="209" spans="1:9" ht="15.5" x14ac:dyDescent="0.35">
      <c r="A209" s="93">
        <v>44097</v>
      </c>
      <c r="B209" s="94">
        <v>12446</v>
      </c>
      <c r="C209" s="94">
        <v>937</v>
      </c>
      <c r="D209" s="94">
        <f t="shared" si="0"/>
        <v>11509</v>
      </c>
      <c r="E209" s="95">
        <f t="shared" si="1"/>
        <v>7.5285232203117461E-2</v>
      </c>
      <c r="F209" s="96">
        <v>15558</v>
      </c>
      <c r="G209" s="97">
        <v>2754</v>
      </c>
      <c r="H209" s="97">
        <v>12804</v>
      </c>
      <c r="I209" s="98" t="s">
        <v>211</v>
      </c>
    </row>
    <row r="210" spans="1:9" ht="15.5" x14ac:dyDescent="0.35">
      <c r="A210" s="93">
        <v>44098</v>
      </c>
      <c r="B210" s="94">
        <v>14461</v>
      </c>
      <c r="C210" s="94">
        <v>1199</v>
      </c>
      <c r="D210" s="94">
        <f t="shared" si="0"/>
        <v>13262</v>
      </c>
      <c r="E210" s="95">
        <f t="shared" si="1"/>
        <v>8.2912661641656865E-2</v>
      </c>
      <c r="F210" s="96">
        <v>17423</v>
      </c>
      <c r="G210" s="97">
        <v>2801</v>
      </c>
      <c r="H210" s="97">
        <v>14622</v>
      </c>
      <c r="I210" s="98" t="s">
        <v>212</v>
      </c>
    </row>
    <row r="211" spans="1:9" ht="15.5" x14ac:dyDescent="0.35">
      <c r="A211" s="93">
        <v>44099</v>
      </c>
      <c r="B211" s="94">
        <v>13100</v>
      </c>
      <c r="C211" s="94">
        <v>1253</v>
      </c>
      <c r="D211" s="94">
        <f t="shared" si="0"/>
        <v>11847</v>
      </c>
      <c r="E211" s="95">
        <f t="shared" si="1"/>
        <v>9.5648854961832064E-2</v>
      </c>
      <c r="F211" s="96">
        <v>16250</v>
      </c>
      <c r="G211" s="97">
        <v>2814</v>
      </c>
      <c r="H211" s="97">
        <v>13436</v>
      </c>
      <c r="I211" s="98" t="s">
        <v>207</v>
      </c>
    </row>
    <row r="212" spans="1:9" ht="15.5" x14ac:dyDescent="0.35">
      <c r="A212" s="93">
        <v>44100</v>
      </c>
      <c r="B212" s="94">
        <v>12736</v>
      </c>
      <c r="C212" s="94">
        <v>1305</v>
      </c>
      <c r="D212" s="94">
        <f t="shared" si="0"/>
        <v>11431</v>
      </c>
      <c r="E212" s="95">
        <f t="shared" si="1"/>
        <v>0.10246545226130653</v>
      </c>
      <c r="F212" s="96">
        <v>15920</v>
      </c>
      <c r="G212" s="97">
        <v>2653</v>
      </c>
      <c r="H212" s="97">
        <v>13267</v>
      </c>
      <c r="I212" s="98" t="s">
        <v>190</v>
      </c>
    </row>
    <row r="213" spans="1:9" ht="15.5" x14ac:dyDescent="0.35">
      <c r="A213" s="93">
        <v>44101</v>
      </c>
      <c r="B213" s="94">
        <v>6127</v>
      </c>
      <c r="C213" s="94">
        <v>807</v>
      </c>
      <c r="D213" s="94">
        <f t="shared" si="0"/>
        <v>5320</v>
      </c>
      <c r="E213" s="95">
        <f t="shared" si="1"/>
        <v>0.13171209401011916</v>
      </c>
      <c r="F213" s="96">
        <v>9014</v>
      </c>
      <c r="G213" s="97">
        <v>1724</v>
      </c>
      <c r="H213" s="97">
        <v>7290</v>
      </c>
      <c r="I213" s="98" t="s">
        <v>213</v>
      </c>
    </row>
    <row r="214" spans="1:9" ht="15.5" x14ac:dyDescent="0.35">
      <c r="A214" s="93">
        <v>44102</v>
      </c>
      <c r="B214" s="94">
        <v>10211</v>
      </c>
      <c r="C214" s="94">
        <v>1204</v>
      </c>
      <c r="D214" s="94">
        <f t="shared" si="0"/>
        <v>9007</v>
      </c>
      <c r="E214" s="95">
        <f t="shared" si="1"/>
        <v>0.11791205562628537</v>
      </c>
      <c r="F214" s="96">
        <v>13092</v>
      </c>
      <c r="G214" s="97">
        <v>2157</v>
      </c>
      <c r="H214" s="97">
        <v>10935</v>
      </c>
      <c r="I214" s="98" t="s">
        <v>186</v>
      </c>
    </row>
    <row r="215" spans="1:9" ht="15.5" x14ac:dyDescent="0.35">
      <c r="A215" s="93">
        <v>44103</v>
      </c>
      <c r="B215" s="94">
        <v>13569</v>
      </c>
      <c r="C215" s="94">
        <v>1253</v>
      </c>
      <c r="D215" s="94">
        <f t="shared" si="0"/>
        <v>12316</v>
      </c>
      <c r="E215" s="95">
        <f t="shared" si="1"/>
        <v>9.2342840297737497E-2</v>
      </c>
      <c r="F215" s="96">
        <v>16962</v>
      </c>
      <c r="G215" s="97">
        <v>2658</v>
      </c>
      <c r="H215" s="97">
        <v>14304</v>
      </c>
      <c r="I215" s="98" t="s">
        <v>214</v>
      </c>
    </row>
    <row r="216" spans="1:9" ht="15.5" x14ac:dyDescent="0.35">
      <c r="A216" s="93">
        <v>44104</v>
      </c>
      <c r="B216" s="94">
        <v>11914</v>
      </c>
      <c r="C216" s="94">
        <v>1141</v>
      </c>
      <c r="D216" s="94">
        <f t="shared" si="0"/>
        <v>10773</v>
      </c>
      <c r="E216" s="95">
        <f t="shared" si="1"/>
        <v>9.5769682726204466E-2</v>
      </c>
      <c r="F216" s="96">
        <v>14893</v>
      </c>
      <c r="G216" s="97">
        <v>2607</v>
      </c>
      <c r="H216" s="97">
        <v>12286</v>
      </c>
      <c r="I216" s="98" t="s">
        <v>215</v>
      </c>
    </row>
    <row r="217" spans="1:9" ht="15.5" x14ac:dyDescent="0.35">
      <c r="A217" s="93">
        <v>44105</v>
      </c>
      <c r="B217" s="94">
        <v>10648</v>
      </c>
      <c r="C217" s="94">
        <v>1103</v>
      </c>
      <c r="D217" s="94">
        <f t="shared" si="0"/>
        <v>9545</v>
      </c>
      <c r="E217" s="95">
        <f t="shared" si="1"/>
        <v>0.10358752817430503</v>
      </c>
      <c r="F217" s="96">
        <v>13311</v>
      </c>
      <c r="G217" s="97">
        <v>2428</v>
      </c>
      <c r="H217" s="97">
        <v>10883</v>
      </c>
      <c r="I217" s="98" t="s">
        <v>216</v>
      </c>
    </row>
    <row r="218" spans="1:9" ht="15.5" x14ac:dyDescent="0.35">
      <c r="A218" s="93">
        <v>44106</v>
      </c>
      <c r="B218" s="94">
        <v>11800</v>
      </c>
      <c r="C218" s="94">
        <v>1110</v>
      </c>
      <c r="D218" s="94">
        <f t="shared" si="0"/>
        <v>10690</v>
      </c>
      <c r="E218" s="95">
        <f t="shared" si="1"/>
        <v>9.4067796610169493E-2</v>
      </c>
      <c r="F218" s="96">
        <v>14750</v>
      </c>
      <c r="G218" s="97">
        <v>2385</v>
      </c>
      <c r="H218" s="97">
        <v>12365</v>
      </c>
      <c r="I218" s="98" t="s">
        <v>210</v>
      </c>
    </row>
    <row r="219" spans="1:9" ht="15.5" x14ac:dyDescent="0.35">
      <c r="A219" s="93">
        <v>44107</v>
      </c>
      <c r="B219" s="94">
        <v>11265</v>
      </c>
      <c r="C219" s="94">
        <v>1141</v>
      </c>
      <c r="D219" s="94">
        <f t="shared" si="0"/>
        <v>10124</v>
      </c>
      <c r="E219" s="95">
        <f t="shared" si="1"/>
        <v>0.10128717265867732</v>
      </c>
      <c r="F219" s="96">
        <v>14082</v>
      </c>
      <c r="G219" s="97">
        <v>2562</v>
      </c>
      <c r="H219" s="97">
        <v>11520</v>
      </c>
      <c r="I219" s="98" t="s">
        <v>216</v>
      </c>
    </row>
    <row r="220" spans="1:9" ht="15.5" x14ac:dyDescent="0.35">
      <c r="A220" s="93">
        <v>44108</v>
      </c>
      <c r="B220" s="94">
        <v>5066</v>
      </c>
      <c r="C220" s="94">
        <v>696</v>
      </c>
      <c r="D220" s="94">
        <f t="shared" si="0"/>
        <v>4370</v>
      </c>
      <c r="E220" s="95">
        <f t="shared" si="1"/>
        <v>0.13738649822345045</v>
      </c>
      <c r="F220" s="96">
        <v>7514</v>
      </c>
      <c r="G220" s="97">
        <v>1505</v>
      </c>
      <c r="H220" s="97">
        <v>6009</v>
      </c>
      <c r="I220" s="98" t="s">
        <v>92</v>
      </c>
    </row>
    <row r="221" spans="1:9" ht="15.5" x14ac:dyDescent="0.35">
      <c r="A221" s="93">
        <v>44109</v>
      </c>
      <c r="B221" s="94">
        <v>10756</v>
      </c>
      <c r="C221" s="94">
        <v>1082</v>
      </c>
      <c r="D221" s="94">
        <f t="shared" si="0"/>
        <v>9674</v>
      </c>
      <c r="E221" s="95">
        <f t="shared" si="1"/>
        <v>0.10059501673484567</v>
      </c>
      <c r="F221" s="96">
        <v>13445</v>
      </c>
      <c r="G221" s="97">
        <v>2434</v>
      </c>
      <c r="H221" s="97">
        <v>11011</v>
      </c>
      <c r="I221" s="98" t="s">
        <v>195</v>
      </c>
    </row>
    <row r="222" spans="1:9" ht="15.5" x14ac:dyDescent="0.35">
      <c r="A222" s="93">
        <v>44110</v>
      </c>
      <c r="B222" s="94">
        <v>11702</v>
      </c>
      <c r="C222" s="94">
        <v>1091</v>
      </c>
      <c r="D222" s="94">
        <f t="shared" si="0"/>
        <v>10611</v>
      </c>
      <c r="E222" s="95">
        <f t="shared" si="1"/>
        <v>9.3231926166467277E-2</v>
      </c>
      <c r="F222" s="96">
        <v>14628</v>
      </c>
      <c r="G222" s="97">
        <v>2526</v>
      </c>
      <c r="H222" s="97">
        <v>12102</v>
      </c>
      <c r="I222" s="98" t="s">
        <v>207</v>
      </c>
    </row>
    <row r="223" spans="1:9" ht="15.5" x14ac:dyDescent="0.35">
      <c r="A223" s="93">
        <v>44111</v>
      </c>
      <c r="B223" s="94">
        <v>12335</v>
      </c>
      <c r="C223" s="94">
        <v>1140</v>
      </c>
      <c r="D223" s="94">
        <f t="shared" si="0"/>
        <v>11195</v>
      </c>
      <c r="E223" s="95">
        <f t="shared" si="1"/>
        <v>9.2419943250912046E-2</v>
      </c>
      <c r="F223" s="96">
        <v>15419</v>
      </c>
      <c r="G223" s="97">
        <v>2497</v>
      </c>
      <c r="H223" s="97">
        <v>12922</v>
      </c>
      <c r="I223" s="98" t="s">
        <v>210</v>
      </c>
    </row>
    <row r="224" spans="1:9" ht="15.5" x14ac:dyDescent="0.35">
      <c r="A224" s="93">
        <v>44112</v>
      </c>
      <c r="B224" s="94">
        <v>12432</v>
      </c>
      <c r="C224" s="94">
        <v>1173</v>
      </c>
      <c r="D224" s="94">
        <f t="shared" si="0"/>
        <v>11259</v>
      </c>
      <c r="E224" s="95">
        <f t="shared" si="1"/>
        <v>9.4353281853281859E-2</v>
      </c>
      <c r="F224" s="96">
        <v>15540</v>
      </c>
      <c r="G224" s="97">
        <v>2154</v>
      </c>
      <c r="H224" s="97">
        <v>13386</v>
      </c>
      <c r="I224" s="98" t="s">
        <v>178</v>
      </c>
    </row>
    <row r="225" spans="1:9" ht="15.5" x14ac:dyDescent="0.35">
      <c r="A225" s="93">
        <v>44113</v>
      </c>
      <c r="B225" s="94">
        <v>12421</v>
      </c>
      <c r="C225" s="94">
        <v>1103</v>
      </c>
      <c r="D225" s="94">
        <f t="shared" si="0"/>
        <v>11318</v>
      </c>
      <c r="E225" s="95">
        <f t="shared" si="1"/>
        <v>8.8801223733998874E-2</v>
      </c>
      <c r="F225" s="96">
        <v>15148</v>
      </c>
      <c r="G225" s="97">
        <v>2466</v>
      </c>
      <c r="H225" s="97">
        <v>12682</v>
      </c>
      <c r="I225" s="98" t="s">
        <v>192</v>
      </c>
    </row>
    <row r="226" spans="1:9" ht="15.5" x14ac:dyDescent="0.35">
      <c r="A226" s="93">
        <v>44114</v>
      </c>
      <c r="B226" s="94">
        <v>10074</v>
      </c>
      <c r="C226" s="94">
        <v>1117</v>
      </c>
      <c r="D226" s="94">
        <f t="shared" si="0"/>
        <v>8957</v>
      </c>
      <c r="E226" s="95">
        <f t="shared" si="1"/>
        <v>0.11087949176096883</v>
      </c>
      <c r="F226" s="96">
        <v>13636</v>
      </c>
      <c r="G226" s="97">
        <v>1981</v>
      </c>
      <c r="H226" s="97">
        <v>11655</v>
      </c>
      <c r="I226" s="98" t="s">
        <v>217</v>
      </c>
    </row>
    <row r="227" spans="1:9" ht="15.5" x14ac:dyDescent="0.35">
      <c r="A227" s="93">
        <v>44115</v>
      </c>
      <c r="B227" s="94">
        <v>7834</v>
      </c>
      <c r="C227" s="94">
        <v>893</v>
      </c>
      <c r="D227" s="94">
        <f t="shared" si="0"/>
        <v>6941</v>
      </c>
      <c r="E227" s="95">
        <f t="shared" si="1"/>
        <v>0.11399029869798315</v>
      </c>
      <c r="F227" s="96">
        <v>9759</v>
      </c>
      <c r="G227" s="97">
        <v>1572</v>
      </c>
      <c r="H227" s="97">
        <v>8187</v>
      </c>
      <c r="I227" s="98" t="s">
        <v>212</v>
      </c>
    </row>
    <row r="228" spans="1:9" ht="15.5" x14ac:dyDescent="0.35">
      <c r="A228" s="93">
        <v>44116</v>
      </c>
      <c r="B228" s="94">
        <v>14336</v>
      </c>
      <c r="C228" s="94">
        <v>1612</v>
      </c>
      <c r="D228" s="94">
        <f t="shared" si="0"/>
        <v>12724</v>
      </c>
      <c r="E228" s="95">
        <f t="shared" si="1"/>
        <v>0.11244419642857142</v>
      </c>
      <c r="F228" s="96">
        <v>17483</v>
      </c>
      <c r="G228" s="97">
        <v>2899</v>
      </c>
      <c r="H228" s="97">
        <v>14584</v>
      </c>
      <c r="I228" s="98" t="s">
        <v>218</v>
      </c>
    </row>
    <row r="229" spans="1:9" ht="15.5" x14ac:dyDescent="0.35">
      <c r="A229" s="93">
        <v>44117</v>
      </c>
      <c r="B229" s="94">
        <v>12339</v>
      </c>
      <c r="C229" s="94">
        <v>1270</v>
      </c>
      <c r="D229" s="94">
        <f t="shared" si="0"/>
        <v>11069</v>
      </c>
      <c r="E229" s="95">
        <f t="shared" si="1"/>
        <v>0.10292568279439177</v>
      </c>
      <c r="F229" s="96">
        <v>15499</v>
      </c>
      <c r="G229" s="97">
        <v>2378</v>
      </c>
      <c r="H229" s="97">
        <v>13121</v>
      </c>
      <c r="I229" s="98" t="s">
        <v>185</v>
      </c>
    </row>
    <row r="230" spans="1:9" ht="15.5" x14ac:dyDescent="0.35">
      <c r="A230" s="93">
        <v>44118</v>
      </c>
      <c r="B230" s="94">
        <v>13165</v>
      </c>
      <c r="C230" s="94">
        <v>1324</v>
      </c>
      <c r="D230" s="94">
        <f t="shared" si="0"/>
        <v>11841</v>
      </c>
      <c r="E230" s="95">
        <f t="shared" si="1"/>
        <v>0.10056969236612229</v>
      </c>
      <c r="F230" s="96">
        <v>16056</v>
      </c>
      <c r="G230" s="97">
        <v>2476</v>
      </c>
      <c r="H230" s="97">
        <v>13580</v>
      </c>
      <c r="I230" s="98" t="s">
        <v>219</v>
      </c>
    </row>
    <row r="231" spans="1:9" ht="15.5" x14ac:dyDescent="0.35">
      <c r="A231" s="93">
        <v>44119</v>
      </c>
      <c r="B231" s="94">
        <v>12158</v>
      </c>
      <c r="C231" s="94">
        <v>1101</v>
      </c>
      <c r="D231" s="94">
        <f t="shared" si="0"/>
        <v>11057</v>
      </c>
      <c r="E231" s="95">
        <f t="shared" si="1"/>
        <v>9.0557657509458794E-2</v>
      </c>
      <c r="F231" s="96">
        <v>15114</v>
      </c>
      <c r="G231" s="97">
        <v>2475</v>
      </c>
      <c r="H231" s="97">
        <v>12639</v>
      </c>
      <c r="I231" s="98" t="s">
        <v>199</v>
      </c>
    </row>
    <row r="232" spans="1:9" ht="15.5" x14ac:dyDescent="0.35">
      <c r="A232" s="93">
        <v>44120</v>
      </c>
      <c r="B232" s="94">
        <v>9877</v>
      </c>
      <c r="C232" s="94">
        <v>951</v>
      </c>
      <c r="D232" s="94">
        <f t="shared" si="0"/>
        <v>8926</v>
      </c>
      <c r="E232" s="95">
        <f t="shared" si="1"/>
        <v>9.6284296851270629E-2</v>
      </c>
      <c r="F232" s="96">
        <v>12663</v>
      </c>
      <c r="G232" s="97">
        <v>1879</v>
      </c>
      <c r="H232" s="97">
        <v>10784</v>
      </c>
      <c r="I232" s="98" t="s">
        <v>220</v>
      </c>
    </row>
    <row r="233" spans="1:9" ht="15.5" x14ac:dyDescent="0.35">
      <c r="A233" s="93">
        <v>44121</v>
      </c>
      <c r="B233" s="94">
        <v>8767</v>
      </c>
      <c r="C233" s="94">
        <v>913</v>
      </c>
      <c r="D233" s="94">
        <f t="shared" si="0"/>
        <v>7854</v>
      </c>
      <c r="E233" s="95">
        <f t="shared" si="1"/>
        <v>0.10414052697616061</v>
      </c>
      <c r="F233" s="96">
        <v>11240</v>
      </c>
      <c r="G233" s="97">
        <v>1952</v>
      </c>
      <c r="H233" s="97">
        <v>9288</v>
      </c>
      <c r="I233" s="98" t="s">
        <v>221</v>
      </c>
    </row>
    <row r="234" spans="1:9" ht="15.5" x14ac:dyDescent="0.35">
      <c r="A234" s="93">
        <v>44122</v>
      </c>
      <c r="B234" s="94">
        <v>5785</v>
      </c>
      <c r="C234" s="94">
        <v>667</v>
      </c>
      <c r="D234" s="94">
        <f t="shared" si="0"/>
        <v>5118</v>
      </c>
      <c r="E234" s="95">
        <f t="shared" si="1"/>
        <v>0.1152981849611063</v>
      </c>
      <c r="F234" s="96">
        <v>6963</v>
      </c>
      <c r="G234" s="97">
        <v>979</v>
      </c>
      <c r="H234" s="97">
        <v>5984</v>
      </c>
      <c r="I234" s="98" t="s">
        <v>183</v>
      </c>
    </row>
    <row r="235" spans="1:9" ht="15.5" x14ac:dyDescent="0.35">
      <c r="A235" s="93">
        <v>44123</v>
      </c>
      <c r="B235" s="94">
        <v>10070</v>
      </c>
      <c r="C235" s="94">
        <v>899</v>
      </c>
      <c r="D235" s="94">
        <f t="shared" si="0"/>
        <v>9171</v>
      </c>
      <c r="E235" s="95">
        <f t="shared" si="1"/>
        <v>8.9275074478649449E-2</v>
      </c>
      <c r="F235" s="96">
        <v>12588</v>
      </c>
      <c r="G235" s="97">
        <v>1770</v>
      </c>
      <c r="H235" s="97">
        <v>10818</v>
      </c>
      <c r="I235" s="98" t="s">
        <v>183</v>
      </c>
    </row>
    <row r="236" spans="1:9" ht="15.5" x14ac:dyDescent="0.35">
      <c r="A236" s="93">
        <v>44124</v>
      </c>
      <c r="B236" s="94">
        <v>10412</v>
      </c>
      <c r="C236" s="94">
        <v>1002</v>
      </c>
      <c r="D236" s="94">
        <f t="shared" si="0"/>
        <v>9410</v>
      </c>
      <c r="E236" s="95">
        <f t="shared" si="1"/>
        <v>9.6235113330772185E-2</v>
      </c>
      <c r="F236" s="96">
        <v>13016</v>
      </c>
      <c r="G236" s="97">
        <v>2008</v>
      </c>
      <c r="H236" s="97">
        <v>11008</v>
      </c>
      <c r="I236" s="98" t="s">
        <v>219</v>
      </c>
    </row>
    <row r="237" spans="1:9" ht="15.5" x14ac:dyDescent="0.35">
      <c r="A237" s="93">
        <v>44125</v>
      </c>
      <c r="B237" s="94">
        <v>12520</v>
      </c>
      <c r="C237" s="94">
        <v>1094</v>
      </c>
      <c r="D237" s="94">
        <f t="shared" si="0"/>
        <v>11426</v>
      </c>
      <c r="E237" s="95">
        <f t="shared" si="1"/>
        <v>8.738019169329074E-2</v>
      </c>
      <c r="F237" s="96">
        <v>15651</v>
      </c>
      <c r="G237" s="97">
        <v>2069</v>
      </c>
      <c r="H237" s="97">
        <v>13582</v>
      </c>
      <c r="I237" s="98" t="s">
        <v>130</v>
      </c>
    </row>
    <row r="238" spans="1:9" ht="15.5" x14ac:dyDescent="0.35">
      <c r="A238" s="93">
        <v>44126</v>
      </c>
      <c r="B238" s="94">
        <v>10631</v>
      </c>
      <c r="C238" s="94">
        <v>937</v>
      </c>
      <c r="D238" s="94">
        <f t="shared" si="0"/>
        <v>9694</v>
      </c>
      <c r="E238" s="95">
        <f t="shared" si="1"/>
        <v>8.8138462985608124E-2</v>
      </c>
      <c r="F238" s="96">
        <v>13289</v>
      </c>
      <c r="G238" s="97">
        <v>1825</v>
      </c>
      <c r="H238" s="97">
        <v>11464</v>
      </c>
      <c r="I238" s="98" t="s">
        <v>222</v>
      </c>
    </row>
    <row r="239" spans="1:9" ht="15.5" x14ac:dyDescent="0.35">
      <c r="A239" s="93">
        <v>44127</v>
      </c>
      <c r="B239" s="94">
        <v>10377</v>
      </c>
      <c r="C239" s="94">
        <v>877</v>
      </c>
      <c r="D239" s="94">
        <f t="shared" si="0"/>
        <v>9500</v>
      </c>
      <c r="E239" s="95">
        <f t="shared" si="1"/>
        <v>8.4513828659535509E-2</v>
      </c>
      <c r="F239" s="96">
        <v>12766</v>
      </c>
      <c r="G239" s="97">
        <v>1941</v>
      </c>
      <c r="H239" s="97">
        <v>10825</v>
      </c>
      <c r="I239" s="98" t="s">
        <v>184</v>
      </c>
    </row>
    <row r="240" spans="1:9" ht="15.5" x14ac:dyDescent="0.35">
      <c r="A240" s="93">
        <v>44128</v>
      </c>
      <c r="B240" s="94">
        <v>11012</v>
      </c>
      <c r="C240" s="94">
        <v>1005</v>
      </c>
      <c r="D240" s="94">
        <f t="shared" si="0"/>
        <v>10007</v>
      </c>
      <c r="E240" s="95">
        <f t="shared" si="1"/>
        <v>9.1264075553941157E-2</v>
      </c>
      <c r="F240" s="96">
        <v>13192</v>
      </c>
      <c r="G240" s="97">
        <v>1971</v>
      </c>
      <c r="H240" s="97">
        <v>11221</v>
      </c>
      <c r="I240" s="98" t="s">
        <v>110</v>
      </c>
    </row>
    <row r="241" spans="1:9" ht="15.5" x14ac:dyDescent="0.35">
      <c r="A241" s="93">
        <v>44129</v>
      </c>
      <c r="B241" s="94">
        <v>4701</v>
      </c>
      <c r="C241" s="94">
        <v>550</v>
      </c>
      <c r="D241" s="94">
        <f t="shared" si="0"/>
        <v>4151</v>
      </c>
      <c r="E241" s="95">
        <f t="shared" si="1"/>
        <v>0.1169963837481387</v>
      </c>
      <c r="F241" s="96">
        <v>5692</v>
      </c>
      <c r="G241" s="97">
        <v>967</v>
      </c>
      <c r="H241" s="97">
        <v>4725</v>
      </c>
      <c r="I241" s="98" t="s">
        <v>223</v>
      </c>
    </row>
    <row r="242" spans="1:9" ht="15.5" x14ac:dyDescent="0.35">
      <c r="A242" s="93">
        <v>44130</v>
      </c>
      <c r="B242" s="94">
        <v>10221</v>
      </c>
      <c r="C242" s="94">
        <v>842</v>
      </c>
      <c r="D242" s="94">
        <f t="shared" si="0"/>
        <v>9379</v>
      </c>
      <c r="E242" s="95">
        <f t="shared" si="1"/>
        <v>8.2379414930045983E-2</v>
      </c>
      <c r="F242" s="96">
        <v>12277</v>
      </c>
      <c r="G242" s="97">
        <v>1620</v>
      </c>
      <c r="H242" s="97">
        <v>10657</v>
      </c>
      <c r="I242" s="98" t="s">
        <v>130</v>
      </c>
    </row>
    <row r="243" spans="1:9" ht="15.5" x14ac:dyDescent="0.35">
      <c r="A243" s="93">
        <v>44131</v>
      </c>
      <c r="B243" s="94">
        <v>13815</v>
      </c>
      <c r="C243" s="94">
        <v>981</v>
      </c>
      <c r="D243" s="94">
        <f t="shared" si="0"/>
        <v>12834</v>
      </c>
      <c r="E243" s="95">
        <f t="shared" si="1"/>
        <v>7.1009771986970685E-2</v>
      </c>
      <c r="F243" s="96">
        <v>15433</v>
      </c>
      <c r="G243" s="97">
        <v>2064</v>
      </c>
      <c r="H243" s="97">
        <v>13369</v>
      </c>
      <c r="I243" s="98" t="s">
        <v>179</v>
      </c>
    </row>
    <row r="244" spans="1:9" ht="15.5" x14ac:dyDescent="0.35">
      <c r="A244" s="93">
        <v>44132</v>
      </c>
      <c r="B244" s="94">
        <v>10021</v>
      </c>
      <c r="C244" s="94">
        <v>803</v>
      </c>
      <c r="D244" s="94">
        <f t="shared" si="0"/>
        <v>9218</v>
      </c>
      <c r="E244" s="95">
        <f t="shared" si="1"/>
        <v>8.0131723380900105E-2</v>
      </c>
      <c r="F244" s="96">
        <v>12228</v>
      </c>
      <c r="G244" s="97">
        <v>1851</v>
      </c>
      <c r="H244" s="97">
        <v>10377</v>
      </c>
      <c r="I244" s="98" t="s">
        <v>191</v>
      </c>
    </row>
    <row r="245" spans="1:9" ht="15.5" x14ac:dyDescent="0.35">
      <c r="A245" s="93">
        <v>44133</v>
      </c>
      <c r="B245" s="94">
        <v>4932</v>
      </c>
      <c r="C245" s="94">
        <v>604</v>
      </c>
      <c r="D245" s="94">
        <f t="shared" si="0"/>
        <v>4328</v>
      </c>
      <c r="E245" s="95">
        <f t="shared" si="1"/>
        <v>0.12246553122465531</v>
      </c>
      <c r="F245" s="96">
        <v>6255</v>
      </c>
      <c r="G245" s="97">
        <v>1072</v>
      </c>
      <c r="H245" s="97">
        <v>5183</v>
      </c>
      <c r="I245" s="98" t="s">
        <v>224</v>
      </c>
    </row>
    <row r="246" spans="1:9" ht="15.5" x14ac:dyDescent="0.35">
      <c r="A246" s="93">
        <v>44134</v>
      </c>
      <c r="B246" s="94">
        <v>8870</v>
      </c>
      <c r="C246" s="94">
        <v>665</v>
      </c>
      <c r="D246" s="94">
        <f t="shared" si="0"/>
        <v>8205</v>
      </c>
      <c r="E246" s="95">
        <f t="shared" si="1"/>
        <v>7.4971815107102588E-2</v>
      </c>
      <c r="F246" s="96">
        <v>10395</v>
      </c>
      <c r="G246" s="97">
        <v>1683</v>
      </c>
      <c r="H246" s="97">
        <v>8712</v>
      </c>
      <c r="I246" s="98" t="s">
        <v>210</v>
      </c>
    </row>
    <row r="247" spans="1:9" ht="15.5" x14ac:dyDescent="0.35">
      <c r="A247" s="93">
        <v>44135</v>
      </c>
      <c r="B247" s="94">
        <v>7328</v>
      </c>
      <c r="C247" s="94">
        <v>668</v>
      </c>
      <c r="D247" s="94">
        <f t="shared" si="0"/>
        <v>6660</v>
      </c>
      <c r="E247" s="95">
        <f t="shared" si="1"/>
        <v>9.1157205240174677E-2</v>
      </c>
      <c r="F247" s="96">
        <v>9414</v>
      </c>
      <c r="G247" s="97">
        <v>1561</v>
      </c>
      <c r="H247" s="97">
        <v>7853</v>
      </c>
      <c r="I247" s="98" t="s">
        <v>218</v>
      </c>
    </row>
    <row r="248" spans="1:9" ht="15.5" x14ac:dyDescent="0.35">
      <c r="A248" s="93">
        <v>44136</v>
      </c>
      <c r="B248" s="94">
        <v>4199</v>
      </c>
      <c r="C248" s="94">
        <v>620</v>
      </c>
      <c r="D248" s="94">
        <f t="shared" si="0"/>
        <v>3579</v>
      </c>
      <c r="E248" s="95">
        <f t="shared" si="1"/>
        <v>0.14765420338175755</v>
      </c>
      <c r="F248" s="96">
        <v>6055</v>
      </c>
      <c r="G248" s="97">
        <v>905</v>
      </c>
      <c r="H248" s="97">
        <v>5150</v>
      </c>
      <c r="I248" s="98" t="s">
        <v>110</v>
      </c>
    </row>
    <row r="249" spans="1:9" ht="15.5" x14ac:dyDescent="0.35">
      <c r="A249" s="93">
        <v>44137</v>
      </c>
      <c r="B249" s="94">
        <v>8215</v>
      </c>
      <c r="C249" s="94">
        <v>782</v>
      </c>
      <c r="D249" s="94">
        <f t="shared" si="0"/>
        <v>7433</v>
      </c>
      <c r="E249" s="95">
        <f t="shared" si="1"/>
        <v>9.5191722458916619E-2</v>
      </c>
      <c r="F249" s="96">
        <v>11107</v>
      </c>
      <c r="G249" s="97">
        <v>1398</v>
      </c>
      <c r="H249" s="97">
        <v>9709</v>
      </c>
      <c r="I249" s="98" t="s">
        <v>225</v>
      </c>
    </row>
    <row r="250" spans="1:9" ht="15.5" x14ac:dyDescent="0.35">
      <c r="A250" s="93">
        <v>44138</v>
      </c>
      <c r="B250" s="94">
        <v>12127</v>
      </c>
      <c r="C250" s="94">
        <v>1096</v>
      </c>
      <c r="D250" s="94">
        <f t="shared" si="0"/>
        <v>11031</v>
      </c>
      <c r="E250" s="95">
        <f t="shared" si="1"/>
        <v>9.0376845056485522E-2</v>
      </c>
      <c r="F250" s="96">
        <v>14500</v>
      </c>
      <c r="G250" s="97">
        <v>2048</v>
      </c>
      <c r="H250" s="97">
        <v>12452</v>
      </c>
      <c r="I250" s="98" t="s">
        <v>183</v>
      </c>
    </row>
    <row r="251" spans="1:9" ht="15.5" x14ac:dyDescent="0.35">
      <c r="A251" s="93">
        <v>44139</v>
      </c>
      <c r="B251" s="94">
        <v>12245</v>
      </c>
      <c r="C251" s="94">
        <v>1205</v>
      </c>
      <c r="D251" s="94">
        <f t="shared" si="0"/>
        <v>11040</v>
      </c>
      <c r="E251" s="95">
        <f t="shared" si="1"/>
        <v>9.8407513270722738E-2</v>
      </c>
      <c r="F251" s="96">
        <v>14246</v>
      </c>
      <c r="G251" s="97">
        <v>1946</v>
      </c>
      <c r="H251" s="97">
        <v>12300</v>
      </c>
      <c r="I251" s="98" t="s">
        <v>222</v>
      </c>
    </row>
    <row r="252" spans="1:9" ht="15.5" x14ac:dyDescent="0.35">
      <c r="A252" s="93">
        <v>44140</v>
      </c>
      <c r="B252" s="94">
        <v>10271</v>
      </c>
      <c r="C252" s="94">
        <v>1096</v>
      </c>
      <c r="D252" s="94">
        <f t="shared" si="0"/>
        <v>9175</v>
      </c>
      <c r="E252" s="95">
        <f t="shared" si="1"/>
        <v>0.10670820757472495</v>
      </c>
      <c r="F252" s="96">
        <v>12261</v>
      </c>
      <c r="G252" s="97">
        <v>1568</v>
      </c>
      <c r="H252" s="97">
        <v>10693</v>
      </c>
      <c r="I252" s="98" t="s">
        <v>226</v>
      </c>
    </row>
    <row r="253" spans="1:9" ht="15.5" x14ac:dyDescent="0.35">
      <c r="A253" s="93">
        <v>44141</v>
      </c>
      <c r="B253" s="94">
        <v>11151</v>
      </c>
      <c r="C253" s="94">
        <v>1069</v>
      </c>
      <c r="D253" s="94">
        <f t="shared" si="0"/>
        <v>10082</v>
      </c>
      <c r="E253" s="95">
        <f t="shared" si="1"/>
        <v>9.5865841628553494E-2</v>
      </c>
      <c r="F253" s="96">
        <v>13591</v>
      </c>
      <c r="G253" s="97">
        <v>1747</v>
      </c>
      <c r="H253" s="97">
        <v>11844</v>
      </c>
      <c r="I253" s="98" t="s">
        <v>120</v>
      </c>
    </row>
    <row r="254" spans="1:9" ht="15.5" x14ac:dyDescent="0.35">
      <c r="A254" s="93">
        <v>44142</v>
      </c>
      <c r="B254" s="94">
        <v>10451</v>
      </c>
      <c r="C254" s="94">
        <v>988</v>
      </c>
      <c r="D254" s="94">
        <f t="shared" si="0"/>
        <v>9463</v>
      </c>
      <c r="E254" s="95">
        <f t="shared" si="1"/>
        <v>9.4536407999234517E-2</v>
      </c>
      <c r="F254" s="96">
        <v>12829</v>
      </c>
      <c r="G254" s="97">
        <v>1842</v>
      </c>
      <c r="H254" s="97">
        <v>10987</v>
      </c>
      <c r="I254" s="98" t="s">
        <v>127</v>
      </c>
    </row>
    <row r="255" spans="1:9" ht="15.5" x14ac:dyDescent="0.35">
      <c r="A255" s="93">
        <v>44143</v>
      </c>
      <c r="B255" s="94">
        <v>5312</v>
      </c>
      <c r="C255" s="94">
        <v>570</v>
      </c>
      <c r="D255" s="94">
        <f t="shared" si="0"/>
        <v>4742</v>
      </c>
      <c r="E255" s="95">
        <f t="shared" si="1"/>
        <v>0.10730421686746988</v>
      </c>
      <c r="F255" s="96">
        <v>7382</v>
      </c>
      <c r="G255" s="97">
        <v>997</v>
      </c>
      <c r="H255" s="97">
        <v>6385</v>
      </c>
      <c r="I255" s="98" t="s">
        <v>227</v>
      </c>
    </row>
    <row r="256" spans="1:9" ht="15.5" x14ac:dyDescent="0.35">
      <c r="A256" s="93">
        <v>44144</v>
      </c>
      <c r="B256" s="94">
        <v>8621</v>
      </c>
      <c r="C256" s="94">
        <v>786</v>
      </c>
      <c r="D256" s="94">
        <f t="shared" si="0"/>
        <v>7835</v>
      </c>
      <c r="E256" s="95">
        <f t="shared" si="1"/>
        <v>9.1172717782159837E-2</v>
      </c>
      <c r="F256" s="96">
        <v>10973</v>
      </c>
      <c r="G256" s="97">
        <v>1510</v>
      </c>
      <c r="H256" s="97">
        <v>9463</v>
      </c>
      <c r="I256" s="98" t="s">
        <v>228</v>
      </c>
    </row>
    <row r="257" spans="1:9" ht="15.5" x14ac:dyDescent="0.35">
      <c r="A257" s="93">
        <v>44145</v>
      </c>
      <c r="B257" s="94">
        <v>13812</v>
      </c>
      <c r="C257" s="94">
        <v>1028</v>
      </c>
      <c r="D257" s="94">
        <f t="shared" si="0"/>
        <v>12784</v>
      </c>
      <c r="E257" s="95">
        <f t="shared" si="1"/>
        <v>7.4428033593976248E-2</v>
      </c>
      <c r="F257" s="96">
        <v>15375</v>
      </c>
      <c r="G257" s="97">
        <v>2157</v>
      </c>
      <c r="H257" s="97">
        <v>13218</v>
      </c>
      <c r="I257" s="98" t="s">
        <v>124</v>
      </c>
    </row>
    <row r="258" spans="1:9" ht="15.5" x14ac:dyDescent="0.35">
      <c r="A258" s="93">
        <v>44146</v>
      </c>
      <c r="B258" s="94">
        <v>12981</v>
      </c>
      <c r="C258" s="94">
        <v>971</v>
      </c>
      <c r="D258" s="94">
        <f t="shared" si="0"/>
        <v>12010</v>
      </c>
      <c r="E258" s="95">
        <f t="shared" si="1"/>
        <v>7.4801633156151293E-2</v>
      </c>
      <c r="F258" s="96">
        <v>15081</v>
      </c>
      <c r="G258" s="97">
        <v>2296</v>
      </c>
      <c r="H258" s="97">
        <v>12785</v>
      </c>
      <c r="I258" s="98" t="s">
        <v>184</v>
      </c>
    </row>
    <row r="259" spans="1:9" ht="15.5" x14ac:dyDescent="0.35">
      <c r="A259" s="93">
        <v>44147</v>
      </c>
      <c r="B259" s="94">
        <v>13451</v>
      </c>
      <c r="C259" s="94">
        <v>1020</v>
      </c>
      <c r="D259" s="94">
        <f t="shared" si="0"/>
        <v>12431</v>
      </c>
      <c r="E259" s="95">
        <f t="shared" si="1"/>
        <v>7.5830793249572523E-2</v>
      </c>
      <c r="F259" s="96">
        <v>15842</v>
      </c>
      <c r="G259" s="97">
        <v>2291</v>
      </c>
      <c r="H259" s="97">
        <v>13551</v>
      </c>
      <c r="I259" s="98" t="s">
        <v>217</v>
      </c>
    </row>
    <row r="260" spans="1:9" ht="15.5" x14ac:dyDescent="0.35">
      <c r="A260" s="93">
        <v>44148</v>
      </c>
      <c r="B260" s="94">
        <v>10812</v>
      </c>
      <c r="C260" s="94">
        <v>987</v>
      </c>
      <c r="D260" s="94">
        <f t="shared" si="0"/>
        <v>9825</v>
      </c>
      <c r="E260" s="95">
        <f t="shared" si="1"/>
        <v>9.1287458379578246E-2</v>
      </c>
      <c r="F260" s="96">
        <v>13160</v>
      </c>
      <c r="G260" s="97">
        <v>1802</v>
      </c>
      <c r="H260" s="97">
        <v>11358</v>
      </c>
      <c r="I260" s="98" t="s">
        <v>222</v>
      </c>
    </row>
    <row r="261" spans="1:9" ht="15.5" x14ac:dyDescent="0.35">
      <c r="A261" s="93">
        <v>44149</v>
      </c>
      <c r="B261" s="94">
        <v>12651</v>
      </c>
      <c r="C261" s="94">
        <v>949</v>
      </c>
      <c r="D261" s="94">
        <f t="shared" si="0"/>
        <v>11702</v>
      </c>
      <c r="E261" s="95">
        <f t="shared" si="1"/>
        <v>7.5013832898585098E-2</v>
      </c>
      <c r="F261" s="96">
        <v>14553</v>
      </c>
      <c r="G261" s="97">
        <v>2478</v>
      </c>
      <c r="H261" s="97">
        <v>12075</v>
      </c>
      <c r="I261" s="98" t="s">
        <v>223</v>
      </c>
    </row>
    <row r="262" spans="1:9" ht="15.5" x14ac:dyDescent="0.35">
      <c r="A262" s="93">
        <v>44150</v>
      </c>
      <c r="B262" s="94">
        <v>8081</v>
      </c>
      <c r="C262" s="94">
        <v>844</v>
      </c>
      <c r="D262" s="94">
        <f t="shared" si="0"/>
        <v>7237</v>
      </c>
      <c r="E262" s="95">
        <f t="shared" si="1"/>
        <v>0.1044425194901621</v>
      </c>
      <c r="F262" s="96">
        <v>9328</v>
      </c>
      <c r="G262" s="97">
        <v>2057</v>
      </c>
      <c r="H262" s="97">
        <v>7271</v>
      </c>
      <c r="I262" s="98" t="s">
        <v>229</v>
      </c>
    </row>
    <row r="263" spans="1:9" ht="15.5" x14ac:dyDescent="0.35">
      <c r="A263" s="93">
        <v>44151</v>
      </c>
      <c r="B263" s="94">
        <v>11913</v>
      </c>
      <c r="C263" s="94">
        <v>1158</v>
      </c>
      <c r="D263" s="94">
        <f t="shared" si="0"/>
        <v>10755</v>
      </c>
      <c r="E263" s="95">
        <f t="shared" si="1"/>
        <v>9.7204734323847894E-2</v>
      </c>
      <c r="F263" s="96">
        <v>13717</v>
      </c>
      <c r="G263" s="97">
        <v>2224</v>
      </c>
      <c r="H263" s="97">
        <v>11493</v>
      </c>
      <c r="I263" s="98" t="s">
        <v>210</v>
      </c>
    </row>
    <row r="264" spans="1:9" ht="15.5" x14ac:dyDescent="0.35">
      <c r="A264" s="93">
        <v>44152</v>
      </c>
      <c r="B264" s="94">
        <v>14981</v>
      </c>
      <c r="C264" s="94">
        <v>1239</v>
      </c>
      <c r="D264" s="94">
        <f t="shared" si="0"/>
        <v>13742</v>
      </c>
      <c r="E264" s="95">
        <f t="shared" si="1"/>
        <v>8.2704759361858352E-2</v>
      </c>
      <c r="F264" s="96">
        <v>16291</v>
      </c>
      <c r="G264" s="97">
        <v>2769</v>
      </c>
      <c r="H264" s="97">
        <v>13522</v>
      </c>
      <c r="I264" s="98" t="s">
        <v>223</v>
      </c>
    </row>
    <row r="265" spans="1:9" ht="15.5" x14ac:dyDescent="0.35">
      <c r="A265" s="93">
        <v>44153</v>
      </c>
      <c r="B265" s="94">
        <v>12891</v>
      </c>
      <c r="C265" s="94">
        <v>1137</v>
      </c>
      <c r="D265" s="94">
        <f t="shared" si="0"/>
        <v>11754</v>
      </c>
      <c r="E265" s="95">
        <f t="shared" si="1"/>
        <v>8.8201070514312307E-2</v>
      </c>
      <c r="F265" s="96">
        <v>14303</v>
      </c>
      <c r="G265" s="97">
        <v>1894</v>
      </c>
      <c r="H265" s="97">
        <v>12409</v>
      </c>
      <c r="I265" s="98" t="s">
        <v>130</v>
      </c>
    </row>
    <row r="266" spans="1:9" ht="15.5" x14ac:dyDescent="0.35">
      <c r="A266" s="93">
        <v>44154</v>
      </c>
      <c r="B266" s="94">
        <v>13251</v>
      </c>
      <c r="C266" s="94">
        <v>1205</v>
      </c>
      <c r="D266" s="94">
        <f t="shared" si="0"/>
        <v>12046</v>
      </c>
      <c r="E266" s="95">
        <f t="shared" si="1"/>
        <v>9.0936533091842131E-2</v>
      </c>
      <c r="F266" s="96">
        <v>15251</v>
      </c>
      <c r="G266" s="97">
        <v>2622</v>
      </c>
      <c r="H266" s="97">
        <v>12629</v>
      </c>
      <c r="I266" s="98" t="s">
        <v>206</v>
      </c>
    </row>
    <row r="267" spans="1:9" ht="15.5" x14ac:dyDescent="0.35">
      <c r="A267" s="93">
        <v>44155</v>
      </c>
      <c r="B267" s="94">
        <v>13988</v>
      </c>
      <c r="C267" s="94">
        <v>1216</v>
      </c>
      <c r="D267" s="94">
        <f t="shared" si="0"/>
        <v>12772</v>
      </c>
      <c r="E267" s="95">
        <f t="shared" si="1"/>
        <v>8.6931655704889907E-2</v>
      </c>
      <c r="F267" s="96">
        <v>16016</v>
      </c>
      <c r="G267" s="97">
        <v>2918</v>
      </c>
      <c r="H267" s="97">
        <v>13098</v>
      </c>
      <c r="I267" s="98" t="s">
        <v>216</v>
      </c>
    </row>
    <row r="268" spans="1:9" ht="15.5" x14ac:dyDescent="0.35">
      <c r="A268" s="93">
        <v>44156</v>
      </c>
      <c r="B268" s="94">
        <v>13781</v>
      </c>
      <c r="C268" s="94">
        <v>1144</v>
      </c>
      <c r="D268" s="94">
        <f t="shared" si="0"/>
        <v>12637</v>
      </c>
      <c r="E268" s="95">
        <f t="shared" si="1"/>
        <v>8.3012843770408531E-2</v>
      </c>
      <c r="F268" s="96">
        <v>15563</v>
      </c>
      <c r="G268" s="97">
        <v>2767</v>
      </c>
      <c r="H268" s="97">
        <v>12796</v>
      </c>
      <c r="I268" s="98" t="s">
        <v>188</v>
      </c>
    </row>
    <row r="269" spans="1:9" ht="15.5" x14ac:dyDescent="0.35">
      <c r="A269" s="93">
        <v>44157</v>
      </c>
      <c r="B269" s="94">
        <v>8991</v>
      </c>
      <c r="C269" s="94">
        <v>1009</v>
      </c>
      <c r="D269" s="94">
        <f t="shared" si="0"/>
        <v>7982</v>
      </c>
      <c r="E269" s="95">
        <f t="shared" si="1"/>
        <v>0.11222333444555667</v>
      </c>
      <c r="F269" s="96">
        <v>11111</v>
      </c>
      <c r="G269" s="97">
        <v>1979</v>
      </c>
      <c r="H269" s="97">
        <v>9132</v>
      </c>
      <c r="I269" s="98" t="s">
        <v>188</v>
      </c>
    </row>
    <row r="270" spans="1:9" ht="15.5" x14ac:dyDescent="0.35">
      <c r="A270" s="93">
        <v>44158</v>
      </c>
      <c r="B270" s="94">
        <v>14101</v>
      </c>
      <c r="C270" s="94">
        <v>1202</v>
      </c>
      <c r="D270" s="94">
        <f t="shared" si="0"/>
        <v>12899</v>
      </c>
      <c r="E270" s="95">
        <f t="shared" si="1"/>
        <v>8.5242181405574075E-2</v>
      </c>
      <c r="F270" s="96">
        <v>16162</v>
      </c>
      <c r="G270" s="97">
        <v>2445</v>
      </c>
      <c r="H270" s="97">
        <v>13717</v>
      </c>
      <c r="I270" s="98" t="s">
        <v>191</v>
      </c>
    </row>
    <row r="271" spans="1:9" ht="15.5" x14ac:dyDescent="0.35">
      <c r="A271" s="93">
        <v>44159</v>
      </c>
      <c r="B271" s="94">
        <v>17871</v>
      </c>
      <c r="C271" s="94">
        <v>1291</v>
      </c>
      <c r="D271" s="94">
        <f t="shared" si="0"/>
        <v>16580</v>
      </c>
      <c r="E271" s="95">
        <f t="shared" si="1"/>
        <v>7.2239941805159191E-2</v>
      </c>
      <c r="F271" s="96">
        <v>20276</v>
      </c>
      <c r="G271" s="97">
        <v>3555</v>
      </c>
      <c r="H271" s="97">
        <v>16721</v>
      </c>
      <c r="I271" s="98" t="s">
        <v>215</v>
      </c>
    </row>
    <row r="272" spans="1:9" ht="15.5" x14ac:dyDescent="0.35">
      <c r="A272" s="93">
        <v>44160</v>
      </c>
      <c r="B272" s="94">
        <v>15381</v>
      </c>
      <c r="C272" s="94">
        <v>1124</v>
      </c>
      <c r="D272" s="94">
        <f t="shared" si="0"/>
        <v>14257</v>
      </c>
      <c r="E272" s="95">
        <f t="shared" si="1"/>
        <v>7.3077173135686888E-2</v>
      </c>
      <c r="F272" s="96">
        <v>17836</v>
      </c>
      <c r="G272" s="97">
        <v>3787</v>
      </c>
      <c r="H272" s="97">
        <v>14049</v>
      </c>
      <c r="I272" s="98" t="s">
        <v>230</v>
      </c>
    </row>
    <row r="273" spans="1:9" ht="15.5" x14ac:dyDescent="0.35">
      <c r="A273" s="93">
        <v>44161</v>
      </c>
      <c r="B273" s="94">
        <v>15821</v>
      </c>
      <c r="C273" s="94">
        <v>1285</v>
      </c>
      <c r="D273" s="94">
        <f t="shared" si="0"/>
        <v>14536</v>
      </c>
      <c r="E273" s="95">
        <f t="shared" si="1"/>
        <v>8.1221161747045065E-2</v>
      </c>
      <c r="F273" s="96">
        <v>18214</v>
      </c>
      <c r="G273" s="97">
        <v>3469</v>
      </c>
      <c r="H273" s="97">
        <v>14745</v>
      </c>
      <c r="I273" s="98" t="s">
        <v>231</v>
      </c>
    </row>
    <row r="274" spans="1:9" ht="15.5" x14ac:dyDescent="0.35">
      <c r="A274" s="93">
        <v>44162</v>
      </c>
      <c r="B274" s="94">
        <v>15122</v>
      </c>
      <c r="C274" s="94">
        <v>1320</v>
      </c>
      <c r="D274" s="94">
        <f t="shared" si="0"/>
        <v>13802</v>
      </c>
      <c r="E274" s="95">
        <f t="shared" si="1"/>
        <v>8.7290040999867743E-2</v>
      </c>
      <c r="F274" s="96">
        <v>17642</v>
      </c>
      <c r="G274" s="97">
        <v>3598</v>
      </c>
      <c r="H274" s="97">
        <v>14044</v>
      </c>
      <c r="I274" s="98" t="s">
        <v>205</v>
      </c>
    </row>
    <row r="275" spans="1:9" ht="15.5" x14ac:dyDescent="0.35">
      <c r="A275" s="93">
        <v>44163</v>
      </c>
      <c r="B275" s="94">
        <v>14412</v>
      </c>
      <c r="C275" s="94">
        <v>1140</v>
      </c>
      <c r="D275" s="94">
        <f t="shared" si="0"/>
        <v>13272</v>
      </c>
      <c r="E275" s="95">
        <f t="shared" si="1"/>
        <v>7.9100749375520404E-2</v>
      </c>
      <c r="F275" s="96">
        <v>16473</v>
      </c>
      <c r="G275" s="97">
        <v>3745</v>
      </c>
      <c r="H275" s="97">
        <v>12728</v>
      </c>
      <c r="I275" s="98" t="s">
        <v>232</v>
      </c>
    </row>
    <row r="276" spans="1:9" ht="15.5" x14ac:dyDescent="0.35">
      <c r="A276" s="93">
        <v>44164</v>
      </c>
      <c r="B276" s="94">
        <v>7983</v>
      </c>
      <c r="C276" s="94">
        <v>907</v>
      </c>
      <c r="D276" s="94">
        <f t="shared" si="0"/>
        <v>7076</v>
      </c>
      <c r="E276" s="95">
        <f t="shared" si="1"/>
        <v>0.11361643492421396</v>
      </c>
      <c r="F276" s="96">
        <v>10500</v>
      </c>
      <c r="G276" s="97">
        <v>1795</v>
      </c>
      <c r="H276" s="97">
        <v>8705</v>
      </c>
      <c r="I276" s="98" t="s">
        <v>224</v>
      </c>
    </row>
    <row r="277" spans="1:9" ht="15.5" x14ac:dyDescent="0.35">
      <c r="A277" s="93">
        <v>44165</v>
      </c>
      <c r="B277" s="94">
        <v>14812</v>
      </c>
      <c r="C277" s="94">
        <v>1218</v>
      </c>
      <c r="D277" s="94">
        <f t="shared" si="0"/>
        <v>13594</v>
      </c>
      <c r="E277" s="95">
        <f t="shared" si="1"/>
        <v>8.2230623818525514E-2</v>
      </c>
      <c r="F277" s="96">
        <v>17275</v>
      </c>
      <c r="G277" s="97">
        <v>2610</v>
      </c>
      <c r="H277" s="97">
        <v>14665</v>
      </c>
      <c r="I277" s="98" t="s">
        <v>191</v>
      </c>
    </row>
    <row r="278" spans="1:9" ht="15.5" x14ac:dyDescent="0.35">
      <c r="A278" s="93">
        <v>44166</v>
      </c>
      <c r="B278" s="94">
        <v>17812</v>
      </c>
      <c r="C278" s="94">
        <v>1248</v>
      </c>
      <c r="D278" s="94">
        <f t="shared" si="0"/>
        <v>16564</v>
      </c>
      <c r="E278" s="95">
        <f t="shared" si="1"/>
        <v>7.0065124635077469E-2</v>
      </c>
      <c r="F278" s="96">
        <v>19782</v>
      </c>
      <c r="G278" s="97">
        <v>3568</v>
      </c>
      <c r="H278" s="97">
        <v>16214</v>
      </c>
      <c r="I278" s="98" t="s">
        <v>233</v>
      </c>
    </row>
    <row r="279" spans="1:9" ht="15.5" x14ac:dyDescent="0.35">
      <c r="A279" s="93">
        <v>44167</v>
      </c>
      <c r="B279" s="94">
        <v>14211</v>
      </c>
      <c r="C279" s="94">
        <v>1303</v>
      </c>
      <c r="D279" s="94">
        <f t="shared" si="0"/>
        <v>12908</v>
      </c>
      <c r="E279" s="95">
        <f t="shared" si="1"/>
        <v>9.1689536274716765E-2</v>
      </c>
      <c r="F279" s="96">
        <v>16183</v>
      </c>
      <c r="G279" s="97">
        <v>3273</v>
      </c>
      <c r="H279" s="97">
        <v>12910</v>
      </c>
      <c r="I279" s="98" t="s">
        <v>234</v>
      </c>
    </row>
    <row r="280" spans="1:9" ht="15.5" x14ac:dyDescent="0.35">
      <c r="A280" s="93">
        <v>44168</v>
      </c>
      <c r="B280" s="94">
        <v>14671</v>
      </c>
      <c r="C280" s="94">
        <v>1232</v>
      </c>
      <c r="D280" s="94">
        <f t="shared" si="0"/>
        <v>13439</v>
      </c>
      <c r="E280" s="95">
        <f t="shared" si="1"/>
        <v>8.3975189148660617E-2</v>
      </c>
      <c r="F280" s="96">
        <v>17106</v>
      </c>
      <c r="G280" s="97">
        <v>3169</v>
      </c>
      <c r="H280" s="97">
        <v>13937</v>
      </c>
      <c r="I280" s="98" t="s">
        <v>196</v>
      </c>
    </row>
    <row r="281" spans="1:9" ht="15.5" x14ac:dyDescent="0.35">
      <c r="A281" s="93">
        <v>44169</v>
      </c>
      <c r="B281" s="94">
        <v>16534</v>
      </c>
      <c r="C281" s="94">
        <v>1510</v>
      </c>
      <c r="D281" s="94">
        <f t="shared" si="0"/>
        <v>15024</v>
      </c>
      <c r="E281" s="95">
        <f t="shared" si="1"/>
        <v>9.1326962622474903E-2</v>
      </c>
      <c r="F281" s="96">
        <v>19014</v>
      </c>
      <c r="G281" s="97">
        <v>3444</v>
      </c>
      <c r="H281" s="97">
        <v>15570</v>
      </c>
      <c r="I281" s="98" t="s">
        <v>195</v>
      </c>
    </row>
    <row r="282" spans="1:9" ht="15.5" x14ac:dyDescent="0.35">
      <c r="A282" s="93">
        <v>44170</v>
      </c>
      <c r="B282" s="94">
        <v>14671</v>
      </c>
      <c r="C282" s="94">
        <v>1168</v>
      </c>
      <c r="D282" s="94">
        <f t="shared" si="0"/>
        <v>13503</v>
      </c>
      <c r="E282" s="95">
        <f t="shared" si="1"/>
        <v>7.9612841660418515E-2</v>
      </c>
      <c r="F282" s="96">
        <v>17437</v>
      </c>
      <c r="G282" s="97">
        <v>3642</v>
      </c>
      <c r="H282" s="97">
        <v>13795</v>
      </c>
      <c r="I282" s="98" t="s">
        <v>235</v>
      </c>
    </row>
    <row r="283" spans="1:9" ht="15.5" x14ac:dyDescent="0.35">
      <c r="A283" s="93">
        <v>44171</v>
      </c>
      <c r="B283" s="94">
        <v>7812</v>
      </c>
      <c r="C283" s="94">
        <v>936</v>
      </c>
      <c r="D283" s="94">
        <f t="shared" si="0"/>
        <v>6876</v>
      </c>
      <c r="E283" s="95">
        <f t="shared" si="1"/>
        <v>0.11981566820276497</v>
      </c>
      <c r="F283" s="96">
        <v>9399</v>
      </c>
      <c r="G283" s="97">
        <v>2358</v>
      </c>
      <c r="H283" s="97">
        <v>7041</v>
      </c>
      <c r="I283" s="98" t="s">
        <v>236</v>
      </c>
    </row>
    <row r="284" spans="1:9" ht="15.5" x14ac:dyDescent="0.35">
      <c r="A284" s="93">
        <v>44172</v>
      </c>
      <c r="B284" s="94">
        <v>15711</v>
      </c>
      <c r="C284" s="94">
        <v>1254</v>
      </c>
      <c r="D284" s="94">
        <f t="shared" si="0"/>
        <v>14457</v>
      </c>
      <c r="E284" s="95">
        <f t="shared" si="1"/>
        <v>7.9816688944051944E-2</v>
      </c>
      <c r="F284" s="96">
        <v>17721</v>
      </c>
      <c r="G284" s="97">
        <v>3339</v>
      </c>
      <c r="H284" s="97">
        <v>14382</v>
      </c>
      <c r="I284" s="98" t="s">
        <v>197</v>
      </c>
    </row>
    <row r="285" spans="1:9" ht="15.5" x14ac:dyDescent="0.35">
      <c r="A285" s="93">
        <v>44173</v>
      </c>
      <c r="B285" s="94">
        <v>13678</v>
      </c>
      <c r="C285" s="94">
        <v>1352</v>
      </c>
      <c r="D285" s="94">
        <f t="shared" si="0"/>
        <v>12326</v>
      </c>
      <c r="E285" s="95">
        <f t="shared" si="1"/>
        <v>9.8844860359701706E-2</v>
      </c>
      <c r="F285" s="96">
        <v>15915</v>
      </c>
      <c r="G285" s="97">
        <v>3190</v>
      </c>
      <c r="H285" s="97">
        <v>12725</v>
      </c>
      <c r="I285" s="98" t="s">
        <v>92</v>
      </c>
    </row>
    <row r="286" spans="1:9" ht="15.5" x14ac:dyDescent="0.35">
      <c r="A286" s="93">
        <v>44174</v>
      </c>
      <c r="B286" s="94">
        <v>15061</v>
      </c>
      <c r="C286" s="94">
        <v>1180</v>
      </c>
      <c r="D286" s="94">
        <f t="shared" si="0"/>
        <v>13881</v>
      </c>
      <c r="E286" s="95">
        <f t="shared" si="1"/>
        <v>7.8348051258216589E-2</v>
      </c>
      <c r="F286" s="96">
        <v>17326</v>
      </c>
      <c r="G286" s="97">
        <v>2692</v>
      </c>
      <c r="H286" s="97">
        <v>14634</v>
      </c>
      <c r="I286" s="98" t="s">
        <v>189</v>
      </c>
    </row>
    <row r="287" spans="1:9" ht="15.5" x14ac:dyDescent="0.35">
      <c r="A287" s="93">
        <v>44175</v>
      </c>
      <c r="B287" s="94">
        <v>16712</v>
      </c>
      <c r="C287" s="94">
        <v>1447</v>
      </c>
      <c r="D287" s="94">
        <f t="shared" si="0"/>
        <v>15265</v>
      </c>
      <c r="E287" s="95">
        <f t="shared" si="1"/>
        <v>8.6584490186692203E-2</v>
      </c>
      <c r="F287" s="96">
        <v>19322</v>
      </c>
      <c r="G287" s="97">
        <v>3906</v>
      </c>
      <c r="H287" s="97">
        <v>15416</v>
      </c>
      <c r="I287" s="98" t="s">
        <v>234</v>
      </c>
    </row>
    <row r="288" spans="1:9" ht="15.5" x14ac:dyDescent="0.35">
      <c r="A288" s="93">
        <v>44176</v>
      </c>
      <c r="B288" s="94">
        <v>15921</v>
      </c>
      <c r="C288" s="94">
        <v>1346</v>
      </c>
      <c r="D288" s="94">
        <f t="shared" si="0"/>
        <v>14575</v>
      </c>
      <c r="E288" s="95">
        <f t="shared" si="1"/>
        <v>8.4542428239432199E-2</v>
      </c>
      <c r="F288" s="96">
        <v>18042</v>
      </c>
      <c r="G288" s="97">
        <v>3463</v>
      </c>
      <c r="H288" s="97">
        <v>14579</v>
      </c>
      <c r="I288" s="98" t="s">
        <v>237</v>
      </c>
    </row>
    <row r="289" spans="1:9" ht="15.5" x14ac:dyDescent="0.35">
      <c r="A289" s="93">
        <v>44177</v>
      </c>
      <c r="B289" s="94">
        <v>12321</v>
      </c>
      <c r="C289" s="94">
        <v>1443</v>
      </c>
      <c r="D289" s="94">
        <f t="shared" si="0"/>
        <v>10878</v>
      </c>
      <c r="E289" s="95">
        <f t="shared" si="1"/>
        <v>0.11711711711711711</v>
      </c>
      <c r="F289" s="96">
        <v>13779</v>
      </c>
      <c r="G289" s="97">
        <v>3152</v>
      </c>
      <c r="H289" s="97">
        <v>10627</v>
      </c>
      <c r="I289" s="98" t="s">
        <v>238</v>
      </c>
    </row>
    <row r="290" spans="1:9" ht="15.5" x14ac:dyDescent="0.35">
      <c r="A290" s="93">
        <v>44178</v>
      </c>
      <c r="B290" s="94">
        <v>7121</v>
      </c>
      <c r="C290" s="94">
        <v>1190</v>
      </c>
      <c r="D290" s="94">
        <f t="shared" si="0"/>
        <v>5931</v>
      </c>
      <c r="E290" s="95">
        <f t="shared" si="1"/>
        <v>0.16711136076393765</v>
      </c>
      <c r="F290" s="96">
        <v>9258</v>
      </c>
      <c r="G290" s="97">
        <v>2025</v>
      </c>
      <c r="H290" s="97">
        <v>7233</v>
      </c>
      <c r="I290" s="98" t="s">
        <v>239</v>
      </c>
    </row>
    <row r="291" spans="1:9" ht="15.5" x14ac:dyDescent="0.35">
      <c r="A291" s="93">
        <v>44179</v>
      </c>
      <c r="B291" s="94">
        <v>14125</v>
      </c>
      <c r="C291" s="94">
        <v>1407</v>
      </c>
      <c r="D291" s="94">
        <f t="shared" si="0"/>
        <v>12718</v>
      </c>
      <c r="E291" s="95">
        <f t="shared" si="1"/>
        <v>9.9610619469026551E-2</v>
      </c>
      <c r="F291" s="96">
        <v>16536</v>
      </c>
      <c r="G291" s="97">
        <v>3529</v>
      </c>
      <c r="H291" s="97">
        <v>13007</v>
      </c>
      <c r="I291" s="98" t="s">
        <v>209</v>
      </c>
    </row>
    <row r="292" spans="1:9" ht="15.5" x14ac:dyDescent="0.35">
      <c r="A292" s="93">
        <v>44180</v>
      </c>
      <c r="B292" s="94">
        <v>16123</v>
      </c>
      <c r="C292" s="94">
        <v>1675</v>
      </c>
      <c r="D292" s="94">
        <f t="shared" si="0"/>
        <v>14448</v>
      </c>
      <c r="E292" s="95">
        <f t="shared" si="1"/>
        <v>0.1038888544315574</v>
      </c>
      <c r="F292" s="96">
        <v>20013</v>
      </c>
      <c r="G292" s="97">
        <v>4117</v>
      </c>
      <c r="H292" s="97">
        <v>15896</v>
      </c>
      <c r="I292" s="98" t="s">
        <v>203</v>
      </c>
    </row>
    <row r="293" spans="1:9" ht="15.5" x14ac:dyDescent="0.35">
      <c r="A293" s="93">
        <v>44181</v>
      </c>
      <c r="B293" s="94">
        <v>19211</v>
      </c>
      <c r="C293" s="94">
        <v>1888</v>
      </c>
      <c r="D293" s="94">
        <f t="shared" si="0"/>
        <v>17323</v>
      </c>
      <c r="E293" s="95">
        <f t="shared" si="1"/>
        <v>9.8277028785591594E-2</v>
      </c>
      <c r="F293" s="96">
        <v>21754</v>
      </c>
      <c r="G293" s="97">
        <v>4951</v>
      </c>
      <c r="H293" s="97">
        <v>16803</v>
      </c>
      <c r="I293" s="98" t="s">
        <v>240</v>
      </c>
    </row>
    <row r="294" spans="1:9" ht="15.5" x14ac:dyDescent="0.35">
      <c r="A294" s="93">
        <v>44182</v>
      </c>
      <c r="B294" s="94">
        <v>21021</v>
      </c>
      <c r="C294" s="94">
        <v>1952</v>
      </c>
      <c r="D294" s="94">
        <f t="shared" si="0"/>
        <v>19069</v>
      </c>
      <c r="E294" s="95">
        <f t="shared" si="1"/>
        <v>9.2859521430949998E-2</v>
      </c>
      <c r="F294" s="96">
        <v>24343</v>
      </c>
      <c r="G294" s="97">
        <v>4999</v>
      </c>
      <c r="H294" s="97">
        <v>19344</v>
      </c>
      <c r="I294" s="98" t="s">
        <v>108</v>
      </c>
    </row>
    <row r="295" spans="1:9" ht="15.5" x14ac:dyDescent="0.35">
      <c r="A295" s="93">
        <v>44183</v>
      </c>
      <c r="B295" s="94">
        <v>18100</v>
      </c>
      <c r="C295" s="94">
        <v>1772</v>
      </c>
      <c r="D295" s="94">
        <f t="shared" si="0"/>
        <v>16328</v>
      </c>
      <c r="E295" s="95">
        <f t="shared" si="1"/>
        <v>9.7900552486187842E-2</v>
      </c>
      <c r="F295" s="96">
        <v>21044</v>
      </c>
      <c r="G295" s="97">
        <v>4292</v>
      </c>
      <c r="H295" s="97">
        <v>16752</v>
      </c>
      <c r="I295" s="98" t="s">
        <v>205</v>
      </c>
    </row>
    <row r="296" spans="1:9" ht="15.5" x14ac:dyDescent="0.35">
      <c r="A296" s="93">
        <v>44184</v>
      </c>
      <c r="B296" s="94">
        <v>12812</v>
      </c>
      <c r="C296" s="94">
        <v>1311</v>
      </c>
      <c r="D296" s="94">
        <f t="shared" si="0"/>
        <v>11501</v>
      </c>
      <c r="E296" s="95">
        <f t="shared" si="1"/>
        <v>0.10232594442709959</v>
      </c>
      <c r="F296" s="96">
        <v>14905</v>
      </c>
      <c r="G296" s="97">
        <v>3535</v>
      </c>
      <c r="H296" s="97">
        <v>11370</v>
      </c>
      <c r="I296" s="98" t="s">
        <v>241</v>
      </c>
    </row>
    <row r="297" spans="1:9" ht="15.5" x14ac:dyDescent="0.35">
      <c r="A297" s="93">
        <v>44185</v>
      </c>
      <c r="B297" s="94">
        <v>8314</v>
      </c>
      <c r="C297" s="94">
        <v>1151</v>
      </c>
      <c r="D297" s="94">
        <f t="shared" si="0"/>
        <v>7163</v>
      </c>
      <c r="E297" s="95">
        <f t="shared" si="1"/>
        <v>0.13844118354582632</v>
      </c>
      <c r="F297" s="96">
        <v>10298</v>
      </c>
      <c r="G297" s="97">
        <v>2265</v>
      </c>
      <c r="H297" s="97">
        <v>8033</v>
      </c>
      <c r="I297" s="98" t="s">
        <v>242</v>
      </c>
    </row>
    <row r="298" spans="1:9" ht="15.5" x14ac:dyDescent="0.35">
      <c r="A298" s="93">
        <v>44186</v>
      </c>
      <c r="B298" s="94">
        <v>17312</v>
      </c>
      <c r="C298" s="94">
        <v>2028</v>
      </c>
      <c r="D298" s="94">
        <f t="shared" si="0"/>
        <v>15284</v>
      </c>
      <c r="E298" s="95">
        <f t="shared" si="1"/>
        <v>0.1171441774491682</v>
      </c>
      <c r="F298" s="96">
        <v>19709</v>
      </c>
      <c r="G298" s="97">
        <v>4368</v>
      </c>
      <c r="H298" s="97">
        <v>15341</v>
      </c>
      <c r="I298" s="98" t="s">
        <v>243</v>
      </c>
    </row>
    <row r="299" spans="1:9" ht="15.5" x14ac:dyDescent="0.35">
      <c r="A299" s="93">
        <v>44187</v>
      </c>
      <c r="B299" s="103">
        <v>15524</v>
      </c>
      <c r="C299" s="103">
        <v>1652</v>
      </c>
      <c r="D299" s="94">
        <f t="shared" si="0"/>
        <v>13872</v>
      </c>
      <c r="E299" s="95">
        <f t="shared" si="1"/>
        <v>0.10641587219788715</v>
      </c>
      <c r="F299" s="96">
        <v>18364</v>
      </c>
      <c r="G299" s="97">
        <v>4284</v>
      </c>
      <c r="H299" s="97">
        <v>14080</v>
      </c>
      <c r="I299" s="98" t="s">
        <v>244</v>
      </c>
    </row>
    <row r="300" spans="1:9" ht="15.5" x14ac:dyDescent="0.35">
      <c r="A300" s="93">
        <v>44188</v>
      </c>
      <c r="B300" s="102">
        <v>19341</v>
      </c>
      <c r="C300" s="102">
        <v>2070</v>
      </c>
      <c r="D300" s="94">
        <f t="shared" si="0"/>
        <v>17271</v>
      </c>
      <c r="E300" s="95">
        <f t="shared" si="1"/>
        <v>0.10702652396463472</v>
      </c>
      <c r="F300" s="96">
        <v>21881</v>
      </c>
      <c r="G300" s="97">
        <v>5089</v>
      </c>
      <c r="H300" s="97">
        <v>16792</v>
      </c>
      <c r="I300" s="98" t="s">
        <v>244</v>
      </c>
    </row>
    <row r="301" spans="1:9" ht="15.5" x14ac:dyDescent="0.35">
      <c r="A301" s="93">
        <v>44189</v>
      </c>
      <c r="B301" s="94">
        <v>18471</v>
      </c>
      <c r="C301" s="94">
        <v>1899</v>
      </c>
      <c r="D301" s="94">
        <f t="shared" si="0"/>
        <v>16572</v>
      </c>
      <c r="E301" s="95">
        <f t="shared" si="1"/>
        <v>0.10280980997238916</v>
      </c>
      <c r="F301" s="96">
        <v>20883</v>
      </c>
      <c r="G301" s="97">
        <v>5119</v>
      </c>
      <c r="H301" s="97">
        <v>15764</v>
      </c>
      <c r="I301" s="98" t="s">
        <v>245</v>
      </c>
    </row>
    <row r="302" spans="1:9" ht="15.5" x14ac:dyDescent="0.35">
      <c r="A302" s="93">
        <v>44190</v>
      </c>
      <c r="B302" s="94">
        <v>10882</v>
      </c>
      <c r="C302" s="94">
        <v>1881</v>
      </c>
      <c r="D302" s="94">
        <f t="shared" si="0"/>
        <v>9001</v>
      </c>
      <c r="E302" s="95">
        <f t="shared" si="1"/>
        <v>0.17285425473258592</v>
      </c>
      <c r="F302" s="96">
        <v>12981</v>
      </c>
      <c r="G302" s="97">
        <v>3867</v>
      </c>
      <c r="H302" s="97">
        <v>9114</v>
      </c>
      <c r="I302" s="98" t="s">
        <v>246</v>
      </c>
    </row>
    <row r="303" spans="1:9" ht="15.5" x14ac:dyDescent="0.35">
      <c r="A303" s="93">
        <v>44191</v>
      </c>
      <c r="B303" s="94">
        <v>10612</v>
      </c>
      <c r="C303" s="94">
        <v>1531</v>
      </c>
      <c r="D303" s="94">
        <f t="shared" si="0"/>
        <v>9081</v>
      </c>
      <c r="E303" s="95">
        <f t="shared" si="1"/>
        <v>0.14427063701470033</v>
      </c>
      <c r="F303" s="96">
        <v>12836</v>
      </c>
      <c r="G303" s="97">
        <v>3412</v>
      </c>
      <c r="H303" s="97">
        <v>9424</v>
      </c>
      <c r="I303" s="98" t="s">
        <v>247</v>
      </c>
    </row>
    <row r="304" spans="1:9" ht="15.5" x14ac:dyDescent="0.35">
      <c r="A304" s="93">
        <v>44192</v>
      </c>
      <c r="B304" s="94">
        <v>10712</v>
      </c>
      <c r="C304" s="94">
        <v>1294</v>
      </c>
      <c r="D304" s="94">
        <f t="shared" si="0"/>
        <v>9418</v>
      </c>
      <c r="E304" s="95">
        <f t="shared" si="1"/>
        <v>0.12079910380881255</v>
      </c>
      <c r="F304" s="96">
        <v>12828</v>
      </c>
      <c r="G304" s="97">
        <v>3539</v>
      </c>
      <c r="H304" s="97">
        <v>9289</v>
      </c>
      <c r="I304" s="98" t="s">
        <v>248</v>
      </c>
    </row>
    <row r="305" spans="1:9" ht="15.5" x14ac:dyDescent="0.35">
      <c r="A305" s="93">
        <v>44193</v>
      </c>
      <c r="B305" s="94">
        <v>20216</v>
      </c>
      <c r="C305" s="94">
        <v>2181</v>
      </c>
      <c r="D305" s="94">
        <f t="shared" si="0"/>
        <v>18035</v>
      </c>
      <c r="E305" s="95">
        <f t="shared" si="1"/>
        <v>0.10788484368816779</v>
      </c>
      <c r="F305" s="96">
        <v>22711</v>
      </c>
      <c r="G305" s="97">
        <v>5842</v>
      </c>
      <c r="H305" s="97">
        <v>16869</v>
      </c>
      <c r="I305" s="98" t="s">
        <v>249</v>
      </c>
    </row>
    <row r="306" spans="1:9" ht="15.5" x14ac:dyDescent="0.35">
      <c r="A306" s="93">
        <v>44194</v>
      </c>
      <c r="B306" s="94">
        <v>20112</v>
      </c>
      <c r="C306" s="94">
        <v>2547</v>
      </c>
      <c r="D306" s="94">
        <f t="shared" si="0"/>
        <v>17565</v>
      </c>
      <c r="E306" s="95">
        <f t="shared" si="1"/>
        <v>0.12664081145584727</v>
      </c>
      <c r="F306" s="96">
        <v>23008</v>
      </c>
      <c r="G306" s="97">
        <v>6740</v>
      </c>
      <c r="H306" s="97">
        <v>16268</v>
      </c>
      <c r="I306" s="98" t="s">
        <v>250</v>
      </c>
    </row>
    <row r="307" spans="1:9" ht="15.5" x14ac:dyDescent="0.35">
      <c r="A307" s="93">
        <v>44195</v>
      </c>
      <c r="B307" s="94">
        <v>19514</v>
      </c>
      <c r="C307" s="94">
        <v>2565</v>
      </c>
      <c r="D307" s="94">
        <f t="shared" si="0"/>
        <v>16949</v>
      </c>
      <c r="E307" s="95">
        <f t="shared" si="1"/>
        <v>0.13144409142154351</v>
      </c>
      <c r="F307" s="96">
        <v>22156</v>
      </c>
      <c r="G307" s="97">
        <v>6529</v>
      </c>
      <c r="H307" s="97">
        <v>15627</v>
      </c>
      <c r="I307" s="98" t="s">
        <v>251</v>
      </c>
    </row>
    <row r="308" spans="1:9" ht="15.5" x14ac:dyDescent="0.35">
      <c r="A308" s="93">
        <v>44196</v>
      </c>
      <c r="B308" s="94">
        <v>16718</v>
      </c>
      <c r="C308" s="94">
        <v>2321</v>
      </c>
      <c r="D308" s="94">
        <f t="shared" si="0"/>
        <v>14397</v>
      </c>
      <c r="E308" s="95">
        <f t="shared" si="1"/>
        <v>0.13883239621964349</v>
      </c>
      <c r="F308" s="96">
        <v>18999</v>
      </c>
      <c r="G308" s="97">
        <v>6088</v>
      </c>
      <c r="H308" s="97">
        <v>12911</v>
      </c>
      <c r="I308" s="98" t="s">
        <v>252</v>
      </c>
    </row>
    <row r="309" spans="1:9" ht="15.5" x14ac:dyDescent="0.35">
      <c r="A309" s="93">
        <v>44197</v>
      </c>
      <c r="B309" s="94">
        <v>7812</v>
      </c>
      <c r="C309" s="94">
        <v>1281</v>
      </c>
      <c r="D309" s="94">
        <f t="shared" si="0"/>
        <v>6531</v>
      </c>
      <c r="E309" s="95">
        <f t="shared" si="1"/>
        <v>0.16397849462365591</v>
      </c>
      <c r="F309" s="96">
        <v>9703</v>
      </c>
      <c r="G309" s="97">
        <v>3273</v>
      </c>
      <c r="H309" s="97">
        <v>6430</v>
      </c>
      <c r="I309" s="98" t="s">
        <v>253</v>
      </c>
    </row>
    <row r="310" spans="1:9" ht="15.5" x14ac:dyDescent="0.35">
      <c r="A310" s="93">
        <v>44198</v>
      </c>
      <c r="B310" s="94">
        <v>12611</v>
      </c>
      <c r="C310" s="94">
        <v>1960</v>
      </c>
      <c r="D310" s="94">
        <f t="shared" si="0"/>
        <v>10651</v>
      </c>
      <c r="E310" s="95">
        <f t="shared" si="1"/>
        <v>0.15541987154071843</v>
      </c>
      <c r="F310" s="96">
        <v>15322</v>
      </c>
      <c r="G310" s="97">
        <v>5195</v>
      </c>
      <c r="H310" s="97">
        <v>10127</v>
      </c>
      <c r="I310" s="98" t="s">
        <v>254</v>
      </c>
    </row>
    <row r="311" spans="1:9" ht="15.5" x14ac:dyDescent="0.35">
      <c r="A311" s="93">
        <v>44199</v>
      </c>
      <c r="B311" s="94">
        <v>10391</v>
      </c>
      <c r="C311" s="94">
        <v>1671</v>
      </c>
      <c r="D311" s="94">
        <f t="shared" si="0"/>
        <v>8720</v>
      </c>
      <c r="E311" s="95">
        <f t="shared" si="1"/>
        <v>0.16081224136271774</v>
      </c>
      <c r="F311" s="96">
        <v>12473</v>
      </c>
      <c r="G311" s="97">
        <v>4153</v>
      </c>
      <c r="H311" s="97">
        <v>8320</v>
      </c>
      <c r="I311" s="98" t="s">
        <v>97</v>
      </c>
    </row>
    <row r="312" spans="1:9" ht="15.5" x14ac:dyDescent="0.35">
      <c r="A312" s="93">
        <v>44200</v>
      </c>
      <c r="B312" s="94">
        <v>18712</v>
      </c>
      <c r="C312" s="94">
        <v>2186</v>
      </c>
      <c r="D312" s="94">
        <f t="shared" si="0"/>
        <v>16526</v>
      </c>
      <c r="E312" s="95">
        <f t="shared" si="1"/>
        <v>0.11682342881573322</v>
      </c>
      <c r="F312" s="96">
        <v>21065</v>
      </c>
      <c r="G312" s="97">
        <v>6074</v>
      </c>
      <c r="H312" s="97">
        <v>14991</v>
      </c>
      <c r="I312" s="98" t="s">
        <v>102</v>
      </c>
    </row>
    <row r="313" spans="1:9" ht="15.5" x14ac:dyDescent="0.35">
      <c r="A313" s="93">
        <v>44201</v>
      </c>
      <c r="B313" s="94">
        <v>19123</v>
      </c>
      <c r="C313" s="94">
        <v>2420</v>
      </c>
      <c r="D313" s="94">
        <f t="shared" si="0"/>
        <v>16703</v>
      </c>
      <c r="E313" s="95">
        <f t="shared" si="1"/>
        <v>0.12654918161376352</v>
      </c>
      <c r="F313" s="96">
        <v>21799</v>
      </c>
      <c r="G313" s="97">
        <v>6628</v>
      </c>
      <c r="H313" s="97">
        <v>15171</v>
      </c>
      <c r="I313" s="98" t="s">
        <v>255</v>
      </c>
    </row>
    <row r="314" spans="1:9" ht="15.5" x14ac:dyDescent="0.35">
      <c r="A314" s="93">
        <v>44202</v>
      </c>
      <c r="B314" s="94">
        <v>22131</v>
      </c>
      <c r="C314" s="94">
        <v>2481</v>
      </c>
      <c r="D314" s="94">
        <f t="shared" si="0"/>
        <v>19650</v>
      </c>
      <c r="E314" s="95">
        <f t="shared" si="1"/>
        <v>0.11210519181238986</v>
      </c>
      <c r="F314" s="96">
        <v>24637</v>
      </c>
      <c r="G314" s="97">
        <v>7354</v>
      </c>
      <c r="H314" s="97">
        <v>17283</v>
      </c>
      <c r="I314" s="98" t="s">
        <v>246</v>
      </c>
    </row>
    <row r="315" spans="1:9" ht="15.5" x14ac:dyDescent="0.35">
      <c r="A315" s="93">
        <v>44203</v>
      </c>
      <c r="B315" s="94">
        <v>20011</v>
      </c>
      <c r="C315" s="94">
        <v>2834</v>
      </c>
      <c r="D315" s="94">
        <f t="shared" si="0"/>
        <v>17177</v>
      </c>
      <c r="E315" s="95">
        <f t="shared" si="1"/>
        <v>0.14162210784068763</v>
      </c>
      <c r="F315" s="96">
        <v>22622</v>
      </c>
      <c r="G315" s="97">
        <v>7163</v>
      </c>
      <c r="H315" s="97">
        <v>15459</v>
      </c>
      <c r="I315" s="98" t="s">
        <v>256</v>
      </c>
    </row>
    <row r="316" spans="1:9" ht="15.5" x14ac:dyDescent="0.35">
      <c r="A316" s="93">
        <v>44204</v>
      </c>
      <c r="B316" s="94">
        <v>20471</v>
      </c>
      <c r="C316" s="94">
        <v>2774</v>
      </c>
      <c r="D316" s="94">
        <f t="shared" si="0"/>
        <v>17697</v>
      </c>
      <c r="E316" s="95">
        <f t="shared" si="1"/>
        <v>0.13550876850178301</v>
      </c>
      <c r="F316" s="96">
        <v>23062</v>
      </c>
      <c r="G316" s="97">
        <v>7184</v>
      </c>
      <c r="H316" s="97">
        <v>15878</v>
      </c>
      <c r="I316" s="98" t="s">
        <v>103</v>
      </c>
    </row>
    <row r="317" spans="1:9" ht="15.5" x14ac:dyDescent="0.35">
      <c r="A317" s="93">
        <v>44205</v>
      </c>
      <c r="B317" s="94">
        <v>17512</v>
      </c>
      <c r="C317" s="94">
        <v>2892</v>
      </c>
      <c r="D317" s="94">
        <f t="shared" si="0"/>
        <v>14620</v>
      </c>
      <c r="E317" s="95">
        <f t="shared" si="1"/>
        <v>0.16514390132480586</v>
      </c>
      <c r="F317" s="96">
        <v>19890</v>
      </c>
      <c r="G317" s="97">
        <v>6416</v>
      </c>
      <c r="H317" s="97">
        <v>13474</v>
      </c>
      <c r="I317" s="98" t="s">
        <v>257</v>
      </c>
    </row>
    <row r="318" spans="1:9" ht="15.5" x14ac:dyDescent="0.35">
      <c r="A318" s="93">
        <v>44206</v>
      </c>
      <c r="B318" s="94">
        <v>10312</v>
      </c>
      <c r="C318" s="94">
        <v>2346</v>
      </c>
      <c r="D318" s="94">
        <f t="shared" si="0"/>
        <v>7966</v>
      </c>
      <c r="E318" s="95">
        <f t="shared" si="1"/>
        <v>0.22750193948797517</v>
      </c>
      <c r="F318" s="96">
        <v>12390</v>
      </c>
      <c r="G318" s="97">
        <v>4380</v>
      </c>
      <c r="H318" s="97">
        <v>8010</v>
      </c>
      <c r="I318" s="98" t="s">
        <v>258</v>
      </c>
    </row>
    <row r="319" spans="1:9" ht="15.5" x14ac:dyDescent="0.35">
      <c r="A319" s="93">
        <v>44207</v>
      </c>
      <c r="B319" s="94">
        <v>14715</v>
      </c>
      <c r="C319" s="94">
        <v>2869</v>
      </c>
      <c r="D319" s="94">
        <f t="shared" si="0"/>
        <v>11846</v>
      </c>
      <c r="E319" s="95">
        <f t="shared" si="1"/>
        <v>0.19497111790689772</v>
      </c>
      <c r="F319" s="96">
        <v>17884</v>
      </c>
      <c r="G319" s="97">
        <v>5609</v>
      </c>
      <c r="H319" s="97">
        <v>12275</v>
      </c>
      <c r="I319" s="98" t="s">
        <v>259</v>
      </c>
    </row>
    <row r="320" spans="1:9" ht="15.5" x14ac:dyDescent="0.35">
      <c r="A320" s="93">
        <v>44208</v>
      </c>
      <c r="B320" s="94">
        <v>16312</v>
      </c>
      <c r="C320" s="94">
        <v>3088</v>
      </c>
      <c r="D320" s="94">
        <f t="shared" si="0"/>
        <v>13224</v>
      </c>
      <c r="E320" s="95">
        <f t="shared" si="1"/>
        <v>0.1893084845512506</v>
      </c>
      <c r="F320" s="96">
        <v>19662</v>
      </c>
      <c r="G320" s="97">
        <v>5787</v>
      </c>
      <c r="H320" s="97">
        <v>13875</v>
      </c>
      <c r="I320" s="98" t="s">
        <v>260</v>
      </c>
    </row>
    <row r="321" spans="1:9" ht="15.5" x14ac:dyDescent="0.35">
      <c r="A321" s="93">
        <v>44209</v>
      </c>
      <c r="B321" s="94">
        <v>19121</v>
      </c>
      <c r="C321" s="94">
        <v>3214</v>
      </c>
      <c r="D321" s="94">
        <f t="shared" si="0"/>
        <v>15907</v>
      </c>
      <c r="E321" s="95">
        <f t="shared" si="1"/>
        <v>0.16808744312535956</v>
      </c>
      <c r="F321" s="96">
        <v>22305</v>
      </c>
      <c r="G321" s="97">
        <v>6839</v>
      </c>
      <c r="H321" s="97">
        <v>15466</v>
      </c>
      <c r="I321" s="98" t="s">
        <v>261</v>
      </c>
    </row>
    <row r="322" spans="1:9" ht="15.5" x14ac:dyDescent="0.35">
      <c r="A322" s="93">
        <v>44210</v>
      </c>
      <c r="B322" s="94">
        <v>20982</v>
      </c>
      <c r="C322" s="94">
        <v>2759</v>
      </c>
      <c r="D322" s="94">
        <f t="shared" si="0"/>
        <v>18223</v>
      </c>
      <c r="E322" s="95">
        <f t="shared" si="1"/>
        <v>0.1314936612334382</v>
      </c>
      <c r="F322" s="96">
        <v>23897</v>
      </c>
      <c r="G322" s="97">
        <v>8169</v>
      </c>
      <c r="H322" s="97">
        <v>15728</v>
      </c>
      <c r="I322" s="98" t="s">
        <v>94</v>
      </c>
    </row>
    <row r="323" spans="1:9" ht="15.5" x14ac:dyDescent="0.35">
      <c r="A323" s="93">
        <v>44211</v>
      </c>
      <c r="B323" s="94">
        <v>22812</v>
      </c>
      <c r="C323" s="94">
        <v>3217</v>
      </c>
      <c r="D323" s="94">
        <f t="shared" si="0"/>
        <v>19595</v>
      </c>
      <c r="E323" s="95">
        <f t="shared" si="1"/>
        <v>0.14102226898123796</v>
      </c>
      <c r="F323" s="96">
        <v>25602</v>
      </c>
      <c r="G323" s="97">
        <v>7679</v>
      </c>
      <c r="H323" s="97">
        <v>17923</v>
      </c>
      <c r="I323" s="98" t="s">
        <v>262</v>
      </c>
    </row>
    <row r="324" spans="1:9" ht="15.5" x14ac:dyDescent="0.35">
      <c r="A324" s="93">
        <v>44212</v>
      </c>
      <c r="B324" s="94">
        <v>17617</v>
      </c>
      <c r="C324" s="94">
        <v>2559</v>
      </c>
      <c r="D324" s="94">
        <f t="shared" si="0"/>
        <v>15058</v>
      </c>
      <c r="E324" s="95">
        <f t="shared" si="1"/>
        <v>0.14525742180848045</v>
      </c>
      <c r="F324" s="96">
        <v>20260</v>
      </c>
      <c r="G324" s="97">
        <v>6842</v>
      </c>
      <c r="H324" s="97">
        <v>13418</v>
      </c>
      <c r="I324" s="98" t="s">
        <v>263</v>
      </c>
    </row>
    <row r="325" spans="1:9" ht="15.5" x14ac:dyDescent="0.35">
      <c r="A325" s="93">
        <v>44213</v>
      </c>
      <c r="B325" s="94">
        <v>12813</v>
      </c>
      <c r="C325" s="94">
        <v>2361</v>
      </c>
      <c r="D325" s="94">
        <f t="shared" si="0"/>
        <v>10452</v>
      </c>
      <c r="E325" s="95">
        <f t="shared" si="1"/>
        <v>0.18426597986420043</v>
      </c>
      <c r="F325" s="96">
        <v>14991</v>
      </c>
      <c r="G325" s="97">
        <v>5254</v>
      </c>
      <c r="H325" s="97">
        <v>9737</v>
      </c>
      <c r="I325" s="98" t="s">
        <v>264</v>
      </c>
    </row>
    <row r="326" spans="1:9" ht="15.5" x14ac:dyDescent="0.35">
      <c r="A326" s="93">
        <v>44214</v>
      </c>
      <c r="B326" s="94">
        <v>20101</v>
      </c>
      <c r="C326" s="94">
        <v>2839</v>
      </c>
      <c r="D326" s="94">
        <f t="shared" si="0"/>
        <v>17262</v>
      </c>
      <c r="E326" s="95">
        <f t="shared" si="1"/>
        <v>0.14123675439032884</v>
      </c>
      <c r="F326" s="96">
        <v>23667</v>
      </c>
      <c r="G326" s="97">
        <v>7974</v>
      </c>
      <c r="H326" s="97">
        <v>15693</v>
      </c>
      <c r="I326" s="98" t="s">
        <v>253</v>
      </c>
    </row>
    <row r="327" spans="1:9" ht="15.5" x14ac:dyDescent="0.35">
      <c r="A327" s="93">
        <v>44215</v>
      </c>
      <c r="B327" s="94">
        <v>20812</v>
      </c>
      <c r="C327" s="94">
        <v>3126</v>
      </c>
      <c r="D327" s="94">
        <f t="shared" si="0"/>
        <v>17686</v>
      </c>
      <c r="E327" s="95">
        <f t="shared" si="1"/>
        <v>0.15020180665000962</v>
      </c>
      <c r="F327" s="96">
        <v>23628</v>
      </c>
      <c r="G327" s="97">
        <v>7273</v>
      </c>
      <c r="H327" s="97">
        <v>16355</v>
      </c>
      <c r="I327" s="98" t="s">
        <v>265</v>
      </c>
    </row>
    <row r="328" spans="1:9" ht="15.5" x14ac:dyDescent="0.35">
      <c r="A328" s="93">
        <v>44216</v>
      </c>
      <c r="B328" s="94">
        <v>23411</v>
      </c>
      <c r="C328" s="94">
        <v>3174</v>
      </c>
      <c r="D328" s="94">
        <f t="shared" si="0"/>
        <v>20237</v>
      </c>
      <c r="E328" s="95">
        <f t="shared" si="1"/>
        <v>0.13557729272564178</v>
      </c>
      <c r="F328" s="96">
        <v>25681</v>
      </c>
      <c r="G328" s="97">
        <v>7942</v>
      </c>
      <c r="H328" s="97">
        <v>17739</v>
      </c>
      <c r="I328" s="98" t="s">
        <v>266</v>
      </c>
    </row>
    <row r="329" spans="1:9" ht="15.5" x14ac:dyDescent="0.35">
      <c r="A329" s="93">
        <v>44217</v>
      </c>
      <c r="B329" s="94">
        <v>24312</v>
      </c>
      <c r="C329" s="94">
        <v>3719</v>
      </c>
      <c r="D329" s="94">
        <f t="shared" si="0"/>
        <v>20593</v>
      </c>
      <c r="E329" s="95">
        <f t="shared" si="1"/>
        <v>0.15296972688384336</v>
      </c>
      <c r="F329" s="96">
        <v>26971</v>
      </c>
      <c r="G329" s="97">
        <v>8889</v>
      </c>
      <c r="H329" s="97">
        <v>18082</v>
      </c>
      <c r="I329" s="98" t="s">
        <v>267</v>
      </c>
    </row>
    <row r="330" spans="1:9" ht="15.5" x14ac:dyDescent="0.35">
      <c r="A330" s="93">
        <v>44218</v>
      </c>
      <c r="B330" s="94">
        <v>22812</v>
      </c>
      <c r="C330" s="94">
        <v>3350</v>
      </c>
      <c r="D330" s="94">
        <f t="shared" si="0"/>
        <v>19462</v>
      </c>
      <c r="E330" s="95">
        <f t="shared" si="1"/>
        <v>0.14685253375416449</v>
      </c>
      <c r="F330" s="96">
        <v>25936</v>
      </c>
      <c r="G330" s="97">
        <v>8708</v>
      </c>
      <c r="H330" s="97">
        <v>17228</v>
      </c>
      <c r="I330" s="98" t="s">
        <v>268</v>
      </c>
    </row>
    <row r="331" spans="1:9" ht="15.5" x14ac:dyDescent="0.35">
      <c r="A331" s="93">
        <v>44219</v>
      </c>
      <c r="B331" s="94">
        <v>18612</v>
      </c>
      <c r="C331" s="94">
        <v>3612</v>
      </c>
      <c r="D331" s="94">
        <f t="shared" si="0"/>
        <v>15000</v>
      </c>
      <c r="E331" s="95">
        <f t="shared" si="1"/>
        <v>0.19406834300451323</v>
      </c>
      <c r="F331" s="96">
        <v>21451</v>
      </c>
      <c r="G331" s="97">
        <v>7621</v>
      </c>
      <c r="H331" s="97">
        <v>13830</v>
      </c>
      <c r="I331" s="98" t="s">
        <v>269</v>
      </c>
    </row>
    <row r="332" spans="1:9" ht="15.5" x14ac:dyDescent="0.35">
      <c r="A332" s="93">
        <v>44220</v>
      </c>
      <c r="B332" s="94">
        <v>16788</v>
      </c>
      <c r="C332" s="94">
        <v>2572</v>
      </c>
      <c r="D332" s="94">
        <f t="shared" si="0"/>
        <v>14216</v>
      </c>
      <c r="E332" s="95">
        <f t="shared" si="1"/>
        <v>0.15320467000238266</v>
      </c>
      <c r="F332" s="96">
        <v>19348</v>
      </c>
      <c r="G332" s="97">
        <v>6040</v>
      </c>
      <c r="H332" s="97">
        <v>13308</v>
      </c>
      <c r="I332" s="98" t="s">
        <v>103</v>
      </c>
    </row>
    <row r="333" spans="1:9" ht="15.5" x14ac:dyDescent="0.35">
      <c r="A333" s="93">
        <v>44221</v>
      </c>
      <c r="B333" s="94">
        <v>17812</v>
      </c>
      <c r="C333" s="94">
        <v>2038</v>
      </c>
      <c r="D333" s="94">
        <f t="shared" si="0"/>
        <v>15774</v>
      </c>
      <c r="E333" s="95">
        <f t="shared" si="1"/>
        <v>0.11441724679991017</v>
      </c>
      <c r="F333" s="96">
        <v>20197</v>
      </c>
      <c r="G333" s="97">
        <v>6831</v>
      </c>
      <c r="H333" s="97">
        <v>13366</v>
      </c>
      <c r="I333" s="98" t="s">
        <v>263</v>
      </c>
    </row>
    <row r="334" spans="1:9" ht="15.5" x14ac:dyDescent="0.35">
      <c r="A334" s="93">
        <v>44222</v>
      </c>
      <c r="B334" s="94">
        <v>19012</v>
      </c>
      <c r="C334" s="94">
        <v>2136</v>
      </c>
      <c r="D334" s="94">
        <f t="shared" si="0"/>
        <v>16876</v>
      </c>
      <c r="E334" s="95">
        <f t="shared" si="1"/>
        <v>0.11235009467704607</v>
      </c>
      <c r="F334" s="96">
        <v>21556</v>
      </c>
      <c r="G334" s="97">
        <v>6146</v>
      </c>
      <c r="H334" s="97">
        <v>15410</v>
      </c>
      <c r="I334" s="98" t="s">
        <v>270</v>
      </c>
    </row>
    <row r="335" spans="1:9" ht="15.5" x14ac:dyDescent="0.35">
      <c r="A335" s="93">
        <v>44223</v>
      </c>
      <c r="B335" s="94">
        <v>20188</v>
      </c>
      <c r="C335" s="94">
        <v>3026</v>
      </c>
      <c r="D335" s="94">
        <f t="shared" si="0"/>
        <v>17162</v>
      </c>
      <c r="E335" s="95">
        <f t="shared" si="1"/>
        <v>0.14989102437091342</v>
      </c>
      <c r="F335" s="96">
        <v>24620</v>
      </c>
      <c r="G335" s="97">
        <v>7222</v>
      </c>
      <c r="H335" s="97">
        <v>17398</v>
      </c>
      <c r="I335" s="98" t="s">
        <v>250</v>
      </c>
    </row>
    <row r="336" spans="1:9" ht="15.5" x14ac:dyDescent="0.35">
      <c r="A336" s="93">
        <v>44224</v>
      </c>
      <c r="B336" s="94">
        <v>21923</v>
      </c>
      <c r="C336" s="94">
        <v>3143</v>
      </c>
      <c r="D336" s="94">
        <f t="shared" si="0"/>
        <v>18780</v>
      </c>
      <c r="E336" s="95">
        <f t="shared" si="1"/>
        <v>0.14336541531724672</v>
      </c>
      <c r="F336" s="96">
        <v>24617</v>
      </c>
      <c r="G336" s="97">
        <v>6443</v>
      </c>
      <c r="H336" s="97">
        <v>18174</v>
      </c>
      <c r="I336" s="98" t="s">
        <v>271</v>
      </c>
    </row>
    <row r="337" spans="1:9" ht="15.5" x14ac:dyDescent="0.35">
      <c r="A337" s="93">
        <v>44225</v>
      </c>
      <c r="B337" s="94">
        <v>20312</v>
      </c>
      <c r="C337" s="94">
        <v>3160</v>
      </c>
      <c r="D337" s="94">
        <f t="shared" si="0"/>
        <v>17152</v>
      </c>
      <c r="E337" s="95">
        <f t="shared" si="1"/>
        <v>0.15557306025994486</v>
      </c>
      <c r="F337" s="96">
        <v>23326</v>
      </c>
      <c r="G337" s="97">
        <v>6774</v>
      </c>
      <c r="H337" s="97">
        <v>16552</v>
      </c>
      <c r="I337" s="98" t="s">
        <v>272</v>
      </c>
    </row>
    <row r="338" spans="1:9" ht="15.5" x14ac:dyDescent="0.35">
      <c r="A338" s="93">
        <v>44226</v>
      </c>
      <c r="B338" s="94">
        <v>18451</v>
      </c>
      <c r="C338" s="94">
        <v>3474</v>
      </c>
      <c r="D338" s="94">
        <f t="shared" si="0"/>
        <v>14977</v>
      </c>
      <c r="E338" s="95">
        <f t="shared" si="1"/>
        <v>0.18828247791447619</v>
      </c>
      <c r="F338" s="96">
        <v>20888</v>
      </c>
      <c r="G338" s="97">
        <v>6207</v>
      </c>
      <c r="H338" s="97">
        <v>14681</v>
      </c>
      <c r="I338" s="98" t="s">
        <v>273</v>
      </c>
    </row>
    <row r="339" spans="1:9" ht="15.5" x14ac:dyDescent="0.35">
      <c r="A339" s="93">
        <v>44227</v>
      </c>
      <c r="B339" s="94">
        <v>10312</v>
      </c>
      <c r="C339" s="94">
        <v>3102</v>
      </c>
      <c r="D339" s="94">
        <f t="shared" si="0"/>
        <v>7210</v>
      </c>
      <c r="E339" s="95">
        <f t="shared" si="1"/>
        <v>0.3008145849495733</v>
      </c>
      <c r="F339" s="96">
        <v>12494</v>
      </c>
      <c r="G339" s="97">
        <v>4101</v>
      </c>
      <c r="H339" s="97">
        <v>8393</v>
      </c>
      <c r="I339" s="98" t="s">
        <v>274</v>
      </c>
    </row>
    <row r="340" spans="1:9" ht="15.5" x14ac:dyDescent="0.35">
      <c r="A340" s="93">
        <v>44228</v>
      </c>
      <c r="B340" s="94">
        <v>16217</v>
      </c>
      <c r="C340" s="94">
        <v>3362</v>
      </c>
      <c r="D340" s="94">
        <f t="shared" si="0"/>
        <v>12855</v>
      </c>
      <c r="E340" s="95">
        <f t="shared" si="1"/>
        <v>0.20731331318986249</v>
      </c>
      <c r="F340" s="104">
        <v>18852</v>
      </c>
      <c r="G340" s="105">
        <v>5389</v>
      </c>
      <c r="H340" s="105">
        <v>13463</v>
      </c>
      <c r="I340" s="106" t="s">
        <v>275</v>
      </c>
    </row>
    <row r="341" spans="1:9" ht="15.5" x14ac:dyDescent="0.35">
      <c r="A341" s="93">
        <v>44229</v>
      </c>
      <c r="B341" s="107">
        <v>18121</v>
      </c>
      <c r="C341" s="107">
        <v>3567</v>
      </c>
      <c r="D341" s="107">
        <f t="shared" si="0"/>
        <v>14554</v>
      </c>
      <c r="E341" s="108">
        <f t="shared" si="1"/>
        <v>0.19684344131118592</v>
      </c>
      <c r="F341" s="109">
        <v>21193</v>
      </c>
      <c r="G341" s="110">
        <v>6480</v>
      </c>
      <c r="H341" s="110">
        <v>14713</v>
      </c>
      <c r="I341" s="106" t="s">
        <v>276</v>
      </c>
    </row>
    <row r="342" spans="1:9" ht="15.5" x14ac:dyDescent="0.35">
      <c r="A342" s="93">
        <v>44230</v>
      </c>
      <c r="B342" s="107">
        <v>17875</v>
      </c>
      <c r="C342" s="107">
        <v>3632</v>
      </c>
      <c r="D342" s="107">
        <f t="shared" si="0"/>
        <v>14243</v>
      </c>
      <c r="E342" s="108">
        <f t="shared" si="1"/>
        <v>0.20318881118881119</v>
      </c>
      <c r="F342" s="96">
        <v>21030</v>
      </c>
      <c r="G342" s="97">
        <v>5793</v>
      </c>
      <c r="H342" s="97">
        <v>15237</v>
      </c>
      <c r="I342" s="98" t="s">
        <v>277</v>
      </c>
    </row>
    <row r="343" spans="1:9" ht="15.5" x14ac:dyDescent="0.35">
      <c r="A343" s="93">
        <v>44231</v>
      </c>
      <c r="B343" s="107">
        <v>19593</v>
      </c>
      <c r="C343" s="107">
        <v>3340</v>
      </c>
      <c r="D343" s="107">
        <f t="shared" si="0"/>
        <v>16253</v>
      </c>
      <c r="E343" s="108">
        <f t="shared" si="1"/>
        <v>0.1704690450671158</v>
      </c>
      <c r="F343" s="96">
        <v>22522</v>
      </c>
      <c r="G343" s="97">
        <v>6344</v>
      </c>
      <c r="H343" s="97">
        <v>16178</v>
      </c>
      <c r="I343" s="98" t="s">
        <v>278</v>
      </c>
    </row>
    <row r="344" spans="1:9" ht="15.5" x14ac:dyDescent="0.35">
      <c r="A344" s="93">
        <v>44232</v>
      </c>
      <c r="B344" s="107">
        <v>17290</v>
      </c>
      <c r="C344" s="107">
        <v>2379</v>
      </c>
      <c r="D344" s="107">
        <f t="shared" si="0"/>
        <v>14911</v>
      </c>
      <c r="E344" s="108">
        <f t="shared" si="1"/>
        <v>0.13759398496240602</v>
      </c>
      <c r="F344" s="96">
        <v>19958</v>
      </c>
      <c r="G344" s="97">
        <v>5312</v>
      </c>
      <c r="H344" s="97">
        <v>14646</v>
      </c>
      <c r="I344" s="98" t="s">
        <v>247</v>
      </c>
    </row>
    <row r="345" spans="1:9" ht="15.5" x14ac:dyDescent="0.35">
      <c r="A345" s="93">
        <v>44233</v>
      </c>
      <c r="B345" s="107">
        <v>17758</v>
      </c>
      <c r="C345" s="107">
        <v>4213</v>
      </c>
      <c r="D345" s="107">
        <f t="shared" si="0"/>
        <v>13545</v>
      </c>
      <c r="E345" s="108">
        <f t="shared" si="1"/>
        <v>0.23724518526861132</v>
      </c>
      <c r="F345" s="96">
        <v>20412</v>
      </c>
      <c r="G345" s="97">
        <v>5505</v>
      </c>
      <c r="H345" s="97">
        <v>14907</v>
      </c>
      <c r="I345" s="98" t="s">
        <v>279</v>
      </c>
    </row>
    <row r="346" spans="1:9" ht="15.5" x14ac:dyDescent="0.35">
      <c r="A346" s="93">
        <v>44234</v>
      </c>
      <c r="B346" s="96">
        <v>10197</v>
      </c>
      <c r="C346" s="96">
        <v>3144</v>
      </c>
      <c r="D346" s="107">
        <f t="shared" si="0"/>
        <v>7053</v>
      </c>
      <c r="E346" s="108">
        <f t="shared" si="1"/>
        <v>0.30832597822889085</v>
      </c>
      <c r="F346" s="96">
        <v>11720</v>
      </c>
      <c r="G346" s="97">
        <v>3182</v>
      </c>
      <c r="H346" s="97">
        <v>8538</v>
      </c>
      <c r="I346" s="98" t="s">
        <v>280</v>
      </c>
    </row>
    <row r="347" spans="1:9" ht="15.5" x14ac:dyDescent="0.35">
      <c r="A347" s="93">
        <v>44235</v>
      </c>
      <c r="B347" s="96">
        <v>16061</v>
      </c>
      <c r="C347" s="96">
        <v>3437</v>
      </c>
      <c r="D347" s="107">
        <f t="shared" si="0"/>
        <v>12624</v>
      </c>
      <c r="E347" s="108">
        <f t="shared" si="1"/>
        <v>0.21399663781831765</v>
      </c>
      <c r="F347" s="96">
        <v>18461</v>
      </c>
      <c r="G347" s="97">
        <v>4167</v>
      </c>
      <c r="H347" s="97">
        <v>14294</v>
      </c>
      <c r="I347" s="98" t="s">
        <v>281</v>
      </c>
    </row>
    <row r="348" spans="1:9" ht="15.5" x14ac:dyDescent="0.35">
      <c r="A348" s="93">
        <v>44236</v>
      </c>
      <c r="B348" s="96">
        <v>17660</v>
      </c>
      <c r="C348" s="96">
        <v>3309</v>
      </c>
      <c r="D348" s="107">
        <f t="shared" si="0"/>
        <v>14351</v>
      </c>
      <c r="E348" s="108">
        <f t="shared" si="1"/>
        <v>0.18737259343148358</v>
      </c>
      <c r="F348" s="96">
        <v>20777</v>
      </c>
      <c r="G348" s="97">
        <v>5508</v>
      </c>
      <c r="H348" s="97">
        <v>15269</v>
      </c>
      <c r="I348" s="98" t="s">
        <v>282</v>
      </c>
    </row>
    <row r="349" spans="1:9" ht="15.5" x14ac:dyDescent="0.35">
      <c r="A349" s="93">
        <v>44237</v>
      </c>
      <c r="B349" s="96">
        <v>16571</v>
      </c>
      <c r="C349" s="96">
        <v>2514</v>
      </c>
      <c r="D349" s="107">
        <f t="shared" si="0"/>
        <v>14057</v>
      </c>
      <c r="E349" s="108">
        <f t="shared" si="1"/>
        <v>0.15171082010741657</v>
      </c>
      <c r="F349" s="96">
        <v>19727</v>
      </c>
      <c r="G349" s="97">
        <v>5252</v>
      </c>
      <c r="H349" s="97">
        <v>14475</v>
      </c>
      <c r="I349" s="98" t="s">
        <v>247</v>
      </c>
    </row>
    <row r="350" spans="1:9" ht="15.5" x14ac:dyDescent="0.35">
      <c r="A350" s="93">
        <v>44238</v>
      </c>
      <c r="B350" s="96">
        <v>17319</v>
      </c>
      <c r="C350" s="96">
        <v>3810</v>
      </c>
      <c r="D350" s="107">
        <f t="shared" si="0"/>
        <v>13509</v>
      </c>
      <c r="E350" s="108">
        <f t="shared" si="1"/>
        <v>0.21998960679023039</v>
      </c>
      <c r="F350" s="96">
        <v>19907</v>
      </c>
      <c r="G350" s="97">
        <v>5026</v>
      </c>
      <c r="H350" s="97">
        <v>14881</v>
      </c>
      <c r="I350" s="98" t="s">
        <v>283</v>
      </c>
    </row>
    <row r="351" spans="1:9" ht="15.5" x14ac:dyDescent="0.35">
      <c r="A351" s="93">
        <v>44239</v>
      </c>
      <c r="B351" s="96">
        <v>11203</v>
      </c>
      <c r="C351" s="96">
        <v>3018</v>
      </c>
      <c r="D351" s="107">
        <f t="shared" si="0"/>
        <v>8185</v>
      </c>
      <c r="E351" s="108">
        <f t="shared" si="1"/>
        <v>0.26939212710881016</v>
      </c>
      <c r="F351" s="96">
        <v>13180</v>
      </c>
      <c r="G351" s="97">
        <v>3781</v>
      </c>
      <c r="H351" s="97">
        <v>9399</v>
      </c>
      <c r="I351" s="98" t="s">
        <v>284</v>
      </c>
    </row>
    <row r="352" spans="1:9" ht="15.5" x14ac:dyDescent="0.35">
      <c r="A352" s="93">
        <v>44240</v>
      </c>
      <c r="B352" s="96">
        <v>13524</v>
      </c>
      <c r="C352" s="96">
        <v>2496</v>
      </c>
      <c r="D352" s="107">
        <f t="shared" si="0"/>
        <v>11028</v>
      </c>
      <c r="E352" s="108">
        <f t="shared" si="1"/>
        <v>0.18456078083407276</v>
      </c>
      <c r="F352" s="96">
        <v>16295</v>
      </c>
      <c r="G352" s="97">
        <v>4795</v>
      </c>
      <c r="H352" s="97">
        <v>11500</v>
      </c>
      <c r="I352" s="98" t="s">
        <v>260</v>
      </c>
    </row>
    <row r="353" spans="1:9" ht="15.5" x14ac:dyDescent="0.35">
      <c r="A353" s="93">
        <v>44241</v>
      </c>
      <c r="B353" s="96">
        <v>8239</v>
      </c>
      <c r="C353" s="96">
        <v>1879</v>
      </c>
      <c r="D353" s="107">
        <f t="shared" si="0"/>
        <v>6360</v>
      </c>
      <c r="E353" s="108">
        <f t="shared" si="1"/>
        <v>0.22806165796820002</v>
      </c>
      <c r="F353" s="96">
        <v>9926</v>
      </c>
      <c r="G353" s="97">
        <v>2727</v>
      </c>
      <c r="H353" s="97">
        <v>7199</v>
      </c>
      <c r="I353" s="98" t="s">
        <v>277</v>
      </c>
    </row>
    <row r="354" spans="1:9" ht="15.5" x14ac:dyDescent="0.35">
      <c r="A354" s="93">
        <v>44242</v>
      </c>
      <c r="B354" s="96">
        <v>10681</v>
      </c>
      <c r="C354" s="96">
        <v>1861</v>
      </c>
      <c r="D354" s="107">
        <f t="shared" si="0"/>
        <v>8820</v>
      </c>
      <c r="E354" s="108">
        <f t="shared" si="1"/>
        <v>0.17423462222638331</v>
      </c>
      <c r="F354" s="96">
        <v>12028</v>
      </c>
      <c r="G354" s="97">
        <v>3114</v>
      </c>
      <c r="H354" s="97">
        <v>8914</v>
      </c>
      <c r="I354" s="98" t="s">
        <v>285</v>
      </c>
    </row>
    <row r="355" spans="1:9" ht="15.5" x14ac:dyDescent="0.35">
      <c r="A355" s="93">
        <v>44243</v>
      </c>
      <c r="B355" s="96">
        <v>9306</v>
      </c>
      <c r="C355" s="96">
        <v>1445</v>
      </c>
      <c r="D355" s="107">
        <f t="shared" si="0"/>
        <v>7861</v>
      </c>
      <c r="E355" s="108">
        <f t="shared" si="1"/>
        <v>0.15527616591446378</v>
      </c>
      <c r="F355" s="96">
        <v>11632</v>
      </c>
      <c r="G355" s="97">
        <v>3253</v>
      </c>
      <c r="H355" s="97">
        <v>8379</v>
      </c>
      <c r="I355" s="98" t="s">
        <v>286</v>
      </c>
    </row>
    <row r="356" spans="1:9" ht="15.5" x14ac:dyDescent="0.35">
      <c r="A356" s="93">
        <v>44244</v>
      </c>
      <c r="B356" s="96">
        <v>9107</v>
      </c>
      <c r="C356" s="96">
        <v>373</v>
      </c>
      <c r="D356" s="107">
        <f t="shared" si="0"/>
        <v>8734</v>
      </c>
      <c r="E356" s="108">
        <f t="shared" si="1"/>
        <v>4.0957505215768089E-2</v>
      </c>
      <c r="F356" s="96">
        <v>10227</v>
      </c>
      <c r="G356" s="97">
        <v>3373</v>
      </c>
      <c r="H356" s="97">
        <v>6854</v>
      </c>
      <c r="I356" s="98" t="s">
        <v>267</v>
      </c>
    </row>
    <row r="357" spans="1:9" ht="15.5" x14ac:dyDescent="0.35">
      <c r="A357" s="93">
        <v>44245</v>
      </c>
      <c r="B357" s="96">
        <v>15973</v>
      </c>
      <c r="C357" s="96">
        <v>1920</v>
      </c>
      <c r="D357" s="107">
        <f t="shared" si="0"/>
        <v>14053</v>
      </c>
      <c r="E357" s="108">
        <f t="shared" si="1"/>
        <v>0.12020284229637514</v>
      </c>
      <c r="F357" s="96">
        <v>19480</v>
      </c>
      <c r="G357" s="97">
        <v>5143</v>
      </c>
      <c r="H357" s="97">
        <v>14337</v>
      </c>
      <c r="I357" s="98" t="s">
        <v>287</v>
      </c>
    </row>
    <row r="358" spans="1:9" ht="15.5" x14ac:dyDescent="0.35">
      <c r="A358" s="93">
        <v>44246</v>
      </c>
      <c r="B358" s="96">
        <v>12292</v>
      </c>
      <c r="C358" s="96">
        <v>2872</v>
      </c>
      <c r="D358" s="107">
        <f t="shared" si="0"/>
        <v>9420</v>
      </c>
      <c r="E358" s="108">
        <f t="shared" si="1"/>
        <v>0.23364790107386918</v>
      </c>
      <c r="F358" s="96">
        <v>14293</v>
      </c>
      <c r="G358" s="97">
        <v>3917</v>
      </c>
      <c r="H358" s="97">
        <v>10376</v>
      </c>
      <c r="I358" s="98" t="s">
        <v>288</v>
      </c>
    </row>
    <row r="359" spans="1:9" ht="15.5" x14ac:dyDescent="0.35">
      <c r="A359" s="93">
        <v>44247</v>
      </c>
      <c r="B359" s="96">
        <v>13045</v>
      </c>
      <c r="C359" s="96">
        <v>2720</v>
      </c>
      <c r="D359" s="107">
        <f t="shared" si="0"/>
        <v>10325</v>
      </c>
      <c r="E359" s="108">
        <f t="shared" si="1"/>
        <v>0.2085090072824837</v>
      </c>
      <c r="F359" s="96">
        <v>15717</v>
      </c>
      <c r="G359" s="97">
        <v>4011</v>
      </c>
      <c r="H359" s="97">
        <v>11706</v>
      </c>
      <c r="I359" s="98" t="s">
        <v>289</v>
      </c>
    </row>
    <row r="360" spans="1:9" ht="15.5" x14ac:dyDescent="0.35">
      <c r="A360" s="93">
        <v>44248</v>
      </c>
      <c r="B360" s="96">
        <v>9312</v>
      </c>
      <c r="C360" s="96">
        <v>2471</v>
      </c>
      <c r="D360" s="107">
        <f t="shared" si="0"/>
        <v>6841</v>
      </c>
      <c r="E360" s="108">
        <f t="shared" si="1"/>
        <v>0.26535652920962199</v>
      </c>
      <c r="F360" s="96">
        <v>9897</v>
      </c>
      <c r="G360" s="97">
        <v>2274</v>
      </c>
      <c r="H360" s="97">
        <v>7623</v>
      </c>
      <c r="I360" s="98" t="s">
        <v>290</v>
      </c>
    </row>
    <row r="361" spans="1:9" ht="15.5" x14ac:dyDescent="0.35">
      <c r="A361" s="93">
        <v>44249</v>
      </c>
      <c r="B361" s="96">
        <v>11429</v>
      </c>
      <c r="C361" s="96">
        <v>782</v>
      </c>
      <c r="D361" s="107">
        <f t="shared" si="0"/>
        <v>10647</v>
      </c>
      <c r="E361" s="108">
        <f t="shared" si="1"/>
        <v>6.8422434158719042E-2</v>
      </c>
      <c r="F361" s="96">
        <v>14844</v>
      </c>
      <c r="G361" s="97">
        <v>4027</v>
      </c>
      <c r="H361" s="97">
        <v>10817</v>
      </c>
      <c r="I361" s="98" t="s">
        <v>291</v>
      </c>
    </row>
    <row r="362" spans="1:9" ht="15.5" x14ac:dyDescent="0.35">
      <c r="A362" s="93">
        <v>44250</v>
      </c>
      <c r="B362" s="96">
        <v>14002</v>
      </c>
      <c r="C362" s="96">
        <v>782</v>
      </c>
      <c r="D362" s="107">
        <f t="shared" si="0"/>
        <v>13220</v>
      </c>
      <c r="E362" s="108">
        <f t="shared" si="1"/>
        <v>5.5849164405084986E-2</v>
      </c>
      <c r="F362" s="96">
        <v>18185</v>
      </c>
      <c r="G362" s="97">
        <v>4964</v>
      </c>
      <c r="H362" s="97">
        <v>13221</v>
      </c>
      <c r="I362" s="98" t="s">
        <v>292</v>
      </c>
    </row>
    <row r="363" spans="1:9" ht="15.5" x14ac:dyDescent="0.35">
      <c r="A363" s="93">
        <v>44251</v>
      </c>
      <c r="B363" s="96">
        <v>15038</v>
      </c>
      <c r="C363" s="96">
        <v>1581</v>
      </c>
      <c r="D363" s="107">
        <f t="shared" si="0"/>
        <v>13457</v>
      </c>
      <c r="E363" s="108">
        <f t="shared" si="1"/>
        <v>0.10513366139114244</v>
      </c>
      <c r="F363" s="96">
        <v>18340</v>
      </c>
      <c r="G363" s="97">
        <v>4720</v>
      </c>
      <c r="H363" s="97">
        <v>13620</v>
      </c>
      <c r="I363" s="98" t="s">
        <v>249</v>
      </c>
    </row>
    <row r="364" spans="1:9" ht="15.5" x14ac:dyDescent="0.35">
      <c r="A364" s="93">
        <v>44252</v>
      </c>
      <c r="B364" s="96">
        <v>13802</v>
      </c>
      <c r="C364" s="96">
        <v>1661</v>
      </c>
      <c r="D364" s="107">
        <f t="shared" si="0"/>
        <v>12141</v>
      </c>
      <c r="E364" s="108">
        <f t="shared" si="1"/>
        <v>0.12034487755397769</v>
      </c>
      <c r="F364" s="96">
        <v>16238</v>
      </c>
      <c r="G364" s="97">
        <v>3802</v>
      </c>
      <c r="H364" s="97">
        <v>12436</v>
      </c>
      <c r="I364" s="98" t="s">
        <v>293</v>
      </c>
    </row>
    <row r="365" spans="1:9" ht="15.5" x14ac:dyDescent="0.35">
      <c r="A365" s="93">
        <v>44253</v>
      </c>
      <c r="B365" s="96">
        <v>13432</v>
      </c>
      <c r="C365" s="96">
        <v>1737</v>
      </c>
      <c r="D365" s="107">
        <f t="shared" si="0"/>
        <v>11695</v>
      </c>
      <c r="E365" s="108">
        <f t="shared" si="1"/>
        <v>0.12931804645622394</v>
      </c>
      <c r="F365" s="96">
        <v>16184</v>
      </c>
      <c r="G365" s="97">
        <v>4196</v>
      </c>
      <c r="H365" s="97">
        <v>11988</v>
      </c>
      <c r="I365" s="98" t="s">
        <v>285</v>
      </c>
    </row>
    <row r="366" spans="1:9" ht="15.5" x14ac:dyDescent="0.35">
      <c r="A366" s="93">
        <v>44254</v>
      </c>
      <c r="B366" s="96">
        <v>12559</v>
      </c>
      <c r="C366" s="96">
        <v>2098</v>
      </c>
      <c r="D366" s="107">
        <f t="shared" si="0"/>
        <v>10461</v>
      </c>
      <c r="E366" s="108">
        <f t="shared" si="1"/>
        <v>0.16705151684051278</v>
      </c>
      <c r="F366" s="96">
        <v>14775</v>
      </c>
      <c r="G366" s="97">
        <v>4068</v>
      </c>
      <c r="H366" s="97">
        <v>10707</v>
      </c>
      <c r="I366" s="98" t="s">
        <v>277</v>
      </c>
    </row>
    <row r="367" spans="1:9" ht="15.5" x14ac:dyDescent="0.35">
      <c r="A367" s="93">
        <v>44255</v>
      </c>
      <c r="B367" s="96">
        <v>7797</v>
      </c>
      <c r="C367" s="96">
        <v>2058</v>
      </c>
      <c r="D367" s="107">
        <f t="shared" si="0"/>
        <v>5739</v>
      </c>
      <c r="E367" s="108">
        <f t="shared" si="1"/>
        <v>0.26394767218160831</v>
      </c>
      <c r="F367" s="96">
        <v>9828</v>
      </c>
      <c r="G367" s="97">
        <v>2487</v>
      </c>
      <c r="H367" s="97">
        <v>7341</v>
      </c>
      <c r="I367" s="98" t="s">
        <v>294</v>
      </c>
    </row>
    <row r="368" spans="1:9" ht="15.5" x14ac:dyDescent="0.35">
      <c r="A368" s="93">
        <v>44256</v>
      </c>
      <c r="B368" s="96">
        <v>10394</v>
      </c>
      <c r="C368" s="96">
        <v>578</v>
      </c>
      <c r="D368" s="107">
        <f t="shared" si="0"/>
        <v>9816</v>
      </c>
      <c r="E368" s="108">
        <f t="shared" si="1"/>
        <v>5.5609005195304984E-2</v>
      </c>
      <c r="F368" s="96">
        <v>13533</v>
      </c>
      <c r="G368" s="97">
        <v>2884</v>
      </c>
      <c r="H368" s="97">
        <v>10649</v>
      </c>
      <c r="I368" s="98" t="s">
        <v>209</v>
      </c>
    </row>
    <row r="369" spans="1:11" ht="15.5" x14ac:dyDescent="0.35">
      <c r="A369" s="93">
        <v>44257</v>
      </c>
      <c r="B369" s="96">
        <v>20538</v>
      </c>
      <c r="C369" s="96">
        <v>1437</v>
      </c>
      <c r="D369" s="107">
        <f t="shared" si="0"/>
        <v>19101</v>
      </c>
      <c r="E369" s="108">
        <f t="shared" si="1"/>
        <v>6.9967864446392053E-2</v>
      </c>
      <c r="F369" s="96">
        <v>25673</v>
      </c>
      <c r="G369" s="97">
        <v>6521</v>
      </c>
      <c r="H369" s="97">
        <v>19152</v>
      </c>
      <c r="I369" s="98" t="s">
        <v>295</v>
      </c>
    </row>
    <row r="370" spans="1:11" ht="15.5" x14ac:dyDescent="0.35">
      <c r="A370" s="93">
        <v>44258</v>
      </c>
      <c r="B370" s="96">
        <v>14072</v>
      </c>
      <c r="C370" s="96">
        <v>2008</v>
      </c>
      <c r="D370" s="107">
        <f t="shared" si="0"/>
        <v>12064</v>
      </c>
      <c r="E370" s="108">
        <f t="shared" si="1"/>
        <v>0.1426947129050597</v>
      </c>
      <c r="F370" s="96">
        <v>17590</v>
      </c>
      <c r="G370" s="97">
        <v>3883</v>
      </c>
      <c r="H370" s="97">
        <v>13707</v>
      </c>
      <c r="I370" s="98" t="s">
        <v>229</v>
      </c>
    </row>
    <row r="371" spans="1:11" ht="15.5" x14ac:dyDescent="0.35">
      <c r="A371" s="93">
        <v>44259</v>
      </c>
      <c r="B371" s="96">
        <v>12608</v>
      </c>
      <c r="C371" s="96">
        <v>1159</v>
      </c>
      <c r="D371" s="107">
        <f t="shared" si="0"/>
        <v>11449</v>
      </c>
      <c r="E371" s="108">
        <f t="shared" si="1"/>
        <v>9.1925761421319793E-2</v>
      </c>
      <c r="F371" s="96">
        <v>15761</v>
      </c>
      <c r="G371" s="97">
        <v>3477</v>
      </c>
      <c r="H371" s="97">
        <v>12284</v>
      </c>
      <c r="I371" s="98" t="s">
        <v>229</v>
      </c>
    </row>
    <row r="372" spans="1:11" ht="15.5" x14ac:dyDescent="0.35">
      <c r="A372" s="93">
        <v>44260</v>
      </c>
      <c r="B372" s="96">
        <v>8787</v>
      </c>
      <c r="C372" s="96">
        <v>1616</v>
      </c>
      <c r="D372" s="107">
        <f t="shared" si="0"/>
        <v>7171</v>
      </c>
      <c r="E372" s="108">
        <f t="shared" si="1"/>
        <v>0.18390804597701149</v>
      </c>
      <c r="F372" s="96">
        <v>11875</v>
      </c>
      <c r="G372" s="97">
        <v>3639</v>
      </c>
      <c r="H372" s="97">
        <v>8236</v>
      </c>
      <c r="I372" s="98" t="s">
        <v>276</v>
      </c>
    </row>
    <row r="373" spans="1:11" ht="15.5" x14ac:dyDescent="0.35">
      <c r="A373" s="93">
        <v>44261</v>
      </c>
      <c r="B373" s="96">
        <v>8261</v>
      </c>
      <c r="C373" s="96">
        <v>1834</v>
      </c>
      <c r="D373" s="107">
        <f t="shared" si="0"/>
        <v>6427</v>
      </c>
      <c r="E373" s="108">
        <f t="shared" si="1"/>
        <v>0.2220070209417746</v>
      </c>
      <c r="F373" s="96">
        <v>10327</v>
      </c>
      <c r="G373" s="97">
        <v>3116</v>
      </c>
      <c r="H373" s="97">
        <v>7211</v>
      </c>
      <c r="I373" s="98" t="s">
        <v>296</v>
      </c>
    </row>
    <row r="374" spans="1:11" ht="15.5" x14ac:dyDescent="0.35">
      <c r="A374" s="93">
        <v>44262</v>
      </c>
      <c r="B374" s="96">
        <v>11041</v>
      </c>
      <c r="C374" s="96">
        <v>1783</v>
      </c>
      <c r="D374" s="107">
        <f t="shared" si="0"/>
        <v>9258</v>
      </c>
      <c r="E374" s="108">
        <f t="shared" si="1"/>
        <v>0.1614889955619962</v>
      </c>
      <c r="F374" s="96">
        <v>5460</v>
      </c>
      <c r="G374" s="97">
        <v>1356</v>
      </c>
      <c r="H374" s="97">
        <v>4104</v>
      </c>
      <c r="I374" s="98" t="s">
        <v>297</v>
      </c>
    </row>
    <row r="375" spans="1:11" ht="15.5" x14ac:dyDescent="0.35">
      <c r="A375" s="93">
        <v>44263</v>
      </c>
      <c r="B375" s="96">
        <v>12172</v>
      </c>
      <c r="C375" s="96">
        <v>867</v>
      </c>
      <c r="D375" s="107">
        <f t="shared" si="0"/>
        <v>11305</v>
      </c>
      <c r="E375" s="108">
        <f t="shared" si="1"/>
        <v>7.1229050279329603E-2</v>
      </c>
      <c r="F375" s="96">
        <v>15215</v>
      </c>
      <c r="G375" s="97">
        <v>3357</v>
      </c>
      <c r="H375" s="97">
        <v>11858</v>
      </c>
      <c r="I375" s="98" t="s">
        <v>229</v>
      </c>
    </row>
    <row r="376" spans="1:11" ht="15.5" x14ac:dyDescent="0.35">
      <c r="A376" s="93">
        <v>44264</v>
      </c>
      <c r="B376" s="96">
        <v>13813</v>
      </c>
      <c r="C376" s="96">
        <v>1040</v>
      </c>
      <c r="D376" s="107">
        <f t="shared" si="0"/>
        <v>12773</v>
      </c>
      <c r="E376" s="108">
        <f t="shared" si="1"/>
        <v>7.5291392166799392E-2</v>
      </c>
      <c r="F376" s="96">
        <v>17709</v>
      </c>
      <c r="G376" s="97">
        <v>4373</v>
      </c>
      <c r="H376" s="97">
        <v>13336</v>
      </c>
      <c r="I376" s="98" t="s">
        <v>298</v>
      </c>
      <c r="J376" s="111"/>
      <c r="K376" s="112"/>
    </row>
    <row r="377" spans="1:11" ht="15.5" x14ac:dyDescent="0.35">
      <c r="A377" s="93">
        <v>44265</v>
      </c>
      <c r="B377" s="96">
        <v>14611</v>
      </c>
      <c r="C377" s="96">
        <v>1754</v>
      </c>
      <c r="D377" s="107">
        <f t="shared" si="0"/>
        <v>12857</v>
      </c>
      <c r="E377" s="108">
        <f t="shared" si="1"/>
        <v>0.12004654027787283</v>
      </c>
      <c r="F377" s="96">
        <v>18264</v>
      </c>
      <c r="G377" s="97">
        <v>4302</v>
      </c>
      <c r="H377" s="97">
        <v>13962</v>
      </c>
      <c r="I377" s="98" t="s">
        <v>299</v>
      </c>
      <c r="K377" s="112"/>
    </row>
    <row r="378" spans="1:11" ht="15.5" x14ac:dyDescent="0.35">
      <c r="A378" s="93">
        <v>44266</v>
      </c>
      <c r="B378" s="96">
        <v>12062</v>
      </c>
      <c r="C378" s="96">
        <v>1873</v>
      </c>
      <c r="D378" s="107">
        <f t="shared" si="0"/>
        <v>10189</v>
      </c>
      <c r="E378" s="108">
        <f t="shared" si="1"/>
        <v>0.15528104791908473</v>
      </c>
      <c r="F378" s="96">
        <v>13865</v>
      </c>
      <c r="G378" s="97">
        <v>2586</v>
      </c>
      <c r="H378" s="97">
        <f>F378-G378</f>
        <v>11279</v>
      </c>
      <c r="I378" s="98">
        <f>G378/F378</f>
        <v>0.18651280201947348</v>
      </c>
      <c r="K378" s="112"/>
    </row>
    <row r="379" spans="1:11" ht="15.5" x14ac:dyDescent="0.35">
      <c r="A379" s="93">
        <v>44267</v>
      </c>
      <c r="B379" s="96">
        <v>11376</v>
      </c>
      <c r="C379" s="96">
        <v>1034</v>
      </c>
      <c r="D379" s="107">
        <f t="shared" si="0"/>
        <v>10342</v>
      </c>
      <c r="E379" s="108">
        <f t="shared" si="1"/>
        <v>9.0893108298171585E-2</v>
      </c>
      <c r="F379" s="113">
        <v>14220</v>
      </c>
      <c r="G379" s="114">
        <v>3237</v>
      </c>
      <c r="H379" s="114">
        <v>10983</v>
      </c>
      <c r="I379" s="98" t="s">
        <v>240</v>
      </c>
      <c r="K379" s="112"/>
    </row>
    <row r="380" spans="1:11" ht="15.5" x14ac:dyDescent="0.35">
      <c r="A380" s="93">
        <v>44268</v>
      </c>
      <c r="B380" s="96">
        <v>11932</v>
      </c>
      <c r="C380" s="96">
        <v>1204</v>
      </c>
      <c r="D380" s="107">
        <f t="shared" si="0"/>
        <v>10728</v>
      </c>
      <c r="E380" s="108">
        <f t="shared" si="1"/>
        <v>0.10090512906469996</v>
      </c>
      <c r="F380" s="113">
        <v>15700</v>
      </c>
      <c r="G380" s="114">
        <v>4613</v>
      </c>
      <c r="H380" s="114">
        <v>11087</v>
      </c>
      <c r="I380" s="98" t="s">
        <v>260</v>
      </c>
      <c r="K380" s="112"/>
    </row>
    <row r="381" spans="1:11" ht="15.5" x14ac:dyDescent="0.35">
      <c r="A381" s="93">
        <v>44269</v>
      </c>
      <c r="B381" s="96">
        <v>9342</v>
      </c>
      <c r="C381" s="96">
        <v>1555</v>
      </c>
      <c r="D381" s="107">
        <f t="shared" si="0"/>
        <v>7787</v>
      </c>
      <c r="E381" s="108">
        <f t="shared" si="1"/>
        <v>0.16645257974737743</v>
      </c>
      <c r="F381" s="113">
        <v>10739</v>
      </c>
      <c r="G381" s="114">
        <v>1956</v>
      </c>
      <c r="H381" s="114">
        <f>F381-G381</f>
        <v>8783</v>
      </c>
      <c r="I381" s="98">
        <f>G381/F381</f>
        <v>0.18213986404693175</v>
      </c>
      <c r="K381" s="112"/>
    </row>
    <row r="382" spans="1:11" ht="15.5" x14ac:dyDescent="0.35">
      <c r="A382" s="93">
        <v>44270</v>
      </c>
      <c r="B382" s="96">
        <v>15239</v>
      </c>
      <c r="C382" s="96">
        <v>835</v>
      </c>
      <c r="D382" s="107">
        <f t="shared" si="0"/>
        <v>14404</v>
      </c>
      <c r="E382" s="108">
        <f t="shared" si="1"/>
        <v>5.4793621628715795E-2</v>
      </c>
      <c r="F382" s="96">
        <v>19049</v>
      </c>
      <c r="G382" s="97">
        <v>3952</v>
      </c>
      <c r="H382" s="97">
        <v>15097</v>
      </c>
      <c r="I382" s="98" t="s">
        <v>193</v>
      </c>
      <c r="K382" s="112"/>
    </row>
    <row r="383" spans="1:11" ht="15.5" x14ac:dyDescent="0.35">
      <c r="A383" s="93">
        <v>44271</v>
      </c>
      <c r="B383" s="96">
        <v>13736</v>
      </c>
      <c r="C383" s="96">
        <v>1330</v>
      </c>
      <c r="D383" s="107">
        <f t="shared" si="0"/>
        <v>12406</v>
      </c>
      <c r="E383" s="108">
        <f t="shared" si="1"/>
        <v>9.6825859056493879E-2</v>
      </c>
      <c r="F383" s="96">
        <v>19623</v>
      </c>
      <c r="G383" s="97">
        <v>6834</v>
      </c>
      <c r="H383" s="97">
        <v>12789</v>
      </c>
      <c r="I383" s="98" t="s">
        <v>300</v>
      </c>
    </row>
    <row r="384" spans="1:11" ht="15.5" x14ac:dyDescent="0.35">
      <c r="A384" s="93">
        <v>44272</v>
      </c>
      <c r="B384" s="96">
        <v>15107</v>
      </c>
      <c r="C384" s="96">
        <v>1719</v>
      </c>
      <c r="D384" s="107">
        <f t="shared" si="0"/>
        <v>13388</v>
      </c>
      <c r="E384" s="108">
        <f t="shared" si="1"/>
        <v>0.11378831005494142</v>
      </c>
      <c r="F384" s="96">
        <v>18884</v>
      </c>
      <c r="G384" s="97">
        <v>4075</v>
      </c>
      <c r="H384" s="97">
        <v>14809</v>
      </c>
      <c r="I384" s="98" t="s">
        <v>202</v>
      </c>
    </row>
    <row r="385" spans="1:9" ht="15.5" x14ac:dyDescent="0.35">
      <c r="A385" s="93">
        <v>44273</v>
      </c>
      <c r="B385" s="96">
        <v>11497</v>
      </c>
      <c r="C385" s="96">
        <v>1588</v>
      </c>
      <c r="D385" s="107">
        <f t="shared" si="0"/>
        <v>9909</v>
      </c>
      <c r="E385" s="108">
        <f t="shared" si="1"/>
        <v>0.13812298860572322</v>
      </c>
      <c r="F385" s="96">
        <v>14372</v>
      </c>
      <c r="G385" s="97">
        <v>3103</v>
      </c>
      <c r="H385" s="97">
        <v>11269</v>
      </c>
      <c r="I385" s="98" t="s">
        <v>202</v>
      </c>
    </row>
    <row r="386" spans="1:9" ht="15.5" x14ac:dyDescent="0.35">
      <c r="A386" s="93">
        <v>44274</v>
      </c>
      <c r="B386" s="96">
        <v>13204</v>
      </c>
      <c r="C386" s="96">
        <v>1937</v>
      </c>
      <c r="D386" s="107">
        <f t="shared" si="0"/>
        <v>11267</v>
      </c>
      <c r="E386" s="108">
        <f t="shared" si="1"/>
        <v>0.14669797031202667</v>
      </c>
      <c r="F386" s="96">
        <v>16506</v>
      </c>
      <c r="G386" s="97">
        <v>3572</v>
      </c>
      <c r="H386" s="97">
        <v>12934</v>
      </c>
      <c r="I386" s="98" t="s">
        <v>202</v>
      </c>
    </row>
    <row r="387" spans="1:9" ht="15.5" x14ac:dyDescent="0.35">
      <c r="A387" s="93">
        <v>44275</v>
      </c>
      <c r="B387" s="96">
        <v>10562</v>
      </c>
      <c r="C387" s="96">
        <v>1638</v>
      </c>
      <c r="D387" s="107">
        <f t="shared" si="0"/>
        <v>8924</v>
      </c>
      <c r="E387" s="108">
        <f t="shared" si="1"/>
        <v>0.15508426434387426</v>
      </c>
      <c r="F387" s="96">
        <v>13240</v>
      </c>
      <c r="G387" s="97">
        <v>3137</v>
      </c>
      <c r="H387" s="97">
        <v>10103</v>
      </c>
      <c r="I387" s="98" t="s">
        <v>241</v>
      </c>
    </row>
    <row r="388" spans="1:9" ht="15.5" x14ac:dyDescent="0.35">
      <c r="A388" s="93">
        <v>44276</v>
      </c>
      <c r="B388" s="96">
        <v>8728</v>
      </c>
      <c r="C388" s="96">
        <v>1474</v>
      </c>
      <c r="D388" s="107">
        <f t="shared" si="0"/>
        <v>7254</v>
      </c>
      <c r="E388" s="108">
        <f t="shared" si="1"/>
        <v>0.16888175985334555</v>
      </c>
      <c r="F388" s="104">
        <v>10911</v>
      </c>
      <c r="G388" s="115">
        <v>2093</v>
      </c>
      <c r="H388" s="115">
        <f>F388-G388</f>
        <v>8818</v>
      </c>
      <c r="I388" s="116">
        <f>G388/F388</f>
        <v>0.19182476399963339</v>
      </c>
    </row>
    <row r="389" spans="1:9" ht="15.5" x14ac:dyDescent="0.35">
      <c r="A389" s="93">
        <v>44277</v>
      </c>
      <c r="B389" s="96">
        <v>10242</v>
      </c>
      <c r="C389" s="96">
        <v>815</v>
      </c>
      <c r="D389" s="107">
        <f t="shared" si="0"/>
        <v>9427</v>
      </c>
      <c r="E389" s="108">
        <f t="shared" si="1"/>
        <v>7.9574301894161301E-2</v>
      </c>
      <c r="F389" s="96">
        <v>13132</v>
      </c>
      <c r="G389" s="97">
        <v>2977</v>
      </c>
      <c r="H389" s="97">
        <v>10155</v>
      </c>
      <c r="I389" s="98" t="s">
        <v>232</v>
      </c>
    </row>
    <row r="390" spans="1:9" ht="15.5" x14ac:dyDescent="0.35">
      <c r="A390" s="93">
        <v>44278</v>
      </c>
      <c r="B390" s="96">
        <v>16096</v>
      </c>
      <c r="C390" s="96">
        <v>890</v>
      </c>
      <c r="D390" s="107">
        <f t="shared" si="0"/>
        <v>15206</v>
      </c>
      <c r="E390" s="108">
        <f t="shared" si="1"/>
        <v>5.5293240556660038E-2</v>
      </c>
      <c r="F390" s="104">
        <v>20120</v>
      </c>
      <c r="G390" s="115">
        <v>4133</v>
      </c>
      <c r="H390" s="115">
        <v>15987</v>
      </c>
      <c r="I390" s="116" t="s">
        <v>108</v>
      </c>
    </row>
    <row r="391" spans="1:9" ht="15.5" x14ac:dyDescent="0.35">
      <c r="A391" s="93">
        <v>44279</v>
      </c>
      <c r="B391" s="96">
        <v>12742</v>
      </c>
      <c r="C391" s="96">
        <v>1726</v>
      </c>
      <c r="D391" s="107">
        <f t="shared" si="0"/>
        <v>11016</v>
      </c>
      <c r="E391" s="108">
        <f t="shared" si="1"/>
        <v>0.13545754198712917</v>
      </c>
      <c r="F391" s="104">
        <v>15928</v>
      </c>
      <c r="G391" s="115">
        <v>3326</v>
      </c>
      <c r="H391" s="115">
        <v>12602</v>
      </c>
      <c r="I391" s="116" t="s">
        <v>235</v>
      </c>
    </row>
    <row r="392" spans="1:9" ht="15.5" x14ac:dyDescent="0.35">
      <c r="A392" s="93">
        <v>44280</v>
      </c>
      <c r="B392" s="96">
        <v>13080</v>
      </c>
      <c r="C392" s="96">
        <v>1381</v>
      </c>
      <c r="D392" s="107">
        <f t="shared" si="0"/>
        <v>11699</v>
      </c>
      <c r="E392" s="108">
        <f t="shared" si="1"/>
        <v>0.10558103975535169</v>
      </c>
      <c r="F392" s="104">
        <v>16350</v>
      </c>
      <c r="G392" s="115">
        <v>3064</v>
      </c>
      <c r="H392" s="115">
        <v>13286</v>
      </c>
      <c r="I392" s="116" t="s">
        <v>201</v>
      </c>
    </row>
    <row r="393" spans="1:9" ht="15.5" x14ac:dyDescent="0.35">
      <c r="A393" s="93">
        <v>44281</v>
      </c>
      <c r="B393" s="96">
        <v>13086</v>
      </c>
      <c r="C393" s="96">
        <v>1354</v>
      </c>
      <c r="D393" s="107">
        <f t="shared" si="0"/>
        <v>11732</v>
      </c>
      <c r="E393" s="108">
        <f t="shared" si="1"/>
        <v>0.10346935656426716</v>
      </c>
      <c r="F393" s="96">
        <v>16714</v>
      </c>
      <c r="G393" s="97">
        <v>3259</v>
      </c>
      <c r="H393" s="97">
        <v>13455</v>
      </c>
      <c r="I393" s="98" t="s">
        <v>301</v>
      </c>
    </row>
    <row r="394" spans="1:9" ht="15.5" x14ac:dyDescent="0.35">
      <c r="A394" s="93">
        <v>44282</v>
      </c>
      <c r="B394" s="96">
        <v>12292</v>
      </c>
      <c r="C394" s="96">
        <v>1470</v>
      </c>
      <c r="D394" s="107">
        <f t="shared" si="0"/>
        <v>10822</v>
      </c>
      <c r="E394" s="108">
        <f t="shared" si="1"/>
        <v>0.11958997722095673</v>
      </c>
      <c r="F394" s="104">
        <v>15365</v>
      </c>
      <c r="G394" s="115">
        <v>2520</v>
      </c>
      <c r="H394" s="115">
        <v>12845</v>
      </c>
      <c r="I394" s="116" t="s">
        <v>199</v>
      </c>
    </row>
    <row r="395" spans="1:9" ht="15.5" x14ac:dyDescent="0.35">
      <c r="A395" s="93">
        <v>44283</v>
      </c>
      <c r="B395" s="96">
        <v>7497</v>
      </c>
      <c r="C395" s="96">
        <v>1014</v>
      </c>
      <c r="D395" s="107">
        <f t="shared" si="0"/>
        <v>6483</v>
      </c>
      <c r="E395" s="108">
        <f t="shared" si="1"/>
        <v>0.13525410164065627</v>
      </c>
      <c r="F395" s="96">
        <v>9372</v>
      </c>
      <c r="G395" s="97">
        <v>1373</v>
      </c>
      <c r="H395" s="97">
        <f>F395-G395</f>
        <v>7999</v>
      </c>
      <c r="I395" s="98">
        <f>G395/F395</f>
        <v>0.14650021340162186</v>
      </c>
    </row>
    <row r="396" spans="1:9" ht="15.5" x14ac:dyDescent="0.35">
      <c r="A396" s="93">
        <v>44284</v>
      </c>
      <c r="B396" s="96">
        <v>11412</v>
      </c>
      <c r="C396" s="96">
        <v>384</v>
      </c>
      <c r="D396" s="107">
        <f t="shared" si="0"/>
        <v>11028</v>
      </c>
      <c r="E396" s="108">
        <f t="shared" si="1"/>
        <v>3.3648790746582544E-2</v>
      </c>
      <c r="F396" s="96">
        <v>14632</v>
      </c>
      <c r="G396" s="97">
        <v>2722</v>
      </c>
      <c r="H396" s="97">
        <v>11910</v>
      </c>
      <c r="I396" s="98" t="s">
        <v>302</v>
      </c>
    </row>
    <row r="397" spans="1:9" ht="15.5" x14ac:dyDescent="0.35">
      <c r="A397" s="93">
        <v>44285</v>
      </c>
      <c r="B397" s="96">
        <v>13420</v>
      </c>
      <c r="C397" s="96">
        <v>965</v>
      </c>
      <c r="D397" s="107">
        <f t="shared" si="0"/>
        <v>12455</v>
      </c>
      <c r="E397" s="108">
        <f t="shared" si="1"/>
        <v>7.1907600596125193E-2</v>
      </c>
      <c r="F397" s="104">
        <v>16366</v>
      </c>
      <c r="G397" s="115">
        <v>3120</v>
      </c>
      <c r="H397" s="115">
        <v>13246</v>
      </c>
      <c r="I397" s="116" t="s">
        <v>213</v>
      </c>
    </row>
    <row r="398" spans="1:9" ht="15.5" x14ac:dyDescent="0.35">
      <c r="A398" s="93">
        <v>44286</v>
      </c>
      <c r="B398" s="96">
        <v>12124</v>
      </c>
      <c r="C398" s="96">
        <v>1337</v>
      </c>
      <c r="D398" s="107">
        <f t="shared" si="0"/>
        <v>10787</v>
      </c>
      <c r="E398" s="108">
        <f t="shared" si="1"/>
        <v>0.11027713625866051</v>
      </c>
      <c r="F398" s="104">
        <v>15156</v>
      </c>
      <c r="G398" s="115">
        <v>2822</v>
      </c>
      <c r="H398" s="115">
        <v>12334</v>
      </c>
      <c r="I398" s="116" t="s">
        <v>302</v>
      </c>
    </row>
    <row r="399" spans="1:9" ht="15.5" x14ac:dyDescent="0.35">
      <c r="A399" s="93">
        <v>44287</v>
      </c>
      <c r="B399" s="96">
        <v>11141</v>
      </c>
      <c r="C399" s="96">
        <v>1240</v>
      </c>
      <c r="D399" s="107">
        <f t="shared" si="0"/>
        <v>9901</v>
      </c>
      <c r="E399" s="108">
        <f t="shared" si="1"/>
        <v>0.11130060138228166</v>
      </c>
      <c r="F399" s="104">
        <v>13927</v>
      </c>
      <c r="G399" s="115">
        <v>2485</v>
      </c>
      <c r="H399" s="115">
        <v>11442</v>
      </c>
      <c r="I399" s="116" t="s">
        <v>188</v>
      </c>
    </row>
    <row r="400" spans="1:9" ht="15.5" x14ac:dyDescent="0.35">
      <c r="A400" s="93">
        <v>44288</v>
      </c>
      <c r="B400" s="96">
        <v>7516</v>
      </c>
      <c r="C400" s="96">
        <v>1098</v>
      </c>
      <c r="D400" s="107">
        <f t="shared" si="0"/>
        <v>6418</v>
      </c>
      <c r="E400" s="108">
        <f t="shared" si="1"/>
        <v>0.14608834486428951</v>
      </c>
      <c r="F400" s="96">
        <v>9396</v>
      </c>
      <c r="G400" s="97">
        <v>1478</v>
      </c>
      <c r="H400" s="97">
        <f>F400-G400</f>
        <v>7918</v>
      </c>
      <c r="I400" s="98">
        <f>G400/F400</f>
        <v>0.15730097914005961</v>
      </c>
    </row>
    <row r="401" spans="1:9" ht="15.5" x14ac:dyDescent="0.35">
      <c r="A401" s="93">
        <v>44289</v>
      </c>
      <c r="B401" s="96">
        <v>7694</v>
      </c>
      <c r="C401" s="96">
        <v>736</v>
      </c>
      <c r="D401" s="107">
        <f t="shared" si="0"/>
        <v>6958</v>
      </c>
      <c r="E401" s="108">
        <f t="shared" si="1"/>
        <v>9.5658955029893425E-2</v>
      </c>
      <c r="F401" s="104">
        <v>10124</v>
      </c>
      <c r="G401" s="115">
        <v>1744</v>
      </c>
      <c r="H401" s="115">
        <v>8380</v>
      </c>
      <c r="I401" s="116" t="s">
        <v>206</v>
      </c>
    </row>
    <row r="402" spans="1:9" ht="15.5" x14ac:dyDescent="0.35">
      <c r="A402" s="93">
        <v>44290</v>
      </c>
      <c r="B402" s="96">
        <v>7333</v>
      </c>
      <c r="C402" s="96">
        <v>523</v>
      </c>
      <c r="D402" s="107">
        <f t="shared" si="0"/>
        <v>6810</v>
      </c>
      <c r="E402" s="108">
        <f t="shared" si="1"/>
        <v>7.1321423701077316E-2</v>
      </c>
      <c r="F402" s="104">
        <v>9778</v>
      </c>
      <c r="G402" s="105">
        <v>1785</v>
      </c>
      <c r="H402" s="105">
        <f>F402-G402</f>
        <v>7993</v>
      </c>
      <c r="I402" s="106">
        <f>G402/F402</f>
        <v>0.18255266925751687</v>
      </c>
    </row>
    <row r="403" spans="1:9" ht="15.5" x14ac:dyDescent="0.35">
      <c r="A403" s="93">
        <v>44291</v>
      </c>
      <c r="B403" s="96">
        <v>12620</v>
      </c>
      <c r="C403" s="96">
        <v>487</v>
      </c>
      <c r="D403" s="107">
        <f t="shared" si="0"/>
        <v>12133</v>
      </c>
      <c r="E403" s="108">
        <f t="shared" si="1"/>
        <v>3.8589540412044376E-2</v>
      </c>
      <c r="F403" s="96">
        <v>15776</v>
      </c>
      <c r="G403" s="97">
        <v>2821</v>
      </c>
      <c r="H403" s="97">
        <v>12955</v>
      </c>
      <c r="I403" s="98">
        <v>0.17899999999999999</v>
      </c>
    </row>
    <row r="404" spans="1:9" ht="15.5" x14ac:dyDescent="0.35">
      <c r="A404" s="93">
        <v>44292</v>
      </c>
      <c r="B404" s="96">
        <v>12096</v>
      </c>
      <c r="C404" s="96">
        <v>862</v>
      </c>
      <c r="D404" s="107">
        <f t="shared" si="0"/>
        <v>11234</v>
      </c>
      <c r="E404" s="108">
        <f t="shared" si="1"/>
        <v>7.1263227513227514E-2</v>
      </c>
      <c r="F404" s="96">
        <v>15918</v>
      </c>
      <c r="G404" s="97">
        <v>2688</v>
      </c>
      <c r="H404" s="97">
        <v>13230</v>
      </c>
      <c r="I404" s="98" t="s">
        <v>117</v>
      </c>
    </row>
    <row r="405" spans="1:9" ht="15.5" x14ac:dyDescent="0.35">
      <c r="A405" s="93">
        <v>44293</v>
      </c>
      <c r="B405" s="96">
        <v>9603</v>
      </c>
      <c r="C405" s="96">
        <v>1239</v>
      </c>
      <c r="D405" s="107">
        <f t="shared" si="0"/>
        <v>8364</v>
      </c>
      <c r="E405" s="108">
        <f t="shared" si="1"/>
        <v>0.12902218056857231</v>
      </c>
      <c r="F405" s="96">
        <v>13296</v>
      </c>
      <c r="G405" s="97">
        <v>2307</v>
      </c>
      <c r="H405" s="97">
        <v>10989</v>
      </c>
      <c r="I405" s="98" t="s">
        <v>221</v>
      </c>
    </row>
    <row r="406" spans="1:9" ht="15.5" x14ac:dyDescent="0.35">
      <c r="A406" s="93">
        <v>44294</v>
      </c>
      <c r="B406" s="96">
        <v>10548</v>
      </c>
      <c r="C406" s="96">
        <v>1013</v>
      </c>
      <c r="D406" s="107">
        <f t="shared" si="0"/>
        <v>9535</v>
      </c>
      <c r="E406" s="108">
        <f t="shared" si="1"/>
        <v>9.6037163443306789E-2</v>
      </c>
      <c r="F406" s="96">
        <v>16708</v>
      </c>
      <c r="G406" s="97">
        <v>2363</v>
      </c>
      <c r="H406" s="97">
        <v>14345</v>
      </c>
      <c r="I406" s="98" t="s">
        <v>183</v>
      </c>
    </row>
    <row r="407" spans="1:9" ht="15.5" x14ac:dyDescent="0.35">
      <c r="A407" s="93">
        <v>44295</v>
      </c>
      <c r="B407" s="96">
        <v>10442</v>
      </c>
      <c r="C407" s="96">
        <v>977</v>
      </c>
      <c r="D407" s="107">
        <f t="shared" si="0"/>
        <v>9465</v>
      </c>
      <c r="E407" s="108">
        <f t="shared" si="1"/>
        <v>9.356445125454893E-2</v>
      </c>
      <c r="F407" s="96">
        <v>16208</v>
      </c>
      <c r="G407" s="97">
        <v>2356</v>
      </c>
      <c r="H407" s="97">
        <v>13852</v>
      </c>
      <c r="I407" s="98" t="s">
        <v>217</v>
      </c>
    </row>
    <row r="408" spans="1:9" ht="15.5" x14ac:dyDescent="0.35">
      <c r="A408" s="93">
        <v>44296</v>
      </c>
      <c r="B408" s="96">
        <v>8868</v>
      </c>
      <c r="C408" s="96">
        <v>1031</v>
      </c>
      <c r="D408" s="107">
        <f t="shared" si="0"/>
        <v>7837</v>
      </c>
      <c r="E408" s="108">
        <f t="shared" si="1"/>
        <v>0.11626071267478574</v>
      </c>
      <c r="F408" s="96">
        <v>14245</v>
      </c>
      <c r="G408" s="97">
        <v>1818</v>
      </c>
      <c r="H408" s="97">
        <v>12427</v>
      </c>
      <c r="I408" s="98" t="s">
        <v>226</v>
      </c>
    </row>
    <row r="409" spans="1:9" ht="15.5" x14ac:dyDescent="0.35">
      <c r="A409" s="93">
        <v>44297</v>
      </c>
      <c r="B409" s="96">
        <v>7265</v>
      </c>
      <c r="C409" s="96">
        <v>692</v>
      </c>
      <c r="D409" s="107">
        <f t="shared" si="0"/>
        <v>6573</v>
      </c>
      <c r="E409" s="108">
        <f t="shared" si="1"/>
        <v>9.5251204404679976E-2</v>
      </c>
      <c r="F409" s="104">
        <v>9082</v>
      </c>
      <c r="G409" s="105">
        <v>1213</v>
      </c>
      <c r="H409" s="105">
        <f>F409-G409</f>
        <v>7869</v>
      </c>
      <c r="I409" s="106">
        <f>G409/F409</f>
        <v>0.13356088967187843</v>
      </c>
    </row>
    <row r="410" spans="1:9" ht="15.5" x14ac:dyDescent="0.35">
      <c r="A410" s="93">
        <v>44298</v>
      </c>
      <c r="B410" s="96">
        <v>7576</v>
      </c>
      <c r="C410" s="96">
        <v>828</v>
      </c>
      <c r="D410" s="107">
        <f t="shared" si="0"/>
        <v>6748</v>
      </c>
      <c r="E410" s="108">
        <f t="shared" si="1"/>
        <v>0.10929250263991552</v>
      </c>
      <c r="F410" s="96">
        <v>14487</v>
      </c>
      <c r="G410" s="97">
        <v>2357</v>
      </c>
      <c r="H410" s="97">
        <v>12130</v>
      </c>
      <c r="I410" s="98" t="s">
        <v>192</v>
      </c>
    </row>
    <row r="411" spans="1:9" ht="15.5" x14ac:dyDescent="0.35">
      <c r="A411" s="93">
        <v>44299</v>
      </c>
      <c r="B411" s="96">
        <v>12934</v>
      </c>
      <c r="C411" s="96">
        <v>661</v>
      </c>
      <c r="D411" s="107">
        <f t="shared" si="0"/>
        <v>12273</v>
      </c>
      <c r="E411" s="108">
        <f t="shared" si="1"/>
        <v>5.1105613112726149E-2</v>
      </c>
      <c r="F411" s="104">
        <v>20115</v>
      </c>
      <c r="G411" s="115">
        <v>3460</v>
      </c>
      <c r="H411" s="115">
        <v>16655</v>
      </c>
      <c r="I411" s="116" t="s">
        <v>206</v>
      </c>
    </row>
    <row r="412" spans="1:9" ht="15.5" x14ac:dyDescent="0.35">
      <c r="A412" s="93">
        <v>44300</v>
      </c>
      <c r="B412" s="96">
        <v>10673</v>
      </c>
      <c r="C412" s="96">
        <v>1330</v>
      </c>
      <c r="D412" s="107">
        <f t="shared" si="0"/>
        <v>9343</v>
      </c>
      <c r="E412" s="108">
        <f t="shared" si="1"/>
        <v>0.12461351072800525</v>
      </c>
      <c r="F412" s="96">
        <v>16048</v>
      </c>
      <c r="G412" s="97">
        <v>2723</v>
      </c>
      <c r="H412" s="97">
        <v>13325</v>
      </c>
      <c r="I412" s="98" t="s">
        <v>223</v>
      </c>
    </row>
    <row r="413" spans="1:9" ht="15.5" x14ac:dyDescent="0.35">
      <c r="A413" s="93">
        <v>44301</v>
      </c>
      <c r="B413" s="96">
        <v>11191</v>
      </c>
      <c r="C413" s="96">
        <v>979</v>
      </c>
      <c r="D413" s="107">
        <f t="shared" si="0"/>
        <v>10212</v>
      </c>
      <c r="E413" s="108">
        <f t="shared" si="1"/>
        <v>8.7481011527120012E-2</v>
      </c>
      <c r="F413" s="104">
        <v>16409</v>
      </c>
      <c r="G413" s="115">
        <v>2576</v>
      </c>
      <c r="H413" s="115">
        <v>13833</v>
      </c>
      <c r="I413" s="116" t="s">
        <v>214</v>
      </c>
    </row>
    <row r="414" spans="1:9" ht="15.5" x14ac:dyDescent="0.35">
      <c r="A414" s="93">
        <v>44302</v>
      </c>
      <c r="B414" s="96">
        <v>10823</v>
      </c>
      <c r="C414" s="96">
        <v>1037</v>
      </c>
      <c r="D414" s="107">
        <f t="shared" si="0"/>
        <v>9786</v>
      </c>
      <c r="E414" s="108">
        <f t="shared" si="1"/>
        <v>9.581446918599279E-2</v>
      </c>
      <c r="F414" s="104">
        <v>14451</v>
      </c>
      <c r="G414" s="115">
        <v>2115</v>
      </c>
      <c r="H414" s="115">
        <v>12336</v>
      </c>
      <c r="I414" s="116" t="s">
        <v>303</v>
      </c>
    </row>
    <row r="415" spans="1:9" ht="15.5" x14ac:dyDescent="0.35">
      <c r="A415" s="93">
        <v>44303</v>
      </c>
      <c r="B415" s="96">
        <v>6749</v>
      </c>
      <c r="C415" s="96">
        <v>950</v>
      </c>
      <c r="D415" s="107">
        <f t="shared" si="0"/>
        <v>5799</v>
      </c>
      <c r="E415" s="108">
        <f t="shared" si="1"/>
        <v>0.14076159431026819</v>
      </c>
      <c r="F415" s="104">
        <v>11844</v>
      </c>
      <c r="G415" s="115">
        <v>1964</v>
      </c>
      <c r="H415" s="115">
        <v>9880</v>
      </c>
      <c r="I415" s="116" t="s">
        <v>218</v>
      </c>
    </row>
    <row r="416" spans="1:9" ht="15.5" x14ac:dyDescent="0.35">
      <c r="A416" s="93">
        <v>44304</v>
      </c>
      <c r="B416" s="96">
        <v>8565</v>
      </c>
      <c r="C416" s="96">
        <v>973</v>
      </c>
      <c r="D416" s="107">
        <f t="shared" si="0"/>
        <v>7592</v>
      </c>
      <c r="E416" s="108">
        <f t="shared" si="1"/>
        <v>0.11360186806771745</v>
      </c>
      <c r="F416" s="104">
        <v>11099</v>
      </c>
      <c r="G416" s="115">
        <v>1551</v>
      </c>
      <c r="H416" s="115">
        <v>9548</v>
      </c>
      <c r="I416" s="116" t="s">
        <v>124</v>
      </c>
    </row>
    <row r="417" spans="1:9" ht="15.5" x14ac:dyDescent="0.35">
      <c r="A417" s="93">
        <v>44305</v>
      </c>
      <c r="B417" s="96">
        <v>8601</v>
      </c>
      <c r="C417" s="96">
        <v>460</v>
      </c>
      <c r="D417" s="107">
        <f t="shared" si="0"/>
        <v>8141</v>
      </c>
      <c r="E417" s="108">
        <f t="shared" si="1"/>
        <v>5.3482153237995579E-2</v>
      </c>
      <c r="F417" s="96">
        <v>13690</v>
      </c>
      <c r="G417" s="97">
        <v>2083</v>
      </c>
      <c r="H417" s="97">
        <v>11607</v>
      </c>
      <c r="I417" s="98" t="s">
        <v>184</v>
      </c>
    </row>
    <row r="418" spans="1:9" ht="15.5" x14ac:dyDescent="0.35">
      <c r="A418" s="93">
        <v>44306</v>
      </c>
      <c r="B418" s="96">
        <v>11434</v>
      </c>
      <c r="C418" s="96">
        <v>602</v>
      </c>
      <c r="D418" s="107">
        <f t="shared" si="0"/>
        <v>10832</v>
      </c>
      <c r="E418" s="108">
        <f t="shared" si="1"/>
        <v>5.2649991254154274E-2</v>
      </c>
      <c r="F418" s="104">
        <v>14525</v>
      </c>
      <c r="G418" s="105">
        <v>2487</v>
      </c>
      <c r="H418" s="105">
        <v>12038</v>
      </c>
      <c r="I418" s="106" t="s">
        <v>224</v>
      </c>
    </row>
    <row r="419" spans="1:9" ht="15.5" x14ac:dyDescent="0.35">
      <c r="A419" s="93">
        <v>44307</v>
      </c>
      <c r="B419" s="96">
        <v>10519</v>
      </c>
      <c r="C419" s="96">
        <v>1266</v>
      </c>
      <c r="D419" s="107">
        <f t="shared" si="0"/>
        <v>9253</v>
      </c>
      <c r="E419" s="108">
        <f t="shared" si="1"/>
        <v>0.12035364578381975</v>
      </c>
      <c r="F419" s="96">
        <v>12904</v>
      </c>
      <c r="G419" s="97">
        <v>1863</v>
      </c>
      <c r="H419" s="97">
        <v>11041</v>
      </c>
      <c r="I419" s="98" t="s">
        <v>127</v>
      </c>
    </row>
    <row r="420" spans="1:9" ht="15.5" x14ac:dyDescent="0.35">
      <c r="A420" s="93">
        <v>44308</v>
      </c>
      <c r="B420" s="96">
        <v>8671</v>
      </c>
      <c r="C420" s="96">
        <v>884</v>
      </c>
      <c r="D420" s="107">
        <f t="shared" si="0"/>
        <v>7787</v>
      </c>
      <c r="E420" s="108">
        <f t="shared" si="1"/>
        <v>0.10194902548725637</v>
      </c>
      <c r="F420" s="96">
        <v>13863</v>
      </c>
      <c r="G420" s="97">
        <v>2054</v>
      </c>
      <c r="H420" s="97">
        <v>11809</v>
      </c>
      <c r="I420" s="98" t="s">
        <v>220</v>
      </c>
    </row>
    <row r="421" spans="1:9" ht="15.5" x14ac:dyDescent="0.35">
      <c r="A421" s="93">
        <v>44309</v>
      </c>
      <c r="B421" s="96">
        <v>9747</v>
      </c>
      <c r="C421" s="96">
        <v>907</v>
      </c>
      <c r="D421" s="107">
        <f t="shared" si="0"/>
        <v>8840</v>
      </c>
      <c r="E421" s="108">
        <f t="shared" si="1"/>
        <v>9.3054273109674776E-2</v>
      </c>
      <c r="F421" s="96">
        <v>14348</v>
      </c>
      <c r="G421" s="97">
        <v>2382</v>
      </c>
      <c r="H421" s="97">
        <v>11966</v>
      </c>
      <c r="I421" s="98" t="s">
        <v>218</v>
      </c>
    </row>
    <row r="422" spans="1:9" ht="15.5" x14ac:dyDescent="0.35">
      <c r="A422" s="93">
        <v>44310</v>
      </c>
      <c r="B422" s="96">
        <v>7851</v>
      </c>
      <c r="C422" s="96">
        <v>896</v>
      </c>
      <c r="D422" s="107">
        <f t="shared" si="0"/>
        <v>6955</v>
      </c>
      <c r="E422" s="108">
        <f t="shared" si="1"/>
        <v>0.11412558909693032</v>
      </c>
      <c r="F422" s="96">
        <v>13980</v>
      </c>
      <c r="G422" s="97">
        <v>2245</v>
      </c>
      <c r="H422" s="97">
        <v>11735</v>
      </c>
      <c r="I422" s="98">
        <v>0.161</v>
      </c>
    </row>
    <row r="423" spans="1:9" ht="15.5" x14ac:dyDescent="0.35">
      <c r="A423" s="93">
        <v>44311</v>
      </c>
      <c r="B423" s="96">
        <v>6846</v>
      </c>
      <c r="C423" s="96">
        <v>749</v>
      </c>
      <c r="D423" s="107">
        <f t="shared" si="0"/>
        <v>6097</v>
      </c>
      <c r="E423" s="108">
        <f t="shared" si="1"/>
        <v>0.10940695296523517</v>
      </c>
      <c r="F423" s="96">
        <v>8558</v>
      </c>
      <c r="G423" s="97">
        <v>1480</v>
      </c>
      <c r="H423" s="97">
        <f>F423-G423</f>
        <v>7078</v>
      </c>
      <c r="I423" s="98">
        <f>G423/F423</f>
        <v>0.17293760224351484</v>
      </c>
    </row>
    <row r="424" spans="1:9" ht="15.5" x14ac:dyDescent="0.35">
      <c r="A424" s="93">
        <v>44312</v>
      </c>
      <c r="B424" s="96">
        <v>7856</v>
      </c>
      <c r="C424" s="96">
        <v>393</v>
      </c>
      <c r="D424" s="107">
        <f t="shared" si="0"/>
        <v>7463</v>
      </c>
      <c r="E424" s="108">
        <f t="shared" si="1"/>
        <v>5.0025458248472508E-2</v>
      </c>
      <c r="F424" s="96">
        <v>14746</v>
      </c>
      <c r="G424" s="97">
        <v>2253</v>
      </c>
      <c r="H424" s="97">
        <v>12493</v>
      </c>
      <c r="I424" s="98">
        <v>0.153</v>
      </c>
    </row>
    <row r="425" spans="1:9" ht="15.5" x14ac:dyDescent="0.35">
      <c r="A425" s="93">
        <v>44313</v>
      </c>
      <c r="B425" s="96">
        <v>10830</v>
      </c>
      <c r="C425" s="96">
        <v>639</v>
      </c>
      <c r="D425" s="107">
        <f t="shared" si="0"/>
        <v>10191</v>
      </c>
      <c r="E425" s="108">
        <f t="shared" si="1"/>
        <v>5.9002770083102493E-2</v>
      </c>
      <c r="F425" s="96">
        <v>14992</v>
      </c>
      <c r="G425" s="97">
        <v>2325</v>
      </c>
      <c r="H425" s="97">
        <v>12667</v>
      </c>
      <c r="I425" s="98">
        <v>0.155</v>
      </c>
    </row>
    <row r="426" spans="1:9" ht="15.5" x14ac:dyDescent="0.35">
      <c r="A426" s="93">
        <v>44314</v>
      </c>
      <c r="B426" s="96">
        <v>9559</v>
      </c>
      <c r="C426" s="96">
        <v>987</v>
      </c>
      <c r="D426" s="107">
        <f t="shared" si="0"/>
        <v>8572</v>
      </c>
      <c r="E426" s="108">
        <f t="shared" si="1"/>
        <v>0.10325347839732189</v>
      </c>
      <c r="F426" s="96">
        <v>12120</v>
      </c>
      <c r="G426" s="97">
        <v>1863</v>
      </c>
      <c r="H426" s="97">
        <v>10257</v>
      </c>
      <c r="I426" s="98">
        <v>0.154</v>
      </c>
    </row>
    <row r="427" spans="1:9" ht="15.5" x14ac:dyDescent="0.35">
      <c r="A427" s="93">
        <v>44315</v>
      </c>
      <c r="B427" s="96">
        <v>9712</v>
      </c>
      <c r="C427" s="96">
        <v>789</v>
      </c>
      <c r="D427" s="107">
        <f t="shared" si="0"/>
        <v>8923</v>
      </c>
      <c r="E427" s="108">
        <f t="shared" si="1"/>
        <v>8.1239703459637561E-2</v>
      </c>
      <c r="F427" s="96">
        <v>14576</v>
      </c>
      <c r="G427" s="97">
        <v>2600</v>
      </c>
      <c r="H427" s="97">
        <v>11976</v>
      </c>
      <c r="I427" s="98">
        <v>0.17799999999999999</v>
      </c>
    </row>
    <row r="428" spans="1:9" ht="15.5" x14ac:dyDescent="0.35">
      <c r="A428" s="93">
        <v>44316</v>
      </c>
      <c r="B428" s="96">
        <v>9962</v>
      </c>
      <c r="C428" s="96">
        <v>926</v>
      </c>
      <c r="D428" s="107">
        <f t="shared" si="0"/>
        <v>9036</v>
      </c>
      <c r="E428" s="108">
        <f t="shared" si="1"/>
        <v>9.2953222244529204E-2</v>
      </c>
      <c r="F428" s="96">
        <v>17048</v>
      </c>
      <c r="G428" s="97">
        <v>2163</v>
      </c>
      <c r="H428" s="97">
        <v>14885</v>
      </c>
      <c r="I428" s="98">
        <v>0.127</v>
      </c>
    </row>
    <row r="429" spans="1:9" ht="15.5" x14ac:dyDescent="0.35">
      <c r="A429" s="93">
        <v>44317</v>
      </c>
      <c r="B429" s="96">
        <v>6957</v>
      </c>
      <c r="C429" s="96">
        <v>854</v>
      </c>
      <c r="D429" s="107">
        <f t="shared" si="0"/>
        <v>6103</v>
      </c>
      <c r="E429" s="108">
        <f t="shared" si="1"/>
        <v>0.12275406065832974</v>
      </c>
      <c r="F429" s="96">
        <v>11590</v>
      </c>
      <c r="G429" s="97">
        <v>2128</v>
      </c>
      <c r="H429" s="97">
        <v>9462</v>
      </c>
      <c r="I429" s="98">
        <v>0.184</v>
      </c>
    </row>
    <row r="430" spans="1:9" ht="15.5" x14ac:dyDescent="0.35">
      <c r="A430" s="93">
        <v>44318</v>
      </c>
      <c r="B430" s="96">
        <v>6765</v>
      </c>
      <c r="C430" s="96">
        <v>757</v>
      </c>
      <c r="D430" s="107">
        <f t="shared" si="0"/>
        <v>6008</v>
      </c>
      <c r="E430" s="108">
        <f t="shared" si="1"/>
        <v>0.11189948263118994</v>
      </c>
      <c r="F430" s="96">
        <v>9020</v>
      </c>
      <c r="G430" s="97">
        <v>888</v>
      </c>
      <c r="H430" s="97">
        <f>F430-G430</f>
        <v>8132</v>
      </c>
      <c r="I430" s="98">
        <f>G430/F430</f>
        <v>9.8447893569844791E-2</v>
      </c>
    </row>
    <row r="431" spans="1:9" ht="15.5" x14ac:dyDescent="0.35">
      <c r="A431" s="93">
        <v>44319</v>
      </c>
      <c r="B431" s="96">
        <v>8154</v>
      </c>
      <c r="C431" s="96">
        <v>416</v>
      </c>
      <c r="D431" s="107">
        <f t="shared" si="0"/>
        <v>7738</v>
      </c>
      <c r="E431" s="108">
        <f t="shared" si="1"/>
        <v>5.1017905322541086E-2</v>
      </c>
      <c r="F431" s="104">
        <v>17082</v>
      </c>
      <c r="G431" s="105">
        <v>2275</v>
      </c>
      <c r="H431" s="105">
        <v>14807</v>
      </c>
      <c r="I431" s="106">
        <v>0.13300000000000001</v>
      </c>
    </row>
    <row r="432" spans="1:9" ht="15.5" x14ac:dyDescent="0.35">
      <c r="A432" s="93">
        <v>44320</v>
      </c>
      <c r="B432" s="96">
        <v>10686</v>
      </c>
      <c r="C432" s="96">
        <v>845</v>
      </c>
      <c r="D432" s="107">
        <f t="shared" si="0"/>
        <v>9841</v>
      </c>
      <c r="E432" s="108">
        <f t="shared" si="1"/>
        <v>7.9075425790754258E-2</v>
      </c>
      <c r="F432" s="104">
        <v>17285</v>
      </c>
      <c r="G432" s="105">
        <v>2448</v>
      </c>
      <c r="H432" s="105">
        <v>14837</v>
      </c>
      <c r="I432" s="106">
        <v>0.14199999999999999</v>
      </c>
    </row>
    <row r="433" spans="1:9" ht="15.5" x14ac:dyDescent="0.35">
      <c r="A433" s="93">
        <v>44321</v>
      </c>
      <c r="B433" s="96">
        <v>11480</v>
      </c>
      <c r="C433" s="96">
        <v>905</v>
      </c>
      <c r="D433" s="107">
        <f t="shared" si="0"/>
        <v>10575</v>
      </c>
      <c r="E433" s="108">
        <f t="shared" si="1"/>
        <v>7.8832752613240423E-2</v>
      </c>
      <c r="F433" s="96">
        <v>16710</v>
      </c>
      <c r="G433" s="97">
        <v>2208</v>
      </c>
      <c r="H433" s="97">
        <v>14502</v>
      </c>
      <c r="I433" s="117" t="s">
        <v>130</v>
      </c>
    </row>
    <row r="434" spans="1:9" ht="15.5" x14ac:dyDescent="0.35">
      <c r="A434" s="93">
        <v>44322</v>
      </c>
      <c r="B434" s="96">
        <v>10752</v>
      </c>
      <c r="C434" s="96">
        <v>783</v>
      </c>
      <c r="D434" s="107">
        <f t="shared" si="0"/>
        <v>9969</v>
      </c>
      <c r="E434" s="108">
        <f t="shared" si="1"/>
        <v>7.2823660714285712E-2</v>
      </c>
      <c r="F434" s="96">
        <v>17747</v>
      </c>
      <c r="G434" s="97">
        <v>2114</v>
      </c>
      <c r="H434" s="97">
        <v>15633</v>
      </c>
      <c r="I434" s="117" t="s">
        <v>304</v>
      </c>
    </row>
    <row r="435" spans="1:9" ht="15.5" x14ac:dyDescent="0.35">
      <c r="A435" s="93">
        <v>44323</v>
      </c>
      <c r="B435" s="96">
        <v>9612</v>
      </c>
      <c r="C435" s="96">
        <v>732</v>
      </c>
      <c r="D435" s="107">
        <f t="shared" si="0"/>
        <v>8880</v>
      </c>
      <c r="E435" s="108">
        <f t="shared" si="1"/>
        <v>7.6154806491885149E-2</v>
      </c>
      <c r="F435" s="96">
        <v>15473</v>
      </c>
      <c r="G435" s="97">
        <v>2196</v>
      </c>
      <c r="H435" s="97">
        <v>13277</v>
      </c>
      <c r="I435" s="117" t="s">
        <v>305</v>
      </c>
    </row>
    <row r="436" spans="1:9" ht="15.5" x14ac:dyDescent="0.35">
      <c r="A436" s="93">
        <v>44324</v>
      </c>
      <c r="B436" s="96">
        <v>8206</v>
      </c>
      <c r="C436" s="96">
        <v>809</v>
      </c>
      <c r="D436" s="107">
        <f t="shared" si="0"/>
        <v>7397</v>
      </c>
      <c r="E436" s="108">
        <f t="shared" si="1"/>
        <v>9.8586400194979287E-2</v>
      </c>
      <c r="F436" s="96">
        <v>13267</v>
      </c>
      <c r="G436" s="97">
        <v>1968</v>
      </c>
      <c r="H436" s="97">
        <v>11299</v>
      </c>
      <c r="I436" s="117" t="s">
        <v>220</v>
      </c>
    </row>
    <row r="437" spans="1:9" ht="15.5" x14ac:dyDescent="0.35">
      <c r="A437" s="93">
        <v>44325</v>
      </c>
      <c r="B437" s="96">
        <v>6910</v>
      </c>
      <c r="C437" s="96">
        <v>694</v>
      </c>
      <c r="D437" s="107">
        <f t="shared" si="0"/>
        <v>6216</v>
      </c>
      <c r="E437" s="108">
        <f t="shared" si="1"/>
        <v>0.10043415340086831</v>
      </c>
      <c r="F437" s="118">
        <v>9872</v>
      </c>
      <c r="G437" s="118">
        <v>2004</v>
      </c>
      <c r="H437" s="118">
        <f>F437-G437</f>
        <v>7868</v>
      </c>
      <c r="I437" s="116">
        <f>G437/F437</f>
        <v>0.20299837925445705</v>
      </c>
    </row>
    <row r="438" spans="1:9" ht="15.5" x14ac:dyDescent="0.35">
      <c r="A438" s="93">
        <v>44326</v>
      </c>
      <c r="B438" s="96">
        <v>6139</v>
      </c>
      <c r="C438" s="96">
        <v>406</v>
      </c>
      <c r="D438" s="107">
        <f t="shared" si="0"/>
        <v>5733</v>
      </c>
      <c r="E438" s="108">
        <f t="shared" si="1"/>
        <v>6.6134549600912196E-2</v>
      </c>
      <c r="F438" s="96">
        <v>9997</v>
      </c>
      <c r="G438" s="97">
        <v>1711</v>
      </c>
      <c r="H438" s="97">
        <v>8286</v>
      </c>
      <c r="I438" s="117" t="s">
        <v>224</v>
      </c>
    </row>
    <row r="439" spans="1:9" ht="15.5" x14ac:dyDescent="0.35">
      <c r="A439" s="93">
        <v>44327</v>
      </c>
      <c r="B439" s="96">
        <v>8182</v>
      </c>
      <c r="C439" s="96">
        <v>656</v>
      </c>
      <c r="D439" s="107">
        <f t="shared" si="0"/>
        <v>7526</v>
      </c>
      <c r="E439" s="108">
        <f t="shared" si="1"/>
        <v>8.0175996088975798E-2</v>
      </c>
      <c r="F439" s="104">
        <v>11689</v>
      </c>
      <c r="G439" s="105">
        <v>1640</v>
      </c>
      <c r="H439" s="118">
        <v>10049</v>
      </c>
      <c r="I439" s="116" t="s">
        <v>306</v>
      </c>
    </row>
    <row r="440" spans="1:9" ht="15.5" x14ac:dyDescent="0.35">
      <c r="A440" s="93">
        <v>44328</v>
      </c>
      <c r="B440" s="96">
        <v>8229</v>
      </c>
      <c r="C440" s="96">
        <v>785</v>
      </c>
      <c r="D440" s="107">
        <f t="shared" si="0"/>
        <v>7444</v>
      </c>
      <c r="E440" s="108">
        <f t="shared" si="1"/>
        <v>9.5394337100498244E-2</v>
      </c>
      <c r="F440" s="104">
        <v>11757</v>
      </c>
      <c r="G440" s="105">
        <v>1730</v>
      </c>
      <c r="H440" s="118">
        <v>10027</v>
      </c>
      <c r="I440" s="116" t="s">
        <v>307</v>
      </c>
    </row>
    <row r="441" spans="1:9" ht="15.5" x14ac:dyDescent="0.35">
      <c r="A441" s="93">
        <v>44329</v>
      </c>
      <c r="B441" s="96">
        <v>4590</v>
      </c>
      <c r="C441" s="96">
        <v>632</v>
      </c>
      <c r="D441" s="107">
        <f t="shared" si="0"/>
        <v>3958</v>
      </c>
      <c r="E441" s="108">
        <f t="shared" si="1"/>
        <v>0.13769063180827887</v>
      </c>
      <c r="F441" s="104">
        <v>6121</v>
      </c>
      <c r="G441" s="115">
        <v>923</v>
      </c>
      <c r="H441" s="115">
        <f t="shared" ref="H441:H444" si="2">F441-G441</f>
        <v>5198</v>
      </c>
      <c r="I441" s="116">
        <f t="shared" ref="I441:I444" si="3">G441/F441</f>
        <v>0.15079235419049175</v>
      </c>
    </row>
    <row r="442" spans="1:9" ht="15.5" x14ac:dyDescent="0.35">
      <c r="A442" s="93">
        <v>44330</v>
      </c>
      <c r="B442" s="96">
        <v>4032</v>
      </c>
      <c r="C442" s="96">
        <v>227</v>
      </c>
      <c r="D442" s="107">
        <f t="shared" si="0"/>
        <v>3805</v>
      </c>
      <c r="E442" s="108">
        <f t="shared" si="1"/>
        <v>5.6299603174603176E-2</v>
      </c>
      <c r="F442" s="104">
        <v>6056</v>
      </c>
      <c r="G442" s="115">
        <v>912</v>
      </c>
      <c r="H442" s="115">
        <f t="shared" si="2"/>
        <v>5144</v>
      </c>
      <c r="I442" s="116">
        <f t="shared" si="3"/>
        <v>0.15059445178335534</v>
      </c>
    </row>
    <row r="443" spans="1:9" ht="15.5" x14ac:dyDescent="0.35">
      <c r="A443" s="93">
        <v>44331</v>
      </c>
      <c r="B443" s="96">
        <v>3580</v>
      </c>
      <c r="C443" s="96">
        <v>161</v>
      </c>
      <c r="D443" s="107">
        <f t="shared" si="0"/>
        <v>3419</v>
      </c>
      <c r="E443" s="108">
        <f t="shared" si="1"/>
        <v>4.4972067039106146E-2</v>
      </c>
      <c r="F443" s="104">
        <v>6125</v>
      </c>
      <c r="G443" s="105">
        <v>907</v>
      </c>
      <c r="H443" s="115">
        <f t="shared" si="2"/>
        <v>5218</v>
      </c>
      <c r="I443" s="116">
        <f t="shared" si="3"/>
        <v>0.14808163265306123</v>
      </c>
    </row>
    <row r="444" spans="1:9" ht="15.5" x14ac:dyDescent="0.35">
      <c r="A444" s="93">
        <v>44332</v>
      </c>
      <c r="B444" s="96">
        <v>4361</v>
      </c>
      <c r="C444" s="96">
        <v>421</v>
      </c>
      <c r="D444" s="119">
        <f t="shared" si="0"/>
        <v>3940</v>
      </c>
      <c r="E444" s="120">
        <f t="shared" si="1"/>
        <v>9.6537491401054804E-2</v>
      </c>
      <c r="F444" s="104">
        <v>6230</v>
      </c>
      <c r="G444" s="115">
        <v>930</v>
      </c>
      <c r="H444" s="115">
        <f t="shared" si="2"/>
        <v>5300</v>
      </c>
      <c r="I444" s="116">
        <f t="shared" si="3"/>
        <v>0.1492776886035313</v>
      </c>
    </row>
    <row r="445" spans="1:9" ht="15.5" x14ac:dyDescent="0.35">
      <c r="A445" s="93">
        <v>44333</v>
      </c>
      <c r="B445" s="96">
        <v>4131</v>
      </c>
      <c r="C445" s="96">
        <v>291</v>
      </c>
      <c r="D445" s="107">
        <f t="shared" si="0"/>
        <v>3840</v>
      </c>
      <c r="E445" s="108">
        <f t="shared" si="1"/>
        <v>7.0442992011619465E-2</v>
      </c>
      <c r="F445" s="96">
        <v>11350</v>
      </c>
      <c r="G445" s="97">
        <v>1400</v>
      </c>
      <c r="H445" s="97">
        <v>9950</v>
      </c>
      <c r="I445" s="117" t="s">
        <v>150</v>
      </c>
    </row>
    <row r="446" spans="1:9" ht="15.5" x14ac:dyDescent="0.35">
      <c r="A446" s="93">
        <v>44334</v>
      </c>
      <c r="B446" s="96">
        <v>4494</v>
      </c>
      <c r="C446" s="96">
        <v>539</v>
      </c>
      <c r="D446" s="107">
        <f t="shared" si="0"/>
        <v>3955</v>
      </c>
      <c r="E446" s="108">
        <f t="shared" si="1"/>
        <v>0.11993769470404984</v>
      </c>
      <c r="F446" s="104">
        <v>6421</v>
      </c>
      <c r="G446" s="105">
        <v>941</v>
      </c>
      <c r="H446" s="105">
        <v>9764</v>
      </c>
      <c r="I446" s="106" t="s">
        <v>126</v>
      </c>
    </row>
    <row r="447" spans="1:9" ht="15.5" x14ac:dyDescent="0.35">
      <c r="A447" s="93">
        <v>44335</v>
      </c>
      <c r="B447" s="96">
        <v>8307</v>
      </c>
      <c r="C447" s="96">
        <v>895</v>
      </c>
      <c r="D447" s="107">
        <f t="shared" si="0"/>
        <v>7412</v>
      </c>
      <c r="E447" s="108">
        <f t="shared" si="1"/>
        <v>0.10774045985313591</v>
      </c>
      <c r="F447" s="104">
        <v>10651</v>
      </c>
      <c r="G447" s="105">
        <v>1895</v>
      </c>
      <c r="H447" s="105">
        <f t="shared" ref="H447:H448" si="4">F447-G447</f>
        <v>8756</v>
      </c>
      <c r="I447" s="106">
        <f t="shared" ref="I447:I448" si="5">G447/F447</f>
        <v>0.17791756642568773</v>
      </c>
    </row>
    <row r="448" spans="1:9" ht="15.5" x14ac:dyDescent="0.35">
      <c r="A448" s="93">
        <v>44336</v>
      </c>
      <c r="B448" s="96">
        <v>8168</v>
      </c>
      <c r="C448" s="96">
        <v>856</v>
      </c>
      <c r="D448" s="107">
        <f t="shared" si="0"/>
        <v>7312</v>
      </c>
      <c r="E448" s="108">
        <f t="shared" si="1"/>
        <v>0.10479921645445642</v>
      </c>
      <c r="F448" s="104">
        <v>10473</v>
      </c>
      <c r="G448" s="105">
        <v>1646</v>
      </c>
      <c r="H448" s="105">
        <f t="shared" si="4"/>
        <v>8827</v>
      </c>
      <c r="I448" s="106">
        <f t="shared" si="5"/>
        <v>0.15716604602310705</v>
      </c>
    </row>
    <row r="449" spans="1:9" ht="15.5" x14ac:dyDescent="0.35">
      <c r="A449" s="93">
        <v>44337</v>
      </c>
      <c r="B449" s="96">
        <v>14265</v>
      </c>
      <c r="C449" s="96">
        <v>932</v>
      </c>
      <c r="D449" s="107">
        <f t="shared" si="0"/>
        <v>13333</v>
      </c>
      <c r="E449" s="108">
        <f t="shared" si="1"/>
        <v>6.5334735366281108E-2</v>
      </c>
      <c r="F449" s="96">
        <v>20379</v>
      </c>
      <c r="G449" s="97">
        <v>2184</v>
      </c>
      <c r="H449" s="97">
        <v>18195</v>
      </c>
      <c r="I449" s="117" t="s">
        <v>122</v>
      </c>
    </row>
    <row r="450" spans="1:9" ht="15.5" x14ac:dyDescent="0.35">
      <c r="A450" s="93">
        <v>44338</v>
      </c>
      <c r="B450" s="96">
        <v>8669</v>
      </c>
      <c r="C450" s="96">
        <v>867</v>
      </c>
      <c r="D450" s="107">
        <f t="shared" si="0"/>
        <v>7802</v>
      </c>
      <c r="E450" s="108">
        <f t="shared" si="1"/>
        <v>0.10001153535586572</v>
      </c>
      <c r="F450" s="96">
        <v>16501</v>
      </c>
      <c r="G450" s="97">
        <v>1834</v>
      </c>
      <c r="H450" s="97">
        <v>14667</v>
      </c>
      <c r="I450" s="117" t="s">
        <v>93</v>
      </c>
    </row>
    <row r="451" spans="1:9" ht="15.5" x14ac:dyDescent="0.35">
      <c r="A451" s="93">
        <v>44339</v>
      </c>
      <c r="B451" s="96">
        <v>8361</v>
      </c>
      <c r="C451" s="96">
        <v>819</v>
      </c>
      <c r="D451" s="107">
        <f t="shared" si="0"/>
        <v>7542</v>
      </c>
      <c r="E451" s="108">
        <f t="shared" si="1"/>
        <v>9.7954790096878366E-2</v>
      </c>
      <c r="F451" s="96">
        <v>10895</v>
      </c>
      <c r="G451" s="97">
        <v>974</v>
      </c>
      <c r="H451" s="97">
        <v>9921</v>
      </c>
      <c r="I451" s="117" t="s">
        <v>177</v>
      </c>
    </row>
    <row r="452" spans="1:9" ht="15.5" x14ac:dyDescent="0.35">
      <c r="A452" s="93">
        <v>44340</v>
      </c>
      <c r="B452" s="96">
        <v>9341</v>
      </c>
      <c r="C452" s="96">
        <v>384</v>
      </c>
      <c r="D452" s="107">
        <f t="shared" si="0"/>
        <v>8957</v>
      </c>
      <c r="E452" s="108">
        <f t="shared" si="1"/>
        <v>4.1109088962637833E-2</v>
      </c>
      <c r="F452" s="96">
        <v>13737</v>
      </c>
      <c r="G452" s="97">
        <v>1893</v>
      </c>
      <c r="H452" s="97">
        <v>11844</v>
      </c>
      <c r="I452" s="117" t="s">
        <v>228</v>
      </c>
    </row>
    <row r="453" spans="1:9" ht="15.5" x14ac:dyDescent="0.35">
      <c r="A453" s="93">
        <v>44341</v>
      </c>
      <c r="B453" s="96">
        <v>13768</v>
      </c>
      <c r="C453" s="96">
        <v>617</v>
      </c>
      <c r="D453" s="107">
        <f t="shared" si="0"/>
        <v>13151</v>
      </c>
      <c r="E453" s="108">
        <f t="shared" si="1"/>
        <v>4.4814061592097616E-2</v>
      </c>
      <c r="F453" s="96">
        <v>19669</v>
      </c>
      <c r="G453" s="97">
        <v>2215</v>
      </c>
      <c r="H453" s="97">
        <v>17454</v>
      </c>
      <c r="I453" s="117" t="s">
        <v>180</v>
      </c>
    </row>
    <row r="454" spans="1:9" ht="15.5" x14ac:dyDescent="0.35">
      <c r="A454" s="93">
        <v>44342</v>
      </c>
      <c r="B454" s="96">
        <v>8524</v>
      </c>
      <c r="C454" s="96">
        <v>940</v>
      </c>
      <c r="D454" s="107">
        <f t="shared" si="0"/>
        <v>7584</v>
      </c>
      <c r="E454" s="108">
        <f t="shared" si="1"/>
        <v>0.11027686532144533</v>
      </c>
      <c r="F454" s="96">
        <v>11620</v>
      </c>
      <c r="G454" s="97">
        <v>1189</v>
      </c>
      <c r="H454" s="97">
        <v>10431</v>
      </c>
      <c r="I454" s="117" t="s">
        <v>104</v>
      </c>
    </row>
    <row r="455" spans="1:9" ht="15.5" x14ac:dyDescent="0.35">
      <c r="A455" s="93">
        <v>44343</v>
      </c>
      <c r="B455" s="96">
        <v>9599</v>
      </c>
      <c r="C455" s="96">
        <v>693</v>
      </c>
      <c r="D455" s="107">
        <f t="shared" si="0"/>
        <v>8906</v>
      </c>
      <c r="E455" s="108">
        <f t="shared" si="1"/>
        <v>7.219502031461611E-2</v>
      </c>
      <c r="F455" s="96">
        <v>13241</v>
      </c>
      <c r="G455" s="97">
        <v>1595</v>
      </c>
      <c r="H455" s="97">
        <v>11646</v>
      </c>
      <c r="I455" s="117" t="s">
        <v>114</v>
      </c>
    </row>
    <row r="456" spans="1:9" ht="15.5" x14ac:dyDescent="0.35">
      <c r="A456" s="93">
        <v>44344</v>
      </c>
      <c r="B456" s="96">
        <v>13247</v>
      </c>
      <c r="C456" s="96">
        <v>807</v>
      </c>
      <c r="D456" s="107">
        <f t="shared" si="0"/>
        <v>12440</v>
      </c>
      <c r="E456" s="108">
        <f t="shared" si="1"/>
        <v>6.0919453461161018E-2</v>
      </c>
      <c r="F456" s="104">
        <v>18817</v>
      </c>
      <c r="G456" s="105">
        <v>2425</v>
      </c>
      <c r="H456" s="105">
        <v>16392</v>
      </c>
      <c r="I456" s="121" t="s">
        <v>120</v>
      </c>
    </row>
    <row r="457" spans="1:9" ht="15.5" x14ac:dyDescent="0.35">
      <c r="A457" s="93">
        <v>44345</v>
      </c>
      <c r="B457" s="96">
        <v>10573</v>
      </c>
      <c r="C457" s="96">
        <v>1064</v>
      </c>
      <c r="D457" s="107">
        <f t="shared" si="0"/>
        <v>9509</v>
      </c>
      <c r="E457" s="108">
        <f t="shared" si="1"/>
        <v>0.10063368958668306</v>
      </c>
      <c r="F457" s="96">
        <v>15193</v>
      </c>
      <c r="G457" s="97">
        <v>1890</v>
      </c>
      <c r="H457" s="97">
        <v>13303</v>
      </c>
      <c r="I457" s="117" t="s">
        <v>308</v>
      </c>
    </row>
    <row r="458" spans="1:9" ht="15.5" x14ac:dyDescent="0.35">
      <c r="A458" s="93">
        <v>44346</v>
      </c>
      <c r="B458" s="96">
        <v>7322</v>
      </c>
      <c r="C458" s="96">
        <v>726</v>
      </c>
      <c r="D458" s="107">
        <f t="shared" si="0"/>
        <v>6596</v>
      </c>
      <c r="E458" s="108">
        <f t="shared" si="1"/>
        <v>9.9153236820540835E-2</v>
      </c>
      <c r="F458" s="104">
        <v>11265</v>
      </c>
      <c r="G458" s="105">
        <v>1157</v>
      </c>
      <c r="H458" s="105">
        <v>10108</v>
      </c>
      <c r="I458" s="106">
        <f>G458/F458</f>
        <v>0.1027075011096316</v>
      </c>
    </row>
    <row r="459" spans="1:9" ht="15.5" x14ac:dyDescent="0.35">
      <c r="A459" s="93">
        <v>44347</v>
      </c>
      <c r="B459" s="96">
        <v>6847</v>
      </c>
      <c r="C459" s="96">
        <v>519</v>
      </c>
      <c r="D459" s="107">
        <f t="shared" si="0"/>
        <v>6328</v>
      </c>
      <c r="E459" s="108">
        <f t="shared" si="1"/>
        <v>7.5799620271651824E-2</v>
      </c>
      <c r="F459" s="96">
        <v>10798</v>
      </c>
      <c r="G459" s="97">
        <v>1498</v>
      </c>
      <c r="H459" s="97">
        <v>9300</v>
      </c>
      <c r="I459" s="117" t="s">
        <v>178</v>
      </c>
    </row>
    <row r="460" spans="1:9" ht="15.5" x14ac:dyDescent="0.35">
      <c r="A460" s="93">
        <v>44348</v>
      </c>
      <c r="B460" s="96">
        <v>6917</v>
      </c>
      <c r="C460" s="96">
        <v>601</v>
      </c>
      <c r="D460" s="107">
        <f t="shared" si="0"/>
        <v>6316</v>
      </c>
      <c r="E460" s="108">
        <f t="shared" si="1"/>
        <v>8.6887378921497754E-2</v>
      </c>
      <c r="F460" s="96">
        <v>10957</v>
      </c>
      <c r="G460" s="97">
        <v>1377</v>
      </c>
      <c r="H460" s="97">
        <v>9580</v>
      </c>
      <c r="I460" s="117" t="s">
        <v>225</v>
      </c>
    </row>
    <row r="461" spans="1:9" ht="15.5" x14ac:dyDescent="0.35">
      <c r="A461" s="93">
        <v>44349</v>
      </c>
      <c r="B461" s="96">
        <v>9849</v>
      </c>
      <c r="C461" s="96">
        <v>714</v>
      </c>
      <c r="D461" s="107">
        <f t="shared" si="0"/>
        <v>9135</v>
      </c>
      <c r="E461" s="108">
        <f t="shared" si="1"/>
        <v>7.2494669509594878E-2</v>
      </c>
      <c r="F461" s="96">
        <v>14070</v>
      </c>
      <c r="G461" s="97">
        <v>2279</v>
      </c>
      <c r="H461" s="97">
        <v>11791</v>
      </c>
      <c r="I461" s="117" t="s">
        <v>210</v>
      </c>
    </row>
    <row r="462" spans="1:9" ht="15.5" x14ac:dyDescent="0.35">
      <c r="A462" s="93">
        <v>44350</v>
      </c>
      <c r="B462" s="96">
        <v>14450</v>
      </c>
      <c r="C462" s="96">
        <v>906</v>
      </c>
      <c r="D462" s="107">
        <f t="shared" si="0"/>
        <v>13544</v>
      </c>
      <c r="E462" s="108">
        <f t="shared" si="1"/>
        <v>6.2698961937716263E-2</v>
      </c>
      <c r="F462" s="96">
        <v>20644</v>
      </c>
      <c r="G462" s="97">
        <v>3069</v>
      </c>
      <c r="H462" s="97">
        <v>17575</v>
      </c>
      <c r="I462" s="117" t="s">
        <v>110</v>
      </c>
    </row>
    <row r="463" spans="1:9" ht="15.5" x14ac:dyDescent="0.35">
      <c r="A463" s="93">
        <v>44351</v>
      </c>
      <c r="B463" s="96">
        <v>10605</v>
      </c>
      <c r="C463" s="96">
        <v>1317</v>
      </c>
      <c r="D463" s="107">
        <f t="shared" si="0"/>
        <v>9288</v>
      </c>
      <c r="E463" s="108">
        <f t="shared" si="1"/>
        <v>0.12418670438472419</v>
      </c>
      <c r="F463" s="104">
        <v>15211</v>
      </c>
      <c r="G463" s="105">
        <v>2195</v>
      </c>
      <c r="H463" s="105">
        <v>13016</v>
      </c>
      <c r="I463" s="122" t="s">
        <v>127</v>
      </c>
    </row>
    <row r="464" spans="1:9" ht="15.5" x14ac:dyDescent="0.35">
      <c r="A464" s="93">
        <v>44352</v>
      </c>
      <c r="B464" s="96">
        <v>7625</v>
      </c>
      <c r="C464" s="96">
        <v>1019</v>
      </c>
      <c r="D464" s="107">
        <f t="shared" si="0"/>
        <v>6606</v>
      </c>
      <c r="E464" s="108">
        <f t="shared" si="1"/>
        <v>0.1336393442622951</v>
      </c>
      <c r="F464" s="104">
        <v>14002</v>
      </c>
      <c r="G464" s="105">
        <v>2768</v>
      </c>
      <c r="H464" s="105">
        <v>11234</v>
      </c>
      <c r="I464" s="122" t="s">
        <v>309</v>
      </c>
    </row>
    <row r="465" spans="1:14" ht="15.5" x14ac:dyDescent="0.35">
      <c r="A465" s="93">
        <v>44353</v>
      </c>
      <c r="B465" s="96">
        <v>6698</v>
      </c>
      <c r="C465" s="96">
        <v>1197</v>
      </c>
      <c r="D465" s="107">
        <f t="shared" si="0"/>
        <v>5501</v>
      </c>
      <c r="E465" s="108">
        <f t="shared" si="1"/>
        <v>0.17871006270528517</v>
      </c>
      <c r="F465" s="96">
        <v>9851</v>
      </c>
      <c r="G465" s="97">
        <v>1889</v>
      </c>
      <c r="H465" s="97">
        <f>F465-G465</f>
        <v>7962</v>
      </c>
      <c r="I465" s="98">
        <f>G465/F465</f>
        <v>0.19175718201197847</v>
      </c>
    </row>
    <row r="466" spans="1:14" ht="15.5" x14ac:dyDescent="0.35">
      <c r="A466" s="93">
        <v>44354</v>
      </c>
      <c r="B466" s="96">
        <v>7237</v>
      </c>
      <c r="C466" s="96">
        <v>755</v>
      </c>
      <c r="D466" s="107">
        <f t="shared" si="0"/>
        <v>6482</v>
      </c>
      <c r="E466" s="108">
        <f t="shared" si="1"/>
        <v>0.10432499654552992</v>
      </c>
      <c r="F466" s="104">
        <v>13234</v>
      </c>
      <c r="G466" s="105">
        <v>2719</v>
      </c>
      <c r="H466" s="105">
        <v>10515</v>
      </c>
      <c r="I466" s="122" t="s">
        <v>108</v>
      </c>
    </row>
    <row r="467" spans="1:14" ht="15.5" x14ac:dyDescent="0.35">
      <c r="A467" s="93">
        <v>44355</v>
      </c>
      <c r="B467" s="96">
        <v>11167</v>
      </c>
      <c r="C467" s="96">
        <v>1376</v>
      </c>
      <c r="D467" s="107">
        <f t="shared" si="0"/>
        <v>9791</v>
      </c>
      <c r="E467" s="108">
        <f t="shared" si="1"/>
        <v>0.12322020238201845</v>
      </c>
      <c r="F467" s="96">
        <v>16684</v>
      </c>
      <c r="G467" s="97">
        <v>3794</v>
      </c>
      <c r="H467" s="97">
        <v>12890</v>
      </c>
      <c r="I467" s="117" t="s">
        <v>232</v>
      </c>
    </row>
    <row r="468" spans="1:14" ht="15.5" x14ac:dyDescent="0.35">
      <c r="A468" s="93">
        <v>44356</v>
      </c>
      <c r="B468" s="96">
        <v>12304</v>
      </c>
      <c r="C468" s="96">
        <v>2096</v>
      </c>
      <c r="D468" s="107">
        <f t="shared" si="0"/>
        <v>10208</v>
      </c>
      <c r="E468" s="108">
        <f t="shared" si="1"/>
        <v>0.17035110533159947</v>
      </c>
      <c r="F468" s="96">
        <v>17751</v>
      </c>
      <c r="G468" s="97">
        <v>4079</v>
      </c>
      <c r="H468" s="97">
        <v>13672</v>
      </c>
      <c r="I468" s="117" t="s">
        <v>290</v>
      </c>
    </row>
    <row r="469" spans="1:14" ht="15.5" x14ac:dyDescent="0.35">
      <c r="A469" s="93">
        <v>44357</v>
      </c>
      <c r="B469" s="96">
        <v>13142</v>
      </c>
      <c r="C469" s="96">
        <v>2293</v>
      </c>
      <c r="D469" s="107">
        <f t="shared" si="0"/>
        <v>10849</v>
      </c>
      <c r="E469" s="108">
        <f t="shared" si="1"/>
        <v>0.17447877035458834</v>
      </c>
      <c r="F469" s="96">
        <v>18235</v>
      </c>
      <c r="G469" s="97">
        <v>4464</v>
      </c>
      <c r="H469" s="97">
        <v>13771</v>
      </c>
      <c r="I469" s="117" t="s">
        <v>245</v>
      </c>
    </row>
    <row r="470" spans="1:14" ht="15.5" x14ac:dyDescent="0.35">
      <c r="A470" s="93">
        <v>44358</v>
      </c>
      <c r="B470" s="96">
        <v>13443</v>
      </c>
      <c r="C470" s="96">
        <v>2455</v>
      </c>
      <c r="D470" s="107">
        <f t="shared" si="0"/>
        <v>10988</v>
      </c>
      <c r="E470" s="108">
        <f t="shared" si="1"/>
        <v>0.18262292643011233</v>
      </c>
      <c r="F470" s="96">
        <v>18152</v>
      </c>
      <c r="G470" s="97">
        <v>4800</v>
      </c>
      <c r="H470" s="97">
        <v>13352</v>
      </c>
      <c r="I470" s="117" t="s">
        <v>287</v>
      </c>
    </row>
    <row r="471" spans="1:14" ht="15.5" x14ac:dyDescent="0.35">
      <c r="A471" s="93">
        <v>44359</v>
      </c>
      <c r="B471" s="96">
        <v>11800</v>
      </c>
      <c r="C471" s="96">
        <v>2769</v>
      </c>
      <c r="D471" s="107">
        <f t="shared" si="0"/>
        <v>9031</v>
      </c>
      <c r="E471" s="108">
        <f t="shared" si="1"/>
        <v>0.23466101694915253</v>
      </c>
      <c r="F471" s="96">
        <v>16218</v>
      </c>
      <c r="G471" s="97">
        <v>4455</v>
      </c>
      <c r="H471" s="97">
        <v>11763</v>
      </c>
      <c r="I471" s="117" t="s">
        <v>277</v>
      </c>
    </row>
    <row r="472" spans="1:14" ht="15.5" x14ac:dyDescent="0.35">
      <c r="A472" s="93">
        <v>44360</v>
      </c>
      <c r="B472" s="96">
        <v>11671</v>
      </c>
      <c r="C472" s="96">
        <v>2722</v>
      </c>
      <c r="D472" s="107">
        <f t="shared" si="0"/>
        <v>8949</v>
      </c>
      <c r="E472" s="108">
        <f t="shared" si="1"/>
        <v>0.23322765829834632</v>
      </c>
      <c r="F472" s="104">
        <v>14964</v>
      </c>
      <c r="G472" s="115">
        <v>3441</v>
      </c>
      <c r="H472" s="115">
        <f>F472-G472</f>
        <v>11523</v>
      </c>
      <c r="I472" s="116">
        <f>G472/F472</f>
        <v>0.22995188452285484</v>
      </c>
    </row>
    <row r="473" spans="1:14" ht="15.5" x14ac:dyDescent="0.35">
      <c r="A473" s="93">
        <v>44361</v>
      </c>
      <c r="B473" s="96">
        <v>8970</v>
      </c>
      <c r="C473" s="96">
        <v>1502</v>
      </c>
      <c r="D473" s="107">
        <f t="shared" si="0"/>
        <v>7468</v>
      </c>
      <c r="E473" s="108">
        <f t="shared" si="1"/>
        <v>0.16744704570791527</v>
      </c>
      <c r="F473" s="104">
        <v>14340</v>
      </c>
      <c r="G473" s="115">
        <v>4555</v>
      </c>
      <c r="H473" s="115">
        <v>9785</v>
      </c>
      <c r="I473" s="123" t="s">
        <v>310</v>
      </c>
      <c r="K473" s="124"/>
      <c r="L473" s="124"/>
      <c r="M473" s="124"/>
      <c r="N473" s="125"/>
    </row>
    <row r="474" spans="1:14" ht="15.5" x14ac:dyDescent="0.35">
      <c r="A474" s="93">
        <v>44362</v>
      </c>
      <c r="B474" s="96">
        <v>15269</v>
      </c>
      <c r="C474" s="96">
        <v>2376</v>
      </c>
      <c r="D474" s="107">
        <f t="shared" si="0"/>
        <v>12893</v>
      </c>
      <c r="E474" s="108">
        <f t="shared" si="1"/>
        <v>0.15560940467614121</v>
      </c>
      <c r="F474" s="104">
        <v>22772</v>
      </c>
      <c r="G474" s="115">
        <v>7744</v>
      </c>
      <c r="H474" s="115">
        <v>15028</v>
      </c>
      <c r="I474" s="123" t="s">
        <v>311</v>
      </c>
    </row>
    <row r="475" spans="1:14" ht="15.5" x14ac:dyDescent="0.35">
      <c r="A475" s="93">
        <v>44363</v>
      </c>
      <c r="B475" s="96">
        <v>16499</v>
      </c>
      <c r="C475" s="96">
        <v>4144</v>
      </c>
      <c r="D475" s="107">
        <f t="shared" si="0"/>
        <v>12355</v>
      </c>
      <c r="E475" s="108">
        <f t="shared" si="1"/>
        <v>0.25116673737802292</v>
      </c>
      <c r="F475" s="104">
        <v>24452</v>
      </c>
      <c r="G475" s="115">
        <v>8073</v>
      </c>
      <c r="H475" s="115">
        <v>16379</v>
      </c>
      <c r="I475" s="123" t="s">
        <v>267</v>
      </c>
    </row>
    <row r="476" spans="1:14" ht="15.5" x14ac:dyDescent="0.35">
      <c r="A476" s="93">
        <v>44364</v>
      </c>
      <c r="B476" s="96">
        <v>17368</v>
      </c>
      <c r="C476" s="96">
        <v>4737</v>
      </c>
      <c r="D476" s="107">
        <f t="shared" si="0"/>
        <v>12631</v>
      </c>
      <c r="E476" s="108">
        <f t="shared" si="1"/>
        <v>0.27274297558728694</v>
      </c>
      <c r="F476" s="104">
        <v>24812</v>
      </c>
      <c r="G476" s="115">
        <v>8409</v>
      </c>
      <c r="H476" s="115">
        <v>16403</v>
      </c>
      <c r="I476" s="123" t="s">
        <v>254</v>
      </c>
    </row>
    <row r="477" spans="1:14" ht="15.5" x14ac:dyDescent="0.35">
      <c r="A477" s="93">
        <v>44365</v>
      </c>
      <c r="B477" s="96">
        <v>16797</v>
      </c>
      <c r="C477" s="96">
        <v>4895</v>
      </c>
      <c r="D477" s="107">
        <f t="shared" si="0"/>
        <v>11902</v>
      </c>
      <c r="E477" s="108">
        <f t="shared" si="1"/>
        <v>0.2914210870988867</v>
      </c>
      <c r="F477" s="104">
        <v>23010</v>
      </c>
      <c r="G477" s="115">
        <v>7810</v>
      </c>
      <c r="H477" s="115">
        <v>15200</v>
      </c>
      <c r="I477" s="123" t="s">
        <v>254</v>
      </c>
    </row>
    <row r="478" spans="1:14" ht="15.5" x14ac:dyDescent="0.35">
      <c r="A478" s="93">
        <v>44366</v>
      </c>
      <c r="B478" s="96">
        <v>16636</v>
      </c>
      <c r="C478" s="96">
        <v>5582</v>
      </c>
      <c r="D478" s="107">
        <f t="shared" si="0"/>
        <v>11054</v>
      </c>
      <c r="E478" s="108">
        <f t="shared" si="1"/>
        <v>0.33553738879538353</v>
      </c>
      <c r="F478" s="104">
        <v>19572</v>
      </c>
      <c r="G478" s="105">
        <v>8243</v>
      </c>
      <c r="H478" s="105">
        <f t="shared" ref="H478:H479" si="6">F478-G478</f>
        <v>11329</v>
      </c>
      <c r="I478" s="126">
        <f t="shared" ref="I478:I479" si="7">G478/F478</f>
        <v>0.42116288575516042</v>
      </c>
    </row>
    <row r="479" spans="1:14" ht="15.5" x14ac:dyDescent="0.35">
      <c r="A479" s="93">
        <v>44367</v>
      </c>
      <c r="B479" s="96">
        <v>15424</v>
      </c>
      <c r="C479" s="96">
        <v>5014</v>
      </c>
      <c r="D479" s="107">
        <f t="shared" si="0"/>
        <v>10410</v>
      </c>
      <c r="E479" s="108">
        <f t="shared" si="1"/>
        <v>0.32507780082987553</v>
      </c>
      <c r="F479" s="104">
        <v>19280</v>
      </c>
      <c r="G479" s="105">
        <v>8217</v>
      </c>
      <c r="H479" s="105">
        <f t="shared" si="6"/>
        <v>11063</v>
      </c>
      <c r="I479" s="126">
        <f t="shared" si="7"/>
        <v>0.42619294605809127</v>
      </c>
    </row>
    <row r="480" spans="1:14" ht="15.5" x14ac:dyDescent="0.35">
      <c r="A480" s="93">
        <v>44368</v>
      </c>
      <c r="B480" s="96">
        <v>14462</v>
      </c>
      <c r="C480" s="96">
        <v>3221</v>
      </c>
      <c r="D480" s="107">
        <f t="shared" si="0"/>
        <v>11241</v>
      </c>
      <c r="E480" s="108">
        <f t="shared" si="1"/>
        <v>0.22272161526759784</v>
      </c>
      <c r="F480" s="104">
        <v>21269</v>
      </c>
      <c r="G480" s="105">
        <v>8492</v>
      </c>
      <c r="H480" s="105">
        <v>12777</v>
      </c>
      <c r="I480" s="122" t="s">
        <v>312</v>
      </c>
    </row>
    <row r="481" spans="1:9" ht="15.5" x14ac:dyDescent="0.35">
      <c r="A481" s="93">
        <v>44369</v>
      </c>
      <c r="B481" s="96">
        <v>19485</v>
      </c>
      <c r="C481" s="96">
        <v>4693</v>
      </c>
      <c r="D481" s="107">
        <f t="shared" si="0"/>
        <v>14792</v>
      </c>
      <c r="E481" s="108">
        <f t="shared" si="1"/>
        <v>0.24085193738773417</v>
      </c>
      <c r="F481" s="96">
        <v>28071</v>
      </c>
      <c r="G481" s="97">
        <v>11787</v>
      </c>
      <c r="H481" s="97">
        <v>16284</v>
      </c>
      <c r="I481" s="117" t="s">
        <v>313</v>
      </c>
    </row>
    <row r="482" spans="1:9" ht="15.5" x14ac:dyDescent="0.35">
      <c r="A482" s="93">
        <v>44370</v>
      </c>
      <c r="B482" s="96">
        <v>20460</v>
      </c>
      <c r="C482" s="96">
        <v>7505</v>
      </c>
      <c r="D482" s="107">
        <f t="shared" si="0"/>
        <v>12955</v>
      </c>
      <c r="E482" s="108">
        <f t="shared" si="1"/>
        <v>0.36681329423264908</v>
      </c>
      <c r="F482" s="96">
        <v>26497</v>
      </c>
      <c r="G482" s="97">
        <v>10898</v>
      </c>
      <c r="H482" s="97">
        <v>15599</v>
      </c>
      <c r="I482" s="117" t="s">
        <v>96</v>
      </c>
    </row>
    <row r="483" spans="1:9" ht="15.5" x14ac:dyDescent="0.35">
      <c r="A483" s="93">
        <v>44371</v>
      </c>
      <c r="B483" s="96">
        <v>20155</v>
      </c>
      <c r="C483" s="96">
        <v>6934</v>
      </c>
      <c r="D483" s="107">
        <f t="shared" si="0"/>
        <v>13221</v>
      </c>
      <c r="E483" s="108">
        <f t="shared" si="1"/>
        <v>0.34403373852642022</v>
      </c>
      <c r="F483" s="96">
        <v>29196</v>
      </c>
      <c r="G483" s="97">
        <v>12364</v>
      </c>
      <c r="H483" s="97">
        <v>16832</v>
      </c>
      <c r="I483" s="117" t="s">
        <v>314</v>
      </c>
    </row>
    <row r="484" spans="1:9" ht="15.5" x14ac:dyDescent="0.35">
      <c r="A484" s="93">
        <v>44372</v>
      </c>
      <c r="B484" s="96">
        <v>22911</v>
      </c>
      <c r="C484" s="96">
        <v>9271</v>
      </c>
      <c r="D484" s="107">
        <f t="shared" si="0"/>
        <v>13640</v>
      </c>
      <c r="E484" s="108">
        <f t="shared" si="1"/>
        <v>0.40465278687093537</v>
      </c>
      <c r="F484" s="96">
        <v>31858</v>
      </c>
      <c r="G484" s="97">
        <v>14904</v>
      </c>
      <c r="H484" s="97">
        <v>16954</v>
      </c>
      <c r="I484" s="117" t="s">
        <v>315</v>
      </c>
    </row>
    <row r="485" spans="1:9" ht="15.5" x14ac:dyDescent="0.35">
      <c r="A485" s="93">
        <v>44373</v>
      </c>
      <c r="B485" s="96">
        <v>23043</v>
      </c>
      <c r="C485" s="96">
        <v>9394</v>
      </c>
      <c r="D485" s="107">
        <f t="shared" si="0"/>
        <v>13649</v>
      </c>
      <c r="E485" s="108">
        <f t="shared" si="1"/>
        <v>0.40767261207308075</v>
      </c>
      <c r="F485" s="104">
        <v>30724</v>
      </c>
      <c r="G485" s="105">
        <v>14764</v>
      </c>
      <c r="H485" s="105">
        <f t="shared" ref="H485:H487" si="8">F485-G485</f>
        <v>15960</v>
      </c>
      <c r="I485" s="126">
        <f t="shared" ref="I485:I487" si="9">G485/F485</f>
        <v>0.48053638849108188</v>
      </c>
    </row>
    <row r="486" spans="1:9" ht="15.5" x14ac:dyDescent="0.35">
      <c r="A486" s="93">
        <v>44374</v>
      </c>
      <c r="B486" s="96">
        <v>22895</v>
      </c>
      <c r="C486" s="96">
        <v>8348</v>
      </c>
      <c r="D486" s="107">
        <f t="shared" si="0"/>
        <v>14547</v>
      </c>
      <c r="E486" s="108">
        <f t="shared" si="1"/>
        <v>0.36462109630923784</v>
      </c>
      <c r="F486" s="104">
        <v>28619</v>
      </c>
      <c r="G486" s="105">
        <v>12454</v>
      </c>
      <c r="H486" s="105">
        <f t="shared" si="8"/>
        <v>16165</v>
      </c>
      <c r="I486" s="126">
        <f t="shared" si="9"/>
        <v>0.43516544952653829</v>
      </c>
    </row>
    <row r="487" spans="1:9" ht="15.5" x14ac:dyDescent="0.35">
      <c r="A487" s="93">
        <v>44375</v>
      </c>
      <c r="B487" s="96">
        <v>20466</v>
      </c>
      <c r="C487" s="96">
        <v>7379</v>
      </c>
      <c r="D487" s="107">
        <f t="shared" si="0"/>
        <v>13087</v>
      </c>
      <c r="E487" s="108">
        <f t="shared" si="1"/>
        <v>0.36054920355711911</v>
      </c>
      <c r="F487" s="104">
        <v>27288</v>
      </c>
      <c r="G487" s="105">
        <v>11918</v>
      </c>
      <c r="H487" s="105">
        <f t="shared" si="8"/>
        <v>15370</v>
      </c>
      <c r="I487" s="126">
        <f t="shared" si="9"/>
        <v>0.43674875403107594</v>
      </c>
    </row>
    <row r="488" spans="1:9" ht="15.5" x14ac:dyDescent="0.35">
      <c r="A488" s="93">
        <v>44376</v>
      </c>
      <c r="B488" s="96">
        <v>20932</v>
      </c>
      <c r="C488" s="96">
        <v>7680</v>
      </c>
      <c r="D488" s="107">
        <f t="shared" si="0"/>
        <v>13252</v>
      </c>
      <c r="E488" s="108">
        <f t="shared" si="1"/>
        <v>0.3669023504681827</v>
      </c>
      <c r="F488" s="104">
        <v>28413</v>
      </c>
      <c r="G488" s="115">
        <v>13307</v>
      </c>
      <c r="H488" s="115">
        <v>15106</v>
      </c>
      <c r="I488" s="123" t="s">
        <v>315</v>
      </c>
    </row>
    <row r="489" spans="1:9" ht="15.5" x14ac:dyDescent="0.35">
      <c r="A489" s="93">
        <v>44377</v>
      </c>
      <c r="B489" s="96">
        <v>19049</v>
      </c>
      <c r="C489" s="96">
        <v>7541</v>
      </c>
      <c r="D489" s="107">
        <f t="shared" si="0"/>
        <v>11508</v>
      </c>
      <c r="E489" s="108">
        <f t="shared" si="1"/>
        <v>0.39587379914956167</v>
      </c>
      <c r="F489" s="104">
        <v>30353</v>
      </c>
      <c r="G489" s="115">
        <v>14747</v>
      </c>
      <c r="H489" s="115">
        <v>15606</v>
      </c>
      <c r="I489" s="116">
        <v>0.48599999999999999</v>
      </c>
    </row>
    <row r="490" spans="1:9" ht="15.5" x14ac:dyDescent="0.35">
      <c r="A490" s="93">
        <v>44378</v>
      </c>
      <c r="B490" s="96">
        <v>23835</v>
      </c>
      <c r="C490" s="96">
        <v>9399</v>
      </c>
      <c r="D490" s="107">
        <f t="shared" si="0"/>
        <v>14436</v>
      </c>
      <c r="E490" s="108">
        <f t="shared" si="1"/>
        <v>0.39433606041535557</v>
      </c>
      <c r="F490" s="104">
        <v>32813</v>
      </c>
      <c r="G490" s="115">
        <v>15502</v>
      </c>
      <c r="H490" s="115">
        <v>17311</v>
      </c>
      <c r="I490" s="116">
        <v>0.47199999999999998</v>
      </c>
    </row>
    <row r="491" spans="1:9" ht="15.5" x14ac:dyDescent="0.35">
      <c r="A491" s="93">
        <v>44379</v>
      </c>
      <c r="B491" s="96">
        <v>23807</v>
      </c>
      <c r="C491" s="96">
        <v>9702</v>
      </c>
      <c r="D491" s="107">
        <f t="shared" si="0"/>
        <v>14105</v>
      </c>
      <c r="E491" s="108">
        <f t="shared" si="1"/>
        <v>0.40752719788297559</v>
      </c>
      <c r="F491" s="104">
        <v>34657</v>
      </c>
      <c r="G491" s="115">
        <v>17056</v>
      </c>
      <c r="H491" s="115">
        <v>17601</v>
      </c>
      <c r="I491" s="116">
        <v>0.49199999999999999</v>
      </c>
    </row>
    <row r="492" spans="1:9" ht="15.5" x14ac:dyDescent="0.35">
      <c r="A492" s="93">
        <v>44380</v>
      </c>
      <c r="B492" s="96">
        <v>24162</v>
      </c>
      <c r="C492" s="96">
        <v>10485</v>
      </c>
      <c r="D492" s="107">
        <f t="shared" si="0"/>
        <v>13677</v>
      </c>
      <c r="E492" s="108">
        <f t="shared" si="1"/>
        <v>0.43394586540849267</v>
      </c>
      <c r="F492" s="96">
        <v>33897</v>
      </c>
      <c r="G492" s="97">
        <v>17509</v>
      </c>
      <c r="H492" s="97">
        <v>16388</v>
      </c>
      <c r="I492" s="98">
        <v>0.51700000000000002</v>
      </c>
    </row>
    <row r="493" spans="1:9" ht="15.5" x14ac:dyDescent="0.35">
      <c r="A493" s="93">
        <v>44381</v>
      </c>
      <c r="B493" s="96">
        <v>25809</v>
      </c>
      <c r="C493" s="96">
        <v>10903</v>
      </c>
      <c r="D493" s="107">
        <f t="shared" si="0"/>
        <v>14906</v>
      </c>
      <c r="E493" s="108">
        <f t="shared" si="1"/>
        <v>0.4224495331086055</v>
      </c>
      <c r="F493" s="104">
        <v>32262</v>
      </c>
      <c r="G493" s="115">
        <v>16304</v>
      </c>
      <c r="H493" s="115">
        <f>F493-G493</f>
        <v>15958</v>
      </c>
      <c r="I493" s="116">
        <f>G493/F493</f>
        <v>0.50536234579381312</v>
      </c>
    </row>
    <row r="494" spans="1:9" ht="15.5" x14ac:dyDescent="0.35">
      <c r="A494" s="93">
        <v>44382</v>
      </c>
      <c r="B494" s="96">
        <v>23009</v>
      </c>
      <c r="C494" s="96">
        <v>9439</v>
      </c>
      <c r="D494" s="107">
        <f t="shared" si="0"/>
        <v>13570</v>
      </c>
      <c r="E494" s="108">
        <f t="shared" si="1"/>
        <v>0.41023077926028945</v>
      </c>
      <c r="F494" s="96">
        <v>35796</v>
      </c>
      <c r="G494" s="97">
        <v>16617</v>
      </c>
      <c r="H494" s="97">
        <v>19179</v>
      </c>
      <c r="I494" s="98">
        <v>0.46400000000000002</v>
      </c>
    </row>
    <row r="495" spans="1:9" ht="15.5" x14ac:dyDescent="0.35">
      <c r="A495" s="93">
        <v>44383</v>
      </c>
      <c r="B495" s="96">
        <v>24399</v>
      </c>
      <c r="C495" s="96">
        <v>9366</v>
      </c>
      <c r="D495" s="107">
        <f t="shared" si="0"/>
        <v>15033</v>
      </c>
      <c r="E495" s="108">
        <f t="shared" si="1"/>
        <v>0.38386819131931638</v>
      </c>
      <c r="F495" s="104">
        <v>42256</v>
      </c>
      <c r="G495" s="115">
        <v>21821</v>
      </c>
      <c r="H495" s="115">
        <v>20435</v>
      </c>
      <c r="I495" s="116">
        <v>0.51600000000000001</v>
      </c>
    </row>
    <row r="496" spans="1:9" ht="15.5" x14ac:dyDescent="0.35">
      <c r="A496" s="93">
        <v>44384</v>
      </c>
      <c r="B496" s="96">
        <v>26789</v>
      </c>
      <c r="C496" s="96">
        <v>12974</v>
      </c>
      <c r="D496" s="107">
        <f t="shared" si="0"/>
        <v>13815</v>
      </c>
      <c r="E496" s="108">
        <f t="shared" si="1"/>
        <v>0.48430325880025382</v>
      </c>
      <c r="F496" s="104">
        <v>43425</v>
      </c>
      <c r="G496" s="115">
        <v>21270</v>
      </c>
      <c r="H496" s="115">
        <v>22155</v>
      </c>
      <c r="I496" s="116">
        <v>0.49</v>
      </c>
    </row>
    <row r="497" spans="1:9" ht="15.5" x14ac:dyDescent="0.35">
      <c r="A497" s="93">
        <v>44385</v>
      </c>
      <c r="B497" s="96">
        <v>29486</v>
      </c>
      <c r="C497" s="96">
        <v>13112</v>
      </c>
      <c r="D497" s="107">
        <f t="shared" si="0"/>
        <v>16374</v>
      </c>
      <c r="E497" s="108">
        <f t="shared" si="1"/>
        <v>0.44468561351149699</v>
      </c>
      <c r="F497" s="104">
        <v>44550</v>
      </c>
      <c r="G497" s="115">
        <v>21969</v>
      </c>
      <c r="H497" s="115">
        <v>22581</v>
      </c>
      <c r="I497" s="116">
        <v>0.49299999999999999</v>
      </c>
    </row>
    <row r="498" spans="1:9" ht="15.5" x14ac:dyDescent="0.35">
      <c r="A498" s="93">
        <v>44386</v>
      </c>
      <c r="B498" s="96">
        <v>29002</v>
      </c>
      <c r="C498" s="96">
        <v>12920</v>
      </c>
      <c r="D498" s="107">
        <f t="shared" si="0"/>
        <v>16082</v>
      </c>
      <c r="E498" s="108">
        <f t="shared" si="1"/>
        <v>0.44548651817116058</v>
      </c>
      <c r="F498" s="104">
        <v>44851</v>
      </c>
      <c r="G498" s="115">
        <v>21086</v>
      </c>
      <c r="H498" s="115">
        <v>23765</v>
      </c>
      <c r="I498" s="116">
        <v>0.47</v>
      </c>
    </row>
    <row r="499" spans="1:9" ht="15.5" x14ac:dyDescent="0.35">
      <c r="A499" s="93">
        <v>44387</v>
      </c>
      <c r="B499" s="96">
        <v>32751</v>
      </c>
      <c r="C499" s="96">
        <v>13133</v>
      </c>
      <c r="D499" s="107">
        <f t="shared" si="0"/>
        <v>19618</v>
      </c>
      <c r="E499" s="108">
        <f t="shared" si="1"/>
        <v>0.40099538945375712</v>
      </c>
      <c r="F499" s="104">
        <v>42702</v>
      </c>
      <c r="G499" s="115">
        <v>20592</v>
      </c>
      <c r="H499" s="115">
        <f t="shared" ref="H499:H501" si="10">F499-G499</f>
        <v>22110</v>
      </c>
      <c r="I499" s="116">
        <f t="shared" ref="I499:I501" si="11">G499/F499</f>
        <v>0.48222565687789798</v>
      </c>
    </row>
    <row r="500" spans="1:9" ht="15.5" x14ac:dyDescent="0.35">
      <c r="A500" s="93">
        <v>44388</v>
      </c>
      <c r="B500" s="96">
        <v>33095</v>
      </c>
      <c r="C500" s="96">
        <v>14619</v>
      </c>
      <c r="D500" s="107">
        <f t="shared" si="0"/>
        <v>18476</v>
      </c>
      <c r="E500" s="108">
        <f t="shared" si="1"/>
        <v>0.44172835775796948</v>
      </c>
      <c r="F500" s="104">
        <v>43250</v>
      </c>
      <c r="G500" s="115">
        <v>21092</v>
      </c>
      <c r="H500" s="115">
        <f t="shared" si="10"/>
        <v>22158</v>
      </c>
      <c r="I500" s="116">
        <f t="shared" si="11"/>
        <v>0.48767630057803468</v>
      </c>
    </row>
    <row r="501" spans="1:9" ht="15.5" x14ac:dyDescent="0.35">
      <c r="A501" s="93">
        <v>44389</v>
      </c>
      <c r="B501" s="96">
        <v>29788</v>
      </c>
      <c r="C501" s="96">
        <v>12182</v>
      </c>
      <c r="D501" s="107">
        <f t="shared" si="0"/>
        <v>17606</v>
      </c>
      <c r="E501" s="108">
        <f t="shared" si="1"/>
        <v>0.40895662682959583</v>
      </c>
      <c r="F501" s="104">
        <v>42555</v>
      </c>
      <c r="G501" s="115">
        <v>20809</v>
      </c>
      <c r="H501" s="115">
        <f t="shared" si="10"/>
        <v>21746</v>
      </c>
      <c r="I501" s="116">
        <f t="shared" si="11"/>
        <v>0.4889907178944895</v>
      </c>
    </row>
    <row r="502" spans="1:9" ht="15.5" x14ac:dyDescent="0.35">
      <c r="A502" s="93">
        <v>44390</v>
      </c>
      <c r="B502" s="96">
        <v>31009</v>
      </c>
      <c r="C502" s="96">
        <v>12667</v>
      </c>
      <c r="D502" s="107">
        <f t="shared" si="0"/>
        <v>18342</v>
      </c>
      <c r="E502" s="108">
        <f t="shared" si="1"/>
        <v>0.40849430810409881</v>
      </c>
      <c r="F502" s="127">
        <v>57369</v>
      </c>
      <c r="G502" s="128">
        <v>24967</v>
      </c>
      <c r="H502" s="128">
        <v>32402</v>
      </c>
      <c r="I502" s="129">
        <v>0.435</v>
      </c>
    </row>
    <row r="503" spans="1:9" ht="15.5" x14ac:dyDescent="0.35">
      <c r="A503" s="93">
        <v>44391</v>
      </c>
      <c r="B503" s="96">
        <v>31561</v>
      </c>
      <c r="C503" s="96">
        <v>12691</v>
      </c>
      <c r="D503" s="107">
        <f t="shared" si="0"/>
        <v>18870</v>
      </c>
      <c r="E503" s="108">
        <f t="shared" si="1"/>
        <v>0.40211019929660025</v>
      </c>
      <c r="F503" s="127">
        <v>52602</v>
      </c>
      <c r="G503" s="128">
        <v>23006</v>
      </c>
      <c r="H503" s="128">
        <v>29596</v>
      </c>
      <c r="I503" s="129">
        <v>0.437</v>
      </c>
    </row>
    <row r="504" spans="1:9" ht="15.5" x14ac:dyDescent="0.35">
      <c r="A504" s="93">
        <v>44392</v>
      </c>
      <c r="B504" s="96">
        <v>31502</v>
      </c>
      <c r="C504" s="96">
        <v>12415</v>
      </c>
      <c r="D504" s="107">
        <f t="shared" si="0"/>
        <v>19087</v>
      </c>
      <c r="E504" s="108">
        <f t="shared" si="1"/>
        <v>0.39410196178020446</v>
      </c>
      <c r="F504" s="127">
        <v>52504</v>
      </c>
      <c r="G504" s="128">
        <v>22927</v>
      </c>
      <c r="H504" s="128">
        <v>29577</v>
      </c>
      <c r="I504" s="129">
        <v>0.437</v>
      </c>
    </row>
    <row r="505" spans="1:9" ht="15.5" x14ac:dyDescent="0.35">
      <c r="A505" s="130"/>
      <c r="B505" s="112"/>
      <c r="C505" s="112"/>
      <c r="D505" s="112"/>
      <c r="E505" s="131"/>
      <c r="F505" s="112"/>
      <c r="G505" s="112"/>
      <c r="H505" s="112"/>
      <c r="I505" s="132"/>
    </row>
    <row r="506" spans="1:9" ht="15.5" x14ac:dyDescent="0.35">
      <c r="A506" s="130"/>
      <c r="B506" s="112"/>
      <c r="C506" s="112"/>
      <c r="D506" s="112"/>
      <c r="E506" s="131"/>
      <c r="F506" s="112"/>
      <c r="G506" s="112"/>
      <c r="H506" s="112"/>
      <c r="I506" s="132"/>
    </row>
    <row r="507" spans="1:9" ht="15.5" x14ac:dyDescent="0.35">
      <c r="A507" s="130"/>
      <c r="B507" s="112"/>
      <c r="C507" s="112"/>
      <c r="D507" s="112"/>
      <c r="E507" s="131"/>
      <c r="F507" s="112"/>
      <c r="G507" s="112"/>
      <c r="H507" s="112"/>
      <c r="I507" s="132"/>
    </row>
    <row r="508" spans="1:9" ht="15.5" x14ac:dyDescent="0.35">
      <c r="A508" s="130"/>
      <c r="B508" s="112"/>
      <c r="C508" s="112"/>
      <c r="D508" s="112"/>
      <c r="E508" s="131"/>
      <c r="F508" s="112"/>
      <c r="G508" s="112"/>
      <c r="H508" s="112"/>
      <c r="I508" s="132"/>
    </row>
    <row r="509" spans="1:9" ht="15.5" x14ac:dyDescent="0.35">
      <c r="A509" s="130"/>
      <c r="B509" s="112"/>
      <c r="C509" s="112"/>
      <c r="D509" s="112"/>
      <c r="E509" s="131"/>
      <c r="F509" s="112"/>
      <c r="G509" s="112"/>
      <c r="H509" s="112"/>
      <c r="I509" s="132"/>
    </row>
    <row r="510" spans="1:9" ht="15.5" x14ac:dyDescent="0.35">
      <c r="A510" s="130"/>
      <c r="B510" s="112"/>
      <c r="C510" s="112"/>
      <c r="D510" s="112"/>
      <c r="E510" s="131"/>
      <c r="F510" s="112"/>
      <c r="G510" s="112"/>
      <c r="H510" s="112"/>
      <c r="I510" s="132"/>
    </row>
    <row r="511" spans="1:9" ht="15.5" x14ac:dyDescent="0.35">
      <c r="A511" s="130"/>
      <c r="B511" s="112"/>
      <c r="C511" s="112"/>
      <c r="D511" s="112"/>
      <c r="E511" s="131"/>
      <c r="F511" s="112"/>
      <c r="G511" s="112"/>
      <c r="H511" s="112"/>
      <c r="I511" s="132"/>
    </row>
    <row r="512" spans="1:9" ht="15.5" x14ac:dyDescent="0.35">
      <c r="A512" s="130"/>
      <c r="B512" s="112"/>
      <c r="C512" s="112"/>
      <c r="D512" s="112"/>
      <c r="E512" s="131"/>
      <c r="F512" s="112"/>
      <c r="G512" s="112"/>
      <c r="H512" s="112"/>
      <c r="I512" s="132"/>
    </row>
    <row r="513" spans="1:9" ht="15.5" x14ac:dyDescent="0.35">
      <c r="A513" s="130"/>
      <c r="B513" s="112"/>
      <c r="C513" s="112"/>
      <c r="D513" s="112"/>
      <c r="E513" s="131"/>
      <c r="F513" s="112"/>
      <c r="G513" s="112"/>
      <c r="H513" s="112"/>
      <c r="I513" s="132"/>
    </row>
    <row r="514" spans="1:9" ht="15.5" x14ac:dyDescent="0.35">
      <c r="A514" s="130"/>
      <c r="B514" s="112"/>
      <c r="C514" s="112"/>
      <c r="D514" s="112"/>
      <c r="E514" s="131"/>
      <c r="F514" s="112"/>
      <c r="G514" s="112"/>
      <c r="H514" s="112"/>
      <c r="I514" s="132"/>
    </row>
    <row r="515" spans="1:9" ht="15.5" x14ac:dyDescent="0.35">
      <c r="A515" s="130"/>
      <c r="B515" s="112"/>
      <c r="C515" s="112"/>
      <c r="D515" s="112"/>
      <c r="E515" s="131"/>
      <c r="F515" s="112"/>
      <c r="G515" s="112"/>
      <c r="H515" s="112"/>
      <c r="I515" s="132"/>
    </row>
    <row r="516" spans="1:9" ht="15.5" x14ac:dyDescent="0.35">
      <c r="A516" s="130"/>
      <c r="B516" s="112"/>
      <c r="C516" s="112"/>
      <c r="D516" s="112"/>
      <c r="E516" s="131"/>
      <c r="F516" s="112"/>
      <c r="G516" s="112"/>
      <c r="H516" s="112"/>
      <c r="I516" s="132"/>
    </row>
    <row r="517" spans="1:9" ht="15.5" x14ac:dyDescent="0.35">
      <c r="A517" s="130"/>
      <c r="B517" s="112"/>
      <c r="C517" s="112"/>
      <c r="D517" s="112"/>
      <c r="E517" s="131"/>
      <c r="F517" s="112"/>
      <c r="G517" s="112"/>
      <c r="H517" s="112"/>
      <c r="I517" s="132"/>
    </row>
    <row r="518" spans="1:9" ht="15.5" x14ac:dyDescent="0.35">
      <c r="A518" s="130"/>
      <c r="B518" s="112"/>
      <c r="C518" s="112"/>
      <c r="D518" s="112"/>
      <c r="E518" s="131"/>
      <c r="F518" s="112"/>
      <c r="G518" s="112"/>
      <c r="H518" s="112"/>
      <c r="I518" s="132"/>
    </row>
    <row r="519" spans="1:9" ht="15.5" x14ac:dyDescent="0.35">
      <c r="A519" s="130"/>
      <c r="B519" s="112"/>
      <c r="C519" s="112"/>
      <c r="D519" s="112"/>
      <c r="E519" s="131"/>
      <c r="F519" s="112"/>
      <c r="G519" s="112"/>
      <c r="H519" s="112"/>
      <c r="I519" s="132"/>
    </row>
    <row r="520" spans="1:9" ht="15.5" x14ac:dyDescent="0.35">
      <c r="A520" s="130"/>
      <c r="B520" s="112"/>
      <c r="C520" s="112"/>
      <c r="D520" s="112"/>
      <c r="E520" s="131"/>
      <c r="F520" s="112"/>
      <c r="G520" s="112"/>
      <c r="H520" s="112"/>
      <c r="I520" s="132"/>
    </row>
    <row r="521" spans="1:9" ht="15.5" x14ac:dyDescent="0.35">
      <c r="A521" s="130"/>
      <c r="B521" s="112"/>
      <c r="C521" s="112"/>
      <c r="D521" s="112"/>
      <c r="E521" s="131"/>
      <c r="F521" s="112"/>
      <c r="G521" s="112"/>
      <c r="H521" s="112"/>
      <c r="I521" s="132"/>
    </row>
    <row r="522" spans="1:9" ht="15.5" x14ac:dyDescent="0.35">
      <c r="A522" s="130"/>
      <c r="B522" s="112"/>
      <c r="C522" s="112"/>
      <c r="D522" s="112"/>
      <c r="E522" s="131"/>
      <c r="F522" s="112"/>
      <c r="G522" s="112"/>
      <c r="H522" s="112"/>
      <c r="I522" s="132"/>
    </row>
    <row r="523" spans="1:9" ht="15.5" x14ac:dyDescent="0.35">
      <c r="A523" s="130"/>
      <c r="B523" s="112"/>
      <c r="C523" s="112"/>
      <c r="D523" s="112"/>
      <c r="E523" s="131"/>
      <c r="F523" s="112"/>
      <c r="G523" s="112"/>
      <c r="H523" s="112"/>
      <c r="I523" s="132"/>
    </row>
    <row r="524" spans="1:9" ht="15.5" x14ac:dyDescent="0.35">
      <c r="A524" s="130"/>
      <c r="B524" s="112"/>
      <c r="C524" s="112"/>
      <c r="D524" s="112"/>
      <c r="E524" s="131"/>
      <c r="F524" s="112"/>
      <c r="G524" s="112"/>
      <c r="H524" s="112"/>
      <c r="I524" s="132"/>
    </row>
    <row r="525" spans="1:9" ht="15.5" x14ac:dyDescent="0.35">
      <c r="A525" s="130"/>
      <c r="B525" s="112"/>
      <c r="C525" s="112"/>
      <c r="D525" s="112"/>
      <c r="E525" s="131"/>
      <c r="F525" s="112"/>
      <c r="G525" s="112"/>
      <c r="H525" s="112"/>
      <c r="I525" s="132"/>
    </row>
    <row r="526" spans="1:9" ht="15.5" x14ac:dyDescent="0.35">
      <c r="A526" s="130"/>
      <c r="B526" s="112"/>
      <c r="C526" s="112"/>
      <c r="D526" s="112"/>
      <c r="E526" s="131"/>
      <c r="F526" s="112"/>
      <c r="G526" s="112"/>
      <c r="H526" s="112"/>
      <c r="I526" s="132"/>
    </row>
    <row r="527" spans="1:9" ht="15.5" x14ac:dyDescent="0.35">
      <c r="A527" s="130"/>
      <c r="B527" s="112"/>
      <c r="C527" s="112"/>
      <c r="D527" s="112"/>
      <c r="E527" s="131"/>
      <c r="F527" s="112"/>
      <c r="G527" s="112"/>
      <c r="H527" s="112"/>
      <c r="I527" s="132"/>
    </row>
    <row r="528" spans="1:9" ht="15.5" x14ac:dyDescent="0.35">
      <c r="A528" s="130"/>
      <c r="B528" s="112"/>
      <c r="C528" s="112"/>
      <c r="D528" s="112"/>
      <c r="E528" s="131"/>
      <c r="F528" s="112"/>
      <c r="G528" s="112"/>
      <c r="H528" s="112"/>
      <c r="I528" s="132"/>
    </row>
    <row r="529" spans="1:9" ht="15.5" x14ac:dyDescent="0.35">
      <c r="A529" s="130"/>
      <c r="B529" s="112"/>
      <c r="C529" s="112"/>
      <c r="D529" s="112"/>
      <c r="E529" s="131"/>
      <c r="F529" s="112"/>
      <c r="G529" s="112"/>
      <c r="H529" s="112"/>
      <c r="I529" s="132"/>
    </row>
    <row r="530" spans="1:9" ht="15.5" x14ac:dyDescent="0.35">
      <c r="A530" s="130"/>
      <c r="B530" s="112"/>
      <c r="C530" s="112"/>
      <c r="D530" s="112"/>
      <c r="E530" s="131"/>
      <c r="F530" s="112"/>
      <c r="G530" s="112"/>
      <c r="H530" s="112"/>
      <c r="I530" s="132"/>
    </row>
    <row r="531" spans="1:9" ht="15.5" x14ac:dyDescent="0.35">
      <c r="A531" s="130"/>
      <c r="B531" s="112"/>
      <c r="C531" s="112"/>
      <c r="D531" s="112"/>
      <c r="E531" s="131"/>
      <c r="F531" s="112"/>
      <c r="G531" s="112"/>
      <c r="H531" s="112"/>
      <c r="I531" s="132"/>
    </row>
    <row r="532" spans="1:9" ht="15.5" x14ac:dyDescent="0.35">
      <c r="A532" s="130"/>
      <c r="B532" s="112"/>
      <c r="C532" s="112"/>
      <c r="D532" s="112"/>
      <c r="E532" s="131"/>
      <c r="F532" s="112"/>
      <c r="G532" s="112"/>
      <c r="H532" s="112"/>
      <c r="I532" s="132"/>
    </row>
    <row r="533" spans="1:9" ht="15.5" x14ac:dyDescent="0.35">
      <c r="A533" s="130"/>
      <c r="B533" s="112"/>
      <c r="C533" s="112"/>
      <c r="D533" s="112"/>
      <c r="E533" s="131"/>
      <c r="F533" s="112"/>
      <c r="G533" s="112"/>
      <c r="H533" s="112"/>
      <c r="I533" s="132"/>
    </row>
    <row r="534" spans="1:9" ht="15.5" x14ac:dyDescent="0.35">
      <c r="A534" s="130"/>
      <c r="B534" s="112"/>
      <c r="C534" s="112"/>
      <c r="D534" s="112"/>
      <c r="E534" s="131"/>
      <c r="F534" s="112"/>
      <c r="G534" s="112"/>
      <c r="H534" s="112"/>
      <c r="I534" s="132"/>
    </row>
    <row r="535" spans="1:9" ht="15.5" x14ac:dyDescent="0.35">
      <c r="A535" s="130"/>
      <c r="B535" s="112"/>
      <c r="C535" s="112"/>
      <c r="D535" s="112"/>
      <c r="E535" s="131"/>
      <c r="F535" s="112"/>
      <c r="G535" s="112"/>
      <c r="H535" s="112"/>
      <c r="I535" s="132"/>
    </row>
    <row r="536" spans="1:9" ht="15.5" x14ac:dyDescent="0.35">
      <c r="A536" s="130"/>
      <c r="B536" s="112"/>
      <c r="C536" s="112"/>
      <c r="D536" s="112"/>
      <c r="E536" s="131"/>
      <c r="F536" s="112"/>
      <c r="G536" s="112"/>
      <c r="H536" s="112"/>
      <c r="I536" s="132"/>
    </row>
    <row r="537" spans="1:9" ht="15.5" x14ac:dyDescent="0.35">
      <c r="A537" s="130"/>
      <c r="B537" s="112"/>
      <c r="C537" s="112"/>
      <c r="D537" s="112"/>
      <c r="E537" s="131"/>
      <c r="F537" s="112"/>
      <c r="G537" s="112"/>
      <c r="H537" s="112"/>
      <c r="I537" s="132"/>
    </row>
    <row r="538" spans="1:9" ht="15.5" x14ac:dyDescent="0.35">
      <c r="A538" s="130"/>
      <c r="B538" s="112"/>
      <c r="C538" s="112"/>
      <c r="D538" s="112"/>
      <c r="E538" s="131"/>
      <c r="F538" s="112"/>
      <c r="G538" s="112"/>
      <c r="H538" s="112"/>
      <c r="I538" s="132"/>
    </row>
    <row r="539" spans="1:9" ht="15.5" x14ac:dyDescent="0.35">
      <c r="A539" s="130"/>
      <c r="B539" s="112"/>
      <c r="C539" s="112"/>
      <c r="D539" s="112"/>
      <c r="E539" s="131"/>
      <c r="F539" s="112"/>
      <c r="G539" s="112"/>
      <c r="H539" s="112"/>
      <c r="I539" s="132"/>
    </row>
    <row r="540" spans="1:9" ht="15.5" x14ac:dyDescent="0.35">
      <c r="A540" s="130"/>
      <c r="B540" s="112"/>
      <c r="C540" s="112"/>
      <c r="D540" s="112"/>
      <c r="E540" s="131"/>
      <c r="F540" s="112"/>
      <c r="G540" s="112"/>
      <c r="H540" s="112"/>
      <c r="I540" s="132"/>
    </row>
    <row r="541" spans="1:9" ht="15.5" x14ac:dyDescent="0.35">
      <c r="A541" s="130"/>
      <c r="B541" s="112"/>
      <c r="C541" s="112"/>
      <c r="D541" s="112"/>
      <c r="E541" s="131"/>
      <c r="F541" s="112"/>
      <c r="G541" s="112"/>
      <c r="H541" s="112"/>
      <c r="I541" s="132"/>
    </row>
    <row r="542" spans="1:9" ht="15.5" x14ac:dyDescent="0.35">
      <c r="A542" s="130"/>
      <c r="B542" s="112"/>
      <c r="C542" s="112"/>
      <c r="D542" s="112"/>
      <c r="E542" s="131"/>
      <c r="F542" s="112"/>
      <c r="G542" s="112"/>
      <c r="H542" s="112"/>
      <c r="I542" s="132"/>
    </row>
    <row r="543" spans="1:9" ht="15.5" x14ac:dyDescent="0.35">
      <c r="A543" s="130"/>
      <c r="B543" s="112"/>
      <c r="C543" s="112"/>
      <c r="D543" s="112"/>
      <c r="E543" s="131"/>
      <c r="F543" s="112"/>
      <c r="G543" s="112"/>
      <c r="H543" s="112"/>
      <c r="I543" s="132"/>
    </row>
    <row r="544" spans="1:9" ht="15.5" x14ac:dyDescent="0.35">
      <c r="A544" s="130"/>
      <c r="B544" s="112"/>
      <c r="C544" s="112"/>
      <c r="D544" s="112"/>
      <c r="E544" s="131"/>
      <c r="F544" s="112"/>
      <c r="G544" s="112"/>
      <c r="H544" s="112"/>
      <c r="I544" s="132"/>
    </row>
    <row r="545" spans="1:9" ht="15.5" x14ac:dyDescent="0.35">
      <c r="A545" s="130"/>
      <c r="B545" s="112"/>
      <c r="C545" s="112"/>
      <c r="D545" s="112"/>
      <c r="E545" s="131"/>
      <c r="F545" s="112"/>
      <c r="G545" s="112"/>
      <c r="H545" s="112"/>
      <c r="I545" s="132"/>
    </row>
    <row r="546" spans="1:9" ht="15.5" x14ac:dyDescent="0.35">
      <c r="A546" s="130"/>
      <c r="B546" s="112"/>
      <c r="C546" s="112"/>
      <c r="D546" s="112"/>
      <c r="E546" s="131"/>
      <c r="F546" s="112"/>
      <c r="G546" s="112"/>
      <c r="H546" s="112"/>
      <c r="I546" s="132"/>
    </row>
    <row r="547" spans="1:9" ht="15.5" x14ac:dyDescent="0.35">
      <c r="A547" s="130"/>
      <c r="B547" s="112"/>
      <c r="C547" s="112"/>
      <c r="D547" s="112"/>
      <c r="E547" s="131"/>
      <c r="F547" s="112"/>
      <c r="G547" s="112"/>
      <c r="H547" s="112"/>
      <c r="I547" s="132"/>
    </row>
    <row r="548" spans="1:9" ht="15.5" x14ac:dyDescent="0.35">
      <c r="A548" s="130"/>
      <c r="B548" s="112"/>
      <c r="C548" s="112"/>
      <c r="D548" s="112"/>
      <c r="E548" s="131"/>
      <c r="F548" s="112"/>
      <c r="G548" s="112"/>
      <c r="H548" s="112"/>
      <c r="I548" s="132"/>
    </row>
    <row r="549" spans="1:9" ht="15.5" x14ac:dyDescent="0.35">
      <c r="A549" s="130"/>
      <c r="B549" s="112"/>
      <c r="C549" s="112"/>
      <c r="D549" s="112"/>
      <c r="E549" s="131"/>
      <c r="F549" s="112"/>
      <c r="G549" s="112"/>
      <c r="H549" s="112"/>
      <c r="I549" s="132"/>
    </row>
    <row r="550" spans="1:9" ht="15.5" x14ac:dyDescent="0.35">
      <c r="A550" s="130"/>
      <c r="B550" s="112"/>
      <c r="C550" s="112"/>
      <c r="D550" s="112"/>
      <c r="E550" s="131"/>
      <c r="F550" s="112"/>
      <c r="G550" s="112"/>
      <c r="H550" s="112"/>
      <c r="I550" s="132"/>
    </row>
    <row r="551" spans="1:9" ht="15.5" x14ac:dyDescent="0.35">
      <c r="A551" s="130"/>
      <c r="B551" s="112"/>
      <c r="C551" s="112"/>
      <c r="D551" s="112"/>
      <c r="E551" s="131"/>
      <c r="F551" s="112"/>
      <c r="G551" s="112"/>
      <c r="H551" s="112"/>
      <c r="I551" s="132"/>
    </row>
    <row r="552" spans="1:9" ht="15.5" x14ac:dyDescent="0.35">
      <c r="A552" s="130"/>
      <c r="B552" s="112"/>
      <c r="C552" s="112"/>
      <c r="D552" s="112"/>
      <c r="E552" s="131"/>
      <c r="F552" s="112"/>
      <c r="G552" s="112"/>
      <c r="H552" s="112"/>
      <c r="I552" s="132"/>
    </row>
    <row r="553" spans="1:9" ht="15.5" x14ac:dyDescent="0.35">
      <c r="A553" s="130"/>
      <c r="B553" s="112"/>
      <c r="C553" s="112"/>
      <c r="D553" s="112"/>
      <c r="E553" s="131"/>
      <c r="F553" s="112"/>
      <c r="G553" s="112"/>
      <c r="H553" s="112"/>
      <c r="I553" s="132"/>
    </row>
    <row r="554" spans="1:9" ht="15.5" x14ac:dyDescent="0.35">
      <c r="A554" s="130"/>
      <c r="B554" s="112"/>
      <c r="C554" s="112"/>
      <c r="D554" s="112"/>
      <c r="E554" s="131"/>
      <c r="F554" s="112"/>
      <c r="G554" s="112"/>
      <c r="H554" s="112"/>
      <c r="I554" s="132"/>
    </row>
    <row r="555" spans="1:9" ht="15.5" x14ac:dyDescent="0.35">
      <c r="A555" s="130"/>
      <c r="B555" s="112"/>
      <c r="C555" s="112"/>
      <c r="D555" s="112"/>
      <c r="E555" s="131"/>
      <c r="F555" s="112"/>
      <c r="G555" s="112"/>
      <c r="H555" s="112"/>
      <c r="I555" s="132"/>
    </row>
    <row r="556" spans="1:9" ht="15.5" x14ac:dyDescent="0.35">
      <c r="A556" s="130"/>
      <c r="B556" s="112"/>
      <c r="C556" s="112"/>
      <c r="D556" s="112"/>
      <c r="E556" s="131"/>
      <c r="F556" s="112"/>
      <c r="G556" s="112"/>
      <c r="H556" s="112"/>
      <c r="I556" s="132"/>
    </row>
    <row r="557" spans="1:9" ht="15.5" x14ac:dyDescent="0.35">
      <c r="A557" s="130"/>
      <c r="B557" s="112"/>
      <c r="C557" s="112"/>
      <c r="D557" s="112"/>
      <c r="E557" s="131"/>
      <c r="F557" s="112"/>
      <c r="G557" s="112"/>
      <c r="H557" s="112"/>
      <c r="I557" s="132"/>
    </row>
    <row r="558" spans="1:9" ht="15.5" x14ac:dyDescent="0.35">
      <c r="A558" s="130"/>
      <c r="B558" s="112"/>
      <c r="C558" s="112"/>
      <c r="D558" s="112"/>
      <c r="E558" s="131"/>
      <c r="F558" s="112"/>
      <c r="G558" s="112"/>
      <c r="H558" s="112"/>
      <c r="I558" s="132"/>
    </row>
    <row r="559" spans="1:9" ht="15.5" x14ac:dyDescent="0.35">
      <c r="A559" s="130"/>
      <c r="B559" s="112"/>
      <c r="C559" s="112"/>
      <c r="D559" s="112"/>
      <c r="E559" s="131"/>
      <c r="F559" s="112"/>
      <c r="G559" s="112"/>
      <c r="H559" s="112"/>
      <c r="I559" s="132"/>
    </row>
    <row r="560" spans="1:9" ht="15.5" x14ac:dyDescent="0.35">
      <c r="A560" s="130"/>
      <c r="B560" s="112"/>
      <c r="C560" s="112"/>
      <c r="D560" s="112"/>
      <c r="E560" s="131"/>
      <c r="F560" s="112"/>
      <c r="G560" s="112"/>
      <c r="H560" s="112"/>
      <c r="I560" s="132"/>
    </row>
    <row r="561" spans="1:9" ht="15.5" x14ac:dyDescent="0.35">
      <c r="A561" s="130"/>
      <c r="B561" s="112"/>
      <c r="C561" s="112"/>
      <c r="D561" s="112"/>
      <c r="E561" s="131"/>
      <c r="F561" s="112"/>
      <c r="G561" s="112"/>
      <c r="H561" s="112"/>
      <c r="I561" s="132"/>
    </row>
    <row r="562" spans="1:9" ht="15.5" x14ac:dyDescent="0.35">
      <c r="A562" s="130"/>
      <c r="B562" s="112"/>
      <c r="C562" s="112"/>
      <c r="D562" s="112"/>
      <c r="E562" s="131"/>
      <c r="F562" s="112"/>
      <c r="G562" s="112"/>
      <c r="H562" s="112"/>
      <c r="I562" s="132"/>
    </row>
    <row r="563" spans="1:9" ht="15.5" x14ac:dyDescent="0.35">
      <c r="A563" s="130"/>
      <c r="B563" s="112"/>
      <c r="C563" s="112"/>
      <c r="D563" s="112"/>
      <c r="E563" s="131"/>
      <c r="F563" s="112"/>
      <c r="G563" s="112"/>
      <c r="H563" s="112"/>
      <c r="I563" s="132"/>
    </row>
    <row r="564" spans="1:9" ht="15.5" x14ac:dyDescent="0.35">
      <c r="A564" s="130"/>
      <c r="B564" s="112"/>
      <c r="C564" s="112"/>
      <c r="D564" s="112"/>
      <c r="E564" s="131"/>
      <c r="F564" s="112"/>
      <c r="G564" s="112"/>
      <c r="H564" s="112"/>
      <c r="I564" s="132"/>
    </row>
    <row r="565" spans="1:9" ht="15.5" x14ac:dyDescent="0.35">
      <c r="A565" s="130"/>
      <c r="B565" s="112"/>
      <c r="C565" s="112"/>
      <c r="D565" s="112"/>
      <c r="E565" s="131"/>
      <c r="F565" s="112"/>
      <c r="G565" s="112"/>
      <c r="H565" s="112"/>
      <c r="I565" s="132"/>
    </row>
    <row r="566" spans="1:9" ht="15.5" x14ac:dyDescent="0.35">
      <c r="A566" s="130"/>
      <c r="B566" s="112"/>
      <c r="C566" s="112"/>
      <c r="D566" s="112"/>
      <c r="E566" s="131"/>
      <c r="F566" s="112"/>
      <c r="G566" s="112"/>
      <c r="H566" s="112"/>
      <c r="I566" s="132"/>
    </row>
    <row r="567" spans="1:9" ht="15.5" x14ac:dyDescent="0.35">
      <c r="A567" s="130"/>
      <c r="B567" s="112"/>
      <c r="C567" s="112"/>
      <c r="D567" s="112"/>
      <c r="E567" s="131"/>
      <c r="F567" s="112"/>
      <c r="G567" s="112"/>
      <c r="H567" s="112"/>
      <c r="I567" s="132"/>
    </row>
    <row r="568" spans="1:9" ht="15.5" x14ac:dyDescent="0.35">
      <c r="A568" s="130"/>
      <c r="B568" s="112"/>
      <c r="C568" s="112"/>
      <c r="D568" s="112"/>
      <c r="E568" s="131"/>
      <c r="F568" s="112"/>
      <c r="G568" s="112"/>
      <c r="H568" s="112"/>
      <c r="I568" s="132"/>
    </row>
    <row r="569" spans="1:9" ht="15.5" x14ac:dyDescent="0.35">
      <c r="A569" s="130"/>
      <c r="B569" s="112"/>
      <c r="C569" s="112"/>
      <c r="D569" s="112"/>
      <c r="E569" s="131"/>
      <c r="F569" s="112"/>
      <c r="G569" s="112"/>
      <c r="H569" s="112"/>
      <c r="I569" s="132"/>
    </row>
    <row r="570" spans="1:9" ht="15.5" x14ac:dyDescent="0.35">
      <c r="A570" s="130"/>
      <c r="B570" s="112"/>
      <c r="C570" s="112"/>
      <c r="D570" s="112"/>
      <c r="E570" s="131"/>
      <c r="F570" s="112"/>
      <c r="G570" s="112"/>
      <c r="H570" s="112"/>
      <c r="I570" s="132"/>
    </row>
    <row r="571" spans="1:9" ht="15.5" x14ac:dyDescent="0.35">
      <c r="A571" s="130"/>
      <c r="B571" s="112"/>
      <c r="C571" s="112"/>
      <c r="D571" s="112"/>
      <c r="E571" s="131"/>
      <c r="F571" s="112"/>
      <c r="G571" s="112"/>
      <c r="H571" s="112"/>
      <c r="I571" s="132"/>
    </row>
    <row r="572" spans="1:9" ht="15.5" x14ac:dyDescent="0.35">
      <c r="A572" s="130"/>
      <c r="B572" s="112"/>
      <c r="C572" s="112"/>
      <c r="D572" s="112"/>
      <c r="E572" s="131"/>
      <c r="F572" s="112"/>
      <c r="G572" s="112"/>
      <c r="H572" s="112"/>
      <c r="I572" s="132"/>
    </row>
    <row r="573" spans="1:9" ht="15.5" x14ac:dyDescent="0.35">
      <c r="A573" s="130"/>
      <c r="B573" s="112"/>
      <c r="C573" s="112"/>
      <c r="D573" s="112"/>
      <c r="E573" s="131"/>
      <c r="F573" s="112"/>
      <c r="G573" s="112"/>
      <c r="H573" s="112"/>
      <c r="I573" s="132"/>
    </row>
    <row r="574" spans="1:9" ht="15.5" x14ac:dyDescent="0.35">
      <c r="A574" s="130"/>
      <c r="B574" s="112"/>
      <c r="C574" s="112"/>
      <c r="D574" s="112"/>
      <c r="E574" s="131"/>
      <c r="F574" s="112"/>
      <c r="G574" s="112"/>
      <c r="H574" s="112"/>
      <c r="I574" s="132"/>
    </row>
    <row r="575" spans="1:9" ht="15.5" x14ac:dyDescent="0.35">
      <c r="A575" s="130"/>
      <c r="B575" s="112"/>
      <c r="C575" s="112"/>
      <c r="D575" s="112"/>
      <c r="E575" s="131"/>
      <c r="F575" s="112"/>
      <c r="G575" s="112"/>
      <c r="H575" s="112"/>
      <c r="I575" s="132"/>
    </row>
    <row r="576" spans="1:9" ht="15.5" x14ac:dyDescent="0.35">
      <c r="A576" s="130"/>
      <c r="B576" s="112"/>
      <c r="C576" s="112"/>
      <c r="D576" s="112"/>
      <c r="E576" s="131"/>
      <c r="F576" s="112"/>
      <c r="G576" s="112"/>
      <c r="H576" s="112"/>
      <c r="I576" s="132"/>
    </row>
    <row r="577" spans="1:9" ht="15.5" x14ac:dyDescent="0.35">
      <c r="A577" s="130"/>
      <c r="B577" s="112"/>
      <c r="C577" s="112"/>
      <c r="D577" s="112"/>
      <c r="E577" s="131"/>
      <c r="F577" s="112"/>
      <c r="G577" s="112"/>
      <c r="H577" s="112"/>
      <c r="I577" s="132"/>
    </row>
    <row r="578" spans="1:9" ht="15.5" x14ac:dyDescent="0.35">
      <c r="A578" s="130"/>
      <c r="B578" s="112"/>
      <c r="C578" s="112"/>
      <c r="D578" s="112"/>
      <c r="E578" s="131"/>
      <c r="F578" s="112"/>
      <c r="G578" s="112"/>
      <c r="H578" s="112"/>
      <c r="I578" s="132"/>
    </row>
    <row r="579" spans="1:9" ht="15.5" x14ac:dyDescent="0.35">
      <c r="A579" s="130"/>
      <c r="B579" s="112"/>
      <c r="C579" s="112"/>
      <c r="D579" s="112"/>
      <c r="E579" s="131"/>
      <c r="F579" s="112"/>
      <c r="G579" s="112"/>
      <c r="H579" s="112"/>
      <c r="I579" s="132"/>
    </row>
    <row r="580" spans="1:9" ht="15.5" x14ac:dyDescent="0.35">
      <c r="A580" s="130"/>
      <c r="B580" s="112"/>
      <c r="C580" s="112"/>
      <c r="D580" s="112"/>
      <c r="E580" s="131"/>
      <c r="F580" s="112"/>
      <c r="G580" s="112"/>
      <c r="H580" s="112"/>
      <c r="I580" s="132"/>
    </row>
    <row r="581" spans="1:9" ht="15.5" x14ac:dyDescent="0.35">
      <c r="A581" s="130"/>
      <c r="B581" s="112"/>
      <c r="C581" s="112"/>
      <c r="D581" s="112"/>
      <c r="E581" s="131"/>
      <c r="F581" s="112"/>
      <c r="G581" s="112"/>
      <c r="H581" s="112"/>
      <c r="I581" s="132"/>
    </row>
    <row r="582" spans="1:9" ht="15.5" x14ac:dyDescent="0.35">
      <c r="A582" s="130"/>
      <c r="B582" s="112"/>
      <c r="C582" s="112"/>
      <c r="D582" s="112"/>
      <c r="E582" s="131"/>
      <c r="F582" s="112"/>
      <c r="G582" s="112"/>
      <c r="H582" s="112"/>
      <c r="I582" s="132"/>
    </row>
    <row r="583" spans="1:9" ht="15.5" x14ac:dyDescent="0.35">
      <c r="A583" s="130"/>
      <c r="B583" s="112"/>
      <c r="C583" s="112"/>
      <c r="D583" s="112"/>
      <c r="E583" s="131"/>
      <c r="F583" s="112"/>
      <c r="G583" s="112"/>
      <c r="H583" s="112"/>
      <c r="I583" s="132"/>
    </row>
    <row r="584" spans="1:9" ht="15.5" x14ac:dyDescent="0.35">
      <c r="A584" s="130"/>
      <c r="B584" s="112"/>
      <c r="C584" s="112"/>
      <c r="D584" s="112"/>
      <c r="E584" s="131"/>
      <c r="F584" s="112"/>
      <c r="G584" s="112"/>
      <c r="H584" s="112"/>
      <c r="I584" s="132"/>
    </row>
    <row r="585" spans="1:9" ht="15.5" x14ac:dyDescent="0.35">
      <c r="A585" s="130"/>
      <c r="B585" s="112"/>
      <c r="C585" s="112"/>
      <c r="D585" s="112"/>
      <c r="E585" s="131"/>
      <c r="F585" s="112"/>
      <c r="G585" s="112"/>
      <c r="H585" s="112"/>
      <c r="I585" s="132"/>
    </row>
    <row r="586" spans="1:9" ht="15.5" x14ac:dyDescent="0.35">
      <c r="A586" s="130"/>
      <c r="B586" s="112"/>
      <c r="C586" s="112"/>
      <c r="D586" s="112"/>
      <c r="E586" s="131"/>
      <c r="F586" s="112"/>
      <c r="G586" s="112"/>
      <c r="H586" s="112"/>
      <c r="I586" s="132"/>
    </row>
    <row r="587" spans="1:9" ht="15.5" x14ac:dyDescent="0.35">
      <c r="A587" s="130"/>
      <c r="B587" s="112"/>
      <c r="C587" s="112"/>
      <c r="D587" s="112"/>
      <c r="E587" s="131"/>
      <c r="F587" s="112"/>
      <c r="G587" s="112"/>
      <c r="H587" s="112"/>
      <c r="I587" s="132"/>
    </row>
    <row r="588" spans="1:9" ht="15.5" x14ac:dyDescent="0.35">
      <c r="A588" s="130"/>
      <c r="B588" s="112"/>
      <c r="C588" s="112"/>
      <c r="D588" s="112"/>
      <c r="E588" s="131"/>
      <c r="F588" s="112"/>
      <c r="G588" s="112"/>
      <c r="H588" s="112"/>
      <c r="I588" s="132"/>
    </row>
    <row r="589" spans="1:9" ht="15.5" x14ac:dyDescent="0.35">
      <c r="A589" s="130"/>
      <c r="B589" s="112"/>
      <c r="C589" s="112"/>
      <c r="D589" s="112"/>
      <c r="E589" s="131"/>
      <c r="F589" s="112"/>
      <c r="G589" s="112"/>
      <c r="H589" s="112"/>
      <c r="I589" s="132"/>
    </row>
    <row r="590" spans="1:9" ht="15.5" x14ac:dyDescent="0.35">
      <c r="A590" s="130"/>
      <c r="B590" s="112"/>
      <c r="C590" s="112"/>
      <c r="D590" s="112"/>
      <c r="E590" s="131"/>
      <c r="F590" s="112"/>
      <c r="G590" s="112"/>
      <c r="H590" s="112"/>
      <c r="I590" s="132"/>
    </row>
    <row r="591" spans="1:9" ht="15.5" x14ac:dyDescent="0.35">
      <c r="A591" s="130"/>
      <c r="B591" s="112"/>
      <c r="C591" s="112"/>
      <c r="D591" s="112"/>
      <c r="E591" s="131"/>
      <c r="F591" s="112"/>
      <c r="G591" s="112"/>
      <c r="H591" s="112"/>
      <c r="I591" s="132"/>
    </row>
    <row r="592" spans="1:9" ht="15.5" x14ac:dyDescent="0.35">
      <c r="A592" s="130"/>
      <c r="B592" s="112"/>
      <c r="C592" s="112"/>
      <c r="D592" s="112"/>
      <c r="E592" s="131"/>
      <c r="F592" s="112"/>
      <c r="G592" s="112"/>
      <c r="H592" s="112"/>
      <c r="I592" s="132"/>
    </row>
    <row r="593" spans="1:9" ht="15.5" x14ac:dyDescent="0.35">
      <c r="A593" s="130"/>
      <c r="B593" s="112"/>
      <c r="C593" s="112"/>
      <c r="D593" s="112"/>
      <c r="E593" s="131"/>
      <c r="F593" s="112"/>
      <c r="G593" s="112"/>
      <c r="H593" s="112"/>
      <c r="I593" s="132"/>
    </row>
    <row r="594" spans="1:9" ht="15.5" x14ac:dyDescent="0.35">
      <c r="A594" s="130"/>
      <c r="B594" s="112"/>
      <c r="C594" s="112"/>
      <c r="D594" s="112"/>
      <c r="E594" s="131"/>
      <c r="F594" s="112"/>
      <c r="G594" s="112"/>
      <c r="H594" s="112"/>
      <c r="I594" s="132"/>
    </row>
    <row r="595" spans="1:9" ht="15.5" x14ac:dyDescent="0.35">
      <c r="A595" s="130"/>
      <c r="B595" s="112"/>
      <c r="C595" s="112"/>
      <c r="D595" s="112"/>
      <c r="E595" s="131"/>
      <c r="F595" s="112"/>
      <c r="G595" s="112"/>
      <c r="H595" s="112"/>
      <c r="I595" s="132"/>
    </row>
    <row r="596" spans="1:9" ht="15.5" x14ac:dyDescent="0.35">
      <c r="A596" s="130"/>
      <c r="B596" s="112"/>
      <c r="C596" s="112"/>
      <c r="D596" s="112"/>
      <c r="E596" s="131"/>
      <c r="F596" s="112"/>
      <c r="G596" s="112"/>
      <c r="H596" s="112"/>
      <c r="I596" s="132"/>
    </row>
    <row r="597" spans="1:9" ht="15.5" x14ac:dyDescent="0.35">
      <c r="A597" s="130"/>
      <c r="B597" s="112"/>
      <c r="C597" s="112"/>
      <c r="D597" s="112"/>
      <c r="E597" s="131"/>
      <c r="F597" s="112"/>
      <c r="G597" s="112"/>
      <c r="H597" s="112"/>
      <c r="I597" s="132"/>
    </row>
    <row r="598" spans="1:9" ht="15.5" x14ac:dyDescent="0.35">
      <c r="A598" s="130"/>
      <c r="B598" s="112"/>
      <c r="C598" s="112"/>
      <c r="D598" s="112"/>
      <c r="E598" s="131"/>
      <c r="F598" s="112"/>
      <c r="G598" s="112"/>
      <c r="H598" s="112"/>
      <c r="I598" s="132"/>
    </row>
    <row r="599" spans="1:9" ht="15.5" x14ac:dyDescent="0.35">
      <c r="A599" s="130"/>
      <c r="B599" s="112"/>
      <c r="C599" s="112"/>
      <c r="D599" s="112"/>
      <c r="E599" s="131"/>
      <c r="F599" s="112"/>
      <c r="G599" s="112"/>
      <c r="H599" s="112"/>
      <c r="I599" s="132"/>
    </row>
    <row r="600" spans="1:9" ht="15.5" x14ac:dyDescent="0.35">
      <c r="A600" s="130"/>
      <c r="B600" s="112"/>
      <c r="C600" s="112"/>
      <c r="D600" s="112"/>
      <c r="E600" s="131"/>
      <c r="F600" s="112"/>
      <c r="G600" s="112"/>
      <c r="H600" s="112"/>
      <c r="I600" s="132"/>
    </row>
    <row r="601" spans="1:9" ht="15.5" x14ac:dyDescent="0.35">
      <c r="A601" s="130"/>
      <c r="B601" s="112"/>
      <c r="C601" s="112"/>
      <c r="D601" s="112"/>
      <c r="E601" s="131"/>
      <c r="F601" s="112"/>
      <c r="G601" s="112"/>
      <c r="H601" s="112"/>
      <c r="I601" s="132"/>
    </row>
    <row r="602" spans="1:9" ht="15.5" x14ac:dyDescent="0.35">
      <c r="A602" s="130"/>
      <c r="B602" s="112"/>
      <c r="C602" s="112"/>
      <c r="D602" s="112"/>
      <c r="E602" s="131"/>
      <c r="F602" s="112"/>
      <c r="G602" s="112"/>
      <c r="H602" s="112"/>
      <c r="I602" s="132"/>
    </row>
    <row r="603" spans="1:9" ht="15.5" x14ac:dyDescent="0.35">
      <c r="A603" s="130"/>
      <c r="B603" s="112"/>
      <c r="C603" s="112"/>
      <c r="D603" s="112"/>
      <c r="E603" s="131"/>
      <c r="F603" s="112"/>
      <c r="G603" s="112"/>
      <c r="H603" s="112"/>
      <c r="I603" s="132"/>
    </row>
    <row r="604" spans="1:9" ht="15.5" x14ac:dyDescent="0.35">
      <c r="A604" s="130"/>
      <c r="B604" s="112"/>
      <c r="C604" s="112"/>
      <c r="D604" s="112"/>
      <c r="E604" s="131"/>
      <c r="F604" s="112"/>
      <c r="G604" s="112"/>
      <c r="H604" s="112"/>
      <c r="I604" s="132"/>
    </row>
    <row r="605" spans="1:9" ht="15.5" x14ac:dyDescent="0.35">
      <c r="A605" s="130"/>
      <c r="B605" s="112"/>
      <c r="C605" s="112"/>
      <c r="D605" s="112"/>
      <c r="E605" s="131"/>
      <c r="F605" s="112"/>
      <c r="G605" s="112"/>
      <c r="H605" s="112"/>
      <c r="I605" s="132"/>
    </row>
    <row r="606" spans="1:9" ht="15.5" x14ac:dyDescent="0.35">
      <c r="A606" s="130"/>
      <c r="B606" s="112"/>
      <c r="C606" s="112"/>
      <c r="D606" s="112"/>
      <c r="E606" s="131"/>
      <c r="F606" s="112"/>
      <c r="G606" s="112"/>
      <c r="H606" s="112"/>
      <c r="I606" s="132"/>
    </row>
    <row r="607" spans="1:9" ht="15.5" x14ac:dyDescent="0.35">
      <c r="A607" s="130"/>
      <c r="B607" s="112"/>
      <c r="C607" s="112"/>
      <c r="D607" s="112"/>
      <c r="E607" s="131"/>
      <c r="F607" s="112"/>
      <c r="G607" s="112"/>
      <c r="H607" s="112"/>
      <c r="I607" s="132"/>
    </row>
    <row r="608" spans="1:9" ht="15.5" x14ac:dyDescent="0.35">
      <c r="A608" s="130"/>
      <c r="B608" s="112"/>
      <c r="C608" s="112"/>
      <c r="D608" s="112"/>
      <c r="E608" s="131"/>
      <c r="F608" s="112"/>
      <c r="G608" s="112"/>
      <c r="H608" s="112"/>
      <c r="I608" s="132"/>
    </row>
    <row r="609" spans="1:9" ht="15.5" x14ac:dyDescent="0.35">
      <c r="A609" s="130"/>
      <c r="B609" s="112"/>
      <c r="C609" s="112"/>
      <c r="D609" s="112"/>
      <c r="E609" s="131"/>
      <c r="F609" s="112"/>
      <c r="G609" s="112"/>
      <c r="H609" s="112"/>
      <c r="I609" s="132"/>
    </row>
    <row r="610" spans="1:9" ht="15.5" x14ac:dyDescent="0.35">
      <c r="A610" s="130"/>
      <c r="B610" s="112"/>
      <c r="C610" s="112"/>
      <c r="D610" s="112"/>
      <c r="E610" s="131"/>
      <c r="F610" s="112"/>
      <c r="G610" s="112"/>
      <c r="H610" s="112"/>
      <c r="I610" s="132"/>
    </row>
    <row r="611" spans="1:9" ht="15.5" x14ac:dyDescent="0.35">
      <c r="A611" s="130"/>
      <c r="B611" s="112"/>
      <c r="C611" s="112"/>
      <c r="D611" s="112"/>
      <c r="E611" s="131"/>
      <c r="F611" s="112"/>
      <c r="G611" s="112"/>
      <c r="H611" s="112"/>
      <c r="I611" s="132"/>
    </row>
    <row r="612" spans="1:9" ht="15.5" x14ac:dyDescent="0.35">
      <c r="A612" s="130"/>
      <c r="B612" s="112"/>
      <c r="C612" s="112"/>
      <c r="D612" s="112"/>
      <c r="E612" s="131"/>
      <c r="F612" s="112"/>
      <c r="G612" s="112"/>
      <c r="H612" s="112"/>
      <c r="I612" s="132"/>
    </row>
    <row r="613" spans="1:9" ht="15.5" x14ac:dyDescent="0.35">
      <c r="A613" s="130"/>
      <c r="B613" s="112"/>
      <c r="C613" s="112"/>
      <c r="D613" s="112"/>
      <c r="E613" s="131"/>
      <c r="F613" s="112"/>
      <c r="G613" s="112"/>
      <c r="H613" s="112"/>
      <c r="I613" s="132"/>
    </row>
    <row r="614" spans="1:9" ht="15.5" x14ac:dyDescent="0.35">
      <c r="A614" s="130"/>
      <c r="B614" s="112"/>
      <c r="C614" s="112"/>
      <c r="D614" s="112"/>
      <c r="E614" s="131"/>
      <c r="F614" s="112"/>
      <c r="G614" s="112"/>
      <c r="H614" s="112"/>
      <c r="I614" s="132"/>
    </row>
    <row r="615" spans="1:9" ht="15.5" x14ac:dyDescent="0.35">
      <c r="A615" s="130"/>
      <c r="B615" s="112"/>
      <c r="C615" s="112"/>
      <c r="D615" s="112"/>
      <c r="E615" s="131"/>
      <c r="F615" s="112"/>
      <c r="G615" s="112"/>
      <c r="H615" s="112"/>
      <c r="I615" s="132"/>
    </row>
    <row r="616" spans="1:9" ht="15.5" x14ac:dyDescent="0.35">
      <c r="A616" s="130"/>
      <c r="B616" s="112"/>
      <c r="C616" s="112"/>
      <c r="D616" s="112"/>
      <c r="E616" s="131"/>
      <c r="F616" s="112"/>
      <c r="G616" s="112"/>
      <c r="H616" s="112"/>
      <c r="I616" s="132"/>
    </row>
    <row r="617" spans="1:9" ht="15.5" x14ac:dyDescent="0.35">
      <c r="A617" s="130"/>
      <c r="B617" s="112"/>
      <c r="C617" s="112"/>
      <c r="D617" s="112"/>
      <c r="E617" s="131"/>
      <c r="F617" s="112"/>
      <c r="G617" s="112"/>
      <c r="H617" s="112"/>
      <c r="I617" s="132"/>
    </row>
    <row r="618" spans="1:9" ht="15.5" x14ac:dyDescent="0.35">
      <c r="A618" s="130"/>
      <c r="B618" s="112"/>
      <c r="C618" s="112"/>
      <c r="D618" s="112"/>
      <c r="E618" s="131"/>
      <c r="F618" s="112"/>
      <c r="G618" s="112"/>
      <c r="H618" s="112"/>
      <c r="I618" s="132"/>
    </row>
    <row r="619" spans="1:9" ht="15.5" x14ac:dyDescent="0.35">
      <c r="A619" s="130"/>
      <c r="B619" s="112"/>
      <c r="C619" s="112"/>
      <c r="D619" s="112"/>
      <c r="E619" s="131"/>
      <c r="F619" s="112"/>
      <c r="G619" s="112"/>
      <c r="H619" s="112"/>
      <c r="I619" s="132"/>
    </row>
    <row r="620" spans="1:9" ht="15.5" x14ac:dyDescent="0.35">
      <c r="A620" s="130"/>
      <c r="B620" s="112"/>
      <c r="C620" s="112"/>
      <c r="D620" s="112"/>
      <c r="E620" s="131"/>
      <c r="F620" s="112"/>
      <c r="G620" s="112"/>
      <c r="H620" s="112"/>
      <c r="I620" s="132"/>
    </row>
    <row r="621" spans="1:9" ht="15.5" x14ac:dyDescent="0.35">
      <c r="A621" s="130"/>
      <c r="B621" s="112"/>
      <c r="C621" s="112"/>
      <c r="D621" s="112"/>
      <c r="E621" s="131"/>
      <c r="F621" s="112"/>
      <c r="G621" s="112"/>
      <c r="H621" s="112"/>
      <c r="I621" s="132"/>
    </row>
    <row r="622" spans="1:9" ht="15.5" x14ac:dyDescent="0.35">
      <c r="A622" s="130"/>
      <c r="B622" s="112"/>
      <c r="C622" s="112"/>
      <c r="D622" s="112"/>
      <c r="E622" s="131"/>
      <c r="F622" s="112"/>
      <c r="G622" s="112"/>
      <c r="H622" s="112"/>
      <c r="I622" s="132"/>
    </row>
    <row r="623" spans="1:9" ht="15.5" x14ac:dyDescent="0.35">
      <c r="A623" s="130"/>
      <c r="B623" s="112"/>
      <c r="C623" s="112"/>
      <c r="D623" s="112"/>
      <c r="E623" s="131"/>
      <c r="F623" s="112"/>
      <c r="G623" s="112"/>
      <c r="H623" s="112"/>
      <c r="I623" s="132"/>
    </row>
    <row r="624" spans="1:9" ht="15.5" x14ac:dyDescent="0.35">
      <c r="A624" s="130"/>
      <c r="B624" s="112"/>
      <c r="C624" s="112"/>
      <c r="D624" s="112"/>
      <c r="E624" s="131"/>
      <c r="F624" s="112"/>
      <c r="G624" s="112"/>
      <c r="H624" s="112"/>
      <c r="I624" s="132"/>
    </row>
    <row r="625" spans="1:9" ht="15.5" x14ac:dyDescent="0.35">
      <c r="A625" s="130"/>
      <c r="B625" s="112"/>
      <c r="C625" s="112"/>
      <c r="D625" s="112"/>
      <c r="E625" s="131"/>
      <c r="F625" s="112"/>
      <c r="G625" s="112"/>
      <c r="H625" s="112"/>
      <c r="I625" s="132"/>
    </row>
    <row r="626" spans="1:9" ht="15.5" x14ac:dyDescent="0.35">
      <c r="A626" s="130"/>
      <c r="B626" s="112"/>
      <c r="C626" s="112"/>
      <c r="D626" s="112"/>
      <c r="E626" s="131"/>
      <c r="F626" s="112"/>
      <c r="G626" s="112"/>
      <c r="H626" s="112"/>
      <c r="I626" s="132"/>
    </row>
    <row r="627" spans="1:9" ht="15.5" x14ac:dyDescent="0.35">
      <c r="A627" s="130"/>
      <c r="B627" s="112"/>
      <c r="C627" s="112"/>
      <c r="D627" s="112"/>
      <c r="E627" s="131"/>
      <c r="F627" s="112"/>
      <c r="G627" s="112"/>
      <c r="H627" s="112"/>
      <c r="I627" s="132"/>
    </row>
    <row r="628" spans="1:9" ht="15.5" x14ac:dyDescent="0.35">
      <c r="A628" s="130"/>
      <c r="B628" s="112"/>
      <c r="C628" s="112"/>
      <c r="D628" s="112"/>
      <c r="E628" s="131"/>
      <c r="F628" s="112"/>
      <c r="G628" s="112"/>
      <c r="H628" s="112"/>
      <c r="I628" s="132"/>
    </row>
    <row r="629" spans="1:9" ht="15.5" x14ac:dyDescent="0.35">
      <c r="A629" s="130"/>
      <c r="B629" s="112"/>
      <c r="C629" s="112"/>
      <c r="D629" s="112"/>
      <c r="E629" s="131"/>
      <c r="F629" s="112"/>
      <c r="G629" s="112"/>
      <c r="H629" s="112"/>
      <c r="I629" s="132"/>
    </row>
    <row r="630" spans="1:9" ht="15.5" x14ac:dyDescent="0.35">
      <c r="A630" s="130"/>
      <c r="B630" s="112"/>
      <c r="C630" s="112"/>
      <c r="D630" s="112"/>
      <c r="E630" s="131"/>
      <c r="F630" s="112"/>
      <c r="G630" s="112"/>
      <c r="H630" s="112"/>
      <c r="I630" s="132"/>
    </row>
    <row r="631" spans="1:9" ht="15.5" x14ac:dyDescent="0.35">
      <c r="A631" s="130"/>
      <c r="B631" s="112"/>
      <c r="C631" s="112"/>
      <c r="D631" s="112"/>
      <c r="E631" s="131"/>
      <c r="F631" s="112"/>
      <c r="G631" s="112"/>
      <c r="H631" s="112"/>
      <c r="I631" s="132"/>
    </row>
    <row r="632" spans="1:9" ht="15.5" x14ac:dyDescent="0.35">
      <c r="A632" s="130"/>
      <c r="B632" s="112"/>
      <c r="C632" s="112"/>
      <c r="D632" s="112"/>
      <c r="E632" s="131"/>
      <c r="F632" s="112"/>
      <c r="G632" s="112"/>
      <c r="H632" s="112"/>
      <c r="I632" s="132"/>
    </row>
    <row r="633" spans="1:9" ht="15.5" x14ac:dyDescent="0.35">
      <c r="A633" s="130"/>
      <c r="B633" s="112"/>
      <c r="C633" s="112"/>
      <c r="D633" s="112"/>
      <c r="E633" s="131"/>
      <c r="F633" s="112"/>
      <c r="G633" s="112"/>
      <c r="H633" s="112"/>
      <c r="I633" s="132"/>
    </row>
    <row r="634" spans="1:9" ht="15.5" x14ac:dyDescent="0.35">
      <c r="A634" s="130"/>
      <c r="B634" s="112"/>
      <c r="C634" s="112"/>
      <c r="D634" s="112"/>
      <c r="E634" s="131"/>
      <c r="F634" s="112"/>
      <c r="G634" s="112"/>
      <c r="H634" s="112"/>
      <c r="I634" s="132"/>
    </row>
    <row r="635" spans="1:9" ht="15.5" x14ac:dyDescent="0.35">
      <c r="A635" s="130"/>
      <c r="B635" s="112"/>
      <c r="C635" s="112"/>
      <c r="D635" s="112"/>
      <c r="E635" s="131"/>
      <c r="F635" s="112"/>
      <c r="G635" s="112"/>
      <c r="H635" s="112"/>
      <c r="I635" s="132"/>
    </row>
    <row r="636" spans="1:9" ht="15.5" x14ac:dyDescent="0.35">
      <c r="A636" s="130"/>
      <c r="B636" s="112"/>
      <c r="C636" s="112"/>
      <c r="D636" s="112"/>
      <c r="E636" s="131"/>
      <c r="F636" s="112"/>
      <c r="G636" s="112"/>
      <c r="H636" s="112"/>
      <c r="I636" s="132"/>
    </row>
    <row r="637" spans="1:9" ht="15.5" x14ac:dyDescent="0.35">
      <c r="A637" s="130"/>
      <c r="B637" s="112"/>
      <c r="C637" s="112"/>
      <c r="D637" s="112"/>
      <c r="E637" s="131"/>
      <c r="F637" s="112"/>
      <c r="G637" s="112"/>
      <c r="H637" s="112"/>
      <c r="I637" s="132"/>
    </row>
    <row r="638" spans="1:9" ht="15.5" x14ac:dyDescent="0.35">
      <c r="A638" s="130"/>
      <c r="B638" s="112"/>
      <c r="C638" s="112"/>
      <c r="D638" s="112"/>
      <c r="E638" s="131"/>
      <c r="F638" s="112"/>
      <c r="G638" s="112"/>
      <c r="H638" s="112"/>
      <c r="I638" s="132"/>
    </row>
    <row r="639" spans="1:9" ht="15.5" x14ac:dyDescent="0.35">
      <c r="A639" s="130"/>
      <c r="B639" s="112"/>
      <c r="C639" s="112"/>
      <c r="D639" s="112"/>
      <c r="E639" s="131"/>
      <c r="F639" s="112"/>
      <c r="G639" s="112"/>
      <c r="H639" s="112"/>
      <c r="I639" s="132"/>
    </row>
    <row r="640" spans="1:9" ht="15.5" x14ac:dyDescent="0.35">
      <c r="A640" s="130"/>
      <c r="B640" s="112"/>
      <c r="C640" s="112"/>
      <c r="D640" s="112"/>
      <c r="E640" s="131"/>
      <c r="F640" s="112"/>
      <c r="G640" s="112"/>
      <c r="H640" s="112"/>
      <c r="I640" s="132"/>
    </row>
    <row r="641" spans="1:9" ht="15.5" x14ac:dyDescent="0.35">
      <c r="A641" s="130"/>
      <c r="B641" s="112"/>
      <c r="C641" s="112"/>
      <c r="D641" s="112"/>
      <c r="E641" s="131"/>
      <c r="F641" s="112"/>
      <c r="G641" s="112"/>
      <c r="H641" s="112"/>
      <c r="I641" s="132"/>
    </row>
    <row r="642" spans="1:9" ht="15.5" x14ac:dyDescent="0.35">
      <c r="A642" s="130"/>
      <c r="B642" s="112"/>
      <c r="C642" s="112"/>
      <c r="D642" s="112"/>
      <c r="E642" s="131"/>
      <c r="F642" s="112"/>
      <c r="G642" s="112"/>
      <c r="H642" s="112"/>
      <c r="I642" s="132"/>
    </row>
    <row r="643" spans="1:9" ht="15.5" x14ac:dyDescent="0.35">
      <c r="A643" s="130"/>
      <c r="B643" s="112"/>
      <c r="C643" s="112"/>
      <c r="D643" s="112"/>
      <c r="E643" s="131"/>
      <c r="F643" s="112"/>
      <c r="G643" s="112"/>
      <c r="H643" s="112"/>
      <c r="I643" s="132"/>
    </row>
    <row r="644" spans="1:9" ht="15.5" x14ac:dyDescent="0.35">
      <c r="A644" s="130"/>
      <c r="B644" s="112"/>
      <c r="C644" s="112"/>
      <c r="D644" s="112"/>
      <c r="E644" s="131"/>
      <c r="F644" s="112"/>
      <c r="G644" s="112"/>
      <c r="H644" s="112"/>
      <c r="I644" s="132"/>
    </row>
    <row r="645" spans="1:9" ht="15.5" x14ac:dyDescent="0.35">
      <c r="A645" s="130"/>
      <c r="B645" s="112"/>
      <c r="C645" s="112"/>
      <c r="D645" s="112"/>
      <c r="E645" s="131"/>
      <c r="F645" s="112"/>
      <c r="G645" s="112"/>
      <c r="H645" s="112"/>
      <c r="I645" s="132"/>
    </row>
    <row r="646" spans="1:9" ht="15.5" x14ac:dyDescent="0.35">
      <c r="A646" s="130"/>
      <c r="B646" s="112"/>
      <c r="C646" s="112"/>
      <c r="D646" s="112"/>
      <c r="E646" s="131"/>
      <c r="F646" s="112"/>
      <c r="G646" s="112"/>
      <c r="H646" s="112"/>
      <c r="I646" s="132"/>
    </row>
    <row r="647" spans="1:9" ht="15.5" x14ac:dyDescent="0.35">
      <c r="A647" s="130"/>
      <c r="B647" s="112"/>
      <c r="C647" s="112"/>
      <c r="D647" s="112"/>
      <c r="E647" s="131"/>
      <c r="F647" s="112"/>
      <c r="G647" s="112"/>
      <c r="H647" s="112"/>
      <c r="I647" s="132"/>
    </row>
    <row r="648" spans="1:9" ht="15.5" x14ac:dyDescent="0.35">
      <c r="A648" s="130"/>
      <c r="B648" s="112"/>
      <c r="C648" s="112"/>
      <c r="D648" s="112"/>
      <c r="E648" s="131"/>
      <c r="F648" s="112"/>
      <c r="G648" s="112"/>
      <c r="H648" s="112"/>
      <c r="I648" s="132"/>
    </row>
    <row r="649" spans="1:9" ht="15.5" x14ac:dyDescent="0.35">
      <c r="A649" s="130"/>
      <c r="B649" s="112"/>
      <c r="C649" s="112"/>
      <c r="D649" s="112"/>
      <c r="E649" s="131"/>
      <c r="F649" s="112"/>
      <c r="G649" s="112"/>
      <c r="H649" s="112"/>
      <c r="I649" s="132"/>
    </row>
    <row r="650" spans="1:9" ht="15.5" x14ac:dyDescent="0.35">
      <c r="A650" s="130"/>
      <c r="B650" s="112"/>
      <c r="C650" s="112"/>
      <c r="D650" s="112"/>
      <c r="E650" s="131"/>
      <c r="F650" s="112"/>
      <c r="G650" s="112"/>
      <c r="H650" s="112"/>
      <c r="I650" s="132"/>
    </row>
    <row r="651" spans="1:9" ht="15.5" x14ac:dyDescent="0.35">
      <c r="A651" s="130"/>
      <c r="B651" s="112"/>
      <c r="C651" s="112"/>
      <c r="D651" s="112"/>
      <c r="E651" s="131"/>
      <c r="F651" s="112"/>
      <c r="G651" s="112"/>
      <c r="H651" s="112"/>
      <c r="I651" s="132"/>
    </row>
    <row r="652" spans="1:9" ht="15.5" x14ac:dyDescent="0.35">
      <c r="A652" s="130"/>
      <c r="B652" s="112"/>
      <c r="C652" s="112"/>
      <c r="D652" s="112"/>
      <c r="E652" s="131"/>
      <c r="F652" s="112"/>
      <c r="G652" s="112"/>
      <c r="H652" s="112"/>
      <c r="I652" s="132"/>
    </row>
    <row r="653" spans="1:9" ht="15.5" x14ac:dyDescent="0.35">
      <c r="A653" s="130"/>
      <c r="B653" s="112"/>
      <c r="C653" s="112"/>
      <c r="D653" s="112"/>
      <c r="E653" s="131"/>
      <c r="F653" s="112"/>
      <c r="G653" s="112"/>
      <c r="H653" s="112"/>
      <c r="I653" s="132"/>
    </row>
    <row r="654" spans="1:9" ht="15.5" x14ac:dyDescent="0.35">
      <c r="A654" s="130"/>
      <c r="B654" s="112"/>
      <c r="C654" s="112"/>
      <c r="D654" s="112"/>
      <c r="E654" s="131"/>
      <c r="F654" s="112"/>
      <c r="G654" s="112"/>
      <c r="H654" s="112"/>
      <c r="I654" s="132"/>
    </row>
    <row r="655" spans="1:9" ht="15.5" x14ac:dyDescent="0.35">
      <c r="A655" s="130"/>
      <c r="B655" s="112"/>
      <c r="C655" s="112"/>
      <c r="D655" s="112"/>
      <c r="E655" s="131"/>
      <c r="F655" s="112"/>
      <c r="G655" s="112"/>
      <c r="H655" s="112"/>
      <c r="I655" s="132"/>
    </row>
    <row r="656" spans="1:9" ht="15.5" x14ac:dyDescent="0.35">
      <c r="A656" s="130"/>
      <c r="B656" s="112"/>
      <c r="C656" s="112"/>
      <c r="D656" s="112"/>
      <c r="E656" s="131"/>
      <c r="F656" s="112"/>
      <c r="G656" s="112"/>
      <c r="H656" s="112"/>
      <c r="I656" s="132"/>
    </row>
    <row r="657" spans="1:9" ht="15.5" x14ac:dyDescent="0.35">
      <c r="A657" s="130"/>
      <c r="B657" s="112"/>
      <c r="C657" s="112"/>
      <c r="D657" s="112"/>
      <c r="E657" s="131"/>
      <c r="F657" s="112"/>
      <c r="G657" s="112"/>
      <c r="H657" s="112"/>
      <c r="I657" s="132"/>
    </row>
    <row r="658" spans="1:9" ht="15.5" x14ac:dyDescent="0.35">
      <c r="A658" s="130"/>
      <c r="B658" s="112"/>
      <c r="C658" s="112"/>
      <c r="D658" s="112"/>
      <c r="E658" s="131"/>
      <c r="F658" s="112"/>
      <c r="G658" s="112"/>
      <c r="H658" s="112"/>
      <c r="I658" s="132"/>
    </row>
    <row r="659" spans="1:9" ht="15.5" x14ac:dyDescent="0.35">
      <c r="A659" s="130"/>
      <c r="B659" s="112"/>
      <c r="C659" s="112"/>
      <c r="D659" s="112"/>
      <c r="E659" s="131"/>
      <c r="F659" s="112"/>
      <c r="G659" s="112"/>
      <c r="H659" s="112"/>
      <c r="I659" s="132"/>
    </row>
    <row r="660" spans="1:9" ht="15.5" x14ac:dyDescent="0.35">
      <c r="A660" s="130"/>
      <c r="B660" s="112"/>
      <c r="C660" s="112"/>
      <c r="D660" s="112"/>
      <c r="E660" s="131"/>
      <c r="F660" s="112"/>
      <c r="G660" s="112"/>
      <c r="H660" s="112"/>
      <c r="I660" s="132"/>
    </row>
    <row r="661" spans="1:9" ht="15.5" x14ac:dyDescent="0.35">
      <c r="A661" s="130"/>
      <c r="B661" s="112"/>
      <c r="C661" s="112"/>
      <c r="D661" s="112"/>
      <c r="E661" s="131"/>
      <c r="F661" s="112"/>
      <c r="G661" s="112"/>
      <c r="H661" s="112"/>
      <c r="I661" s="132"/>
    </row>
    <row r="662" spans="1:9" ht="15.5" x14ac:dyDescent="0.35">
      <c r="A662" s="130"/>
      <c r="B662" s="112"/>
      <c r="C662" s="112"/>
      <c r="D662" s="112"/>
      <c r="E662" s="131"/>
      <c r="F662" s="112"/>
      <c r="G662" s="112"/>
      <c r="H662" s="112"/>
      <c r="I662" s="132"/>
    </row>
    <row r="663" spans="1:9" ht="15.5" x14ac:dyDescent="0.35">
      <c r="A663" s="130"/>
      <c r="B663" s="112"/>
      <c r="C663" s="112"/>
      <c r="D663" s="112"/>
      <c r="E663" s="131"/>
      <c r="F663" s="112"/>
      <c r="G663" s="112"/>
      <c r="H663" s="112"/>
      <c r="I663" s="132"/>
    </row>
    <row r="664" spans="1:9" ht="15.5" x14ac:dyDescent="0.35">
      <c r="A664" s="130"/>
      <c r="B664" s="112"/>
      <c r="C664" s="112"/>
      <c r="D664" s="112"/>
      <c r="E664" s="131"/>
      <c r="F664" s="112"/>
      <c r="G664" s="112"/>
      <c r="H664" s="112"/>
      <c r="I664" s="132"/>
    </row>
    <row r="665" spans="1:9" ht="15.5" x14ac:dyDescent="0.35">
      <c r="A665" s="130"/>
      <c r="B665" s="112"/>
      <c r="C665" s="112"/>
      <c r="D665" s="112"/>
      <c r="E665" s="131"/>
      <c r="F665" s="112"/>
      <c r="G665" s="112"/>
      <c r="H665" s="112"/>
      <c r="I665" s="132"/>
    </row>
    <row r="666" spans="1:9" ht="15.5" x14ac:dyDescent="0.35">
      <c r="A666" s="130"/>
      <c r="B666" s="112"/>
      <c r="C666" s="112"/>
      <c r="D666" s="112"/>
      <c r="E666" s="131"/>
      <c r="F666" s="112"/>
      <c r="G666" s="112"/>
      <c r="H666" s="112"/>
      <c r="I666" s="132"/>
    </row>
    <row r="667" spans="1:9" ht="15.5" x14ac:dyDescent="0.35">
      <c r="A667" s="130"/>
      <c r="B667" s="112"/>
      <c r="C667" s="112"/>
      <c r="D667" s="112"/>
      <c r="E667" s="131"/>
      <c r="F667" s="112"/>
      <c r="G667" s="112"/>
      <c r="H667" s="112"/>
      <c r="I667" s="132"/>
    </row>
    <row r="668" spans="1:9" ht="15.5" x14ac:dyDescent="0.35">
      <c r="A668" s="130"/>
      <c r="B668" s="112"/>
      <c r="C668" s="112"/>
      <c r="D668" s="112"/>
      <c r="E668" s="131"/>
      <c r="F668" s="112"/>
      <c r="G668" s="112"/>
      <c r="H668" s="112"/>
      <c r="I668" s="132"/>
    </row>
    <row r="669" spans="1:9" ht="15.5" x14ac:dyDescent="0.35">
      <c r="A669" s="130"/>
      <c r="B669" s="112"/>
      <c r="C669" s="112"/>
      <c r="D669" s="112"/>
      <c r="E669" s="131"/>
      <c r="F669" s="112"/>
      <c r="G669" s="112"/>
      <c r="H669" s="112"/>
      <c r="I669" s="132"/>
    </row>
    <row r="670" spans="1:9" ht="15.5" x14ac:dyDescent="0.35">
      <c r="A670" s="130"/>
      <c r="B670" s="112"/>
      <c r="C670" s="112"/>
      <c r="D670" s="112"/>
      <c r="E670" s="131"/>
      <c r="F670" s="112"/>
      <c r="G670" s="112"/>
      <c r="H670" s="112"/>
      <c r="I670" s="132"/>
    </row>
    <row r="671" spans="1:9" ht="15.5" x14ac:dyDescent="0.35">
      <c r="A671" s="130"/>
      <c r="B671" s="112"/>
      <c r="C671" s="112"/>
      <c r="D671" s="112"/>
      <c r="E671" s="131"/>
      <c r="F671" s="112"/>
      <c r="G671" s="112"/>
      <c r="H671" s="112"/>
      <c r="I671" s="132"/>
    </row>
    <row r="672" spans="1:9" ht="15.5" x14ac:dyDescent="0.35">
      <c r="A672" s="130"/>
      <c r="B672" s="112"/>
      <c r="C672" s="112"/>
      <c r="D672" s="112"/>
      <c r="E672" s="131"/>
      <c r="F672" s="112"/>
      <c r="G672" s="112"/>
      <c r="H672" s="112"/>
      <c r="I672" s="132"/>
    </row>
    <row r="673" spans="1:9" ht="15.5" x14ac:dyDescent="0.35">
      <c r="A673" s="130"/>
      <c r="B673" s="112"/>
      <c r="C673" s="112"/>
      <c r="D673" s="112"/>
      <c r="E673" s="131"/>
      <c r="F673" s="112"/>
      <c r="G673" s="112"/>
      <c r="H673" s="112"/>
      <c r="I673" s="132"/>
    </row>
    <row r="674" spans="1:9" ht="15.5" x14ac:dyDescent="0.35">
      <c r="A674" s="130"/>
      <c r="B674" s="112"/>
      <c r="C674" s="112"/>
      <c r="D674" s="112"/>
      <c r="E674" s="131"/>
      <c r="F674" s="112"/>
      <c r="G674" s="112"/>
      <c r="H674" s="112"/>
      <c r="I674" s="132"/>
    </row>
    <row r="675" spans="1:9" ht="15.5" x14ac:dyDescent="0.35">
      <c r="A675" s="130"/>
      <c r="B675" s="112"/>
      <c r="C675" s="112"/>
      <c r="D675" s="112"/>
      <c r="E675" s="131"/>
      <c r="F675" s="112"/>
      <c r="G675" s="112"/>
      <c r="H675" s="112"/>
      <c r="I675" s="132"/>
    </row>
    <row r="676" spans="1:9" ht="15.5" x14ac:dyDescent="0.35">
      <c r="A676" s="130"/>
      <c r="B676" s="112"/>
      <c r="C676" s="112"/>
      <c r="D676" s="112"/>
      <c r="E676" s="131"/>
      <c r="F676" s="112"/>
      <c r="G676" s="112"/>
      <c r="H676" s="112"/>
      <c r="I676" s="132"/>
    </row>
    <row r="677" spans="1:9" ht="15.5" x14ac:dyDescent="0.35">
      <c r="A677" s="130"/>
      <c r="B677" s="112"/>
      <c r="C677" s="112"/>
      <c r="D677" s="112"/>
      <c r="E677" s="131"/>
      <c r="F677" s="112"/>
      <c r="G677" s="112"/>
      <c r="H677" s="112"/>
      <c r="I677" s="132"/>
    </row>
    <row r="678" spans="1:9" ht="15.5" x14ac:dyDescent="0.35">
      <c r="A678" s="130"/>
      <c r="B678" s="112"/>
      <c r="C678" s="112"/>
      <c r="D678" s="112"/>
      <c r="E678" s="131"/>
      <c r="F678" s="112"/>
      <c r="G678" s="112"/>
      <c r="H678" s="112"/>
      <c r="I678" s="132"/>
    </row>
    <row r="679" spans="1:9" ht="15.5" x14ac:dyDescent="0.35">
      <c r="A679" s="130"/>
      <c r="B679" s="112"/>
      <c r="C679" s="112"/>
      <c r="D679" s="112"/>
      <c r="E679" s="131"/>
      <c r="F679" s="112"/>
      <c r="G679" s="112"/>
      <c r="H679" s="112"/>
      <c r="I679" s="132"/>
    </row>
    <row r="680" spans="1:9" ht="15.5" x14ac:dyDescent="0.35">
      <c r="A680" s="130"/>
      <c r="B680" s="112"/>
      <c r="C680" s="112"/>
      <c r="D680" s="112"/>
      <c r="E680" s="131"/>
      <c r="F680" s="112"/>
      <c r="G680" s="112"/>
      <c r="H680" s="112"/>
      <c r="I680" s="132"/>
    </row>
    <row r="681" spans="1:9" ht="15.5" x14ac:dyDescent="0.35">
      <c r="A681" s="130"/>
      <c r="B681" s="112"/>
      <c r="C681" s="112"/>
      <c r="D681" s="112"/>
      <c r="E681" s="131"/>
      <c r="F681" s="112"/>
      <c r="G681" s="112"/>
      <c r="H681" s="112"/>
      <c r="I681" s="132"/>
    </row>
    <row r="682" spans="1:9" ht="15.5" x14ac:dyDescent="0.35">
      <c r="A682" s="130"/>
      <c r="B682" s="112"/>
      <c r="C682" s="112"/>
      <c r="D682" s="112"/>
      <c r="E682" s="131"/>
      <c r="F682" s="112"/>
      <c r="G682" s="112"/>
      <c r="H682" s="112"/>
      <c r="I682" s="132"/>
    </row>
    <row r="683" spans="1:9" ht="15.5" x14ac:dyDescent="0.35">
      <c r="A683" s="130"/>
      <c r="B683" s="112"/>
      <c r="C683" s="112"/>
      <c r="D683" s="112"/>
      <c r="E683" s="131"/>
      <c r="F683" s="112"/>
      <c r="G683" s="112"/>
      <c r="H683" s="112"/>
      <c r="I683" s="132"/>
    </row>
    <row r="684" spans="1:9" ht="15.5" x14ac:dyDescent="0.35">
      <c r="A684" s="130"/>
      <c r="B684" s="112"/>
      <c r="C684" s="112"/>
      <c r="D684" s="112"/>
      <c r="E684" s="131"/>
      <c r="F684" s="112"/>
      <c r="G684" s="112"/>
      <c r="H684" s="112"/>
      <c r="I684" s="132"/>
    </row>
    <row r="685" spans="1:9" ht="15.5" x14ac:dyDescent="0.35">
      <c r="A685" s="130"/>
      <c r="B685" s="112"/>
      <c r="C685" s="112"/>
      <c r="D685" s="112"/>
      <c r="E685" s="131"/>
      <c r="F685" s="112"/>
      <c r="G685" s="112"/>
      <c r="H685" s="112"/>
      <c r="I685" s="132"/>
    </row>
    <row r="686" spans="1:9" ht="15.5" x14ac:dyDescent="0.35">
      <c r="A686" s="130"/>
      <c r="B686" s="112"/>
      <c r="C686" s="112"/>
      <c r="D686" s="112"/>
      <c r="E686" s="131"/>
      <c r="F686" s="112"/>
      <c r="G686" s="112"/>
      <c r="H686" s="112"/>
      <c r="I686" s="132"/>
    </row>
    <row r="687" spans="1:9" ht="15.5" x14ac:dyDescent="0.35">
      <c r="A687" s="130"/>
      <c r="B687" s="112"/>
      <c r="C687" s="112"/>
      <c r="D687" s="112"/>
      <c r="E687" s="131"/>
      <c r="F687" s="112"/>
      <c r="G687" s="112"/>
      <c r="H687" s="112"/>
      <c r="I687" s="132"/>
    </row>
    <row r="688" spans="1:9" ht="15.5" x14ac:dyDescent="0.35">
      <c r="A688" s="130"/>
      <c r="B688" s="112"/>
      <c r="C688" s="112"/>
      <c r="D688" s="112"/>
      <c r="E688" s="131"/>
      <c r="F688" s="112"/>
      <c r="G688" s="112"/>
      <c r="H688" s="112"/>
      <c r="I688" s="132"/>
    </row>
    <row r="689" spans="1:9" ht="15.5" x14ac:dyDescent="0.35">
      <c r="A689" s="130"/>
      <c r="B689" s="112"/>
      <c r="C689" s="112"/>
      <c r="D689" s="112"/>
      <c r="E689" s="131"/>
      <c r="F689" s="112"/>
      <c r="G689" s="112"/>
      <c r="H689" s="112"/>
      <c r="I689" s="132"/>
    </row>
    <row r="690" spans="1:9" ht="15.5" x14ac:dyDescent="0.35">
      <c r="A690" s="130"/>
      <c r="B690" s="112"/>
      <c r="C690" s="112"/>
      <c r="D690" s="112"/>
      <c r="E690" s="131"/>
      <c r="F690" s="112"/>
      <c r="G690" s="112"/>
      <c r="H690" s="112"/>
      <c r="I690" s="132"/>
    </row>
    <row r="691" spans="1:9" ht="15.5" x14ac:dyDescent="0.35">
      <c r="A691" s="130"/>
      <c r="B691" s="112"/>
      <c r="C691" s="112"/>
      <c r="D691" s="112"/>
      <c r="E691" s="131"/>
      <c r="F691" s="112"/>
      <c r="G691" s="112"/>
      <c r="H691" s="112"/>
      <c r="I691" s="132"/>
    </row>
    <row r="692" spans="1:9" ht="15.5" x14ac:dyDescent="0.35">
      <c r="A692" s="130"/>
      <c r="B692" s="112"/>
      <c r="C692" s="112"/>
      <c r="D692" s="112"/>
      <c r="E692" s="131"/>
      <c r="F692" s="112"/>
      <c r="G692" s="112"/>
      <c r="H692" s="112"/>
      <c r="I692" s="132"/>
    </row>
    <row r="693" spans="1:9" ht="15.5" x14ac:dyDescent="0.35">
      <c r="A693" s="130"/>
      <c r="B693" s="112"/>
      <c r="C693" s="112"/>
      <c r="D693" s="112"/>
      <c r="E693" s="131"/>
      <c r="F693" s="112"/>
      <c r="G693" s="112"/>
      <c r="H693" s="112"/>
      <c r="I693" s="132"/>
    </row>
    <row r="694" spans="1:9" ht="15.5" x14ac:dyDescent="0.35">
      <c r="A694" s="130"/>
      <c r="B694" s="112"/>
      <c r="C694" s="112"/>
      <c r="D694" s="112"/>
      <c r="E694" s="131"/>
      <c r="F694" s="112"/>
      <c r="G694" s="112"/>
      <c r="H694" s="112"/>
      <c r="I694" s="132"/>
    </row>
    <row r="695" spans="1:9" ht="15.5" x14ac:dyDescent="0.35">
      <c r="A695" s="130"/>
      <c r="B695" s="112"/>
      <c r="C695" s="112"/>
      <c r="D695" s="112"/>
      <c r="E695" s="131"/>
      <c r="F695" s="112"/>
      <c r="G695" s="112"/>
      <c r="H695" s="112"/>
      <c r="I695" s="132"/>
    </row>
    <row r="696" spans="1:9" ht="15.5" x14ac:dyDescent="0.35">
      <c r="A696" s="130"/>
      <c r="B696" s="112"/>
      <c r="C696" s="112"/>
      <c r="D696" s="112"/>
      <c r="E696" s="131"/>
      <c r="F696" s="112"/>
      <c r="G696" s="112"/>
      <c r="H696" s="112"/>
      <c r="I696" s="132"/>
    </row>
    <row r="697" spans="1:9" ht="15.5" x14ac:dyDescent="0.35">
      <c r="A697" s="130"/>
      <c r="B697" s="112"/>
      <c r="C697" s="112"/>
      <c r="D697" s="112"/>
      <c r="E697" s="131"/>
      <c r="F697" s="112"/>
      <c r="G697" s="112"/>
      <c r="H697" s="112"/>
      <c r="I697" s="132"/>
    </row>
    <row r="698" spans="1:9" ht="15.5" x14ac:dyDescent="0.35">
      <c r="A698" s="130"/>
      <c r="B698" s="112"/>
      <c r="C698" s="112"/>
      <c r="D698" s="112"/>
      <c r="E698" s="131"/>
      <c r="F698" s="112"/>
      <c r="G698" s="112"/>
      <c r="H698" s="112"/>
      <c r="I698" s="132"/>
    </row>
    <row r="699" spans="1:9" ht="15.5" x14ac:dyDescent="0.35">
      <c r="A699" s="130"/>
      <c r="B699" s="112"/>
      <c r="C699" s="112"/>
      <c r="D699" s="112"/>
      <c r="E699" s="131"/>
      <c r="F699" s="112"/>
      <c r="G699" s="112"/>
      <c r="H699" s="112"/>
      <c r="I699" s="132"/>
    </row>
    <row r="700" spans="1:9" ht="15.5" x14ac:dyDescent="0.35">
      <c r="A700" s="130"/>
      <c r="B700" s="112"/>
      <c r="C700" s="112"/>
      <c r="D700" s="112"/>
      <c r="E700" s="131"/>
      <c r="F700" s="112"/>
      <c r="G700" s="112"/>
      <c r="H700" s="112"/>
      <c r="I700" s="132"/>
    </row>
    <row r="701" spans="1:9" ht="15.5" x14ac:dyDescent="0.35">
      <c r="A701" s="130"/>
      <c r="B701" s="112"/>
      <c r="C701" s="112"/>
      <c r="D701" s="112"/>
      <c r="E701" s="131"/>
      <c r="F701" s="112"/>
      <c r="G701" s="112"/>
      <c r="H701" s="112"/>
      <c r="I701" s="132"/>
    </row>
    <row r="702" spans="1:9" ht="15.5" x14ac:dyDescent="0.35">
      <c r="A702" s="130"/>
      <c r="B702" s="112"/>
      <c r="C702" s="112"/>
      <c r="D702" s="112"/>
      <c r="E702" s="131"/>
      <c r="F702" s="112"/>
      <c r="G702" s="112"/>
      <c r="H702" s="112"/>
      <c r="I702" s="132"/>
    </row>
    <row r="703" spans="1:9" ht="15.5" x14ac:dyDescent="0.35">
      <c r="A703" s="130"/>
      <c r="B703" s="112"/>
      <c r="C703" s="112"/>
      <c r="D703" s="112"/>
      <c r="E703" s="131"/>
      <c r="F703" s="112"/>
      <c r="G703" s="112"/>
      <c r="H703" s="112"/>
      <c r="I703" s="132"/>
    </row>
    <row r="704" spans="1:9" ht="15.5" x14ac:dyDescent="0.35">
      <c r="A704" s="130"/>
      <c r="B704" s="112"/>
      <c r="C704" s="112"/>
      <c r="D704" s="112"/>
      <c r="E704" s="131"/>
      <c r="F704" s="112"/>
      <c r="G704" s="112"/>
      <c r="H704" s="112"/>
      <c r="I704" s="132"/>
    </row>
    <row r="705" spans="1:9" ht="15.5" x14ac:dyDescent="0.35">
      <c r="A705" s="130"/>
      <c r="B705" s="112"/>
      <c r="C705" s="112"/>
      <c r="D705" s="112"/>
      <c r="E705" s="131"/>
      <c r="F705" s="112"/>
      <c r="G705" s="112"/>
      <c r="H705" s="112"/>
      <c r="I705" s="132"/>
    </row>
    <row r="706" spans="1:9" ht="15.5" x14ac:dyDescent="0.35">
      <c r="A706" s="130"/>
      <c r="B706" s="112"/>
      <c r="C706" s="112"/>
      <c r="D706" s="112"/>
      <c r="E706" s="131"/>
      <c r="F706" s="112"/>
      <c r="G706" s="112"/>
      <c r="H706" s="112"/>
      <c r="I706" s="132"/>
    </row>
    <row r="707" spans="1:9" ht="15.5" x14ac:dyDescent="0.35">
      <c r="A707" s="130"/>
      <c r="B707" s="112"/>
      <c r="C707" s="112"/>
      <c r="D707" s="112"/>
      <c r="E707" s="131"/>
      <c r="F707" s="112"/>
      <c r="G707" s="112"/>
      <c r="H707" s="112"/>
      <c r="I707" s="132"/>
    </row>
    <row r="708" spans="1:9" ht="15.5" x14ac:dyDescent="0.35">
      <c r="A708" s="130"/>
      <c r="B708" s="112"/>
      <c r="C708" s="112"/>
      <c r="D708" s="112"/>
      <c r="E708" s="131"/>
      <c r="F708" s="112"/>
      <c r="G708" s="112"/>
      <c r="H708" s="112"/>
      <c r="I708" s="132"/>
    </row>
    <row r="709" spans="1:9" ht="15.5" x14ac:dyDescent="0.35">
      <c r="A709" s="130"/>
      <c r="B709" s="112"/>
      <c r="C709" s="112"/>
      <c r="D709" s="112"/>
      <c r="E709" s="131"/>
      <c r="F709" s="112"/>
      <c r="G709" s="112"/>
      <c r="H709" s="112"/>
      <c r="I709" s="132"/>
    </row>
    <row r="710" spans="1:9" ht="15.5" x14ac:dyDescent="0.35">
      <c r="A710" s="130"/>
      <c r="B710" s="112"/>
      <c r="C710" s="112"/>
      <c r="D710" s="112"/>
      <c r="E710" s="131"/>
      <c r="F710" s="112"/>
      <c r="G710" s="112"/>
      <c r="H710" s="112"/>
      <c r="I710" s="132"/>
    </row>
    <row r="711" spans="1:9" ht="15.5" x14ac:dyDescent="0.35">
      <c r="A711" s="130"/>
      <c r="B711" s="112"/>
      <c r="C711" s="112"/>
      <c r="D711" s="112"/>
      <c r="E711" s="131"/>
      <c r="F711" s="112"/>
      <c r="G711" s="112"/>
      <c r="H711" s="112"/>
      <c r="I711" s="132"/>
    </row>
    <row r="712" spans="1:9" ht="15.5" x14ac:dyDescent="0.35">
      <c r="A712" s="130"/>
      <c r="B712" s="112"/>
      <c r="C712" s="112"/>
      <c r="D712" s="112"/>
      <c r="E712" s="131"/>
      <c r="F712" s="112"/>
      <c r="G712" s="112"/>
      <c r="H712" s="112"/>
      <c r="I712" s="132"/>
    </row>
    <row r="713" spans="1:9" ht="15.5" x14ac:dyDescent="0.35">
      <c r="A713" s="130"/>
      <c r="B713" s="112"/>
      <c r="C713" s="112"/>
      <c r="D713" s="112"/>
      <c r="E713" s="131"/>
      <c r="F713" s="112"/>
      <c r="G713" s="112"/>
      <c r="H713" s="112"/>
      <c r="I713" s="132"/>
    </row>
    <row r="714" spans="1:9" ht="15.5" x14ac:dyDescent="0.35">
      <c r="A714" s="130"/>
      <c r="B714" s="112"/>
      <c r="C714" s="112"/>
      <c r="D714" s="112"/>
      <c r="E714" s="131"/>
      <c r="F714" s="112"/>
      <c r="G714" s="112"/>
      <c r="H714" s="112"/>
      <c r="I714" s="132"/>
    </row>
    <row r="715" spans="1:9" ht="15.5" x14ac:dyDescent="0.35">
      <c r="A715" s="130"/>
      <c r="B715" s="112"/>
      <c r="C715" s="112"/>
      <c r="D715" s="112"/>
      <c r="E715" s="131"/>
      <c r="F715" s="112"/>
      <c r="G715" s="112"/>
      <c r="H715" s="112"/>
      <c r="I715" s="132"/>
    </row>
    <row r="716" spans="1:9" ht="15.5" x14ac:dyDescent="0.35">
      <c r="A716" s="130"/>
      <c r="B716" s="112"/>
      <c r="C716" s="112"/>
      <c r="D716" s="112"/>
      <c r="E716" s="131"/>
      <c r="F716" s="112"/>
      <c r="G716" s="112"/>
      <c r="H716" s="112"/>
      <c r="I716" s="132"/>
    </row>
    <row r="717" spans="1:9" ht="15.5" x14ac:dyDescent="0.35">
      <c r="A717" s="130"/>
      <c r="B717" s="112"/>
      <c r="C717" s="112"/>
      <c r="D717" s="112"/>
      <c r="E717" s="131"/>
      <c r="F717" s="112"/>
      <c r="G717" s="112"/>
      <c r="H717" s="112"/>
      <c r="I717" s="132"/>
    </row>
    <row r="718" spans="1:9" ht="15.5" x14ac:dyDescent="0.35">
      <c r="A718" s="130"/>
      <c r="B718" s="112"/>
      <c r="C718" s="112"/>
      <c r="D718" s="112"/>
      <c r="E718" s="131"/>
      <c r="F718" s="112"/>
      <c r="G718" s="112"/>
      <c r="H718" s="112"/>
      <c r="I718" s="132"/>
    </row>
    <row r="719" spans="1:9" ht="15.5" x14ac:dyDescent="0.35">
      <c r="A719" s="130"/>
      <c r="B719" s="112"/>
      <c r="C719" s="112"/>
      <c r="D719" s="112"/>
      <c r="E719" s="131"/>
      <c r="F719" s="112"/>
      <c r="G719" s="112"/>
      <c r="H719" s="112"/>
      <c r="I719" s="132"/>
    </row>
    <row r="720" spans="1:9" ht="15.5" x14ac:dyDescent="0.35">
      <c r="A720" s="130"/>
      <c r="B720" s="112"/>
      <c r="C720" s="112"/>
      <c r="D720" s="112"/>
      <c r="E720" s="131"/>
      <c r="F720" s="112"/>
      <c r="G720" s="112"/>
      <c r="H720" s="112"/>
      <c r="I720" s="132"/>
    </row>
    <row r="721" spans="1:9" ht="15.5" x14ac:dyDescent="0.35">
      <c r="A721" s="130"/>
      <c r="B721" s="112"/>
      <c r="C721" s="112"/>
      <c r="D721" s="112"/>
      <c r="E721" s="131"/>
      <c r="F721" s="112"/>
      <c r="G721" s="112"/>
      <c r="H721" s="112"/>
      <c r="I721" s="132"/>
    </row>
    <row r="722" spans="1:9" ht="15.5" x14ac:dyDescent="0.35">
      <c r="A722" s="130"/>
      <c r="B722" s="112"/>
      <c r="C722" s="112"/>
      <c r="D722" s="112"/>
      <c r="E722" s="131"/>
      <c r="F722" s="112"/>
      <c r="G722" s="112"/>
      <c r="H722" s="112"/>
      <c r="I722" s="132"/>
    </row>
    <row r="723" spans="1:9" ht="15.5" x14ac:dyDescent="0.35">
      <c r="A723" s="130"/>
      <c r="B723" s="112"/>
      <c r="C723" s="112"/>
      <c r="D723" s="112"/>
      <c r="E723" s="131"/>
      <c r="F723" s="112"/>
      <c r="G723" s="112"/>
      <c r="H723" s="112"/>
      <c r="I723" s="132"/>
    </row>
    <row r="724" spans="1:9" ht="15.5" x14ac:dyDescent="0.35">
      <c r="A724" s="130"/>
      <c r="B724" s="112"/>
      <c r="C724" s="112"/>
      <c r="D724" s="112"/>
      <c r="E724" s="131"/>
      <c r="F724" s="112"/>
      <c r="G724" s="112"/>
      <c r="H724" s="112"/>
      <c r="I724" s="132"/>
    </row>
    <row r="725" spans="1:9" ht="15.5" x14ac:dyDescent="0.35">
      <c r="A725" s="130"/>
      <c r="B725" s="112"/>
      <c r="C725" s="112"/>
      <c r="D725" s="112"/>
      <c r="E725" s="131"/>
      <c r="F725" s="112"/>
      <c r="G725" s="112"/>
      <c r="H725" s="112"/>
      <c r="I725" s="132"/>
    </row>
    <row r="726" spans="1:9" ht="15.5" x14ac:dyDescent="0.35">
      <c r="A726" s="130"/>
      <c r="B726" s="112"/>
      <c r="C726" s="112"/>
      <c r="D726" s="112"/>
      <c r="E726" s="131"/>
      <c r="F726" s="112"/>
      <c r="G726" s="112"/>
      <c r="H726" s="112"/>
      <c r="I726" s="132"/>
    </row>
    <row r="727" spans="1:9" ht="15.5" x14ac:dyDescent="0.35">
      <c r="A727" s="130"/>
      <c r="B727" s="112"/>
      <c r="C727" s="112"/>
      <c r="D727" s="112"/>
      <c r="E727" s="131"/>
      <c r="F727" s="112"/>
      <c r="G727" s="112"/>
      <c r="H727" s="112"/>
      <c r="I727" s="132"/>
    </row>
    <row r="728" spans="1:9" ht="15.5" x14ac:dyDescent="0.35">
      <c r="A728" s="130"/>
      <c r="B728" s="112"/>
      <c r="C728" s="112"/>
      <c r="D728" s="112"/>
      <c r="E728" s="131"/>
      <c r="F728" s="112"/>
      <c r="G728" s="112"/>
      <c r="H728" s="112"/>
      <c r="I728" s="132"/>
    </row>
    <row r="729" spans="1:9" ht="15.5" x14ac:dyDescent="0.35">
      <c r="A729" s="130"/>
      <c r="B729" s="112"/>
      <c r="C729" s="112"/>
      <c r="D729" s="112"/>
      <c r="E729" s="131"/>
      <c r="F729" s="112"/>
      <c r="G729" s="112"/>
      <c r="H729" s="112"/>
      <c r="I729" s="132"/>
    </row>
    <row r="730" spans="1:9" ht="15.5" x14ac:dyDescent="0.35">
      <c r="A730" s="130"/>
      <c r="B730" s="112"/>
      <c r="C730" s="112"/>
      <c r="D730" s="112"/>
      <c r="E730" s="131"/>
      <c r="F730" s="112"/>
      <c r="G730" s="112"/>
      <c r="H730" s="112"/>
      <c r="I730" s="132"/>
    </row>
    <row r="731" spans="1:9" ht="15.5" x14ac:dyDescent="0.35">
      <c r="A731" s="130"/>
      <c r="B731" s="112"/>
      <c r="C731" s="112"/>
      <c r="D731" s="112"/>
      <c r="E731" s="131"/>
      <c r="F731" s="112"/>
      <c r="G731" s="112"/>
      <c r="H731" s="112"/>
      <c r="I731" s="132"/>
    </row>
    <row r="732" spans="1:9" ht="15.5" x14ac:dyDescent="0.35">
      <c r="A732" s="130"/>
      <c r="B732" s="112"/>
      <c r="C732" s="112"/>
      <c r="D732" s="112"/>
      <c r="E732" s="131"/>
      <c r="F732" s="112"/>
      <c r="G732" s="112"/>
      <c r="H732" s="112"/>
      <c r="I732" s="132"/>
    </row>
    <row r="733" spans="1:9" ht="15.5" x14ac:dyDescent="0.35">
      <c r="A733" s="130"/>
      <c r="B733" s="112"/>
      <c r="C733" s="112"/>
      <c r="D733" s="112"/>
      <c r="E733" s="131"/>
      <c r="F733" s="112"/>
      <c r="G733" s="112"/>
      <c r="H733" s="112"/>
      <c r="I733" s="132"/>
    </row>
    <row r="734" spans="1:9" ht="15.5" x14ac:dyDescent="0.35">
      <c r="A734" s="130"/>
      <c r="B734" s="112"/>
      <c r="C734" s="112"/>
      <c r="D734" s="112"/>
      <c r="E734" s="131"/>
      <c r="F734" s="112"/>
      <c r="G734" s="112"/>
      <c r="H734" s="112"/>
      <c r="I734" s="132"/>
    </row>
    <row r="735" spans="1:9" ht="15.5" x14ac:dyDescent="0.35">
      <c r="A735" s="130"/>
      <c r="B735" s="112"/>
      <c r="C735" s="112"/>
      <c r="D735" s="112"/>
      <c r="E735" s="131"/>
      <c r="F735" s="112"/>
      <c r="G735" s="112"/>
      <c r="H735" s="112"/>
      <c r="I735" s="132"/>
    </row>
    <row r="736" spans="1:9" ht="15.5" x14ac:dyDescent="0.35">
      <c r="A736" s="130"/>
      <c r="B736" s="112"/>
      <c r="C736" s="112"/>
      <c r="D736" s="112"/>
      <c r="E736" s="131"/>
      <c r="F736" s="112"/>
      <c r="G736" s="112"/>
      <c r="H736" s="112"/>
      <c r="I736" s="132"/>
    </row>
    <row r="737" spans="1:9" ht="15.5" x14ac:dyDescent="0.35">
      <c r="A737" s="130"/>
      <c r="B737" s="112"/>
      <c r="C737" s="112"/>
      <c r="D737" s="112"/>
      <c r="E737" s="131"/>
      <c r="F737" s="112"/>
      <c r="G737" s="112"/>
      <c r="H737" s="112"/>
      <c r="I737" s="132"/>
    </row>
    <row r="738" spans="1:9" ht="15.5" x14ac:dyDescent="0.35">
      <c r="A738" s="130"/>
      <c r="B738" s="112"/>
      <c r="C738" s="112"/>
      <c r="D738" s="112"/>
      <c r="E738" s="131"/>
      <c r="F738" s="112"/>
      <c r="G738" s="112"/>
      <c r="H738" s="112"/>
      <c r="I738" s="132"/>
    </row>
    <row r="739" spans="1:9" ht="15.5" x14ac:dyDescent="0.35">
      <c r="A739" s="130"/>
      <c r="B739" s="112"/>
      <c r="C739" s="112"/>
      <c r="D739" s="112"/>
      <c r="E739" s="131"/>
      <c r="F739" s="112"/>
      <c r="G739" s="112"/>
      <c r="H739" s="112"/>
      <c r="I739" s="132"/>
    </row>
    <row r="740" spans="1:9" ht="15.5" x14ac:dyDescent="0.35">
      <c r="A740" s="130"/>
      <c r="B740" s="112"/>
      <c r="C740" s="112"/>
      <c r="D740" s="112"/>
      <c r="E740" s="131"/>
      <c r="F740" s="112"/>
      <c r="G740" s="112"/>
      <c r="H740" s="112"/>
      <c r="I740" s="132"/>
    </row>
    <row r="741" spans="1:9" ht="15.5" x14ac:dyDescent="0.35">
      <c r="A741" s="130"/>
      <c r="B741" s="112"/>
      <c r="C741" s="112"/>
      <c r="D741" s="112"/>
      <c r="E741" s="131"/>
      <c r="F741" s="112"/>
      <c r="G741" s="112"/>
      <c r="H741" s="112"/>
      <c r="I741" s="132"/>
    </row>
    <row r="742" spans="1:9" ht="15.5" x14ac:dyDescent="0.35">
      <c r="A742" s="130"/>
      <c r="B742" s="112"/>
      <c r="C742" s="112"/>
      <c r="D742" s="112"/>
      <c r="E742" s="131"/>
      <c r="F742" s="112"/>
      <c r="G742" s="112"/>
      <c r="H742" s="112"/>
      <c r="I742" s="132"/>
    </row>
    <row r="743" spans="1:9" ht="15.5" x14ac:dyDescent="0.35">
      <c r="A743" s="130"/>
      <c r="B743" s="112"/>
      <c r="C743" s="112"/>
      <c r="D743" s="112"/>
      <c r="E743" s="131"/>
      <c r="F743" s="112"/>
      <c r="G743" s="112"/>
      <c r="H743" s="112"/>
      <c r="I743" s="132"/>
    </row>
    <row r="744" spans="1:9" ht="15.5" x14ac:dyDescent="0.35">
      <c r="A744" s="130"/>
      <c r="B744" s="112"/>
      <c r="C744" s="112"/>
      <c r="D744" s="112"/>
      <c r="E744" s="131"/>
      <c r="F744" s="112"/>
      <c r="G744" s="112"/>
      <c r="H744" s="112"/>
      <c r="I744" s="132"/>
    </row>
    <row r="745" spans="1:9" ht="15.5" x14ac:dyDescent="0.35">
      <c r="A745" s="130"/>
      <c r="B745" s="112"/>
      <c r="C745" s="112"/>
      <c r="D745" s="112"/>
      <c r="E745" s="131"/>
      <c r="F745" s="112"/>
      <c r="G745" s="112"/>
      <c r="H745" s="112"/>
      <c r="I745" s="132"/>
    </row>
    <row r="746" spans="1:9" ht="15.5" x14ac:dyDescent="0.35">
      <c r="A746" s="130"/>
      <c r="B746" s="112"/>
      <c r="C746" s="112"/>
      <c r="D746" s="112"/>
      <c r="E746" s="131"/>
      <c r="F746" s="112"/>
      <c r="G746" s="112"/>
      <c r="H746" s="112"/>
      <c r="I746" s="132"/>
    </row>
    <row r="747" spans="1:9" ht="15.5" x14ac:dyDescent="0.35">
      <c r="A747" s="130"/>
      <c r="B747" s="112"/>
      <c r="C747" s="112"/>
      <c r="D747" s="112"/>
      <c r="E747" s="131"/>
      <c r="F747" s="112"/>
      <c r="G747" s="112"/>
      <c r="H747" s="112"/>
      <c r="I747" s="132"/>
    </row>
    <row r="748" spans="1:9" ht="15.5" x14ac:dyDescent="0.35">
      <c r="A748" s="130"/>
      <c r="B748" s="112"/>
      <c r="C748" s="112"/>
      <c r="D748" s="112"/>
      <c r="E748" s="131"/>
      <c r="F748" s="112"/>
      <c r="G748" s="112"/>
      <c r="H748" s="112"/>
      <c r="I748" s="132"/>
    </row>
    <row r="749" spans="1:9" ht="15.5" x14ac:dyDescent="0.35">
      <c r="A749" s="130"/>
      <c r="B749" s="112"/>
      <c r="C749" s="112"/>
      <c r="D749" s="112"/>
      <c r="E749" s="131"/>
      <c r="F749" s="112"/>
      <c r="G749" s="112"/>
      <c r="H749" s="112"/>
      <c r="I749" s="132"/>
    </row>
    <row r="750" spans="1:9" ht="15.5" x14ac:dyDescent="0.35">
      <c r="A750" s="130"/>
      <c r="B750" s="112"/>
      <c r="C750" s="112"/>
      <c r="D750" s="112"/>
      <c r="E750" s="131"/>
      <c r="F750" s="112"/>
      <c r="G750" s="112"/>
      <c r="H750" s="112"/>
      <c r="I750" s="132"/>
    </row>
    <row r="751" spans="1:9" ht="15.5" x14ac:dyDescent="0.35">
      <c r="A751" s="130"/>
      <c r="B751" s="112"/>
      <c r="C751" s="112"/>
      <c r="D751" s="112"/>
      <c r="E751" s="131"/>
      <c r="F751" s="112"/>
      <c r="G751" s="112"/>
      <c r="H751" s="112"/>
      <c r="I751" s="132"/>
    </row>
    <row r="752" spans="1:9" ht="15.5" x14ac:dyDescent="0.35">
      <c r="A752" s="130"/>
      <c r="B752" s="112"/>
      <c r="C752" s="112"/>
      <c r="D752" s="112"/>
      <c r="E752" s="131"/>
      <c r="F752" s="112"/>
      <c r="G752" s="112"/>
      <c r="H752" s="112"/>
      <c r="I752" s="132"/>
    </row>
    <row r="753" spans="1:9" ht="15.5" x14ac:dyDescent="0.35">
      <c r="A753" s="130"/>
      <c r="B753" s="112"/>
      <c r="C753" s="112"/>
      <c r="D753" s="112"/>
      <c r="E753" s="131"/>
      <c r="F753" s="112"/>
      <c r="G753" s="112"/>
      <c r="H753" s="112"/>
      <c r="I753" s="132"/>
    </row>
    <row r="754" spans="1:9" ht="15.5" x14ac:dyDescent="0.35">
      <c r="A754" s="130"/>
      <c r="B754" s="112"/>
      <c r="C754" s="112"/>
      <c r="D754" s="112"/>
      <c r="E754" s="131"/>
      <c r="F754" s="112"/>
      <c r="G754" s="112"/>
      <c r="H754" s="112"/>
      <c r="I754" s="132"/>
    </row>
    <row r="755" spans="1:9" ht="15.5" x14ac:dyDescent="0.35">
      <c r="A755" s="130"/>
      <c r="B755" s="112"/>
      <c r="C755" s="112"/>
      <c r="D755" s="112"/>
      <c r="E755" s="131"/>
      <c r="F755" s="112"/>
      <c r="G755" s="112"/>
      <c r="H755" s="112"/>
      <c r="I755" s="132"/>
    </row>
    <row r="756" spans="1:9" ht="15.5" x14ac:dyDescent="0.35">
      <c r="A756" s="130"/>
      <c r="B756" s="112"/>
      <c r="C756" s="112"/>
      <c r="D756" s="112"/>
      <c r="E756" s="131"/>
      <c r="F756" s="112"/>
      <c r="G756" s="112"/>
      <c r="H756" s="112"/>
      <c r="I756" s="132"/>
    </row>
    <row r="757" spans="1:9" ht="15.5" x14ac:dyDescent="0.35">
      <c r="A757" s="130"/>
      <c r="B757" s="112"/>
      <c r="C757" s="112"/>
      <c r="D757" s="112"/>
      <c r="E757" s="131"/>
      <c r="F757" s="112"/>
      <c r="G757" s="112"/>
      <c r="H757" s="112"/>
      <c r="I757" s="132"/>
    </row>
    <row r="758" spans="1:9" ht="15.5" x14ac:dyDescent="0.35">
      <c r="A758" s="130"/>
      <c r="B758" s="112"/>
      <c r="C758" s="112"/>
      <c r="D758" s="112"/>
      <c r="E758" s="131"/>
      <c r="F758" s="112"/>
      <c r="G758" s="112"/>
      <c r="H758" s="112"/>
      <c r="I758" s="132"/>
    </row>
    <row r="759" spans="1:9" ht="15.5" x14ac:dyDescent="0.35">
      <c r="A759" s="130"/>
      <c r="B759" s="112"/>
      <c r="C759" s="112"/>
      <c r="D759" s="112"/>
      <c r="E759" s="131"/>
      <c r="F759" s="112"/>
      <c r="G759" s="112"/>
      <c r="H759" s="112"/>
      <c r="I759" s="132"/>
    </row>
    <row r="760" spans="1:9" ht="15.5" x14ac:dyDescent="0.35">
      <c r="A760" s="130"/>
      <c r="B760" s="112"/>
      <c r="C760" s="112"/>
      <c r="D760" s="112"/>
      <c r="E760" s="131"/>
      <c r="F760" s="112"/>
      <c r="G760" s="112"/>
      <c r="H760" s="112"/>
      <c r="I760" s="132"/>
    </row>
    <row r="761" spans="1:9" ht="15.5" x14ac:dyDescent="0.35">
      <c r="A761" s="130"/>
      <c r="B761" s="112"/>
      <c r="C761" s="112"/>
      <c r="D761" s="112"/>
      <c r="E761" s="131"/>
      <c r="F761" s="112"/>
      <c r="G761" s="112"/>
      <c r="H761" s="112"/>
      <c r="I761" s="132"/>
    </row>
    <row r="762" spans="1:9" ht="15.5" x14ac:dyDescent="0.35">
      <c r="A762" s="130"/>
      <c r="B762" s="112"/>
      <c r="C762" s="112"/>
      <c r="D762" s="112"/>
      <c r="E762" s="131"/>
      <c r="F762" s="112"/>
      <c r="G762" s="112"/>
      <c r="H762" s="112"/>
      <c r="I762" s="132"/>
    </row>
    <row r="763" spans="1:9" ht="15.5" x14ac:dyDescent="0.35">
      <c r="A763" s="130"/>
      <c r="B763" s="112"/>
      <c r="C763" s="112"/>
      <c r="D763" s="112"/>
      <c r="E763" s="131"/>
      <c r="F763" s="112"/>
      <c r="G763" s="112"/>
      <c r="H763" s="112"/>
      <c r="I763" s="132"/>
    </row>
    <row r="764" spans="1:9" ht="15.5" x14ac:dyDescent="0.35">
      <c r="A764" s="130"/>
      <c r="B764" s="112"/>
      <c r="C764" s="112"/>
      <c r="D764" s="112"/>
      <c r="E764" s="131"/>
      <c r="F764" s="112"/>
      <c r="G764" s="112"/>
      <c r="H764" s="112"/>
      <c r="I764" s="132"/>
    </row>
    <row r="765" spans="1:9" ht="15.5" x14ac:dyDescent="0.35">
      <c r="A765" s="130"/>
      <c r="B765" s="112"/>
      <c r="C765" s="112"/>
      <c r="D765" s="112"/>
      <c r="E765" s="131"/>
      <c r="F765" s="112"/>
      <c r="G765" s="112"/>
      <c r="H765" s="112"/>
      <c r="I765" s="132"/>
    </row>
    <row r="766" spans="1:9" ht="15.5" x14ac:dyDescent="0.35">
      <c r="A766" s="130"/>
      <c r="B766" s="112"/>
      <c r="C766" s="112"/>
      <c r="D766" s="112"/>
      <c r="E766" s="131"/>
      <c r="F766" s="112"/>
      <c r="G766" s="112"/>
      <c r="H766" s="112"/>
      <c r="I766" s="132"/>
    </row>
    <row r="767" spans="1:9" ht="15.5" x14ac:dyDescent="0.35">
      <c r="A767" s="130"/>
      <c r="B767" s="112"/>
      <c r="C767" s="112"/>
      <c r="D767" s="112"/>
      <c r="E767" s="131"/>
      <c r="F767" s="112"/>
      <c r="G767" s="112"/>
      <c r="H767" s="112"/>
      <c r="I767" s="132"/>
    </row>
    <row r="768" spans="1:9" ht="15.5" x14ac:dyDescent="0.35">
      <c r="A768" s="130"/>
      <c r="B768" s="112"/>
      <c r="C768" s="112"/>
      <c r="D768" s="112"/>
      <c r="E768" s="131"/>
      <c r="F768" s="112"/>
      <c r="G768" s="112"/>
      <c r="H768" s="112"/>
      <c r="I768" s="132"/>
    </row>
    <row r="769" spans="1:9" ht="15.5" x14ac:dyDescent="0.35">
      <c r="A769" s="130"/>
      <c r="B769" s="112"/>
      <c r="C769" s="112"/>
      <c r="D769" s="112"/>
      <c r="E769" s="131"/>
      <c r="F769" s="112"/>
      <c r="G769" s="112"/>
      <c r="H769" s="112"/>
      <c r="I769" s="132"/>
    </row>
    <row r="770" spans="1:9" ht="15.5" x14ac:dyDescent="0.35">
      <c r="A770" s="130"/>
      <c r="B770" s="112"/>
      <c r="C770" s="112"/>
      <c r="D770" s="112"/>
      <c r="E770" s="131"/>
      <c r="F770" s="112"/>
      <c r="G770" s="112"/>
      <c r="H770" s="112"/>
      <c r="I770" s="132"/>
    </row>
    <row r="771" spans="1:9" ht="15.5" x14ac:dyDescent="0.35">
      <c r="A771" s="130"/>
      <c r="B771" s="112"/>
      <c r="C771" s="112"/>
      <c r="D771" s="112"/>
      <c r="E771" s="131"/>
      <c r="F771" s="112"/>
      <c r="G771" s="112"/>
      <c r="H771" s="112"/>
      <c r="I771" s="132"/>
    </row>
    <row r="772" spans="1:9" ht="15.5" x14ac:dyDescent="0.35">
      <c r="A772" s="130"/>
      <c r="B772" s="112"/>
      <c r="C772" s="112"/>
      <c r="D772" s="112"/>
      <c r="E772" s="131"/>
      <c r="F772" s="112"/>
      <c r="G772" s="112"/>
      <c r="H772" s="112"/>
      <c r="I772" s="132"/>
    </row>
    <row r="773" spans="1:9" ht="15.5" x14ac:dyDescent="0.35">
      <c r="A773" s="130"/>
      <c r="B773" s="112"/>
      <c r="C773" s="112"/>
      <c r="D773" s="112"/>
      <c r="E773" s="131"/>
      <c r="F773" s="112"/>
      <c r="G773" s="112"/>
      <c r="H773" s="112"/>
      <c r="I773" s="132"/>
    </row>
    <row r="774" spans="1:9" ht="15.5" x14ac:dyDescent="0.35">
      <c r="A774" s="130"/>
      <c r="B774" s="112"/>
      <c r="C774" s="112"/>
      <c r="D774" s="112"/>
      <c r="E774" s="131"/>
      <c r="F774" s="112"/>
      <c r="G774" s="112"/>
      <c r="H774" s="112"/>
      <c r="I774" s="132"/>
    </row>
    <row r="775" spans="1:9" ht="15.5" x14ac:dyDescent="0.35">
      <c r="A775" s="130"/>
      <c r="B775" s="112"/>
      <c r="C775" s="112"/>
      <c r="D775" s="112"/>
      <c r="E775" s="131"/>
      <c r="F775" s="112"/>
      <c r="G775" s="112"/>
      <c r="H775" s="112"/>
      <c r="I775" s="132"/>
    </row>
    <row r="776" spans="1:9" ht="15.5" x14ac:dyDescent="0.35">
      <c r="A776" s="130"/>
      <c r="B776" s="112"/>
      <c r="C776" s="112"/>
      <c r="D776" s="112"/>
      <c r="E776" s="131"/>
      <c r="F776" s="112"/>
      <c r="G776" s="112"/>
      <c r="H776" s="112"/>
      <c r="I776" s="132"/>
    </row>
    <row r="777" spans="1:9" ht="15.5" x14ac:dyDescent="0.35">
      <c r="A777" s="130"/>
      <c r="B777" s="112"/>
      <c r="C777" s="112"/>
      <c r="D777" s="112"/>
      <c r="E777" s="131"/>
      <c r="F777" s="112"/>
      <c r="G777" s="112"/>
      <c r="H777" s="112"/>
      <c r="I777" s="132"/>
    </row>
    <row r="778" spans="1:9" ht="15.5" x14ac:dyDescent="0.35">
      <c r="A778" s="130"/>
      <c r="B778" s="112"/>
      <c r="C778" s="112"/>
      <c r="D778" s="112"/>
      <c r="E778" s="131"/>
      <c r="F778" s="112"/>
      <c r="G778" s="112"/>
      <c r="H778" s="112"/>
      <c r="I778" s="132"/>
    </row>
    <row r="779" spans="1:9" ht="15.5" x14ac:dyDescent="0.35">
      <c r="A779" s="130"/>
      <c r="B779" s="112"/>
      <c r="C779" s="112"/>
      <c r="D779" s="112"/>
      <c r="E779" s="131"/>
      <c r="F779" s="112"/>
      <c r="G779" s="112"/>
      <c r="H779" s="112"/>
      <c r="I779" s="132"/>
    </row>
    <row r="780" spans="1:9" ht="15.5" x14ac:dyDescent="0.35">
      <c r="A780" s="130"/>
      <c r="B780" s="112"/>
      <c r="C780" s="112"/>
      <c r="D780" s="112"/>
      <c r="E780" s="131"/>
      <c r="F780" s="112"/>
      <c r="G780" s="112"/>
      <c r="H780" s="112"/>
      <c r="I780" s="132"/>
    </row>
    <row r="781" spans="1:9" ht="15.5" x14ac:dyDescent="0.35">
      <c r="A781" s="130"/>
      <c r="B781" s="112"/>
      <c r="C781" s="112"/>
      <c r="D781" s="112"/>
      <c r="E781" s="131"/>
      <c r="F781" s="112"/>
      <c r="G781" s="112"/>
      <c r="H781" s="112"/>
      <c r="I781" s="132"/>
    </row>
    <row r="782" spans="1:9" ht="15.5" x14ac:dyDescent="0.35">
      <c r="A782" s="130"/>
      <c r="B782" s="112"/>
      <c r="C782" s="112"/>
      <c r="D782" s="112"/>
      <c r="E782" s="131"/>
      <c r="F782" s="112"/>
      <c r="G782" s="112"/>
      <c r="H782" s="112"/>
      <c r="I782" s="132"/>
    </row>
    <row r="783" spans="1:9" ht="15.5" x14ac:dyDescent="0.35">
      <c r="A783" s="130"/>
      <c r="B783" s="112"/>
      <c r="C783" s="112"/>
      <c r="D783" s="112"/>
      <c r="E783" s="131"/>
      <c r="F783" s="112"/>
      <c r="G783" s="112"/>
      <c r="H783" s="112"/>
      <c r="I783" s="132"/>
    </row>
    <row r="784" spans="1:9" ht="15.5" x14ac:dyDescent="0.35">
      <c r="A784" s="130"/>
      <c r="B784" s="112"/>
      <c r="C784" s="112"/>
      <c r="D784" s="112"/>
      <c r="E784" s="131"/>
      <c r="F784" s="112"/>
      <c r="G784" s="112"/>
      <c r="H784" s="112"/>
      <c r="I784" s="132"/>
    </row>
    <row r="785" spans="1:9" ht="15.5" x14ac:dyDescent="0.35">
      <c r="A785" s="130"/>
      <c r="B785" s="112"/>
      <c r="C785" s="112"/>
      <c r="D785" s="112"/>
      <c r="E785" s="131"/>
      <c r="F785" s="112"/>
      <c r="G785" s="112"/>
      <c r="H785" s="112"/>
      <c r="I785" s="132"/>
    </row>
    <row r="786" spans="1:9" ht="15.5" x14ac:dyDescent="0.35">
      <c r="A786" s="130"/>
      <c r="B786" s="112"/>
      <c r="C786" s="112"/>
      <c r="D786" s="112"/>
      <c r="E786" s="131"/>
      <c r="F786" s="112"/>
      <c r="G786" s="112"/>
      <c r="H786" s="112"/>
      <c r="I786" s="132"/>
    </row>
    <row r="787" spans="1:9" ht="15.5" x14ac:dyDescent="0.35">
      <c r="A787" s="130"/>
      <c r="B787" s="112"/>
      <c r="C787" s="112"/>
      <c r="D787" s="112"/>
      <c r="E787" s="131"/>
      <c r="F787" s="112"/>
      <c r="G787" s="112"/>
      <c r="H787" s="112"/>
      <c r="I787" s="132"/>
    </row>
    <row r="788" spans="1:9" ht="15.5" x14ac:dyDescent="0.35">
      <c r="A788" s="130"/>
      <c r="B788" s="112"/>
      <c r="C788" s="112"/>
      <c r="D788" s="112"/>
      <c r="E788" s="131"/>
      <c r="F788" s="112"/>
      <c r="G788" s="112"/>
      <c r="H788" s="112"/>
      <c r="I788" s="132"/>
    </row>
    <row r="789" spans="1:9" ht="15.5" x14ac:dyDescent="0.35">
      <c r="A789" s="130"/>
      <c r="B789" s="112"/>
      <c r="C789" s="112"/>
      <c r="D789" s="112"/>
      <c r="E789" s="131"/>
      <c r="F789" s="112"/>
      <c r="G789" s="112"/>
      <c r="H789" s="112"/>
      <c r="I789" s="132"/>
    </row>
    <row r="790" spans="1:9" ht="15.5" x14ac:dyDescent="0.35">
      <c r="A790" s="130"/>
      <c r="B790" s="112"/>
      <c r="C790" s="112"/>
      <c r="D790" s="112"/>
      <c r="E790" s="131"/>
      <c r="F790" s="112"/>
      <c r="G790" s="112"/>
      <c r="H790" s="112"/>
      <c r="I790" s="132"/>
    </row>
    <row r="791" spans="1:9" ht="15.5" x14ac:dyDescent="0.35">
      <c r="A791" s="130"/>
      <c r="B791" s="112"/>
      <c r="C791" s="112"/>
      <c r="D791" s="112"/>
      <c r="E791" s="131"/>
      <c r="F791" s="112"/>
      <c r="G791" s="112"/>
      <c r="H791" s="112"/>
      <c r="I791" s="132"/>
    </row>
    <row r="792" spans="1:9" ht="15.5" x14ac:dyDescent="0.35">
      <c r="A792" s="130"/>
      <c r="B792" s="112"/>
      <c r="C792" s="112"/>
      <c r="D792" s="112"/>
      <c r="E792" s="131"/>
      <c r="F792" s="112"/>
      <c r="G792" s="112"/>
      <c r="H792" s="112"/>
      <c r="I792" s="132"/>
    </row>
    <row r="793" spans="1:9" ht="15.5" x14ac:dyDescent="0.35">
      <c r="A793" s="130"/>
      <c r="B793" s="112"/>
      <c r="C793" s="112"/>
      <c r="D793" s="112"/>
      <c r="E793" s="131"/>
      <c r="F793" s="112"/>
      <c r="G793" s="112"/>
      <c r="H793" s="112"/>
      <c r="I793" s="132"/>
    </row>
    <row r="794" spans="1:9" ht="15.5" x14ac:dyDescent="0.35">
      <c r="A794" s="130"/>
      <c r="B794" s="112"/>
      <c r="C794" s="112"/>
      <c r="D794" s="112"/>
      <c r="E794" s="131"/>
      <c r="F794" s="112"/>
      <c r="G794" s="112"/>
      <c r="H794" s="112"/>
      <c r="I794" s="132"/>
    </row>
    <row r="795" spans="1:9" ht="15.5" x14ac:dyDescent="0.35">
      <c r="A795" s="130"/>
      <c r="B795" s="112"/>
      <c r="C795" s="112"/>
      <c r="D795" s="112"/>
      <c r="E795" s="131"/>
      <c r="F795" s="112"/>
      <c r="G795" s="112"/>
      <c r="H795" s="112"/>
      <c r="I795" s="132"/>
    </row>
    <row r="796" spans="1:9" ht="15.5" x14ac:dyDescent="0.35">
      <c r="A796" s="130"/>
      <c r="B796" s="112"/>
      <c r="C796" s="112"/>
      <c r="D796" s="112"/>
      <c r="E796" s="131"/>
      <c r="F796" s="112"/>
      <c r="G796" s="112"/>
      <c r="H796" s="112"/>
      <c r="I796" s="132"/>
    </row>
    <row r="797" spans="1:9" ht="15.5" x14ac:dyDescent="0.35">
      <c r="A797" s="130"/>
      <c r="B797" s="112"/>
      <c r="C797" s="112"/>
      <c r="D797" s="112"/>
      <c r="E797" s="131"/>
      <c r="F797" s="112"/>
      <c r="G797" s="112"/>
      <c r="H797" s="112"/>
      <c r="I797" s="132"/>
    </row>
    <row r="798" spans="1:9" ht="15.5" x14ac:dyDescent="0.35">
      <c r="A798" s="130"/>
      <c r="B798" s="112"/>
      <c r="C798" s="112"/>
      <c r="D798" s="112"/>
      <c r="E798" s="131"/>
      <c r="F798" s="112"/>
      <c r="G798" s="112"/>
      <c r="H798" s="112"/>
      <c r="I798" s="132"/>
    </row>
    <row r="799" spans="1:9" ht="15.5" x14ac:dyDescent="0.35">
      <c r="A799" s="130"/>
      <c r="B799" s="112"/>
      <c r="C799" s="112"/>
      <c r="D799" s="112"/>
      <c r="E799" s="131"/>
      <c r="F799" s="112"/>
      <c r="G799" s="112"/>
      <c r="H799" s="112"/>
      <c r="I799" s="132"/>
    </row>
    <row r="800" spans="1:9" ht="15.5" x14ac:dyDescent="0.35">
      <c r="A800" s="130"/>
      <c r="B800" s="112"/>
      <c r="C800" s="112"/>
      <c r="D800" s="112"/>
      <c r="E800" s="131"/>
      <c r="F800" s="112"/>
      <c r="G800" s="112"/>
      <c r="H800" s="112"/>
      <c r="I800" s="132"/>
    </row>
    <row r="801" spans="1:9" ht="15.5" x14ac:dyDescent="0.35">
      <c r="A801" s="130"/>
      <c r="B801" s="112"/>
      <c r="C801" s="112"/>
      <c r="D801" s="112"/>
      <c r="E801" s="131"/>
      <c r="F801" s="112"/>
      <c r="G801" s="112"/>
      <c r="H801" s="112"/>
      <c r="I801" s="132"/>
    </row>
    <row r="802" spans="1:9" ht="15.5" x14ac:dyDescent="0.35">
      <c r="A802" s="130"/>
      <c r="B802" s="112"/>
      <c r="C802" s="112"/>
      <c r="D802" s="112"/>
      <c r="E802" s="131"/>
      <c r="F802" s="112"/>
      <c r="G802" s="112"/>
      <c r="H802" s="112"/>
      <c r="I802" s="132"/>
    </row>
    <row r="803" spans="1:9" ht="15.5" x14ac:dyDescent="0.35">
      <c r="A803" s="130"/>
      <c r="B803" s="112"/>
      <c r="C803" s="112"/>
      <c r="D803" s="112"/>
      <c r="E803" s="131"/>
      <c r="F803" s="112"/>
      <c r="G803" s="112"/>
      <c r="H803" s="112"/>
      <c r="I803" s="132"/>
    </row>
    <row r="804" spans="1:9" ht="15.5" x14ac:dyDescent="0.35">
      <c r="A804" s="130"/>
      <c r="B804" s="112"/>
      <c r="C804" s="112"/>
      <c r="D804" s="112"/>
      <c r="E804" s="131"/>
      <c r="F804" s="112"/>
      <c r="G804" s="112"/>
      <c r="H804" s="112"/>
      <c r="I804" s="132"/>
    </row>
    <row r="805" spans="1:9" ht="15.5" x14ac:dyDescent="0.35">
      <c r="A805" s="130"/>
      <c r="B805" s="112"/>
      <c r="C805" s="112"/>
      <c r="D805" s="112"/>
      <c r="E805" s="131"/>
      <c r="F805" s="112"/>
      <c r="G805" s="112"/>
      <c r="H805" s="112"/>
      <c r="I805" s="132"/>
    </row>
    <row r="806" spans="1:9" ht="15.5" x14ac:dyDescent="0.35">
      <c r="A806" s="130"/>
      <c r="B806" s="112"/>
      <c r="C806" s="112"/>
      <c r="D806" s="112"/>
      <c r="E806" s="131"/>
      <c r="F806" s="112"/>
      <c r="G806" s="112"/>
      <c r="H806" s="112"/>
      <c r="I806" s="132"/>
    </row>
    <row r="807" spans="1:9" ht="15.5" x14ac:dyDescent="0.35">
      <c r="A807" s="130"/>
      <c r="B807" s="112"/>
      <c r="C807" s="112"/>
      <c r="D807" s="112"/>
      <c r="E807" s="131"/>
      <c r="F807" s="112"/>
      <c r="G807" s="112"/>
      <c r="H807" s="112"/>
      <c r="I807" s="132"/>
    </row>
    <row r="808" spans="1:9" ht="15.5" x14ac:dyDescent="0.35">
      <c r="A808" s="130"/>
      <c r="B808" s="112"/>
      <c r="C808" s="112"/>
      <c r="D808" s="112"/>
      <c r="E808" s="131"/>
      <c r="F808" s="112"/>
      <c r="G808" s="112"/>
      <c r="H808" s="112"/>
      <c r="I808" s="132"/>
    </row>
    <row r="809" spans="1:9" ht="15.5" x14ac:dyDescent="0.35">
      <c r="A809" s="130"/>
      <c r="B809" s="112"/>
      <c r="C809" s="112"/>
      <c r="D809" s="112"/>
      <c r="E809" s="131"/>
      <c r="F809" s="112"/>
      <c r="G809" s="112"/>
      <c r="H809" s="112"/>
      <c r="I809" s="132"/>
    </row>
    <row r="810" spans="1:9" ht="15.5" x14ac:dyDescent="0.35">
      <c r="A810" s="130"/>
      <c r="B810" s="112"/>
      <c r="C810" s="112"/>
      <c r="D810" s="112"/>
      <c r="E810" s="131"/>
      <c r="F810" s="112"/>
      <c r="G810" s="112"/>
      <c r="H810" s="112"/>
      <c r="I810" s="132"/>
    </row>
    <row r="811" spans="1:9" ht="15.5" x14ac:dyDescent="0.35">
      <c r="A811" s="130"/>
      <c r="B811" s="112"/>
      <c r="C811" s="112"/>
      <c r="D811" s="112"/>
      <c r="E811" s="131"/>
      <c r="F811" s="112"/>
      <c r="G811" s="112"/>
      <c r="H811" s="112"/>
      <c r="I811" s="132"/>
    </row>
    <row r="812" spans="1:9" ht="15.5" x14ac:dyDescent="0.35">
      <c r="A812" s="130"/>
      <c r="B812" s="112"/>
      <c r="C812" s="112"/>
      <c r="D812" s="112"/>
      <c r="E812" s="131"/>
      <c r="F812" s="112"/>
      <c r="G812" s="112"/>
      <c r="H812" s="112"/>
      <c r="I812" s="132"/>
    </row>
    <row r="813" spans="1:9" ht="15.5" x14ac:dyDescent="0.35">
      <c r="A813" s="130"/>
      <c r="B813" s="112"/>
      <c r="C813" s="112"/>
      <c r="D813" s="112"/>
      <c r="E813" s="131"/>
      <c r="F813" s="112"/>
      <c r="G813" s="112"/>
      <c r="H813" s="112"/>
      <c r="I813" s="132"/>
    </row>
    <row r="814" spans="1:9" ht="15.5" x14ac:dyDescent="0.35">
      <c r="A814" s="130"/>
      <c r="B814" s="112"/>
      <c r="C814" s="112"/>
      <c r="D814" s="112"/>
      <c r="E814" s="131"/>
      <c r="F814" s="112"/>
      <c r="G814" s="112"/>
      <c r="H814" s="112"/>
      <c r="I814" s="132"/>
    </row>
    <row r="815" spans="1:9" ht="15.5" x14ac:dyDescent="0.35">
      <c r="A815" s="130"/>
      <c r="B815" s="112"/>
      <c r="C815" s="112"/>
      <c r="D815" s="112"/>
      <c r="E815" s="131"/>
      <c r="F815" s="112"/>
      <c r="G815" s="112"/>
      <c r="H815" s="112"/>
      <c r="I815" s="132"/>
    </row>
    <row r="816" spans="1:9" ht="15.5" x14ac:dyDescent="0.35">
      <c r="A816" s="130"/>
      <c r="B816" s="112"/>
      <c r="C816" s="112"/>
      <c r="D816" s="112"/>
      <c r="E816" s="131"/>
      <c r="F816" s="112"/>
      <c r="G816" s="112"/>
      <c r="H816" s="112"/>
      <c r="I816" s="132"/>
    </row>
    <row r="817" spans="1:9" ht="15.5" x14ac:dyDescent="0.35">
      <c r="A817" s="130"/>
      <c r="B817" s="112"/>
      <c r="C817" s="112"/>
      <c r="D817" s="112"/>
      <c r="E817" s="131"/>
      <c r="F817" s="112"/>
      <c r="G817" s="112"/>
      <c r="H817" s="112"/>
      <c r="I817" s="132"/>
    </row>
    <row r="818" spans="1:9" ht="15.5" x14ac:dyDescent="0.35">
      <c r="A818" s="130"/>
      <c r="B818" s="112"/>
      <c r="C818" s="112"/>
      <c r="D818" s="112"/>
      <c r="E818" s="131"/>
      <c r="F818" s="112"/>
      <c r="G818" s="112"/>
      <c r="H818" s="112"/>
      <c r="I818" s="132"/>
    </row>
    <row r="819" spans="1:9" ht="15.5" x14ac:dyDescent="0.35">
      <c r="A819" s="130"/>
      <c r="B819" s="112"/>
      <c r="C819" s="112"/>
      <c r="D819" s="112"/>
      <c r="E819" s="131"/>
      <c r="F819" s="112"/>
      <c r="G819" s="112"/>
      <c r="H819" s="112"/>
      <c r="I819" s="132"/>
    </row>
    <row r="820" spans="1:9" ht="15.5" x14ac:dyDescent="0.35">
      <c r="A820" s="130"/>
      <c r="B820" s="112"/>
      <c r="C820" s="112"/>
      <c r="D820" s="112"/>
      <c r="E820" s="131"/>
      <c r="F820" s="112"/>
      <c r="G820" s="112"/>
      <c r="H820" s="112"/>
      <c r="I820" s="132"/>
    </row>
    <row r="821" spans="1:9" ht="15.5" x14ac:dyDescent="0.35">
      <c r="A821" s="130"/>
      <c r="B821" s="112"/>
      <c r="C821" s="112"/>
      <c r="D821" s="112"/>
      <c r="E821" s="131"/>
      <c r="F821" s="112"/>
      <c r="G821" s="112"/>
      <c r="H821" s="112"/>
      <c r="I821" s="132"/>
    </row>
    <row r="822" spans="1:9" ht="15.5" x14ac:dyDescent="0.35">
      <c r="A822" s="130"/>
      <c r="B822" s="112"/>
      <c r="C822" s="112"/>
      <c r="D822" s="112"/>
      <c r="E822" s="131"/>
      <c r="F822" s="112"/>
      <c r="G822" s="112"/>
      <c r="H822" s="112"/>
      <c r="I822" s="132"/>
    </row>
    <row r="823" spans="1:9" ht="15.5" x14ac:dyDescent="0.35">
      <c r="A823" s="130"/>
      <c r="B823" s="112"/>
      <c r="C823" s="112"/>
      <c r="D823" s="112"/>
      <c r="E823" s="131"/>
      <c r="F823" s="112"/>
      <c r="G823" s="112"/>
      <c r="H823" s="112"/>
      <c r="I823" s="132"/>
    </row>
    <row r="824" spans="1:9" ht="15.5" x14ac:dyDescent="0.35">
      <c r="A824" s="130"/>
      <c r="B824" s="112"/>
      <c r="C824" s="112"/>
      <c r="D824" s="112"/>
      <c r="E824" s="131"/>
      <c r="F824" s="112"/>
      <c r="G824" s="112"/>
      <c r="H824" s="112"/>
      <c r="I824" s="132"/>
    </row>
    <row r="825" spans="1:9" ht="15.5" x14ac:dyDescent="0.35">
      <c r="A825" s="130"/>
      <c r="B825" s="112"/>
      <c r="C825" s="112"/>
      <c r="D825" s="112"/>
      <c r="E825" s="131"/>
      <c r="F825" s="112"/>
      <c r="G825" s="112"/>
      <c r="H825" s="112"/>
      <c r="I825" s="132"/>
    </row>
    <row r="826" spans="1:9" ht="15.5" x14ac:dyDescent="0.35">
      <c r="A826" s="130"/>
      <c r="B826" s="112"/>
      <c r="C826" s="112"/>
      <c r="D826" s="112"/>
      <c r="E826" s="131"/>
      <c r="F826" s="112"/>
      <c r="G826" s="112"/>
      <c r="H826" s="112"/>
      <c r="I826" s="132"/>
    </row>
    <row r="827" spans="1:9" ht="15.5" x14ac:dyDescent="0.35">
      <c r="A827" s="130"/>
      <c r="B827" s="112"/>
      <c r="C827" s="112"/>
      <c r="D827" s="112"/>
      <c r="E827" s="131"/>
      <c r="F827" s="112"/>
      <c r="G827" s="112"/>
      <c r="H827" s="112"/>
      <c r="I827" s="132"/>
    </row>
    <row r="828" spans="1:9" ht="15.5" x14ac:dyDescent="0.35">
      <c r="A828" s="130"/>
      <c r="B828" s="112"/>
      <c r="C828" s="112"/>
      <c r="D828" s="112"/>
      <c r="E828" s="131"/>
      <c r="F828" s="112"/>
      <c r="G828" s="112"/>
      <c r="H828" s="112"/>
      <c r="I828" s="132"/>
    </row>
    <row r="829" spans="1:9" ht="15.5" x14ac:dyDescent="0.35">
      <c r="A829" s="130"/>
      <c r="B829" s="112"/>
      <c r="C829" s="112"/>
      <c r="D829" s="112"/>
      <c r="E829" s="131"/>
      <c r="F829" s="112"/>
      <c r="G829" s="112"/>
      <c r="H829" s="112"/>
      <c r="I829" s="132"/>
    </row>
    <row r="830" spans="1:9" ht="15.5" x14ac:dyDescent="0.35">
      <c r="A830" s="130"/>
      <c r="B830" s="112"/>
      <c r="C830" s="112"/>
      <c r="D830" s="112"/>
      <c r="E830" s="131"/>
      <c r="F830" s="112"/>
      <c r="G830" s="112"/>
      <c r="H830" s="112"/>
      <c r="I830" s="132"/>
    </row>
    <row r="831" spans="1:9" ht="15.5" x14ac:dyDescent="0.35">
      <c r="A831" s="130"/>
      <c r="B831" s="112"/>
      <c r="C831" s="112"/>
      <c r="D831" s="112"/>
      <c r="E831" s="131"/>
      <c r="F831" s="112"/>
      <c r="G831" s="112"/>
      <c r="H831" s="112"/>
      <c r="I831" s="132"/>
    </row>
    <row r="832" spans="1:9" ht="15.5" x14ac:dyDescent="0.35">
      <c r="A832" s="130"/>
      <c r="B832" s="112"/>
      <c r="C832" s="112"/>
      <c r="D832" s="112"/>
      <c r="E832" s="131"/>
      <c r="F832" s="112"/>
      <c r="G832" s="112"/>
      <c r="H832" s="112"/>
      <c r="I832" s="132"/>
    </row>
    <row r="833" spans="1:9" ht="15.5" x14ac:dyDescent="0.35">
      <c r="A833" s="130"/>
      <c r="B833" s="112"/>
      <c r="C833" s="112"/>
      <c r="D833" s="112"/>
      <c r="E833" s="131"/>
      <c r="F833" s="112"/>
      <c r="G833" s="112"/>
      <c r="H833" s="112"/>
      <c r="I833" s="132"/>
    </row>
    <row r="834" spans="1:9" ht="15.5" x14ac:dyDescent="0.35">
      <c r="A834" s="130"/>
      <c r="B834" s="112"/>
      <c r="C834" s="112"/>
      <c r="D834" s="112"/>
      <c r="E834" s="131"/>
      <c r="F834" s="112"/>
      <c r="G834" s="112"/>
      <c r="H834" s="112"/>
      <c r="I834" s="132"/>
    </row>
    <row r="835" spans="1:9" ht="15.5" x14ac:dyDescent="0.35">
      <c r="A835" s="130"/>
      <c r="B835" s="112"/>
      <c r="C835" s="112"/>
      <c r="D835" s="112"/>
      <c r="E835" s="131"/>
      <c r="F835" s="112"/>
      <c r="G835" s="112"/>
      <c r="H835" s="112"/>
      <c r="I835" s="132"/>
    </row>
    <row r="836" spans="1:9" ht="15.5" x14ac:dyDescent="0.35">
      <c r="A836" s="130"/>
      <c r="B836" s="112"/>
      <c r="C836" s="112"/>
      <c r="D836" s="112"/>
      <c r="E836" s="131"/>
      <c r="F836" s="112"/>
      <c r="G836" s="112"/>
      <c r="H836" s="112"/>
      <c r="I836" s="132"/>
    </row>
    <row r="837" spans="1:9" ht="15.5" x14ac:dyDescent="0.35">
      <c r="A837" s="130"/>
      <c r="B837" s="112"/>
      <c r="C837" s="112"/>
      <c r="D837" s="112"/>
      <c r="E837" s="131"/>
      <c r="F837" s="112"/>
      <c r="G837" s="112"/>
      <c r="H837" s="112"/>
      <c r="I837" s="132"/>
    </row>
    <row r="838" spans="1:9" ht="15.5" x14ac:dyDescent="0.35">
      <c r="A838" s="130"/>
      <c r="B838" s="112"/>
      <c r="C838" s="112"/>
      <c r="D838" s="112"/>
      <c r="E838" s="131"/>
      <c r="F838" s="112"/>
      <c r="G838" s="112"/>
      <c r="H838" s="112"/>
      <c r="I838" s="132"/>
    </row>
    <row r="839" spans="1:9" ht="15.5" x14ac:dyDescent="0.35">
      <c r="A839" s="130"/>
      <c r="B839" s="112"/>
      <c r="C839" s="112"/>
      <c r="D839" s="112"/>
      <c r="E839" s="131"/>
      <c r="F839" s="112"/>
      <c r="G839" s="112"/>
      <c r="H839" s="112"/>
      <c r="I839" s="132"/>
    </row>
    <row r="840" spans="1:9" ht="15.5" x14ac:dyDescent="0.35">
      <c r="A840" s="130"/>
      <c r="B840" s="112"/>
      <c r="C840" s="112"/>
      <c r="D840" s="112"/>
      <c r="E840" s="131"/>
      <c r="F840" s="112"/>
      <c r="G840" s="112"/>
      <c r="H840" s="112"/>
      <c r="I840" s="132"/>
    </row>
    <row r="841" spans="1:9" ht="15.5" x14ac:dyDescent="0.35">
      <c r="A841" s="130"/>
      <c r="B841" s="112"/>
      <c r="C841" s="112"/>
      <c r="D841" s="112"/>
      <c r="E841" s="131"/>
      <c r="F841" s="112"/>
      <c r="G841" s="112"/>
      <c r="H841" s="112"/>
      <c r="I841" s="132"/>
    </row>
    <row r="842" spans="1:9" ht="15.5" x14ac:dyDescent="0.35">
      <c r="A842" s="130"/>
      <c r="B842" s="112"/>
      <c r="C842" s="112"/>
      <c r="D842" s="112"/>
      <c r="E842" s="131"/>
      <c r="F842" s="112"/>
      <c r="G842" s="112"/>
      <c r="H842" s="112"/>
      <c r="I842" s="132"/>
    </row>
    <row r="843" spans="1:9" ht="15.5" x14ac:dyDescent="0.35">
      <c r="A843" s="130"/>
      <c r="B843" s="112"/>
      <c r="C843" s="112"/>
      <c r="D843" s="112"/>
      <c r="E843" s="131"/>
      <c r="F843" s="112"/>
      <c r="G843" s="112"/>
      <c r="H843" s="112"/>
      <c r="I843" s="132"/>
    </row>
    <row r="844" spans="1:9" ht="15.5" x14ac:dyDescent="0.35">
      <c r="A844" s="130"/>
      <c r="B844" s="112"/>
      <c r="C844" s="112"/>
      <c r="D844" s="112"/>
      <c r="E844" s="131"/>
      <c r="F844" s="112"/>
      <c r="G844" s="112"/>
      <c r="H844" s="112"/>
      <c r="I844" s="132"/>
    </row>
    <row r="845" spans="1:9" ht="15.5" x14ac:dyDescent="0.35">
      <c r="A845" s="130"/>
      <c r="B845" s="112"/>
      <c r="C845" s="112"/>
      <c r="D845" s="112"/>
      <c r="E845" s="131"/>
      <c r="F845" s="112"/>
      <c r="G845" s="112"/>
      <c r="H845" s="112"/>
      <c r="I845" s="132"/>
    </row>
    <row r="846" spans="1:9" ht="15.5" x14ac:dyDescent="0.35">
      <c r="A846" s="130"/>
      <c r="B846" s="112"/>
      <c r="C846" s="112"/>
      <c r="D846" s="112"/>
      <c r="E846" s="131"/>
      <c r="F846" s="112"/>
      <c r="G846" s="112"/>
      <c r="H846" s="112"/>
      <c r="I846" s="132"/>
    </row>
    <row r="847" spans="1:9" ht="15.5" x14ac:dyDescent="0.35">
      <c r="A847" s="130"/>
      <c r="B847" s="112"/>
      <c r="C847" s="112"/>
      <c r="D847" s="112"/>
      <c r="E847" s="131"/>
      <c r="F847" s="112"/>
      <c r="G847" s="112"/>
      <c r="H847" s="112"/>
      <c r="I847" s="132"/>
    </row>
    <row r="848" spans="1:9" ht="15.5" x14ac:dyDescent="0.35">
      <c r="A848" s="130"/>
      <c r="B848" s="112"/>
      <c r="C848" s="112"/>
      <c r="D848" s="112"/>
      <c r="E848" s="131"/>
      <c r="F848" s="112"/>
      <c r="G848" s="112"/>
      <c r="H848" s="112"/>
      <c r="I848" s="132"/>
    </row>
    <row r="849" spans="1:9" ht="15.5" x14ac:dyDescent="0.35">
      <c r="A849" s="130"/>
      <c r="B849" s="112"/>
      <c r="C849" s="112"/>
      <c r="D849" s="112"/>
      <c r="E849" s="131"/>
      <c r="F849" s="112"/>
      <c r="G849" s="112"/>
      <c r="H849" s="112"/>
      <c r="I849" s="132"/>
    </row>
    <row r="850" spans="1:9" ht="15.5" x14ac:dyDescent="0.35">
      <c r="A850" s="130"/>
      <c r="B850" s="112"/>
      <c r="C850" s="112"/>
      <c r="D850" s="112"/>
      <c r="E850" s="131"/>
      <c r="F850" s="112"/>
      <c r="G850" s="112"/>
      <c r="H850" s="112"/>
      <c r="I850" s="132"/>
    </row>
    <row r="851" spans="1:9" ht="15.5" x14ac:dyDescent="0.35">
      <c r="A851" s="130"/>
      <c r="B851" s="112"/>
      <c r="C851" s="112"/>
      <c r="D851" s="112"/>
      <c r="E851" s="131"/>
      <c r="F851" s="112"/>
      <c r="G851" s="112"/>
      <c r="H851" s="112"/>
      <c r="I851" s="132"/>
    </row>
    <row r="852" spans="1:9" ht="15.5" x14ac:dyDescent="0.35">
      <c r="A852" s="130"/>
      <c r="B852" s="112"/>
      <c r="C852" s="112"/>
      <c r="D852" s="112"/>
      <c r="E852" s="131"/>
      <c r="F852" s="112"/>
      <c r="G852" s="112"/>
      <c r="H852" s="112"/>
      <c r="I852" s="132"/>
    </row>
    <row r="853" spans="1:9" ht="15.5" x14ac:dyDescent="0.35">
      <c r="A853" s="130"/>
      <c r="B853" s="112"/>
      <c r="C853" s="112"/>
      <c r="D853" s="112"/>
      <c r="E853" s="131"/>
      <c r="F853" s="112"/>
      <c r="G853" s="112"/>
      <c r="H853" s="112"/>
      <c r="I853" s="132"/>
    </row>
    <row r="854" spans="1:9" ht="15.5" x14ac:dyDescent="0.35">
      <c r="A854" s="130"/>
      <c r="B854" s="112"/>
      <c r="C854" s="112"/>
      <c r="D854" s="112"/>
      <c r="E854" s="131"/>
      <c r="F854" s="112"/>
      <c r="G854" s="112"/>
      <c r="H854" s="112"/>
      <c r="I854" s="132"/>
    </row>
    <row r="855" spans="1:9" ht="15.5" x14ac:dyDescent="0.35">
      <c r="A855" s="130"/>
      <c r="B855" s="112"/>
      <c r="C855" s="112"/>
      <c r="D855" s="112"/>
      <c r="E855" s="131"/>
      <c r="F855" s="112"/>
      <c r="G855" s="112"/>
      <c r="H855" s="112"/>
      <c r="I855" s="132"/>
    </row>
    <row r="856" spans="1:9" ht="15.5" x14ac:dyDescent="0.35">
      <c r="A856" s="130"/>
      <c r="B856" s="112"/>
      <c r="C856" s="112"/>
      <c r="D856" s="112"/>
      <c r="E856" s="131"/>
      <c r="F856" s="112"/>
      <c r="G856" s="112"/>
      <c r="H856" s="112"/>
      <c r="I856" s="132"/>
    </row>
    <row r="857" spans="1:9" ht="15.5" x14ac:dyDescent="0.35">
      <c r="A857" s="130"/>
      <c r="B857" s="112"/>
      <c r="C857" s="112"/>
      <c r="D857" s="112"/>
      <c r="E857" s="131"/>
      <c r="F857" s="112"/>
      <c r="G857" s="112"/>
      <c r="H857" s="112"/>
      <c r="I857" s="132"/>
    </row>
    <row r="858" spans="1:9" ht="15.5" x14ac:dyDescent="0.35">
      <c r="A858" s="130"/>
      <c r="B858" s="112"/>
      <c r="C858" s="112"/>
      <c r="D858" s="112"/>
      <c r="E858" s="131"/>
      <c r="F858" s="112"/>
      <c r="G858" s="112"/>
      <c r="H858" s="112"/>
      <c r="I858" s="132"/>
    </row>
    <row r="859" spans="1:9" ht="15.5" x14ac:dyDescent="0.35">
      <c r="A859" s="130"/>
      <c r="B859" s="112"/>
      <c r="C859" s="112"/>
      <c r="D859" s="112"/>
      <c r="E859" s="131"/>
      <c r="F859" s="112"/>
      <c r="G859" s="112"/>
      <c r="H859" s="112"/>
      <c r="I859" s="132"/>
    </row>
    <row r="860" spans="1:9" ht="15.5" x14ac:dyDescent="0.35">
      <c r="A860" s="130"/>
      <c r="B860" s="112"/>
      <c r="C860" s="112"/>
      <c r="D860" s="112"/>
      <c r="E860" s="131"/>
      <c r="F860" s="112"/>
      <c r="G860" s="112"/>
      <c r="H860" s="112"/>
      <c r="I860" s="132"/>
    </row>
    <row r="861" spans="1:9" ht="15.5" x14ac:dyDescent="0.35">
      <c r="A861" s="130"/>
      <c r="B861" s="112"/>
      <c r="C861" s="112"/>
      <c r="D861" s="112"/>
      <c r="E861" s="131"/>
      <c r="F861" s="112"/>
      <c r="G861" s="112"/>
      <c r="H861" s="112"/>
      <c r="I861" s="132"/>
    </row>
    <row r="862" spans="1:9" ht="15.5" x14ac:dyDescent="0.35">
      <c r="A862" s="130"/>
      <c r="B862" s="112"/>
      <c r="C862" s="112"/>
      <c r="D862" s="112"/>
      <c r="E862" s="131"/>
      <c r="F862" s="112"/>
      <c r="G862" s="112"/>
      <c r="H862" s="112"/>
      <c r="I862" s="132"/>
    </row>
    <row r="863" spans="1:9" ht="15.5" x14ac:dyDescent="0.35">
      <c r="A863" s="130"/>
      <c r="B863" s="112"/>
      <c r="C863" s="112"/>
      <c r="D863" s="112"/>
      <c r="E863" s="131"/>
      <c r="F863" s="112"/>
      <c r="G863" s="112"/>
      <c r="H863" s="112"/>
      <c r="I863" s="132"/>
    </row>
    <row r="864" spans="1:9" ht="15.5" x14ac:dyDescent="0.35">
      <c r="A864" s="130"/>
      <c r="B864" s="112"/>
      <c r="C864" s="112"/>
      <c r="D864" s="112"/>
      <c r="E864" s="131"/>
      <c r="F864" s="112"/>
      <c r="G864" s="112"/>
      <c r="H864" s="112"/>
      <c r="I864" s="132"/>
    </row>
    <row r="865" spans="1:9" ht="15.5" x14ac:dyDescent="0.35">
      <c r="A865" s="130"/>
      <c r="B865" s="112"/>
      <c r="C865" s="112"/>
      <c r="D865" s="112"/>
      <c r="E865" s="131"/>
      <c r="F865" s="112"/>
      <c r="G865" s="112"/>
      <c r="H865" s="112"/>
      <c r="I865" s="132"/>
    </row>
    <row r="866" spans="1:9" ht="15.5" x14ac:dyDescent="0.35">
      <c r="A866" s="130"/>
      <c r="B866" s="112"/>
      <c r="C866" s="112"/>
      <c r="D866" s="112"/>
      <c r="E866" s="131"/>
      <c r="F866" s="112"/>
      <c r="G866" s="112"/>
      <c r="H866" s="112"/>
      <c r="I866" s="132"/>
    </row>
    <row r="867" spans="1:9" ht="15.5" x14ac:dyDescent="0.35">
      <c r="A867" s="130"/>
      <c r="B867" s="112"/>
      <c r="C867" s="112"/>
      <c r="D867" s="112"/>
      <c r="E867" s="131"/>
      <c r="F867" s="112"/>
      <c r="G867" s="112"/>
      <c r="H867" s="112"/>
      <c r="I867" s="132"/>
    </row>
    <row r="868" spans="1:9" ht="15.5" x14ac:dyDescent="0.35">
      <c r="A868" s="130"/>
      <c r="B868" s="112"/>
      <c r="C868" s="112"/>
      <c r="D868" s="112"/>
      <c r="E868" s="131"/>
      <c r="F868" s="112"/>
      <c r="G868" s="112"/>
      <c r="H868" s="112"/>
      <c r="I868" s="1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EA42-C0ED-406C-938E-626F078751D0}">
  <dimension ref="A1:I18"/>
  <sheetViews>
    <sheetView workbookViewId="0">
      <selection activeCell="D19" sqref="D19"/>
    </sheetView>
  </sheetViews>
  <sheetFormatPr defaultRowHeight="12.5" x14ac:dyDescent="0.25"/>
  <cols>
    <col min="2" max="2" width="11.81640625" bestFit="1" customWidth="1"/>
    <col min="3" max="3" width="13.36328125" bestFit="1" customWidth="1"/>
    <col min="4" max="4" width="11.81640625" bestFit="1" customWidth="1"/>
    <col min="5" max="5" width="12.08984375" bestFit="1" customWidth="1"/>
    <col min="6" max="6" width="12.90625" bestFit="1" customWidth="1"/>
    <col min="7" max="7" width="11.81640625" bestFit="1" customWidth="1"/>
    <col min="8" max="8" width="12" bestFit="1" customWidth="1"/>
  </cols>
  <sheetData>
    <row r="1" spans="1:9" x14ac:dyDescent="0.25">
      <c r="A1" t="s">
        <v>570</v>
      </c>
    </row>
    <row r="2" spans="1:9" ht="13" thickBot="1" x14ac:dyDescent="0.3"/>
    <row r="3" spans="1:9" ht="13" x14ac:dyDescent="0.3">
      <c r="A3" s="232" t="s">
        <v>571</v>
      </c>
      <c r="B3" s="232"/>
    </row>
    <row r="4" spans="1:9" x14ac:dyDescent="0.25">
      <c r="A4" s="229" t="s">
        <v>572</v>
      </c>
      <c r="B4" s="229">
        <v>0.75498465435450635</v>
      </c>
    </row>
    <row r="5" spans="1:9" x14ac:dyDescent="0.25">
      <c r="A5" s="229" t="s">
        <v>573</v>
      </c>
      <c r="B5" s="229">
        <v>0.57000182831079338</v>
      </c>
    </row>
    <row r="6" spans="1:9" x14ac:dyDescent="0.25">
      <c r="A6" s="229" t="s">
        <v>574</v>
      </c>
      <c r="B6" s="229">
        <v>0.56674426640405695</v>
      </c>
    </row>
    <row r="7" spans="1:9" x14ac:dyDescent="0.25">
      <c r="A7" s="229" t="s">
        <v>575</v>
      </c>
      <c r="B7" s="229">
        <v>644.58489301780526</v>
      </c>
    </row>
    <row r="8" spans="1:9" ht="13" thickBot="1" x14ac:dyDescent="0.3">
      <c r="A8" s="230" t="s">
        <v>576</v>
      </c>
      <c r="B8" s="230">
        <v>134</v>
      </c>
    </row>
    <row r="10" spans="1:9" ht="13" thickBot="1" x14ac:dyDescent="0.3">
      <c r="A10" t="s">
        <v>577</v>
      </c>
    </row>
    <row r="11" spans="1:9" ht="13" x14ac:dyDescent="0.3">
      <c r="A11" s="231"/>
      <c r="B11" s="231" t="s">
        <v>581</v>
      </c>
      <c r="C11" s="231" t="s">
        <v>582</v>
      </c>
      <c r="D11" s="231" t="s">
        <v>583</v>
      </c>
      <c r="E11" s="231" t="s">
        <v>584</v>
      </c>
      <c r="F11" s="231" t="s">
        <v>585</v>
      </c>
    </row>
    <row r="12" spans="1:9" x14ac:dyDescent="0.25">
      <c r="A12" s="229" t="s">
        <v>578</v>
      </c>
      <c r="B12" s="229">
        <v>1</v>
      </c>
      <c r="C12" s="229">
        <v>72701574.514789268</v>
      </c>
      <c r="D12" s="229">
        <v>72701574.514789268</v>
      </c>
      <c r="E12" s="229">
        <v>174.97804942158393</v>
      </c>
      <c r="F12" s="229">
        <v>5.8786367465911986E-26</v>
      </c>
    </row>
    <row r="13" spans="1:9" x14ac:dyDescent="0.25">
      <c r="A13" s="229" t="s">
        <v>579</v>
      </c>
      <c r="B13" s="229">
        <v>132</v>
      </c>
      <c r="C13" s="229">
        <v>54844638.32849437</v>
      </c>
      <c r="D13" s="229">
        <v>415489.68430677551</v>
      </c>
      <c r="E13" s="229"/>
      <c r="F13" s="229"/>
    </row>
    <row r="14" spans="1:9" ht="13" thickBot="1" x14ac:dyDescent="0.3">
      <c r="A14" s="230" t="s">
        <v>66</v>
      </c>
      <c r="B14" s="230">
        <v>133</v>
      </c>
      <c r="C14" s="230">
        <v>127546212.84328364</v>
      </c>
      <c r="D14" s="230"/>
      <c r="E14" s="230"/>
      <c r="F14" s="230"/>
    </row>
    <row r="15" spans="1:9" ht="13" thickBot="1" x14ac:dyDescent="0.3"/>
    <row r="16" spans="1:9" ht="13" x14ac:dyDescent="0.3">
      <c r="A16" s="231"/>
      <c r="B16" s="231" t="s">
        <v>586</v>
      </c>
      <c r="C16" s="231" t="s">
        <v>575</v>
      </c>
      <c r="D16" s="231" t="s">
        <v>587</v>
      </c>
      <c r="E16" s="231" t="s">
        <v>588</v>
      </c>
      <c r="F16" s="231" t="s">
        <v>589</v>
      </c>
      <c r="G16" s="231" t="s">
        <v>590</v>
      </c>
      <c r="H16" s="231" t="s">
        <v>591</v>
      </c>
      <c r="I16" s="231" t="s">
        <v>592</v>
      </c>
    </row>
    <row r="17" spans="1:9" x14ac:dyDescent="0.25">
      <c r="A17" s="229" t="s">
        <v>580</v>
      </c>
      <c r="B17" s="229">
        <v>5903.7531123124973</v>
      </c>
      <c r="C17" s="229">
        <v>109.38183380858716</v>
      </c>
      <c r="D17" s="229">
        <v>53.973799000698556</v>
      </c>
      <c r="E17" s="229">
        <v>7.7591676026585222E-92</v>
      </c>
      <c r="F17" s="229">
        <v>5687.3850335281932</v>
      </c>
      <c r="G17" s="229">
        <v>6120.1211910968013</v>
      </c>
      <c r="H17" s="229">
        <v>5687.3850335281932</v>
      </c>
      <c r="I17" s="229">
        <v>6120.1211910968013</v>
      </c>
    </row>
    <row r="18" spans="1:9" ht="13" thickBot="1" x14ac:dyDescent="0.3">
      <c r="A18" s="230" t="s">
        <v>593</v>
      </c>
      <c r="B18" s="230">
        <v>3.4505597345627107E-3</v>
      </c>
      <c r="C18" s="230">
        <v>2.6085415855853222E-4</v>
      </c>
      <c r="D18" s="230">
        <v>13.227926875424725</v>
      </c>
      <c r="E18" s="230">
        <v>5.8786367465914937E-26</v>
      </c>
      <c r="F18" s="230">
        <v>2.9345644256069834E-3</v>
      </c>
      <c r="G18" s="230">
        <v>3.9665550435184381E-3</v>
      </c>
      <c r="H18" s="230">
        <v>2.9345644256069834E-3</v>
      </c>
      <c r="I18" s="230">
        <v>3.9665550435184381E-3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B243-5FC8-4761-A380-23091F9155E0}">
  <dimension ref="A1:I21"/>
  <sheetViews>
    <sheetView workbookViewId="0">
      <selection activeCell="A2" sqref="A2"/>
    </sheetView>
  </sheetViews>
  <sheetFormatPr defaultRowHeight="12.5" x14ac:dyDescent="0.25"/>
  <cols>
    <col min="1" max="1" width="17.90625" bestFit="1" customWidth="1"/>
    <col min="2" max="2" width="11.81640625" bestFit="1" customWidth="1"/>
    <col min="3" max="3" width="13.36328125" bestFit="1" customWidth="1"/>
    <col min="4" max="4" width="11.81640625" bestFit="1" customWidth="1"/>
    <col min="5" max="5" width="12.08984375" bestFit="1" customWidth="1"/>
    <col min="6" max="6" width="12.90625" bestFit="1" customWidth="1"/>
    <col min="7" max="7" width="11.81640625" bestFit="1" customWidth="1"/>
    <col min="8" max="9" width="12" bestFit="1" customWidth="1"/>
  </cols>
  <sheetData>
    <row r="1" spans="1:9" x14ac:dyDescent="0.25">
      <c r="A1" s="233" t="s">
        <v>596</v>
      </c>
    </row>
    <row r="2" spans="1:9" ht="13" thickBot="1" x14ac:dyDescent="0.3"/>
    <row r="3" spans="1:9" ht="13" x14ac:dyDescent="0.3">
      <c r="A3" s="232" t="s">
        <v>571</v>
      </c>
      <c r="B3" s="232"/>
    </row>
    <row r="4" spans="1:9" x14ac:dyDescent="0.25">
      <c r="A4" s="229" t="s">
        <v>572</v>
      </c>
      <c r="B4" s="229">
        <v>0.84899158079743497</v>
      </c>
    </row>
    <row r="5" spans="1:9" x14ac:dyDescent="0.25">
      <c r="A5" s="229" t="s">
        <v>573</v>
      </c>
      <c r="B5" s="229">
        <v>0.72078670426492752</v>
      </c>
    </row>
    <row r="6" spans="1:9" x14ac:dyDescent="0.25">
      <c r="A6" s="229" t="s">
        <v>574</v>
      </c>
      <c r="B6" s="229">
        <v>0.71867145202451033</v>
      </c>
    </row>
    <row r="7" spans="1:9" x14ac:dyDescent="0.25">
      <c r="A7" s="229" t="s">
        <v>575</v>
      </c>
      <c r="B7" s="229">
        <v>519.41545267106437</v>
      </c>
    </row>
    <row r="8" spans="1:9" ht="13" thickBot="1" x14ac:dyDescent="0.3">
      <c r="A8" s="230" t="s">
        <v>576</v>
      </c>
      <c r="B8" s="230">
        <v>134</v>
      </c>
    </row>
    <row r="10" spans="1:9" ht="13" thickBot="1" x14ac:dyDescent="0.3">
      <c r="A10" t="s">
        <v>577</v>
      </c>
    </row>
    <row r="11" spans="1:9" ht="13" x14ac:dyDescent="0.3">
      <c r="A11" s="231"/>
      <c r="B11" s="231" t="s">
        <v>581</v>
      </c>
      <c r="C11" s="231" t="s">
        <v>582</v>
      </c>
      <c r="D11" s="231" t="s">
        <v>583</v>
      </c>
      <c r="E11" s="231" t="s">
        <v>584</v>
      </c>
      <c r="F11" s="231" t="s">
        <v>585</v>
      </c>
    </row>
    <row r="12" spans="1:9" x14ac:dyDescent="0.25">
      <c r="A12" s="229" t="s">
        <v>578</v>
      </c>
      <c r="B12" s="229">
        <v>1</v>
      </c>
      <c r="C12" s="229">
        <v>91933614.396783382</v>
      </c>
      <c r="D12" s="229">
        <v>91933614.396783382</v>
      </c>
      <c r="E12" s="229">
        <v>340.75685655473336</v>
      </c>
      <c r="F12" s="229">
        <v>2.200203104175377E-38</v>
      </c>
    </row>
    <row r="13" spans="1:9" x14ac:dyDescent="0.25">
      <c r="A13" s="229" t="s">
        <v>579</v>
      </c>
      <c r="B13" s="229">
        <v>132</v>
      </c>
      <c r="C13" s="229">
        <v>35612598.446500249</v>
      </c>
      <c r="D13" s="229">
        <v>269792.41247348674</v>
      </c>
      <c r="E13" s="229"/>
      <c r="F13" s="229"/>
    </row>
    <row r="14" spans="1:9" ht="13" thickBot="1" x14ac:dyDescent="0.3">
      <c r="A14" s="230" t="s">
        <v>66</v>
      </c>
      <c r="B14" s="230">
        <v>133</v>
      </c>
      <c r="C14" s="230">
        <v>127546212.84328362</v>
      </c>
      <c r="D14" s="230"/>
      <c r="E14" s="230"/>
      <c r="F14" s="230"/>
    </row>
    <row r="15" spans="1:9" ht="13" thickBot="1" x14ac:dyDescent="0.3"/>
    <row r="16" spans="1:9" ht="13" x14ac:dyDescent="0.3">
      <c r="A16" s="231"/>
      <c r="B16" s="231" t="s">
        <v>586</v>
      </c>
      <c r="C16" s="231" t="s">
        <v>575</v>
      </c>
      <c r="D16" s="231" t="s">
        <v>587</v>
      </c>
      <c r="E16" s="231" t="s">
        <v>588</v>
      </c>
      <c r="F16" s="231" t="s">
        <v>589</v>
      </c>
      <c r="G16" s="231" t="s">
        <v>590</v>
      </c>
      <c r="H16" s="231" t="s">
        <v>591</v>
      </c>
      <c r="I16" s="231" t="s">
        <v>592</v>
      </c>
    </row>
    <row r="17" spans="1:9" x14ac:dyDescent="0.25">
      <c r="A17" s="229" t="s">
        <v>580</v>
      </c>
      <c r="B17" s="229">
        <v>5610.2994759876055</v>
      </c>
      <c r="C17" s="229">
        <v>94.670917564612907</v>
      </c>
      <c r="D17" s="229">
        <v>59.261065808922531</v>
      </c>
      <c r="E17" s="229">
        <v>5.5388544474437285E-97</v>
      </c>
      <c r="F17" s="229">
        <v>5423.0310435891497</v>
      </c>
      <c r="G17" s="229">
        <v>5797.5679083860614</v>
      </c>
      <c r="H17" s="229">
        <v>5423.0310435891497</v>
      </c>
      <c r="I17" s="229">
        <v>5797.5679083860614</v>
      </c>
    </row>
    <row r="18" spans="1:9" ht="13" thickBot="1" x14ac:dyDescent="0.3">
      <c r="A18" s="230" t="s">
        <v>593</v>
      </c>
      <c r="B18" s="230">
        <v>1.2471947217086773E-3</v>
      </c>
      <c r="C18" s="230">
        <v>6.7563472505657393E-5</v>
      </c>
      <c r="D18" s="230">
        <v>18.45960066076006</v>
      </c>
      <c r="E18" s="230">
        <v>2.2002031041754081E-38</v>
      </c>
      <c r="F18" s="230">
        <v>1.1135474949888632E-3</v>
      </c>
      <c r="G18" s="230">
        <v>1.3808419484284914E-3</v>
      </c>
      <c r="H18" s="230">
        <v>1.1135474949888632E-3</v>
      </c>
      <c r="I18" s="230">
        <v>1.3808419484284914E-3</v>
      </c>
    </row>
    <row r="21" spans="1:9" x14ac:dyDescent="0.25">
      <c r="A21" s="233" t="s">
        <v>595</v>
      </c>
      <c r="B21" s="234" t="s">
        <v>594</v>
      </c>
      <c r="C21" s="234"/>
      <c r="D21" s="234"/>
    </row>
  </sheetData>
  <mergeCells count="1">
    <mergeCell ref="B21:D2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S988"/>
  <sheetViews>
    <sheetView zoomScale="70" zoomScaleNormal="70" workbookViewId="0">
      <pane xSplit="1" ySplit="7" topLeftCell="B159" activePane="bottomRight" state="frozen"/>
      <selection pane="topRight" activeCell="B1" sqref="B1"/>
      <selection pane="bottomLeft" activeCell="A8" sqref="A8"/>
      <selection pane="bottomRight" activeCell="A168" sqref="A168"/>
    </sheetView>
  </sheetViews>
  <sheetFormatPr defaultColWidth="14.453125" defaultRowHeight="15.75" customHeight="1" x14ac:dyDescent="0.25"/>
  <sheetData>
    <row r="1" spans="1:71" ht="15.75" customHeight="1" x14ac:dyDescent="0.25">
      <c r="A1" s="133" t="s">
        <v>316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5"/>
      <c r="U1" s="135"/>
      <c r="V1" s="135"/>
      <c r="W1" s="135"/>
      <c r="X1" s="135"/>
      <c r="Y1" s="135"/>
      <c r="Z1" s="135"/>
      <c r="AA1" s="135"/>
      <c r="AB1" s="135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</row>
    <row r="2" spans="1:71" ht="15.75" customHeight="1" x14ac:dyDescent="0.25">
      <c r="A2" s="133" t="s">
        <v>317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5"/>
      <c r="U2" s="135"/>
      <c r="V2" s="135"/>
      <c r="W2" s="135"/>
      <c r="X2" s="135"/>
      <c r="Y2" s="135"/>
      <c r="Z2" s="135"/>
      <c r="AA2" s="135"/>
      <c r="AB2" s="135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AZ2" s="134"/>
      <c r="BA2" s="134"/>
      <c r="BB2" s="134"/>
      <c r="BC2" s="134"/>
      <c r="BD2" s="136"/>
      <c r="BE2" s="136"/>
      <c r="BF2" s="136"/>
      <c r="BG2" s="136"/>
      <c r="BH2" s="136"/>
      <c r="BI2" s="136"/>
      <c r="BJ2" s="136"/>
      <c r="BK2" s="136"/>
      <c r="BL2" s="136"/>
      <c r="BM2" s="136"/>
      <c r="BN2" s="136"/>
      <c r="BO2" s="136"/>
      <c r="BP2" s="136"/>
      <c r="BQ2" s="136"/>
      <c r="BR2" s="136"/>
      <c r="BS2" s="136"/>
    </row>
    <row r="3" spans="1:71" ht="15.75" customHeight="1" x14ac:dyDescent="0.25">
      <c r="A3" s="223" t="s">
        <v>0</v>
      </c>
      <c r="B3" s="225" t="s">
        <v>318</v>
      </c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  <c r="AA3" s="217"/>
      <c r="AB3" s="218"/>
      <c r="AC3" s="137"/>
      <c r="AD3" s="137"/>
      <c r="AE3" s="137"/>
      <c r="AF3" s="137"/>
      <c r="AG3" s="137"/>
      <c r="AH3" s="226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7"/>
      <c r="BE3" s="217"/>
      <c r="BF3" s="217"/>
      <c r="BG3" s="217"/>
      <c r="BH3" s="218"/>
      <c r="BI3" s="137"/>
      <c r="BJ3" s="137"/>
      <c r="BK3" s="137"/>
      <c r="BL3" s="137"/>
      <c r="BM3" s="137"/>
      <c r="BN3" s="138"/>
      <c r="BO3" s="138"/>
      <c r="BP3" s="227" t="s">
        <v>319</v>
      </c>
      <c r="BQ3" s="217"/>
      <c r="BR3" s="217"/>
      <c r="BS3" s="218"/>
    </row>
    <row r="4" spans="1:71" ht="15.75" customHeight="1" x14ac:dyDescent="0.25">
      <c r="A4" s="224"/>
      <c r="B4" s="216" t="s">
        <v>320</v>
      </c>
      <c r="C4" s="217"/>
      <c r="D4" s="217"/>
      <c r="E4" s="217"/>
      <c r="F4" s="218"/>
      <c r="G4" s="216" t="s">
        <v>321</v>
      </c>
      <c r="H4" s="217"/>
      <c r="I4" s="217"/>
      <c r="J4" s="217"/>
      <c r="K4" s="218"/>
      <c r="L4" s="216" t="s">
        <v>322</v>
      </c>
      <c r="M4" s="217"/>
      <c r="N4" s="217"/>
      <c r="O4" s="217"/>
      <c r="P4" s="218"/>
      <c r="Q4" s="216" t="s">
        <v>73</v>
      </c>
      <c r="R4" s="217"/>
      <c r="S4" s="217"/>
      <c r="T4" s="217"/>
      <c r="U4" s="218"/>
      <c r="V4" s="216" t="s">
        <v>323</v>
      </c>
      <c r="W4" s="218"/>
      <c r="X4" s="216" t="s">
        <v>324</v>
      </c>
      <c r="Y4" s="217"/>
      <c r="Z4" s="217"/>
      <c r="AA4" s="217"/>
      <c r="AB4" s="218"/>
      <c r="AC4" s="216" t="s">
        <v>325</v>
      </c>
      <c r="AD4" s="217"/>
      <c r="AE4" s="217"/>
      <c r="AF4" s="217"/>
      <c r="AG4" s="218"/>
      <c r="AH4" s="216" t="s">
        <v>320</v>
      </c>
      <c r="AI4" s="217"/>
      <c r="AJ4" s="217"/>
      <c r="AK4" s="217"/>
      <c r="AL4" s="218"/>
      <c r="AM4" s="216" t="s">
        <v>321</v>
      </c>
      <c r="AN4" s="217"/>
      <c r="AO4" s="217"/>
      <c r="AP4" s="217"/>
      <c r="AQ4" s="218"/>
      <c r="AR4" s="216" t="s">
        <v>322</v>
      </c>
      <c r="AS4" s="217"/>
      <c r="AT4" s="217"/>
      <c r="AU4" s="217"/>
      <c r="AV4" s="218"/>
      <c r="AW4" s="216" t="s">
        <v>326</v>
      </c>
      <c r="AX4" s="217"/>
      <c r="AY4" s="217"/>
      <c r="AZ4" s="217"/>
      <c r="BA4" s="218"/>
      <c r="BB4" s="216" t="s">
        <v>323</v>
      </c>
      <c r="BC4" s="218"/>
      <c r="BD4" s="216" t="s">
        <v>327</v>
      </c>
      <c r="BE4" s="217"/>
      <c r="BF4" s="217"/>
      <c r="BG4" s="217"/>
      <c r="BH4" s="218"/>
      <c r="BI4" s="216" t="s">
        <v>328</v>
      </c>
      <c r="BJ4" s="217"/>
      <c r="BK4" s="217"/>
      <c r="BL4" s="217"/>
      <c r="BM4" s="218"/>
      <c r="BN4" s="219" t="s">
        <v>329</v>
      </c>
      <c r="BO4" s="221" t="s">
        <v>330</v>
      </c>
      <c r="BP4" s="222" t="s">
        <v>331</v>
      </c>
      <c r="BQ4" s="218"/>
      <c r="BR4" s="222" t="s">
        <v>332</v>
      </c>
      <c r="BS4" s="218"/>
    </row>
    <row r="5" spans="1:71" ht="15.75" customHeight="1" x14ac:dyDescent="0.25">
      <c r="A5" s="220"/>
      <c r="B5" s="139" t="s">
        <v>333</v>
      </c>
      <c r="C5" s="139" t="s">
        <v>334</v>
      </c>
      <c r="D5" s="139" t="s">
        <v>335</v>
      </c>
      <c r="E5" s="137" t="s">
        <v>336</v>
      </c>
      <c r="F5" s="137" t="s">
        <v>337</v>
      </c>
      <c r="G5" s="139" t="s">
        <v>333</v>
      </c>
      <c r="H5" s="139" t="s">
        <v>334</v>
      </c>
      <c r="I5" s="139" t="s">
        <v>335</v>
      </c>
      <c r="J5" s="137" t="s">
        <v>336</v>
      </c>
      <c r="K5" s="137" t="s">
        <v>337</v>
      </c>
      <c r="L5" s="139" t="s">
        <v>333</v>
      </c>
      <c r="M5" s="139" t="s">
        <v>334</v>
      </c>
      <c r="N5" s="139" t="s">
        <v>335</v>
      </c>
      <c r="O5" s="137" t="s">
        <v>336</v>
      </c>
      <c r="P5" s="137" t="s">
        <v>337</v>
      </c>
      <c r="Q5" s="139" t="s">
        <v>333</v>
      </c>
      <c r="R5" s="139" t="s">
        <v>334</v>
      </c>
      <c r="S5" s="139" t="s">
        <v>335</v>
      </c>
      <c r="T5" s="137" t="s">
        <v>336</v>
      </c>
      <c r="U5" s="137" t="s">
        <v>337</v>
      </c>
      <c r="V5" s="140" t="s">
        <v>334</v>
      </c>
      <c r="W5" s="140" t="s">
        <v>335</v>
      </c>
      <c r="X5" s="139" t="s">
        <v>333</v>
      </c>
      <c r="Y5" s="139" t="s">
        <v>334</v>
      </c>
      <c r="Z5" s="139" t="s">
        <v>335</v>
      </c>
      <c r="AA5" s="137" t="s">
        <v>336</v>
      </c>
      <c r="AB5" s="137" t="s">
        <v>337</v>
      </c>
      <c r="AC5" s="139" t="s">
        <v>333</v>
      </c>
      <c r="AD5" s="139" t="s">
        <v>334</v>
      </c>
      <c r="AE5" s="139" t="s">
        <v>335</v>
      </c>
      <c r="AF5" s="137" t="s">
        <v>336</v>
      </c>
      <c r="AG5" s="137" t="s">
        <v>337</v>
      </c>
      <c r="AH5" s="139" t="s">
        <v>333</v>
      </c>
      <c r="AI5" s="139" t="s">
        <v>334</v>
      </c>
      <c r="AJ5" s="139" t="s">
        <v>335</v>
      </c>
      <c r="AK5" s="137" t="s">
        <v>336</v>
      </c>
      <c r="AL5" s="137" t="s">
        <v>337</v>
      </c>
      <c r="AM5" s="139" t="s">
        <v>333</v>
      </c>
      <c r="AN5" s="139" t="s">
        <v>334</v>
      </c>
      <c r="AO5" s="139" t="s">
        <v>335</v>
      </c>
      <c r="AP5" s="137" t="s">
        <v>336</v>
      </c>
      <c r="AQ5" s="137" t="s">
        <v>337</v>
      </c>
      <c r="AR5" s="139" t="s">
        <v>333</v>
      </c>
      <c r="AS5" s="139" t="s">
        <v>334</v>
      </c>
      <c r="AT5" s="139" t="s">
        <v>335</v>
      </c>
      <c r="AU5" s="137" t="s">
        <v>336</v>
      </c>
      <c r="AV5" s="137" t="s">
        <v>337</v>
      </c>
      <c r="AW5" s="139" t="s">
        <v>333</v>
      </c>
      <c r="AX5" s="139" t="s">
        <v>334</v>
      </c>
      <c r="AY5" s="139" t="s">
        <v>335</v>
      </c>
      <c r="AZ5" s="137" t="s">
        <v>336</v>
      </c>
      <c r="BA5" s="137" t="s">
        <v>337</v>
      </c>
      <c r="BB5" s="140" t="s">
        <v>334</v>
      </c>
      <c r="BC5" s="140" t="s">
        <v>335</v>
      </c>
      <c r="BD5" s="139" t="s">
        <v>333</v>
      </c>
      <c r="BE5" s="139" t="s">
        <v>334</v>
      </c>
      <c r="BF5" s="139" t="s">
        <v>335</v>
      </c>
      <c r="BG5" s="137" t="s">
        <v>336</v>
      </c>
      <c r="BH5" s="137" t="s">
        <v>337</v>
      </c>
      <c r="BI5" s="139" t="s">
        <v>333</v>
      </c>
      <c r="BJ5" s="139" t="s">
        <v>334</v>
      </c>
      <c r="BK5" s="139" t="s">
        <v>335</v>
      </c>
      <c r="BL5" s="137" t="s">
        <v>336</v>
      </c>
      <c r="BM5" s="137" t="s">
        <v>337</v>
      </c>
      <c r="BN5" s="220"/>
      <c r="BO5" s="220"/>
      <c r="BP5" s="138" t="s">
        <v>334</v>
      </c>
      <c r="BQ5" s="138" t="s">
        <v>335</v>
      </c>
      <c r="BR5" s="138" t="s">
        <v>334</v>
      </c>
      <c r="BS5" s="138" t="s">
        <v>335</v>
      </c>
    </row>
    <row r="6" spans="1:71" ht="15.75" customHeight="1" x14ac:dyDescent="0.25">
      <c r="A6" s="141">
        <v>44260</v>
      </c>
      <c r="B6" s="142">
        <v>112301</v>
      </c>
      <c r="C6" s="142">
        <v>141425</v>
      </c>
      <c r="D6" s="142">
        <v>91078</v>
      </c>
      <c r="E6" s="143">
        <f t="shared" ref="E6:E139" si="0">C6/B6</f>
        <v>1.2593387414181529</v>
      </c>
      <c r="F6" s="143">
        <f t="shared" ref="F6:F139" si="1">D6/B6</f>
        <v>0.81101682086535298</v>
      </c>
      <c r="G6" s="142">
        <v>911631</v>
      </c>
      <c r="H6" s="142">
        <v>76451</v>
      </c>
      <c r="I6" s="142">
        <v>0</v>
      </c>
      <c r="J6" s="143">
        <f t="shared" ref="J6:J139" si="2">H6/G6</f>
        <v>8.386178179548523E-2</v>
      </c>
      <c r="K6" s="143">
        <f t="shared" ref="K6:K139" si="3">I6/G6</f>
        <v>0</v>
      </c>
      <c r="L6" s="142">
        <v>1976757</v>
      </c>
      <c r="M6" s="142">
        <v>64121</v>
      </c>
      <c r="N6" s="142">
        <v>0</v>
      </c>
      <c r="O6" s="143">
        <f t="shared" ref="O6:O139" si="4">M6/L6</f>
        <v>3.2437472081798625E-2</v>
      </c>
      <c r="P6" s="143">
        <f t="shared" ref="P6:P139" si="5">N6/L6</f>
        <v>0</v>
      </c>
      <c r="Q6" s="142">
        <f t="shared" ref="Q6:Q7" si="6">SUM(B6,G6,L6)</f>
        <v>3000689</v>
      </c>
      <c r="R6" s="142">
        <f t="shared" ref="R6:S6" si="7">C6+H6+M6</f>
        <v>281997</v>
      </c>
      <c r="S6" s="142">
        <f t="shared" si="7"/>
        <v>91078</v>
      </c>
      <c r="T6" s="144">
        <f t="shared" ref="T6:T139" si="8">R6/Q6</f>
        <v>9.3977416520005908E-2</v>
      </c>
      <c r="U6" s="144">
        <f t="shared" ref="U6:U139" si="9">S6/Q6</f>
        <v>3.0352362407433758E-2</v>
      </c>
      <c r="V6" s="144"/>
      <c r="W6" s="144"/>
      <c r="X6" s="144"/>
      <c r="Y6" s="144"/>
      <c r="Z6" s="144"/>
      <c r="AA6" s="144"/>
      <c r="AB6" s="144"/>
      <c r="AC6" s="142"/>
      <c r="AD6" s="142"/>
      <c r="AE6" s="142"/>
      <c r="AF6" s="142"/>
      <c r="AG6" s="142"/>
      <c r="AH6" s="142">
        <v>1468764</v>
      </c>
      <c r="AI6" s="142">
        <v>1692016</v>
      </c>
      <c r="AJ6" s="142">
        <v>1111938</v>
      </c>
      <c r="AK6" s="143">
        <f t="shared" ref="AK6:AK112" si="10">AI6/AH6</f>
        <v>1.1519999128518945</v>
      </c>
      <c r="AL6" s="143">
        <f t="shared" ref="AL6:AL112" si="11">AJ6/AH6</f>
        <v>0.7570569540103107</v>
      </c>
      <c r="AM6" s="145">
        <v>21553118</v>
      </c>
      <c r="AN6" s="145">
        <v>179711</v>
      </c>
      <c r="AO6" s="145">
        <v>2</v>
      </c>
      <c r="AP6" s="143">
        <f t="shared" ref="AP6:AP112" si="12">AN6/AM6</f>
        <v>8.338051134875242E-3</v>
      </c>
      <c r="AQ6" s="143">
        <f t="shared" ref="AQ6:AQ112" si="13">AO6/AM6</f>
        <v>9.2793998529586303E-8</v>
      </c>
      <c r="AR6" s="142">
        <v>17327169</v>
      </c>
      <c r="AS6" s="142">
        <v>541888</v>
      </c>
      <c r="AT6" s="142">
        <v>2597</v>
      </c>
      <c r="AU6" s="143">
        <f t="shared" ref="AU6:AU112" si="14">AS6/AR6</f>
        <v>3.1273891309076512E-2</v>
      </c>
      <c r="AV6" s="143">
        <f t="shared" ref="AV6:AV112" si="15">AT6/AR6</f>
        <v>1.4988022567333418E-4</v>
      </c>
      <c r="AW6" s="146">
        <f t="shared" ref="AW6:AW110" si="16">SUM(AH6,AM6,AR6)</f>
        <v>40349051</v>
      </c>
      <c r="AX6" s="147">
        <f t="shared" ref="AX6:AY6" si="17">AI6+AN6+AS6</f>
        <v>2413615</v>
      </c>
      <c r="AY6" s="147">
        <f t="shared" si="17"/>
        <v>1114537</v>
      </c>
      <c r="AZ6" s="143">
        <f t="shared" ref="AZ6:AZ112" si="18">AX6/AW6</f>
        <v>5.981838333694639E-2</v>
      </c>
      <c r="BA6" s="143">
        <f t="shared" ref="BA6:BA112" si="19">AY6/AW6</f>
        <v>2.762238447689885E-2</v>
      </c>
      <c r="BB6" s="143"/>
      <c r="BC6" s="143"/>
      <c r="BD6" s="148"/>
      <c r="BE6" s="148"/>
      <c r="BF6" s="148"/>
      <c r="BG6" s="148"/>
      <c r="BH6" s="148"/>
      <c r="BI6" s="148"/>
      <c r="BJ6" s="148"/>
      <c r="BK6" s="148"/>
      <c r="BL6" s="148"/>
      <c r="BM6" s="148"/>
      <c r="BN6" s="148"/>
      <c r="BO6" s="148"/>
      <c r="BP6" s="148" t="s">
        <v>338</v>
      </c>
      <c r="BQ6" s="148" t="s">
        <v>338</v>
      </c>
      <c r="BR6" s="148" t="s">
        <v>338</v>
      </c>
      <c r="BS6" s="148" t="s">
        <v>338</v>
      </c>
    </row>
    <row r="7" spans="1:71" ht="15.75" customHeight="1" x14ac:dyDescent="0.25">
      <c r="A7" s="141">
        <v>44261</v>
      </c>
      <c r="B7" s="142">
        <v>112301</v>
      </c>
      <c r="C7" s="145">
        <v>144046</v>
      </c>
      <c r="D7" s="145">
        <v>91379</v>
      </c>
      <c r="E7" s="143">
        <f t="shared" si="0"/>
        <v>1.2826778034033535</v>
      </c>
      <c r="F7" s="143">
        <f t="shared" si="1"/>
        <v>0.8136971175679647</v>
      </c>
      <c r="G7" s="142">
        <v>911631</v>
      </c>
      <c r="H7" s="145">
        <v>79421</v>
      </c>
      <c r="I7" s="145">
        <v>0</v>
      </c>
      <c r="J7" s="143">
        <f t="shared" si="2"/>
        <v>8.7119678905171055E-2</v>
      </c>
      <c r="K7" s="143">
        <f t="shared" si="3"/>
        <v>0</v>
      </c>
      <c r="L7" s="142">
        <v>1976757</v>
      </c>
      <c r="M7" s="145">
        <v>66484</v>
      </c>
      <c r="N7" s="145">
        <v>0</v>
      </c>
      <c r="O7" s="143">
        <f t="shared" si="4"/>
        <v>3.3632864332844147E-2</v>
      </c>
      <c r="P7" s="143">
        <f t="shared" si="5"/>
        <v>0</v>
      </c>
      <c r="Q7" s="142">
        <f t="shared" si="6"/>
        <v>3000689</v>
      </c>
      <c r="R7" s="142">
        <f t="shared" ref="R7:S7" si="20">C7+H7+M7</f>
        <v>289951</v>
      </c>
      <c r="S7" s="142">
        <f t="shared" si="20"/>
        <v>91379</v>
      </c>
      <c r="T7" s="144">
        <f t="shared" si="8"/>
        <v>9.6628141070267529E-2</v>
      </c>
      <c r="U7" s="144">
        <f t="shared" si="9"/>
        <v>3.0452672702835915E-2</v>
      </c>
      <c r="V7" s="144"/>
      <c r="W7" s="144"/>
      <c r="X7" s="144"/>
      <c r="Y7" s="144"/>
      <c r="Z7" s="144"/>
      <c r="AA7" s="144"/>
      <c r="AB7" s="144"/>
      <c r="AC7" s="142"/>
      <c r="AD7" s="142"/>
      <c r="AE7" s="142"/>
      <c r="AF7" s="142"/>
      <c r="AG7" s="142"/>
      <c r="AH7" s="142">
        <v>1468764</v>
      </c>
      <c r="AI7" s="145">
        <v>1741784</v>
      </c>
      <c r="AJ7" s="145">
        <v>1126353</v>
      </c>
      <c r="AK7" s="143">
        <f t="shared" si="10"/>
        <v>1.1858841856145712</v>
      </c>
      <c r="AL7" s="143">
        <f t="shared" si="11"/>
        <v>0.76687132854563433</v>
      </c>
      <c r="AM7" s="145">
        <v>21553118</v>
      </c>
      <c r="AN7" s="145">
        <v>206025</v>
      </c>
      <c r="AO7" s="145">
        <v>2</v>
      </c>
      <c r="AP7" s="143">
        <f t="shared" si="12"/>
        <v>9.5589417735290078E-3</v>
      </c>
      <c r="AQ7" s="143">
        <f t="shared" si="13"/>
        <v>9.2793998529586303E-8</v>
      </c>
      <c r="AR7" s="142">
        <v>17327169</v>
      </c>
      <c r="AS7" s="145">
        <v>604456</v>
      </c>
      <c r="AT7" s="145">
        <v>4169</v>
      </c>
      <c r="AU7" s="143">
        <f t="shared" si="14"/>
        <v>3.4884867805006117E-2</v>
      </c>
      <c r="AV7" s="143">
        <f t="shared" si="15"/>
        <v>2.4060479816408555E-4</v>
      </c>
      <c r="AW7" s="146">
        <f t="shared" si="16"/>
        <v>40349051</v>
      </c>
      <c r="AX7" s="145">
        <f t="shared" ref="AX7:AY7" si="21">AI7+AN7+AS7</f>
        <v>2552265</v>
      </c>
      <c r="AY7" s="149">
        <f t="shared" si="21"/>
        <v>1130524</v>
      </c>
      <c r="AZ7" s="143">
        <f t="shared" si="18"/>
        <v>6.3254647550446727E-2</v>
      </c>
      <c r="BA7" s="143">
        <f t="shared" si="19"/>
        <v>2.801860197405882E-2</v>
      </c>
      <c r="BB7" s="143"/>
      <c r="BC7" s="143"/>
      <c r="BD7" s="148"/>
      <c r="BE7" s="148"/>
      <c r="BF7" s="148"/>
      <c r="BG7" s="148"/>
      <c r="BH7" s="148"/>
      <c r="BI7" s="148"/>
      <c r="BJ7" s="148"/>
      <c r="BK7" s="148"/>
      <c r="BL7" s="148"/>
      <c r="BM7" s="148"/>
      <c r="BN7" s="148"/>
      <c r="BO7" s="148"/>
      <c r="BP7" s="148" t="s">
        <v>338</v>
      </c>
      <c r="BQ7" s="148" t="s">
        <v>338</v>
      </c>
      <c r="BR7" s="148" t="s">
        <v>338</v>
      </c>
      <c r="BS7" s="148" t="s">
        <v>338</v>
      </c>
    </row>
    <row r="8" spans="1:71" ht="15.75" customHeight="1" x14ac:dyDescent="0.25">
      <c r="A8" s="141">
        <v>44262</v>
      </c>
      <c r="B8" s="142">
        <v>112301</v>
      </c>
      <c r="C8" s="145">
        <v>177126</v>
      </c>
      <c r="D8" s="145">
        <v>91460</v>
      </c>
      <c r="E8" s="143">
        <f t="shared" si="0"/>
        <v>1.5772433014844036</v>
      </c>
      <c r="F8" s="143">
        <f t="shared" si="1"/>
        <v>0.8144183934248137</v>
      </c>
      <c r="G8" s="142">
        <v>911631</v>
      </c>
      <c r="H8" s="145">
        <v>83628</v>
      </c>
      <c r="I8" s="145">
        <v>0</v>
      </c>
      <c r="J8" s="143">
        <f t="shared" si="2"/>
        <v>9.173448467636576E-2</v>
      </c>
      <c r="K8" s="143">
        <f t="shared" si="3"/>
        <v>0</v>
      </c>
      <c r="L8" s="142">
        <v>1976757</v>
      </c>
      <c r="M8" s="145">
        <v>73752</v>
      </c>
      <c r="N8" s="145">
        <v>2514</v>
      </c>
      <c r="O8" s="143">
        <f t="shared" si="4"/>
        <v>3.7309593440164879E-2</v>
      </c>
      <c r="P8" s="143">
        <f t="shared" si="5"/>
        <v>1.2717799911673513E-3</v>
      </c>
      <c r="Q8" s="142">
        <v>3000689</v>
      </c>
      <c r="R8" s="142">
        <f t="shared" ref="R8:S8" si="22">C8+H8+M8</f>
        <v>334506</v>
      </c>
      <c r="S8" s="142">
        <f t="shared" si="22"/>
        <v>93974</v>
      </c>
      <c r="T8" s="144">
        <f t="shared" si="8"/>
        <v>0.1114763975873541</v>
      </c>
      <c r="U8" s="144">
        <f t="shared" si="9"/>
        <v>3.1317474086784737E-2</v>
      </c>
      <c r="V8" s="144"/>
      <c r="W8" s="144"/>
      <c r="X8" s="144"/>
      <c r="Y8" s="144"/>
      <c r="Z8" s="144"/>
      <c r="AA8" s="144"/>
      <c r="AB8" s="144"/>
      <c r="AC8" s="142"/>
      <c r="AD8" s="142"/>
      <c r="AE8" s="142"/>
      <c r="AF8" s="142"/>
      <c r="AG8" s="142"/>
      <c r="AH8" s="142">
        <v>1468764</v>
      </c>
      <c r="AI8" s="145">
        <v>2049651</v>
      </c>
      <c r="AJ8" s="145">
        <v>1129340</v>
      </c>
      <c r="AK8" s="143">
        <f t="shared" si="10"/>
        <v>1.3954937621020123</v>
      </c>
      <c r="AL8" s="143">
        <f t="shared" si="11"/>
        <v>0.76890501128840305</v>
      </c>
      <c r="AM8" s="145">
        <v>21553118</v>
      </c>
      <c r="AN8" s="145">
        <v>215632</v>
      </c>
      <c r="AO8" s="145">
        <v>2</v>
      </c>
      <c r="AP8" s="143">
        <f t="shared" si="12"/>
        <v>1.0004677745465877E-2</v>
      </c>
      <c r="AQ8" s="143">
        <f t="shared" si="13"/>
        <v>9.2793998529586303E-8</v>
      </c>
      <c r="AR8" s="142">
        <v>17327169</v>
      </c>
      <c r="AS8" s="145">
        <v>623474</v>
      </c>
      <c r="AT8" s="145">
        <v>4445</v>
      </c>
      <c r="AU8" s="143">
        <f t="shared" si="14"/>
        <v>3.598245045108061E-2</v>
      </c>
      <c r="AV8" s="143">
        <f t="shared" si="15"/>
        <v>2.5653353989910294E-4</v>
      </c>
      <c r="AW8" s="146">
        <f t="shared" si="16"/>
        <v>40349051</v>
      </c>
      <c r="AX8" s="145">
        <f t="shared" ref="AX8:AY8" si="23">AI8+AN8+AS8</f>
        <v>2888757</v>
      </c>
      <c r="AY8" s="149">
        <f t="shared" si="23"/>
        <v>1133787</v>
      </c>
      <c r="AZ8" s="143">
        <f t="shared" si="18"/>
        <v>7.1594174544526462E-2</v>
      </c>
      <c r="BA8" s="143">
        <f t="shared" si="19"/>
        <v>2.8099471286201997E-2</v>
      </c>
      <c r="BB8" s="143"/>
      <c r="BC8" s="143"/>
      <c r="BD8" s="148"/>
      <c r="BE8" s="148"/>
      <c r="BF8" s="148"/>
      <c r="BG8" s="148"/>
      <c r="BH8" s="148"/>
      <c r="BI8" s="148"/>
      <c r="BJ8" s="148"/>
      <c r="BK8" s="148"/>
      <c r="BL8" s="148"/>
      <c r="BM8" s="148"/>
      <c r="BN8" s="148"/>
      <c r="BO8" s="148"/>
      <c r="BP8" s="148" t="s">
        <v>338</v>
      </c>
      <c r="BQ8" s="148" t="s">
        <v>338</v>
      </c>
      <c r="BR8" s="148" t="s">
        <v>338</v>
      </c>
      <c r="BS8" s="148" t="s">
        <v>338</v>
      </c>
    </row>
    <row r="9" spans="1:71" ht="15.75" customHeight="1" x14ac:dyDescent="0.25">
      <c r="A9" s="141">
        <v>44263</v>
      </c>
      <c r="B9" s="142">
        <v>112301</v>
      </c>
      <c r="C9" s="145">
        <v>181237</v>
      </c>
      <c r="D9" s="145">
        <v>92988</v>
      </c>
      <c r="E9" s="143">
        <f t="shared" si="0"/>
        <v>1.6138502773795425</v>
      </c>
      <c r="F9" s="143">
        <f t="shared" si="1"/>
        <v>0.82802468366265658</v>
      </c>
      <c r="G9" s="142">
        <v>911631</v>
      </c>
      <c r="H9" s="145">
        <v>95140</v>
      </c>
      <c r="I9" s="145">
        <v>1</v>
      </c>
      <c r="J9" s="143">
        <f t="shared" si="2"/>
        <v>0.10436240101532308</v>
      </c>
      <c r="K9" s="143">
        <f t="shared" si="3"/>
        <v>1.0969350537662716E-6</v>
      </c>
      <c r="L9" s="142">
        <v>1976757</v>
      </c>
      <c r="M9" s="145">
        <v>85333</v>
      </c>
      <c r="N9" s="145">
        <v>3989</v>
      </c>
      <c r="O9" s="143">
        <f t="shared" si="4"/>
        <v>4.3168178992157358E-2</v>
      </c>
      <c r="P9" s="143">
        <f t="shared" si="5"/>
        <v>2.0179516248077026E-3</v>
      </c>
      <c r="Q9" s="142">
        <v>3000689</v>
      </c>
      <c r="R9" s="142">
        <f t="shared" ref="R9:S9" si="24">C9+H9+M9</f>
        <v>361710</v>
      </c>
      <c r="S9" s="142">
        <f t="shared" si="24"/>
        <v>96978</v>
      </c>
      <c r="T9" s="144">
        <f t="shared" si="8"/>
        <v>0.12054231544821872</v>
      </c>
      <c r="U9" s="144">
        <f t="shared" si="9"/>
        <v>3.2318577500034161E-2</v>
      </c>
      <c r="V9" s="144"/>
      <c r="W9" s="144"/>
      <c r="X9" s="144"/>
      <c r="Y9" s="144"/>
      <c r="Z9" s="144"/>
      <c r="AA9" s="144"/>
      <c r="AB9" s="144"/>
      <c r="AC9" s="142"/>
      <c r="AD9" s="142"/>
      <c r="AE9" s="142"/>
      <c r="AF9" s="142"/>
      <c r="AG9" s="142"/>
      <c r="AH9" s="142">
        <v>1468764</v>
      </c>
      <c r="AI9" s="145">
        <v>2114655</v>
      </c>
      <c r="AJ9" s="145">
        <v>1149547</v>
      </c>
      <c r="AK9" s="143">
        <f t="shared" si="10"/>
        <v>1.4397513827953299</v>
      </c>
      <c r="AL9" s="143">
        <f t="shared" si="11"/>
        <v>0.78266283759678201</v>
      </c>
      <c r="AM9" s="145">
        <v>21553118</v>
      </c>
      <c r="AN9" s="145">
        <v>267603</v>
      </c>
      <c r="AO9" s="145">
        <v>5</v>
      </c>
      <c r="AP9" s="143">
        <f t="shared" si="12"/>
        <v>1.2415976194256441E-2</v>
      </c>
      <c r="AQ9" s="143">
        <f t="shared" si="13"/>
        <v>2.3198499632396576E-7</v>
      </c>
      <c r="AR9" s="142">
        <v>17327169</v>
      </c>
      <c r="AS9" s="145">
        <v>715767</v>
      </c>
      <c r="AT9" s="145">
        <v>8880</v>
      </c>
      <c r="AU9" s="143">
        <f t="shared" si="14"/>
        <v>4.1308940889305111E-2</v>
      </c>
      <c r="AV9" s="143">
        <f t="shared" si="15"/>
        <v>5.1248995147447341E-4</v>
      </c>
      <c r="AW9" s="146">
        <f t="shared" si="16"/>
        <v>40349051</v>
      </c>
      <c r="AX9" s="145">
        <f t="shared" ref="AX9:AY9" si="25">AI9+AN9+AS9</f>
        <v>3098025</v>
      </c>
      <c r="AY9" s="149">
        <f t="shared" si="25"/>
        <v>1158432</v>
      </c>
      <c r="AZ9" s="143">
        <f t="shared" si="18"/>
        <v>7.6780616228123932E-2</v>
      </c>
      <c r="BA9" s="143">
        <f t="shared" si="19"/>
        <v>2.8710266320761794E-2</v>
      </c>
      <c r="BB9" s="143"/>
      <c r="BC9" s="143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 t="s">
        <v>338</v>
      </c>
      <c r="BQ9" s="148" t="s">
        <v>338</v>
      </c>
      <c r="BR9" s="148" t="s">
        <v>338</v>
      </c>
      <c r="BS9" s="148" t="s">
        <v>338</v>
      </c>
    </row>
    <row r="10" spans="1:71" ht="15.75" customHeight="1" x14ac:dyDescent="0.25">
      <c r="A10" s="141">
        <v>44264</v>
      </c>
      <c r="B10" s="142">
        <v>112301</v>
      </c>
      <c r="C10" s="145">
        <v>113326</v>
      </c>
      <c r="D10" s="145">
        <v>89984</v>
      </c>
      <c r="E10" s="143">
        <f t="shared" si="0"/>
        <v>1.0091272562132128</v>
      </c>
      <c r="F10" s="143">
        <f t="shared" si="1"/>
        <v>0.80127514447778736</v>
      </c>
      <c r="G10" s="142">
        <v>911631</v>
      </c>
      <c r="H10" s="145">
        <v>135128</v>
      </c>
      <c r="I10" s="145">
        <v>675</v>
      </c>
      <c r="J10" s="143">
        <f t="shared" si="2"/>
        <v>0.14822663994532875</v>
      </c>
      <c r="K10" s="143">
        <f t="shared" si="3"/>
        <v>7.4043116129223342E-4</v>
      </c>
      <c r="L10" s="142">
        <v>1976757</v>
      </c>
      <c r="M10" s="145">
        <v>174685</v>
      </c>
      <c r="N10" s="145">
        <v>29195</v>
      </c>
      <c r="O10" s="143">
        <f t="shared" si="4"/>
        <v>8.8369485981332055E-2</v>
      </c>
      <c r="P10" s="143">
        <f t="shared" si="5"/>
        <v>1.4769139555342412E-2</v>
      </c>
      <c r="Q10" s="142">
        <v>3000689</v>
      </c>
      <c r="R10" s="142">
        <f t="shared" ref="R10:S10" si="26">C10+H10+M10</f>
        <v>423139</v>
      </c>
      <c r="S10" s="142">
        <f t="shared" si="26"/>
        <v>119854</v>
      </c>
      <c r="T10" s="144">
        <f t="shared" si="8"/>
        <v>0.14101394713014245</v>
      </c>
      <c r="U10" s="144">
        <f t="shared" si="9"/>
        <v>3.9942159950598015E-2</v>
      </c>
      <c r="V10" s="144"/>
      <c r="W10" s="144"/>
      <c r="X10" s="144"/>
      <c r="Y10" s="144"/>
      <c r="Z10" s="144"/>
      <c r="AA10" s="144"/>
      <c r="AB10" s="144"/>
      <c r="AC10" s="142"/>
      <c r="AD10" s="142"/>
      <c r="AE10" s="142"/>
      <c r="AF10" s="142"/>
      <c r="AG10" s="142"/>
      <c r="AH10" s="142">
        <v>1468764</v>
      </c>
      <c r="AI10" s="145">
        <v>1395498</v>
      </c>
      <c r="AJ10" s="145">
        <v>1127633</v>
      </c>
      <c r="AK10" s="143">
        <f t="shared" si="10"/>
        <v>0.95011724143565612</v>
      </c>
      <c r="AL10" s="143">
        <f t="shared" si="11"/>
        <v>0.76774280960045316</v>
      </c>
      <c r="AM10" s="145">
        <v>21553118</v>
      </c>
      <c r="AN10" s="145">
        <v>430591</v>
      </c>
      <c r="AO10" s="145">
        <v>1612</v>
      </c>
      <c r="AP10" s="143">
        <f t="shared" si="12"/>
        <v>1.9978130310426546E-2</v>
      </c>
      <c r="AQ10" s="143">
        <f t="shared" si="13"/>
        <v>7.4791962814846564E-5</v>
      </c>
      <c r="AR10" s="142">
        <v>17327169</v>
      </c>
      <c r="AS10" s="145">
        <v>1510937</v>
      </c>
      <c r="AT10" s="145">
        <v>68527</v>
      </c>
      <c r="AU10" s="143">
        <f t="shared" si="14"/>
        <v>8.7200453807543515E-2</v>
      </c>
      <c r="AV10" s="143">
        <f t="shared" si="15"/>
        <v>3.9548872640418065E-3</v>
      </c>
      <c r="AW10" s="146">
        <f t="shared" si="16"/>
        <v>40349051</v>
      </c>
      <c r="AX10" s="145">
        <f t="shared" ref="AX10:AY10" si="27">AI10+AN10+AS10</f>
        <v>3337026</v>
      </c>
      <c r="AY10" s="149">
        <f t="shared" si="27"/>
        <v>1197772</v>
      </c>
      <c r="AZ10" s="143">
        <f t="shared" si="18"/>
        <v>8.2703952566319336E-2</v>
      </c>
      <c r="BA10" s="143">
        <f t="shared" si="19"/>
        <v>2.9685258272864955E-2</v>
      </c>
      <c r="BB10" s="143"/>
      <c r="BC10" s="143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8"/>
      <c r="BP10" s="148" t="s">
        <v>338</v>
      </c>
      <c r="BQ10" s="148" t="s">
        <v>338</v>
      </c>
      <c r="BR10" s="148" t="s">
        <v>338</v>
      </c>
      <c r="BS10" s="148" t="s">
        <v>338</v>
      </c>
    </row>
    <row r="11" spans="1:71" ht="15.75" customHeight="1" x14ac:dyDescent="0.25">
      <c r="A11" s="141">
        <v>44265</v>
      </c>
      <c r="B11" s="142">
        <v>112301</v>
      </c>
      <c r="C11" s="145">
        <v>116791</v>
      </c>
      <c r="D11" s="145">
        <v>90681</v>
      </c>
      <c r="E11" s="143">
        <f t="shared" si="0"/>
        <v>1.0399818345339757</v>
      </c>
      <c r="F11" s="143">
        <f t="shared" si="1"/>
        <v>0.80748167870277199</v>
      </c>
      <c r="G11" s="142">
        <v>911631</v>
      </c>
      <c r="H11" s="145">
        <v>154251</v>
      </c>
      <c r="I11" s="145">
        <v>1100</v>
      </c>
      <c r="J11" s="143">
        <f t="shared" si="2"/>
        <v>0.16920332897850118</v>
      </c>
      <c r="K11" s="143">
        <f t="shared" si="3"/>
        <v>1.2066285591428988E-3</v>
      </c>
      <c r="L11" s="142">
        <v>1976757</v>
      </c>
      <c r="M11" s="145">
        <v>202452</v>
      </c>
      <c r="N11" s="145">
        <v>17773</v>
      </c>
      <c r="O11" s="143">
        <f t="shared" si="4"/>
        <v>0.10241623021949588</v>
      </c>
      <c r="P11" s="143">
        <f t="shared" si="5"/>
        <v>8.9909887760609934E-3</v>
      </c>
      <c r="Q11" s="142">
        <v>3000689</v>
      </c>
      <c r="R11" s="142">
        <f t="shared" ref="R11:S11" si="28">C11+H11+M11</f>
        <v>473494</v>
      </c>
      <c r="S11" s="142">
        <f t="shared" si="28"/>
        <v>109554</v>
      </c>
      <c r="T11" s="144">
        <f t="shared" si="8"/>
        <v>0.15779509306029382</v>
      </c>
      <c r="U11" s="144">
        <f t="shared" si="9"/>
        <v>3.6509614958431212E-2</v>
      </c>
      <c r="V11" s="144"/>
      <c r="W11" s="144"/>
      <c r="X11" s="144"/>
      <c r="Y11" s="144"/>
      <c r="Z11" s="144"/>
      <c r="AA11" s="144"/>
      <c r="AB11" s="144"/>
      <c r="AC11" s="142"/>
      <c r="AD11" s="142"/>
      <c r="AE11" s="142"/>
      <c r="AF11" s="142"/>
      <c r="AG11" s="142"/>
      <c r="AH11" s="142">
        <v>1468764</v>
      </c>
      <c r="AI11" s="145">
        <v>1395498</v>
      </c>
      <c r="AJ11" s="145">
        <v>1127633</v>
      </c>
      <c r="AK11" s="143">
        <f t="shared" si="10"/>
        <v>0.95011724143565612</v>
      </c>
      <c r="AL11" s="143">
        <f t="shared" si="11"/>
        <v>0.76774280960045316</v>
      </c>
      <c r="AM11" s="145">
        <v>21553118</v>
      </c>
      <c r="AN11" s="145">
        <v>494125</v>
      </c>
      <c r="AO11" s="145">
        <v>2694</v>
      </c>
      <c r="AP11" s="143">
        <f t="shared" si="12"/>
        <v>2.2925917261715913E-2</v>
      </c>
      <c r="AQ11" s="143">
        <f t="shared" si="13"/>
        <v>1.2499351601935274E-4</v>
      </c>
      <c r="AR11" s="142">
        <v>17327169</v>
      </c>
      <c r="AS11" s="145">
        <v>1682896</v>
      </c>
      <c r="AT11" s="145">
        <v>119495</v>
      </c>
      <c r="AU11" s="143">
        <f t="shared" si="14"/>
        <v>9.7124694749615478E-2</v>
      </c>
      <c r="AV11" s="143">
        <f t="shared" si="15"/>
        <v>6.8963949044416892E-3</v>
      </c>
      <c r="AW11" s="146">
        <f t="shared" si="16"/>
        <v>40349051</v>
      </c>
      <c r="AX11" s="145">
        <f t="shared" ref="AX11:AY11" si="29">AI11+AN11+AS11</f>
        <v>3572519</v>
      </c>
      <c r="AY11" s="149">
        <f t="shared" si="29"/>
        <v>1249822</v>
      </c>
      <c r="AZ11" s="143">
        <f t="shared" si="18"/>
        <v>8.8540347578434986E-2</v>
      </c>
      <c r="BA11" s="143">
        <f t="shared" si="19"/>
        <v>3.0975251437759962E-2</v>
      </c>
      <c r="BB11" s="143"/>
      <c r="BC11" s="143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 t="s">
        <v>338</v>
      </c>
      <c r="BQ11" s="148" t="s">
        <v>338</v>
      </c>
      <c r="BR11" s="148" t="s">
        <v>338</v>
      </c>
      <c r="BS11" s="148" t="s">
        <v>338</v>
      </c>
    </row>
    <row r="12" spans="1:71" ht="15.75" customHeight="1" x14ac:dyDescent="0.25">
      <c r="A12" s="141">
        <v>44266</v>
      </c>
      <c r="B12" s="142">
        <v>112301</v>
      </c>
      <c r="C12" s="145">
        <v>116823</v>
      </c>
      <c r="D12" s="145">
        <v>90693</v>
      </c>
      <c r="E12" s="143">
        <f t="shared" si="0"/>
        <v>1.040266783020632</v>
      </c>
      <c r="F12" s="143">
        <f t="shared" si="1"/>
        <v>0.80758853438526812</v>
      </c>
      <c r="G12" s="142">
        <v>911631</v>
      </c>
      <c r="H12" s="145">
        <v>154915</v>
      </c>
      <c r="I12" s="145">
        <v>1103</v>
      </c>
      <c r="J12" s="143">
        <f t="shared" si="2"/>
        <v>0.16993169385420198</v>
      </c>
      <c r="K12" s="143">
        <f t="shared" si="3"/>
        <v>1.2099193643041975E-3</v>
      </c>
      <c r="L12" s="142">
        <v>1976757</v>
      </c>
      <c r="M12" s="145">
        <v>211754</v>
      </c>
      <c r="N12" s="145">
        <v>17903</v>
      </c>
      <c r="O12" s="143">
        <f t="shared" si="4"/>
        <v>0.1071219173626298</v>
      </c>
      <c r="P12" s="143">
        <f t="shared" si="5"/>
        <v>9.0567530556360746E-3</v>
      </c>
      <c r="Q12" s="142">
        <v>3000689</v>
      </c>
      <c r="R12" s="142">
        <f t="shared" ref="R12:S12" si="30">C12+H12+M12</f>
        <v>483492</v>
      </c>
      <c r="S12" s="142">
        <f t="shared" si="30"/>
        <v>109699</v>
      </c>
      <c r="T12" s="144">
        <f t="shared" si="8"/>
        <v>0.1611269945002631</v>
      </c>
      <c r="U12" s="144">
        <f t="shared" si="9"/>
        <v>3.6557937193757835E-2</v>
      </c>
      <c r="V12" s="144"/>
      <c r="W12" s="144"/>
      <c r="X12" s="144"/>
      <c r="Y12" s="144"/>
      <c r="Z12" s="144"/>
      <c r="AA12" s="144"/>
      <c r="AB12" s="144"/>
      <c r="AC12" s="142"/>
      <c r="AD12" s="142"/>
      <c r="AE12" s="142"/>
      <c r="AF12" s="142"/>
      <c r="AG12" s="142"/>
      <c r="AH12" s="142">
        <v>1468764</v>
      </c>
      <c r="AI12" s="145">
        <v>1402959</v>
      </c>
      <c r="AJ12" s="145">
        <v>1147846</v>
      </c>
      <c r="AK12" s="143">
        <f t="shared" si="10"/>
        <v>0.95519702280284646</v>
      </c>
      <c r="AL12" s="143">
        <f t="shared" si="11"/>
        <v>0.78150472097627666</v>
      </c>
      <c r="AM12" s="145">
        <v>21553118</v>
      </c>
      <c r="AN12" s="145">
        <v>525891</v>
      </c>
      <c r="AO12" s="145">
        <v>3080</v>
      </c>
      <c r="AP12" s="143">
        <f t="shared" si="12"/>
        <v>2.4399764340361334E-2</v>
      </c>
      <c r="AQ12" s="143">
        <f t="shared" si="13"/>
        <v>1.4290275773556289E-4</v>
      </c>
      <c r="AR12" s="142">
        <v>17327169</v>
      </c>
      <c r="AS12" s="145">
        <v>1767209</v>
      </c>
      <c r="AT12" s="145">
        <v>144689</v>
      </c>
      <c r="AU12" s="143">
        <f t="shared" si="14"/>
        <v>0.10199063678550142</v>
      </c>
      <c r="AV12" s="143">
        <f t="shared" si="15"/>
        <v>8.3504120032533886E-3</v>
      </c>
      <c r="AW12" s="146">
        <f t="shared" si="16"/>
        <v>40349051</v>
      </c>
      <c r="AX12" s="145">
        <f t="shared" ref="AX12:AY12" si="31">AI12+AN12+AS12</f>
        <v>3696059</v>
      </c>
      <c r="AY12" s="149">
        <f t="shared" si="31"/>
        <v>1295615</v>
      </c>
      <c r="AZ12" s="143">
        <f t="shared" si="18"/>
        <v>9.1602129626295298E-2</v>
      </c>
      <c r="BA12" s="143">
        <f t="shared" si="19"/>
        <v>3.2110172801833682E-2</v>
      </c>
      <c r="BB12" s="143"/>
      <c r="BC12" s="143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 t="s">
        <v>338</v>
      </c>
      <c r="BQ12" s="148" t="s">
        <v>338</v>
      </c>
      <c r="BR12" s="148" t="s">
        <v>338</v>
      </c>
      <c r="BS12" s="148" t="s">
        <v>338</v>
      </c>
    </row>
    <row r="13" spans="1:71" ht="15.75" customHeight="1" x14ac:dyDescent="0.25">
      <c r="A13" s="141">
        <v>44267</v>
      </c>
      <c r="B13" s="142">
        <v>112301</v>
      </c>
      <c r="C13" s="145">
        <v>118086</v>
      </c>
      <c r="D13" s="145">
        <v>91521</v>
      </c>
      <c r="E13" s="143">
        <f t="shared" si="0"/>
        <v>1.0515133436033517</v>
      </c>
      <c r="F13" s="143">
        <f t="shared" si="1"/>
        <v>0.81496157647750245</v>
      </c>
      <c r="G13" s="142">
        <v>911631</v>
      </c>
      <c r="H13" s="145">
        <v>167086</v>
      </c>
      <c r="I13" s="145">
        <v>1291</v>
      </c>
      <c r="J13" s="143">
        <f t="shared" si="2"/>
        <v>0.18328249039359126</v>
      </c>
      <c r="K13" s="143">
        <f t="shared" si="3"/>
        <v>1.4161431544122568E-3</v>
      </c>
      <c r="L13" s="142">
        <v>1976757</v>
      </c>
      <c r="M13" s="145">
        <v>234403</v>
      </c>
      <c r="N13" s="145">
        <v>20226</v>
      </c>
      <c r="O13" s="143">
        <f t="shared" si="4"/>
        <v>0.11857957250183002</v>
      </c>
      <c r="P13" s="143">
        <f t="shared" si="5"/>
        <v>1.0231910143735421E-2</v>
      </c>
      <c r="Q13" s="142">
        <v>3000689</v>
      </c>
      <c r="R13" s="142">
        <f t="shared" ref="R13:S13" si="32">C13+H13+M13</f>
        <v>519575</v>
      </c>
      <c r="S13" s="142">
        <f t="shared" si="32"/>
        <v>113038</v>
      </c>
      <c r="T13" s="144">
        <f t="shared" si="8"/>
        <v>0.17315189944709364</v>
      </c>
      <c r="U13" s="144">
        <f t="shared" si="9"/>
        <v>3.7670681633451518E-2</v>
      </c>
      <c r="V13" s="144"/>
      <c r="W13" s="144"/>
      <c r="X13" s="144"/>
      <c r="Y13" s="144"/>
      <c r="Z13" s="144"/>
      <c r="AA13" s="144"/>
      <c r="AB13" s="144"/>
      <c r="AC13" s="142"/>
      <c r="AD13" s="142"/>
      <c r="AE13" s="142"/>
      <c r="AF13" s="142"/>
      <c r="AG13" s="142"/>
      <c r="AH13" s="142">
        <v>1468764</v>
      </c>
      <c r="AI13" s="145">
        <v>1402959</v>
      </c>
      <c r="AJ13" s="145">
        <v>1147846</v>
      </c>
      <c r="AK13" s="143">
        <f t="shared" si="10"/>
        <v>0.95519702280284646</v>
      </c>
      <c r="AL13" s="143">
        <f t="shared" si="11"/>
        <v>0.78150472097627666</v>
      </c>
      <c r="AM13" s="145">
        <v>21553118</v>
      </c>
      <c r="AN13" s="145">
        <v>525891</v>
      </c>
      <c r="AO13" s="145">
        <v>3080</v>
      </c>
      <c r="AP13" s="143">
        <f t="shared" si="12"/>
        <v>2.4399764340361334E-2</v>
      </c>
      <c r="AQ13" s="143">
        <f t="shared" si="13"/>
        <v>1.4290275773556289E-4</v>
      </c>
      <c r="AR13" s="142">
        <v>17327169</v>
      </c>
      <c r="AS13" s="145">
        <v>1767209</v>
      </c>
      <c r="AT13" s="145">
        <v>144689</v>
      </c>
      <c r="AU13" s="143">
        <f t="shared" si="14"/>
        <v>0.10199063678550142</v>
      </c>
      <c r="AV13" s="143">
        <f t="shared" si="15"/>
        <v>8.3504120032533886E-3</v>
      </c>
      <c r="AW13" s="146">
        <f t="shared" si="16"/>
        <v>40349051</v>
      </c>
      <c r="AX13" s="145">
        <f t="shared" ref="AX13:AY13" si="33">AI13+AN13+AS13</f>
        <v>3696059</v>
      </c>
      <c r="AY13" s="149">
        <f t="shared" si="33"/>
        <v>1295615</v>
      </c>
      <c r="AZ13" s="143">
        <f t="shared" si="18"/>
        <v>9.1602129626295298E-2</v>
      </c>
      <c r="BA13" s="143">
        <f t="shared" si="19"/>
        <v>3.2110172801833682E-2</v>
      </c>
      <c r="BB13" s="143"/>
      <c r="BC13" s="143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 t="s">
        <v>338</v>
      </c>
      <c r="BQ13" s="148" t="s">
        <v>338</v>
      </c>
      <c r="BR13" s="148" t="s">
        <v>338</v>
      </c>
      <c r="BS13" s="148" t="s">
        <v>338</v>
      </c>
    </row>
    <row r="14" spans="1:71" ht="15.75" customHeight="1" x14ac:dyDescent="0.25">
      <c r="A14" s="141">
        <v>44268</v>
      </c>
      <c r="B14" s="142">
        <v>112301</v>
      </c>
      <c r="C14" s="145">
        <v>118283</v>
      </c>
      <c r="D14" s="145">
        <v>91748</v>
      </c>
      <c r="E14" s="143">
        <f t="shared" si="0"/>
        <v>1.0532675577243302</v>
      </c>
      <c r="F14" s="143">
        <f t="shared" si="1"/>
        <v>0.8169829298047212</v>
      </c>
      <c r="G14" s="142">
        <v>911631</v>
      </c>
      <c r="H14" s="145">
        <v>174327</v>
      </c>
      <c r="I14" s="145">
        <v>1444</v>
      </c>
      <c r="J14" s="143">
        <f t="shared" si="2"/>
        <v>0.19122539711791284</v>
      </c>
      <c r="K14" s="143">
        <f t="shared" si="3"/>
        <v>1.5839742176384963E-3</v>
      </c>
      <c r="L14" s="142">
        <v>1976757</v>
      </c>
      <c r="M14" s="145">
        <v>245355</v>
      </c>
      <c r="N14" s="145">
        <v>21272</v>
      </c>
      <c r="O14" s="143">
        <f t="shared" si="4"/>
        <v>0.12411996011649383</v>
      </c>
      <c r="P14" s="143">
        <f t="shared" si="5"/>
        <v>1.0761059654778003E-2</v>
      </c>
      <c r="Q14" s="142">
        <v>3000689</v>
      </c>
      <c r="R14" s="142">
        <f t="shared" ref="R14:S14" si="34">C14+H14+M14</f>
        <v>537965</v>
      </c>
      <c r="S14" s="142">
        <f t="shared" si="34"/>
        <v>114464</v>
      </c>
      <c r="T14" s="144">
        <f t="shared" si="8"/>
        <v>0.1792804919136905</v>
      </c>
      <c r="U14" s="144">
        <f t="shared" si="9"/>
        <v>3.8145905823629173E-2</v>
      </c>
      <c r="V14" s="144"/>
      <c r="W14" s="144"/>
      <c r="X14" s="144"/>
      <c r="Y14" s="144"/>
      <c r="Z14" s="144"/>
      <c r="AA14" s="144"/>
      <c r="AB14" s="144"/>
      <c r="AC14" s="142"/>
      <c r="AD14" s="142"/>
      <c r="AE14" s="142"/>
      <c r="AF14" s="142"/>
      <c r="AG14" s="142"/>
      <c r="AH14" s="142">
        <v>1468764</v>
      </c>
      <c r="AI14" s="145">
        <v>1412736</v>
      </c>
      <c r="AJ14" s="145">
        <v>1171385</v>
      </c>
      <c r="AK14" s="143">
        <f t="shared" si="10"/>
        <v>0.96185364020359976</v>
      </c>
      <c r="AL14" s="143">
        <f t="shared" si="11"/>
        <v>0.7975311214054811</v>
      </c>
      <c r="AM14" s="145">
        <v>21553118</v>
      </c>
      <c r="AN14" s="145">
        <v>625665</v>
      </c>
      <c r="AO14" s="145">
        <v>4497</v>
      </c>
      <c r="AP14" s="143">
        <f t="shared" si="12"/>
        <v>2.9028978545006807E-2</v>
      </c>
      <c r="AQ14" s="143">
        <f t="shared" si="13"/>
        <v>2.086473056937748E-4</v>
      </c>
      <c r="AR14" s="142">
        <v>17327169</v>
      </c>
      <c r="AS14" s="145">
        <v>1947195</v>
      </c>
      <c r="AT14" s="145">
        <v>278954</v>
      </c>
      <c r="AU14" s="143">
        <f t="shared" si="14"/>
        <v>0.11237813863303348</v>
      </c>
      <c r="AV14" s="143">
        <f t="shared" si="15"/>
        <v>1.6099225441848001E-2</v>
      </c>
      <c r="AW14" s="146">
        <f t="shared" si="16"/>
        <v>40349051</v>
      </c>
      <c r="AX14" s="145">
        <f t="shared" ref="AX14:AY14" si="35">AI14+AN14+AS14</f>
        <v>3985596</v>
      </c>
      <c r="AY14" s="149">
        <f t="shared" si="35"/>
        <v>1454836</v>
      </c>
      <c r="AZ14" s="143">
        <f t="shared" si="18"/>
        <v>9.8777936561630655E-2</v>
      </c>
      <c r="BA14" s="143">
        <f t="shared" si="19"/>
        <v>3.605626313243402E-2</v>
      </c>
      <c r="BB14" s="143"/>
      <c r="BC14" s="143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 t="s">
        <v>338</v>
      </c>
      <c r="BQ14" s="148" t="s">
        <v>338</v>
      </c>
      <c r="BR14" s="148" t="s">
        <v>338</v>
      </c>
      <c r="BS14" s="148" t="s">
        <v>338</v>
      </c>
    </row>
    <row r="15" spans="1:71" ht="15.75" customHeight="1" x14ac:dyDescent="0.25">
      <c r="A15" s="141">
        <v>44269</v>
      </c>
      <c r="B15" s="142">
        <v>112301</v>
      </c>
      <c r="C15" s="145">
        <v>118301</v>
      </c>
      <c r="D15" s="145">
        <v>91764</v>
      </c>
      <c r="E15" s="143">
        <f t="shared" si="0"/>
        <v>1.0534278412480744</v>
      </c>
      <c r="F15" s="143">
        <f t="shared" si="1"/>
        <v>0.81712540404804945</v>
      </c>
      <c r="G15" s="142">
        <v>911631</v>
      </c>
      <c r="H15" s="145">
        <v>179024</v>
      </c>
      <c r="I15" s="145">
        <v>1444</v>
      </c>
      <c r="J15" s="143">
        <f t="shared" si="2"/>
        <v>0.19637770106545302</v>
      </c>
      <c r="K15" s="143">
        <f t="shared" si="3"/>
        <v>1.5839742176384963E-3</v>
      </c>
      <c r="L15" s="142">
        <v>1976757</v>
      </c>
      <c r="M15" s="145">
        <v>252763</v>
      </c>
      <c r="N15" s="145">
        <v>21413</v>
      </c>
      <c r="O15" s="143">
        <f t="shared" si="4"/>
        <v>0.12786751229412618</v>
      </c>
      <c r="P15" s="143">
        <f t="shared" si="5"/>
        <v>1.0832388604163284E-2</v>
      </c>
      <c r="Q15" s="142">
        <v>3000689</v>
      </c>
      <c r="R15" s="142">
        <f t="shared" ref="R15:S15" si="36">C15+H15+M15</f>
        <v>550088</v>
      </c>
      <c r="S15" s="142">
        <f t="shared" si="36"/>
        <v>114621</v>
      </c>
      <c r="T15" s="144">
        <f t="shared" si="8"/>
        <v>0.18332056404379127</v>
      </c>
      <c r="U15" s="144">
        <f t="shared" si="9"/>
        <v>3.8198227140500064E-2</v>
      </c>
      <c r="V15" s="144"/>
      <c r="W15" s="144"/>
      <c r="X15" s="144"/>
      <c r="Y15" s="144"/>
      <c r="Z15" s="144"/>
      <c r="AA15" s="144"/>
      <c r="AB15" s="144"/>
      <c r="AC15" s="142"/>
      <c r="AD15" s="142"/>
      <c r="AE15" s="142"/>
      <c r="AF15" s="142"/>
      <c r="AG15" s="142"/>
      <c r="AH15" s="142">
        <v>1468764</v>
      </c>
      <c r="AI15" s="145">
        <v>1413684</v>
      </c>
      <c r="AJ15" s="145">
        <v>1172848</v>
      </c>
      <c r="AK15" s="143">
        <f t="shared" si="10"/>
        <v>0.96249908085982494</v>
      </c>
      <c r="AL15" s="143">
        <f t="shared" si="11"/>
        <v>0.79852719701735608</v>
      </c>
      <c r="AM15" s="145">
        <v>21553118</v>
      </c>
      <c r="AN15" s="145">
        <v>638492</v>
      </c>
      <c r="AO15" s="145">
        <v>4530</v>
      </c>
      <c r="AP15" s="143">
        <f t="shared" si="12"/>
        <v>2.9624112854576307E-2</v>
      </c>
      <c r="AQ15" s="143">
        <f t="shared" si="13"/>
        <v>2.1017840666951297E-4</v>
      </c>
      <c r="AR15" s="142">
        <v>17327169</v>
      </c>
      <c r="AS15" s="145">
        <v>1967948</v>
      </c>
      <c r="AT15" s="145">
        <v>282844</v>
      </c>
      <c r="AU15" s="143">
        <f t="shared" si="14"/>
        <v>0.11357585304327557</v>
      </c>
      <c r="AV15" s="143">
        <f t="shared" si="15"/>
        <v>1.6323728359779952E-2</v>
      </c>
      <c r="AW15" s="146">
        <f t="shared" si="16"/>
        <v>40349051</v>
      </c>
      <c r="AX15" s="145">
        <f t="shared" ref="AX15:AY15" si="37">AI15+AN15+AS15</f>
        <v>4020124</v>
      </c>
      <c r="AY15" s="149">
        <f t="shared" si="37"/>
        <v>1460222</v>
      </c>
      <c r="AZ15" s="143">
        <f t="shared" si="18"/>
        <v>9.9633669203273212E-2</v>
      </c>
      <c r="BA15" s="143">
        <f t="shared" si="19"/>
        <v>3.6189748304117489E-2</v>
      </c>
      <c r="BB15" s="143"/>
      <c r="BC15" s="143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 t="s">
        <v>338</v>
      </c>
      <c r="BQ15" s="148" t="s">
        <v>338</v>
      </c>
      <c r="BR15" s="148" t="s">
        <v>338</v>
      </c>
      <c r="BS15" s="148" t="s">
        <v>338</v>
      </c>
    </row>
    <row r="16" spans="1:71" ht="15.75" customHeight="1" x14ac:dyDescent="0.25">
      <c r="A16" s="141">
        <v>44270</v>
      </c>
      <c r="B16" s="142">
        <v>112301</v>
      </c>
      <c r="C16" s="145">
        <v>118983</v>
      </c>
      <c r="D16" s="145">
        <v>92579</v>
      </c>
      <c r="E16" s="143">
        <f t="shared" si="0"/>
        <v>1.0595008058699389</v>
      </c>
      <c r="F16" s="143">
        <f t="shared" si="1"/>
        <v>0.82438268581757956</v>
      </c>
      <c r="G16" s="142">
        <v>911631</v>
      </c>
      <c r="H16" s="145">
        <v>197743</v>
      </c>
      <c r="I16" s="145">
        <v>1620</v>
      </c>
      <c r="J16" s="143">
        <f t="shared" si="2"/>
        <v>0.21691122833690385</v>
      </c>
      <c r="K16" s="143">
        <f t="shared" si="3"/>
        <v>1.77703478710136E-3</v>
      </c>
      <c r="L16" s="142">
        <v>1976757</v>
      </c>
      <c r="M16" s="145">
        <v>282970</v>
      </c>
      <c r="N16" s="145">
        <v>29871</v>
      </c>
      <c r="O16" s="143">
        <f t="shared" si="4"/>
        <v>0.14314860147200692</v>
      </c>
      <c r="P16" s="143">
        <f t="shared" si="5"/>
        <v>1.5111113809132838E-2</v>
      </c>
      <c r="Q16" s="142">
        <v>3000689</v>
      </c>
      <c r="R16" s="142">
        <f t="shared" ref="R16:S16" si="38">C16+H16+M16</f>
        <v>599696</v>
      </c>
      <c r="S16" s="142">
        <f t="shared" si="38"/>
        <v>124070</v>
      </c>
      <c r="T16" s="144">
        <f t="shared" si="8"/>
        <v>0.19985276714781172</v>
      </c>
      <c r="U16" s="144">
        <f t="shared" si="9"/>
        <v>4.1347170599818905E-2</v>
      </c>
      <c r="V16" s="144"/>
      <c r="W16" s="144"/>
      <c r="X16" s="144"/>
      <c r="Y16" s="144"/>
      <c r="Z16" s="144"/>
      <c r="AA16" s="144"/>
      <c r="AB16" s="144"/>
      <c r="AC16" s="142"/>
      <c r="AD16" s="142"/>
      <c r="AE16" s="142"/>
      <c r="AF16" s="142"/>
      <c r="AG16" s="142"/>
      <c r="AH16" s="142">
        <v>1468764</v>
      </c>
      <c r="AI16" s="145">
        <v>1418620</v>
      </c>
      <c r="AJ16" s="145">
        <v>1183715</v>
      </c>
      <c r="AK16" s="143">
        <f t="shared" si="10"/>
        <v>0.96585972967747036</v>
      </c>
      <c r="AL16" s="143">
        <f t="shared" si="11"/>
        <v>0.80592593500385357</v>
      </c>
      <c r="AM16" s="145">
        <v>21553118</v>
      </c>
      <c r="AN16" s="145">
        <v>701583</v>
      </c>
      <c r="AO16" s="145">
        <v>5151</v>
      </c>
      <c r="AP16" s="143">
        <f t="shared" si="12"/>
        <v>3.2551345935191371E-2</v>
      </c>
      <c r="AQ16" s="143">
        <f t="shared" si="13"/>
        <v>2.3899094321294952E-4</v>
      </c>
      <c r="AR16" s="142">
        <v>17327169</v>
      </c>
      <c r="AS16" s="145">
        <v>2046659</v>
      </c>
      <c r="AT16" s="145">
        <v>383920</v>
      </c>
      <c r="AU16" s="143">
        <f t="shared" si="14"/>
        <v>0.11811848779220656</v>
      </c>
      <c r="AV16" s="143">
        <f t="shared" si="15"/>
        <v>2.2157110604738722E-2</v>
      </c>
      <c r="AW16" s="146">
        <f t="shared" si="16"/>
        <v>40349051</v>
      </c>
      <c r="AX16" s="145">
        <f t="shared" ref="AX16:AY16" si="39">AI16+AN16+AS16</f>
        <v>4166862</v>
      </c>
      <c r="AY16" s="149">
        <f t="shared" si="39"/>
        <v>1572786</v>
      </c>
      <c r="AZ16" s="143">
        <f t="shared" si="18"/>
        <v>0.10327038422787192</v>
      </c>
      <c r="BA16" s="143">
        <f t="shared" si="19"/>
        <v>3.8979504127618761E-2</v>
      </c>
      <c r="BB16" s="143"/>
      <c r="BC16" s="143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 t="s">
        <v>338</v>
      </c>
      <c r="BQ16" s="148" t="s">
        <v>338</v>
      </c>
      <c r="BR16" s="148" t="s">
        <v>338</v>
      </c>
      <c r="BS16" s="148" t="s">
        <v>338</v>
      </c>
    </row>
    <row r="17" spans="1:71" ht="15.75" customHeight="1" x14ac:dyDescent="0.25">
      <c r="A17" s="141">
        <v>44271</v>
      </c>
      <c r="B17" s="142">
        <v>112301</v>
      </c>
      <c r="C17" s="145">
        <v>119531</v>
      </c>
      <c r="D17" s="145">
        <v>93559</v>
      </c>
      <c r="E17" s="143">
        <f t="shared" si="0"/>
        <v>1.0643805487039295</v>
      </c>
      <c r="F17" s="143">
        <f t="shared" si="1"/>
        <v>0.83310923322143171</v>
      </c>
      <c r="G17" s="142">
        <v>911631</v>
      </c>
      <c r="H17" s="145">
        <v>216011</v>
      </c>
      <c r="I17" s="145">
        <v>1754</v>
      </c>
      <c r="J17" s="143">
        <f t="shared" si="2"/>
        <v>0.2369500378991061</v>
      </c>
      <c r="K17" s="143">
        <f t="shared" si="3"/>
        <v>1.9240240843060405E-3</v>
      </c>
      <c r="L17" s="142">
        <v>1976757</v>
      </c>
      <c r="M17" s="145">
        <v>312415</v>
      </c>
      <c r="N17" s="145">
        <v>43891</v>
      </c>
      <c r="O17" s="143">
        <f t="shared" si="4"/>
        <v>0.15804421079576295</v>
      </c>
      <c r="P17" s="143">
        <f t="shared" si="5"/>
        <v>2.2203538421768584E-2</v>
      </c>
      <c r="Q17" s="142">
        <v>3000689</v>
      </c>
      <c r="R17" s="142">
        <f t="shared" ref="R17:S17" si="40">C17+H17+M17</f>
        <v>647957</v>
      </c>
      <c r="S17" s="142">
        <f t="shared" si="40"/>
        <v>139204</v>
      </c>
      <c r="T17" s="144">
        <f t="shared" si="8"/>
        <v>0.21593607334848763</v>
      </c>
      <c r="U17" s="144">
        <f t="shared" si="9"/>
        <v>4.6390678940736611E-2</v>
      </c>
      <c r="V17" s="144"/>
      <c r="W17" s="144"/>
      <c r="X17" s="144"/>
      <c r="Y17" s="144"/>
      <c r="Z17" s="144"/>
      <c r="AA17" s="144"/>
      <c r="AB17" s="144"/>
      <c r="AC17" s="142"/>
      <c r="AD17" s="142"/>
      <c r="AE17" s="142"/>
      <c r="AF17" s="142"/>
      <c r="AG17" s="142"/>
      <c r="AH17" s="142">
        <v>1468764</v>
      </c>
      <c r="AI17" s="145">
        <v>1425885</v>
      </c>
      <c r="AJ17" s="145">
        <v>1196387</v>
      </c>
      <c r="AK17" s="143">
        <f t="shared" si="10"/>
        <v>0.97080606550814152</v>
      </c>
      <c r="AL17" s="143">
        <f t="shared" si="11"/>
        <v>0.81455359744656053</v>
      </c>
      <c r="AM17" s="145">
        <v>21553118</v>
      </c>
      <c r="AN17" s="145">
        <v>770545</v>
      </c>
      <c r="AO17" s="145">
        <v>5844</v>
      </c>
      <c r="AP17" s="143">
        <f t="shared" si="12"/>
        <v>3.5750975798490035E-2</v>
      </c>
      <c r="AQ17" s="143">
        <f t="shared" si="13"/>
        <v>2.7114406370345117E-4</v>
      </c>
      <c r="AR17" s="142">
        <v>17327169</v>
      </c>
      <c r="AS17" s="145">
        <v>2272399</v>
      </c>
      <c r="AT17" s="145">
        <v>514516</v>
      </c>
      <c r="AU17" s="143">
        <f t="shared" si="14"/>
        <v>0.13114658257214437</v>
      </c>
      <c r="AV17" s="143">
        <f t="shared" si="15"/>
        <v>2.9694175661355873E-2</v>
      </c>
      <c r="AW17" s="146">
        <f t="shared" si="16"/>
        <v>40349051</v>
      </c>
      <c r="AX17" s="145">
        <f t="shared" ref="AX17:AY17" si="41">AI17+AN17+AS17</f>
        <v>4468829</v>
      </c>
      <c r="AY17" s="149">
        <f t="shared" si="41"/>
        <v>1716747</v>
      </c>
      <c r="AZ17" s="143">
        <f t="shared" si="18"/>
        <v>0.11075425293150018</v>
      </c>
      <c r="BA17" s="143">
        <f t="shared" si="19"/>
        <v>4.2547394733026066E-2</v>
      </c>
      <c r="BB17" s="143"/>
      <c r="BC17" s="143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 t="s">
        <v>338</v>
      </c>
      <c r="BQ17" s="148" t="s">
        <v>338</v>
      </c>
      <c r="BR17" s="148" t="s">
        <v>338</v>
      </c>
      <c r="BS17" s="148" t="s">
        <v>338</v>
      </c>
    </row>
    <row r="18" spans="1:71" ht="15.75" customHeight="1" x14ac:dyDescent="0.25">
      <c r="A18" s="141">
        <v>44272</v>
      </c>
      <c r="B18" s="142">
        <v>112301</v>
      </c>
      <c r="C18" s="145">
        <v>120003</v>
      </c>
      <c r="D18" s="145">
        <v>94619</v>
      </c>
      <c r="E18" s="143">
        <f t="shared" si="0"/>
        <v>1.0685835388821114</v>
      </c>
      <c r="F18" s="143">
        <f t="shared" si="1"/>
        <v>0.84254815184192478</v>
      </c>
      <c r="G18" s="142">
        <v>911631</v>
      </c>
      <c r="H18" s="145">
        <v>236230</v>
      </c>
      <c r="I18" s="145">
        <v>1963</v>
      </c>
      <c r="J18" s="143">
        <f t="shared" si="2"/>
        <v>0.25912896775120636</v>
      </c>
      <c r="K18" s="143">
        <f t="shared" si="3"/>
        <v>2.1532835105431913E-3</v>
      </c>
      <c r="L18" s="142">
        <v>1976757</v>
      </c>
      <c r="M18" s="145">
        <v>336132</v>
      </c>
      <c r="N18" s="145">
        <v>63154</v>
      </c>
      <c r="O18" s="143">
        <f t="shared" si="4"/>
        <v>0.17004214478562615</v>
      </c>
      <c r="P18" s="143">
        <f t="shared" si="5"/>
        <v>3.1948287017574746E-2</v>
      </c>
      <c r="Q18" s="142">
        <v>3000689</v>
      </c>
      <c r="R18" s="142">
        <f t="shared" ref="R18:S18" si="42">C18+H18+M18</f>
        <v>692365</v>
      </c>
      <c r="S18" s="142">
        <f t="shared" si="42"/>
        <v>159736</v>
      </c>
      <c r="T18" s="144">
        <f t="shared" si="8"/>
        <v>0.23073534111665686</v>
      </c>
      <c r="U18" s="144">
        <f t="shared" si="9"/>
        <v>5.3233107462985998E-2</v>
      </c>
      <c r="V18" s="144"/>
      <c r="W18" s="144"/>
      <c r="X18" s="144"/>
      <c r="Y18" s="144"/>
      <c r="Z18" s="144"/>
      <c r="AA18" s="144"/>
      <c r="AB18" s="144"/>
      <c r="AC18" s="142"/>
      <c r="AD18" s="142"/>
      <c r="AE18" s="142"/>
      <c r="AF18" s="142"/>
      <c r="AG18" s="142"/>
      <c r="AH18" s="142">
        <v>1468764</v>
      </c>
      <c r="AI18" s="145">
        <v>1431713</v>
      </c>
      <c r="AJ18" s="145">
        <v>1208113</v>
      </c>
      <c r="AK18" s="143">
        <f t="shared" si="10"/>
        <v>0.97477402768586374</v>
      </c>
      <c r="AL18" s="143">
        <f t="shared" si="11"/>
        <v>0.82253718092219041</v>
      </c>
      <c r="AM18" s="145">
        <v>21553118</v>
      </c>
      <c r="AN18" s="145">
        <v>836628</v>
      </c>
      <c r="AO18" s="145">
        <v>6600</v>
      </c>
      <c r="AP18" s="143">
        <f t="shared" si="12"/>
        <v>3.8817028700905365E-2</v>
      </c>
      <c r="AQ18" s="143">
        <f t="shared" si="13"/>
        <v>3.0622019514763477E-4</v>
      </c>
      <c r="AR18" s="142">
        <v>17327169</v>
      </c>
      <c r="AS18" s="145">
        <v>2436907</v>
      </c>
      <c r="AT18" s="145">
        <v>661427</v>
      </c>
      <c r="AU18" s="143">
        <f t="shared" si="14"/>
        <v>0.14064080520020322</v>
      </c>
      <c r="AV18" s="143">
        <f t="shared" si="15"/>
        <v>3.8172825578142625E-2</v>
      </c>
      <c r="AW18" s="146">
        <f t="shared" si="16"/>
        <v>40349051</v>
      </c>
      <c r="AX18" s="145">
        <f t="shared" ref="AX18:AY18" si="43">AI18+AN18+AS18</f>
        <v>4705248</v>
      </c>
      <c r="AY18" s="149">
        <f t="shared" si="43"/>
        <v>1876140</v>
      </c>
      <c r="AZ18" s="143">
        <f t="shared" si="18"/>
        <v>0.11661359767792308</v>
      </c>
      <c r="BA18" s="143">
        <f t="shared" si="19"/>
        <v>4.6497747865247192E-2</v>
      </c>
      <c r="BB18" s="143"/>
      <c r="BC18" s="143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 t="s">
        <v>338</v>
      </c>
      <c r="BQ18" s="148" t="s">
        <v>338</v>
      </c>
      <c r="BR18" s="148" t="s">
        <v>338</v>
      </c>
      <c r="BS18" s="148" t="s">
        <v>338</v>
      </c>
    </row>
    <row r="19" spans="1:71" ht="15.75" customHeight="1" x14ac:dyDescent="0.25">
      <c r="A19" s="141">
        <v>44273</v>
      </c>
      <c r="B19" s="142">
        <v>112301</v>
      </c>
      <c r="C19" s="145">
        <v>120608</v>
      </c>
      <c r="D19" s="145">
        <v>99980</v>
      </c>
      <c r="E19" s="143">
        <f t="shared" si="0"/>
        <v>1.0739708462079589</v>
      </c>
      <c r="F19" s="143">
        <f t="shared" si="1"/>
        <v>0.89028592799707928</v>
      </c>
      <c r="G19" s="142">
        <v>911631</v>
      </c>
      <c r="H19" s="145">
        <v>257159</v>
      </c>
      <c r="I19" s="145">
        <v>2040</v>
      </c>
      <c r="J19" s="143">
        <f t="shared" si="2"/>
        <v>0.28208672149148067</v>
      </c>
      <c r="K19" s="143">
        <f t="shared" si="3"/>
        <v>2.2377475096831941E-3</v>
      </c>
      <c r="L19" s="142">
        <v>1976757</v>
      </c>
      <c r="M19" s="145">
        <v>356592</v>
      </c>
      <c r="N19" s="145">
        <v>82412</v>
      </c>
      <c r="O19" s="143">
        <f t="shared" si="4"/>
        <v>0.18039243063259672</v>
      </c>
      <c r="P19" s="143">
        <f t="shared" si="5"/>
        <v>4.1690506218012631E-2</v>
      </c>
      <c r="Q19" s="142">
        <v>3000689</v>
      </c>
      <c r="R19" s="142">
        <f t="shared" ref="R19:S19" si="44">C19+H19+M19</f>
        <v>734359</v>
      </c>
      <c r="S19" s="142">
        <f t="shared" si="44"/>
        <v>184432</v>
      </c>
      <c r="T19" s="144">
        <f t="shared" si="8"/>
        <v>0.24473012698083674</v>
      </c>
      <c r="U19" s="144">
        <f t="shared" si="9"/>
        <v>6.1463217281097778E-2</v>
      </c>
      <c r="V19" s="144"/>
      <c r="W19" s="144"/>
      <c r="X19" s="144"/>
      <c r="Y19" s="144"/>
      <c r="Z19" s="144"/>
      <c r="AA19" s="144"/>
      <c r="AB19" s="144"/>
      <c r="AC19" s="142"/>
      <c r="AD19" s="142"/>
      <c r="AE19" s="142"/>
      <c r="AF19" s="142"/>
      <c r="AG19" s="142"/>
      <c r="AH19" s="142">
        <v>1468764</v>
      </c>
      <c r="AI19" s="145">
        <v>1437642</v>
      </c>
      <c r="AJ19" s="145">
        <v>1221179</v>
      </c>
      <c r="AK19" s="143">
        <f t="shared" si="10"/>
        <v>0.97881075516556781</v>
      </c>
      <c r="AL19" s="143">
        <f t="shared" si="11"/>
        <v>0.83143309612708372</v>
      </c>
      <c r="AM19" s="145">
        <v>21553118</v>
      </c>
      <c r="AN19" s="145">
        <v>905102</v>
      </c>
      <c r="AO19" s="145">
        <v>7106</v>
      </c>
      <c r="AP19" s="143">
        <f t="shared" si="12"/>
        <v>4.1994016828562811E-2</v>
      </c>
      <c r="AQ19" s="143">
        <f t="shared" si="13"/>
        <v>3.2969707677562015E-4</v>
      </c>
      <c r="AR19" s="142">
        <v>17327169</v>
      </c>
      <c r="AS19" s="145">
        <v>2616319</v>
      </c>
      <c r="AT19" s="145">
        <v>840115</v>
      </c>
      <c r="AU19" s="143">
        <f t="shared" si="14"/>
        <v>0.15099517988195302</v>
      </c>
      <c r="AV19" s="143">
        <f t="shared" si="15"/>
        <v>4.848541616925419E-2</v>
      </c>
      <c r="AW19" s="146">
        <f t="shared" si="16"/>
        <v>40349051</v>
      </c>
      <c r="AX19" s="145">
        <f t="shared" ref="AX19:AY19" si="45">AI19+AN19+AS19</f>
        <v>4959063</v>
      </c>
      <c r="AY19" s="149">
        <f t="shared" si="45"/>
        <v>2068400</v>
      </c>
      <c r="AZ19" s="143">
        <f t="shared" si="18"/>
        <v>0.12290408019757391</v>
      </c>
      <c r="BA19" s="143">
        <f t="shared" si="19"/>
        <v>5.1262667862993855E-2</v>
      </c>
      <c r="BB19" s="143"/>
      <c r="BC19" s="143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 t="s">
        <v>338</v>
      </c>
      <c r="BQ19" s="148" t="s">
        <v>338</v>
      </c>
      <c r="BR19" s="148" t="s">
        <v>338</v>
      </c>
      <c r="BS19" s="148" t="s">
        <v>338</v>
      </c>
    </row>
    <row r="20" spans="1:71" ht="15.75" customHeight="1" x14ac:dyDescent="0.25">
      <c r="A20" s="141">
        <v>44274</v>
      </c>
      <c r="B20" s="142">
        <v>112301</v>
      </c>
      <c r="C20" s="145">
        <v>121260</v>
      </c>
      <c r="D20" s="145">
        <v>97465</v>
      </c>
      <c r="E20" s="143">
        <f t="shared" si="0"/>
        <v>1.079776671623583</v>
      </c>
      <c r="F20" s="143">
        <f t="shared" si="1"/>
        <v>0.86789075787392811</v>
      </c>
      <c r="G20" s="142">
        <v>911631</v>
      </c>
      <c r="H20" s="145">
        <v>280221</v>
      </c>
      <c r="I20" s="145">
        <v>2168</v>
      </c>
      <c r="J20" s="143">
        <f t="shared" si="2"/>
        <v>0.30738423770143841</v>
      </c>
      <c r="K20" s="143">
        <f t="shared" si="3"/>
        <v>2.3781551965652769E-3</v>
      </c>
      <c r="L20" s="142">
        <v>1976757</v>
      </c>
      <c r="M20" s="145">
        <v>409121</v>
      </c>
      <c r="N20" s="145">
        <v>99709</v>
      </c>
      <c r="O20" s="143">
        <f t="shared" si="4"/>
        <v>0.20696575249259266</v>
      </c>
      <c r="P20" s="143">
        <f t="shared" si="5"/>
        <v>5.0440696555014097E-2</v>
      </c>
      <c r="Q20" s="142">
        <v>3000689</v>
      </c>
      <c r="R20" s="142">
        <f t="shared" ref="R20:S20" si="46">C20+H20+M20</f>
        <v>810602</v>
      </c>
      <c r="S20" s="142">
        <f t="shared" si="46"/>
        <v>199342</v>
      </c>
      <c r="T20" s="144">
        <f t="shared" si="8"/>
        <v>0.27013862482916423</v>
      </c>
      <c r="U20" s="144">
        <f t="shared" si="9"/>
        <v>6.6432076099855727E-2</v>
      </c>
      <c r="V20" s="144"/>
      <c r="W20" s="144"/>
      <c r="X20" s="144"/>
      <c r="Y20" s="144"/>
      <c r="Z20" s="144"/>
      <c r="AA20" s="144"/>
      <c r="AB20" s="144"/>
      <c r="AC20" s="142"/>
      <c r="AD20" s="142"/>
      <c r="AE20" s="142"/>
      <c r="AF20" s="142"/>
      <c r="AG20" s="142"/>
      <c r="AH20" s="142">
        <v>1468764</v>
      </c>
      <c r="AI20" s="145">
        <v>1442440</v>
      </c>
      <c r="AJ20" s="145">
        <v>1231104</v>
      </c>
      <c r="AK20" s="143">
        <f t="shared" si="10"/>
        <v>0.98207744743199044</v>
      </c>
      <c r="AL20" s="143">
        <f t="shared" si="11"/>
        <v>0.83819047852480044</v>
      </c>
      <c r="AM20" s="145">
        <v>21553118</v>
      </c>
      <c r="AN20" s="145">
        <v>954828</v>
      </c>
      <c r="AO20" s="145">
        <v>7590</v>
      </c>
      <c r="AP20" s="143">
        <f t="shared" si="12"/>
        <v>4.4301154014003911E-2</v>
      </c>
      <c r="AQ20" s="143">
        <f t="shared" si="13"/>
        <v>3.5215322441978003E-4</v>
      </c>
      <c r="AR20" s="142">
        <v>17327169</v>
      </c>
      <c r="AS20" s="145">
        <v>2727680</v>
      </c>
      <c r="AT20" s="145">
        <v>982506</v>
      </c>
      <c r="AU20" s="143">
        <f t="shared" si="14"/>
        <v>0.15742213860787069</v>
      </c>
      <c r="AV20" s="143">
        <f t="shared" si="15"/>
        <v>5.6703204083713848E-2</v>
      </c>
      <c r="AW20" s="146">
        <f t="shared" si="16"/>
        <v>40349051</v>
      </c>
      <c r="AX20" s="145">
        <f t="shared" ref="AX20:AY20" si="47">AI20+AN20+AS20</f>
        <v>5124948</v>
      </c>
      <c r="AY20" s="149">
        <f t="shared" si="47"/>
        <v>2221200</v>
      </c>
      <c r="AZ20" s="143">
        <f t="shared" si="18"/>
        <v>0.12701532930724937</v>
      </c>
      <c r="BA20" s="143">
        <f t="shared" si="19"/>
        <v>5.5049621860994949E-2</v>
      </c>
      <c r="BB20" s="143"/>
      <c r="BC20" s="143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 t="s">
        <v>338</v>
      </c>
      <c r="BQ20" s="148" t="s">
        <v>338</v>
      </c>
      <c r="BR20" s="148" t="s">
        <v>338</v>
      </c>
      <c r="BS20" s="148" t="s">
        <v>338</v>
      </c>
    </row>
    <row r="21" spans="1:71" ht="15.75" customHeight="1" x14ac:dyDescent="0.25">
      <c r="A21" s="141">
        <v>44275</v>
      </c>
      <c r="B21" s="142">
        <v>112301</v>
      </c>
      <c r="C21" s="145">
        <v>121373</v>
      </c>
      <c r="D21" s="145">
        <v>97612</v>
      </c>
      <c r="E21" s="143">
        <f t="shared" si="0"/>
        <v>1.0807828959670884</v>
      </c>
      <c r="F21" s="143">
        <f t="shared" si="1"/>
        <v>0.86919973998450595</v>
      </c>
      <c r="G21" s="142">
        <v>911631</v>
      </c>
      <c r="H21" s="145">
        <v>287749</v>
      </c>
      <c r="I21" s="145">
        <v>2585</v>
      </c>
      <c r="J21" s="143">
        <f t="shared" si="2"/>
        <v>0.31564196478619089</v>
      </c>
      <c r="K21" s="143">
        <f t="shared" si="3"/>
        <v>2.8355771139858123E-3</v>
      </c>
      <c r="L21" s="142">
        <v>1976757</v>
      </c>
      <c r="M21" s="145">
        <v>415447</v>
      </c>
      <c r="N21" s="145">
        <v>103069</v>
      </c>
      <c r="O21" s="143">
        <f t="shared" si="4"/>
        <v>0.21016594351253087</v>
      </c>
      <c r="P21" s="143">
        <f t="shared" si="5"/>
        <v>5.2140450242493135E-2</v>
      </c>
      <c r="Q21" s="142">
        <v>3000689</v>
      </c>
      <c r="R21" s="142">
        <f t="shared" ref="R21:S21" si="48">C21+H21+M21</f>
        <v>824569</v>
      </c>
      <c r="S21" s="142">
        <f t="shared" si="48"/>
        <v>203266</v>
      </c>
      <c r="T21" s="144">
        <f t="shared" si="8"/>
        <v>0.27479322248990151</v>
      </c>
      <c r="U21" s="144">
        <f t="shared" si="9"/>
        <v>6.7739775764832671E-2</v>
      </c>
      <c r="V21" s="144"/>
      <c r="W21" s="144"/>
      <c r="X21" s="144"/>
      <c r="Y21" s="144"/>
      <c r="Z21" s="144"/>
      <c r="AA21" s="144"/>
      <c r="AB21" s="144"/>
      <c r="AC21" s="142"/>
      <c r="AD21" s="142"/>
      <c r="AE21" s="142"/>
      <c r="AF21" s="142"/>
      <c r="AG21" s="142"/>
      <c r="AH21" s="142">
        <v>1468764</v>
      </c>
      <c r="AI21" s="145">
        <v>1442440</v>
      </c>
      <c r="AJ21" s="145">
        <v>1231104</v>
      </c>
      <c r="AK21" s="143">
        <f t="shared" si="10"/>
        <v>0.98207744743199044</v>
      </c>
      <c r="AL21" s="143">
        <f t="shared" si="11"/>
        <v>0.83819047852480044</v>
      </c>
      <c r="AM21" s="145">
        <v>21553118</v>
      </c>
      <c r="AN21" s="145">
        <v>954828</v>
      </c>
      <c r="AO21" s="145">
        <v>7590</v>
      </c>
      <c r="AP21" s="143">
        <f t="shared" si="12"/>
        <v>4.4301154014003911E-2</v>
      </c>
      <c r="AQ21" s="143">
        <f t="shared" si="13"/>
        <v>3.5215322441978003E-4</v>
      </c>
      <c r="AR21" s="142">
        <v>17327169</v>
      </c>
      <c r="AS21" s="145">
        <v>2727680</v>
      </c>
      <c r="AT21" s="145">
        <v>982506</v>
      </c>
      <c r="AU21" s="143">
        <f t="shared" si="14"/>
        <v>0.15742213860787069</v>
      </c>
      <c r="AV21" s="143">
        <f t="shared" si="15"/>
        <v>5.6703204083713848E-2</v>
      </c>
      <c r="AW21" s="146">
        <f t="shared" si="16"/>
        <v>40349051</v>
      </c>
      <c r="AX21" s="145">
        <f t="shared" ref="AX21:AY21" si="49">AI21+AN21+AS21</f>
        <v>5124948</v>
      </c>
      <c r="AY21" s="149">
        <f t="shared" si="49"/>
        <v>2221200</v>
      </c>
      <c r="AZ21" s="143">
        <f t="shared" si="18"/>
        <v>0.12701532930724937</v>
      </c>
      <c r="BA21" s="143">
        <f t="shared" si="19"/>
        <v>5.5049621860994949E-2</v>
      </c>
      <c r="BB21" s="143"/>
      <c r="BC21" s="143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 t="s">
        <v>338</v>
      </c>
      <c r="BQ21" s="148" t="s">
        <v>338</v>
      </c>
      <c r="BR21" s="148" t="s">
        <v>338</v>
      </c>
      <c r="BS21" s="148" t="s">
        <v>338</v>
      </c>
    </row>
    <row r="22" spans="1:71" ht="15.75" customHeight="1" x14ac:dyDescent="0.25">
      <c r="A22" s="141">
        <v>44276</v>
      </c>
      <c r="B22" s="142">
        <v>112301</v>
      </c>
      <c r="C22" s="145">
        <v>121483</v>
      </c>
      <c r="D22" s="145">
        <v>97660</v>
      </c>
      <c r="E22" s="143">
        <f t="shared" si="0"/>
        <v>1.0817624063899698</v>
      </c>
      <c r="F22" s="143">
        <f t="shared" si="1"/>
        <v>0.86962716271449048</v>
      </c>
      <c r="G22" s="142">
        <v>911631</v>
      </c>
      <c r="H22" s="145">
        <v>296700</v>
      </c>
      <c r="I22" s="145">
        <v>2696</v>
      </c>
      <c r="J22" s="143">
        <f t="shared" si="2"/>
        <v>0.32546063045245283</v>
      </c>
      <c r="K22" s="143">
        <f t="shared" si="3"/>
        <v>2.9573369049538684E-3</v>
      </c>
      <c r="L22" s="142">
        <v>1976757</v>
      </c>
      <c r="M22" s="145">
        <v>428256</v>
      </c>
      <c r="N22" s="145">
        <v>103939</v>
      </c>
      <c r="O22" s="143">
        <f t="shared" si="4"/>
        <v>0.21664574856697105</v>
      </c>
      <c r="P22" s="143">
        <f t="shared" si="5"/>
        <v>5.2580565036572526E-2</v>
      </c>
      <c r="Q22" s="142">
        <v>3000689</v>
      </c>
      <c r="R22" s="142">
        <f t="shared" ref="R22:S22" si="50">C22+H22+M22</f>
        <v>846439</v>
      </c>
      <c r="S22" s="142">
        <f t="shared" si="50"/>
        <v>204295</v>
      </c>
      <c r="T22" s="144">
        <f t="shared" si="8"/>
        <v>0.28208154860433721</v>
      </c>
      <c r="U22" s="144">
        <f t="shared" si="9"/>
        <v>6.8082697007254001E-2</v>
      </c>
      <c r="V22" s="144"/>
      <c r="W22" s="144"/>
      <c r="X22" s="144"/>
      <c r="Y22" s="144"/>
      <c r="Z22" s="144"/>
      <c r="AA22" s="144"/>
      <c r="AB22" s="144"/>
      <c r="AC22" s="142"/>
      <c r="AD22" s="142"/>
      <c r="AE22" s="142"/>
      <c r="AF22" s="142"/>
      <c r="AG22" s="142"/>
      <c r="AH22" s="142">
        <v>1468764</v>
      </c>
      <c r="AI22" s="145">
        <v>1446141</v>
      </c>
      <c r="AJ22" s="145">
        <v>1236791</v>
      </c>
      <c r="AK22" s="143">
        <f t="shared" si="10"/>
        <v>0.98459725320065039</v>
      </c>
      <c r="AL22" s="143">
        <f t="shared" si="11"/>
        <v>0.84206244161757782</v>
      </c>
      <c r="AM22" s="145">
        <v>21553118</v>
      </c>
      <c r="AN22" s="145">
        <v>1011483</v>
      </c>
      <c r="AO22" s="145">
        <v>8534</v>
      </c>
      <c r="AP22" s="143">
        <f t="shared" si="12"/>
        <v>4.6929776007350772E-2</v>
      </c>
      <c r="AQ22" s="143">
        <f t="shared" si="13"/>
        <v>3.9595199172574473E-4</v>
      </c>
      <c r="AR22" s="142">
        <v>17327169</v>
      </c>
      <c r="AS22" s="145">
        <v>3109656</v>
      </c>
      <c r="AT22" s="145">
        <v>1067271</v>
      </c>
      <c r="AU22" s="143">
        <f t="shared" si="14"/>
        <v>0.17946705546647579</v>
      </c>
      <c r="AV22" s="143">
        <f t="shared" si="15"/>
        <v>6.1595232319832514E-2</v>
      </c>
      <c r="AW22" s="146">
        <f t="shared" si="16"/>
        <v>40349051</v>
      </c>
      <c r="AX22" s="145">
        <f t="shared" ref="AX22:AY22" si="51">AI22+AN22+AS22</f>
        <v>5567280</v>
      </c>
      <c r="AY22" s="149">
        <f t="shared" si="51"/>
        <v>2312596</v>
      </c>
      <c r="AZ22" s="143">
        <f t="shared" si="18"/>
        <v>0.13797796632193407</v>
      </c>
      <c r="BA22" s="143">
        <f t="shared" si="19"/>
        <v>5.731475568037523E-2</v>
      </c>
      <c r="BB22" s="143"/>
      <c r="BC22" s="143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 t="s">
        <v>338</v>
      </c>
      <c r="BQ22" s="148" t="s">
        <v>338</v>
      </c>
      <c r="BR22" s="148" t="s">
        <v>338</v>
      </c>
      <c r="BS22" s="148" t="s">
        <v>338</v>
      </c>
    </row>
    <row r="23" spans="1:71" ht="15.75" customHeight="1" x14ac:dyDescent="0.25">
      <c r="A23" s="141">
        <v>44277</v>
      </c>
      <c r="B23" s="142">
        <v>112301</v>
      </c>
      <c r="C23" s="145">
        <v>121834</v>
      </c>
      <c r="D23" s="145">
        <v>98956</v>
      </c>
      <c r="E23" s="143">
        <f t="shared" si="0"/>
        <v>1.0848879351029821</v>
      </c>
      <c r="F23" s="143">
        <f t="shared" si="1"/>
        <v>0.88116757642407462</v>
      </c>
      <c r="G23" s="142">
        <v>911631</v>
      </c>
      <c r="H23" s="145">
        <v>314312</v>
      </c>
      <c r="I23" s="145">
        <v>5263</v>
      </c>
      <c r="J23" s="143">
        <f t="shared" si="2"/>
        <v>0.34477985061938438</v>
      </c>
      <c r="K23" s="143">
        <f t="shared" si="3"/>
        <v>5.7731691879718879E-3</v>
      </c>
      <c r="L23" s="142">
        <v>1976757</v>
      </c>
      <c r="M23" s="145">
        <v>443083</v>
      </c>
      <c r="N23" s="145">
        <v>124036</v>
      </c>
      <c r="O23" s="143">
        <f t="shared" si="4"/>
        <v>0.22414641759204595</v>
      </c>
      <c r="P23" s="143">
        <f t="shared" si="5"/>
        <v>6.2747216779806519E-2</v>
      </c>
      <c r="Q23" s="142">
        <v>3000689</v>
      </c>
      <c r="R23" s="142">
        <f t="shared" ref="R23:S23" si="52">C23+H23+M23</f>
        <v>879229</v>
      </c>
      <c r="S23" s="142">
        <f t="shared" si="52"/>
        <v>228255</v>
      </c>
      <c r="T23" s="144">
        <f t="shared" si="8"/>
        <v>0.29300903892406044</v>
      </c>
      <c r="U23" s="144">
        <f t="shared" si="9"/>
        <v>7.6067529823983765E-2</v>
      </c>
      <c r="V23" s="144"/>
      <c r="W23" s="144"/>
      <c r="X23" s="144"/>
      <c r="Y23" s="144"/>
      <c r="Z23" s="144"/>
      <c r="AA23" s="144"/>
      <c r="AB23" s="144"/>
      <c r="AC23" s="142"/>
      <c r="AD23" s="142"/>
      <c r="AE23" s="142"/>
      <c r="AF23" s="142"/>
      <c r="AG23" s="142"/>
      <c r="AH23" s="142">
        <v>1468764</v>
      </c>
      <c r="AI23" s="145">
        <v>1449757</v>
      </c>
      <c r="AJ23" s="145">
        <v>1245055</v>
      </c>
      <c r="AK23" s="143">
        <f t="shared" si="10"/>
        <v>0.98705918718051366</v>
      </c>
      <c r="AL23" s="143">
        <f t="shared" si="11"/>
        <v>0.84768894117775218</v>
      </c>
      <c r="AM23" s="145">
        <v>21553118</v>
      </c>
      <c r="AN23" s="145">
        <v>1011483</v>
      </c>
      <c r="AO23" s="145">
        <v>8534</v>
      </c>
      <c r="AP23" s="143">
        <f t="shared" si="12"/>
        <v>4.6929776007350772E-2</v>
      </c>
      <c r="AQ23" s="143">
        <f t="shared" si="13"/>
        <v>3.9595199172574473E-4</v>
      </c>
      <c r="AR23" s="142">
        <v>17327169</v>
      </c>
      <c r="AS23" s="145">
        <v>3221959</v>
      </c>
      <c r="AT23" s="145">
        <v>1237961</v>
      </c>
      <c r="AU23" s="143">
        <f t="shared" si="14"/>
        <v>0.18594837968048905</v>
      </c>
      <c r="AV23" s="143">
        <f t="shared" si="15"/>
        <v>7.1446235677622816E-2</v>
      </c>
      <c r="AW23" s="146">
        <f t="shared" si="16"/>
        <v>40349051</v>
      </c>
      <c r="AX23" s="145">
        <f t="shared" ref="AX23:AY23" si="53">AI23+AN23+AS23</f>
        <v>5683199</v>
      </c>
      <c r="AY23" s="149">
        <f t="shared" si="53"/>
        <v>2491550</v>
      </c>
      <c r="AZ23" s="143">
        <f t="shared" si="18"/>
        <v>0.14085087156077103</v>
      </c>
      <c r="BA23" s="143">
        <f t="shared" si="19"/>
        <v>6.1749903362039421E-2</v>
      </c>
      <c r="BB23" s="143"/>
      <c r="BC23" s="143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 t="s">
        <v>338</v>
      </c>
      <c r="BQ23" s="148" t="s">
        <v>338</v>
      </c>
      <c r="BR23" s="148" t="s">
        <v>338</v>
      </c>
      <c r="BS23" s="148" t="s">
        <v>338</v>
      </c>
    </row>
    <row r="24" spans="1:71" ht="15.75" customHeight="1" x14ac:dyDescent="0.25">
      <c r="A24" s="141">
        <v>44278</v>
      </c>
      <c r="B24" s="142">
        <v>112301</v>
      </c>
      <c r="C24" s="145">
        <v>122199</v>
      </c>
      <c r="D24" s="145">
        <v>100218</v>
      </c>
      <c r="E24" s="143">
        <f t="shared" si="0"/>
        <v>1.0881381287789067</v>
      </c>
      <c r="F24" s="143">
        <f t="shared" si="1"/>
        <v>0.8924052323665862</v>
      </c>
      <c r="G24" s="142">
        <v>911631</v>
      </c>
      <c r="H24" s="145">
        <v>337760</v>
      </c>
      <c r="I24" s="145">
        <v>9693</v>
      </c>
      <c r="J24" s="143">
        <f t="shared" si="2"/>
        <v>0.37050078376009593</v>
      </c>
      <c r="K24" s="143">
        <f t="shared" si="3"/>
        <v>1.063259147615647E-2</v>
      </c>
      <c r="L24" s="142">
        <v>1976757</v>
      </c>
      <c r="M24" s="145">
        <v>465428</v>
      </c>
      <c r="N24" s="145">
        <v>148494</v>
      </c>
      <c r="O24" s="143">
        <f t="shared" si="4"/>
        <v>0.23545028549285521</v>
      </c>
      <c r="P24" s="143">
        <f t="shared" si="5"/>
        <v>7.5120007163247682E-2</v>
      </c>
      <c r="Q24" s="142">
        <v>3000689</v>
      </c>
      <c r="R24" s="142">
        <f t="shared" ref="R24:S24" si="54">C24+H24+M24</f>
        <v>925387</v>
      </c>
      <c r="S24" s="142">
        <f t="shared" si="54"/>
        <v>258405</v>
      </c>
      <c r="T24" s="144">
        <f t="shared" si="8"/>
        <v>0.30839150608410271</v>
      </c>
      <c r="U24" s="144">
        <f t="shared" si="9"/>
        <v>8.6115222203967154E-2</v>
      </c>
      <c r="V24" s="144"/>
      <c r="W24" s="144"/>
      <c r="X24" s="144"/>
      <c r="Y24" s="144"/>
      <c r="Z24" s="144"/>
      <c r="AA24" s="144"/>
      <c r="AB24" s="144"/>
      <c r="AC24" s="142"/>
      <c r="AD24" s="142"/>
      <c r="AE24" s="142"/>
      <c r="AF24" s="142"/>
      <c r="AG24" s="142"/>
      <c r="AH24" s="142">
        <v>1468764</v>
      </c>
      <c r="AI24" s="145">
        <v>1453841</v>
      </c>
      <c r="AJ24" s="145">
        <v>1254761</v>
      </c>
      <c r="AK24" s="143">
        <f t="shared" si="10"/>
        <v>0.98983975642104516</v>
      </c>
      <c r="AL24" s="143">
        <f t="shared" si="11"/>
        <v>0.85429721861374597</v>
      </c>
      <c r="AM24" s="145">
        <v>21553118</v>
      </c>
      <c r="AN24" s="145">
        <v>1125037</v>
      </c>
      <c r="AO24" s="145">
        <v>22286</v>
      </c>
      <c r="AP24" s="143">
        <f t="shared" si="12"/>
        <v>5.2198340861865089E-2</v>
      </c>
      <c r="AQ24" s="143">
        <f t="shared" si="13"/>
        <v>1.0340035256151802E-3</v>
      </c>
      <c r="AR24" s="142">
        <v>17327169</v>
      </c>
      <c r="AS24" s="145">
        <v>3399373</v>
      </c>
      <c r="AT24" s="145">
        <v>1432498</v>
      </c>
      <c r="AU24" s="143">
        <f t="shared" si="14"/>
        <v>0.19618744412315711</v>
      </c>
      <c r="AV24" s="143">
        <f t="shared" si="15"/>
        <v>8.2673516949018047E-2</v>
      </c>
      <c r="AW24" s="146">
        <f t="shared" si="16"/>
        <v>40349051</v>
      </c>
      <c r="AX24" s="145">
        <f t="shared" ref="AX24:AY24" si="55">AI24+AN24+AS24</f>
        <v>5978251</v>
      </c>
      <c r="AY24" s="149">
        <f t="shared" si="55"/>
        <v>2709545</v>
      </c>
      <c r="AZ24" s="143">
        <f t="shared" si="18"/>
        <v>0.14816336076900544</v>
      </c>
      <c r="BA24" s="143">
        <f t="shared" si="19"/>
        <v>6.7152632660431102E-2</v>
      </c>
      <c r="BB24" s="143"/>
      <c r="BC24" s="143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 t="s">
        <v>338</v>
      </c>
      <c r="BQ24" s="148" t="s">
        <v>338</v>
      </c>
      <c r="BR24" s="148" t="s">
        <v>338</v>
      </c>
      <c r="BS24" s="148" t="s">
        <v>338</v>
      </c>
    </row>
    <row r="25" spans="1:71" ht="15.75" customHeight="1" x14ac:dyDescent="0.25">
      <c r="A25" s="141">
        <v>44279</v>
      </c>
      <c r="B25" s="142">
        <v>112301</v>
      </c>
      <c r="C25" s="145">
        <v>122616</v>
      </c>
      <c r="D25" s="145">
        <v>101248</v>
      </c>
      <c r="E25" s="143">
        <f t="shared" si="0"/>
        <v>1.091851363745648</v>
      </c>
      <c r="F25" s="143">
        <f t="shared" si="1"/>
        <v>0.90157701178083904</v>
      </c>
      <c r="G25" s="142">
        <v>911631</v>
      </c>
      <c r="H25" s="145">
        <v>373557</v>
      </c>
      <c r="I25" s="145">
        <v>15380</v>
      </c>
      <c r="J25" s="143">
        <f t="shared" si="2"/>
        <v>0.40976776787976715</v>
      </c>
      <c r="K25" s="143">
        <f t="shared" si="3"/>
        <v>1.6870861126925259E-2</v>
      </c>
      <c r="L25" s="142">
        <v>1976757</v>
      </c>
      <c r="M25" s="145">
        <v>501557</v>
      </c>
      <c r="N25" s="145">
        <v>177455</v>
      </c>
      <c r="O25" s="143">
        <f t="shared" si="4"/>
        <v>0.25372719054491777</v>
      </c>
      <c r="P25" s="143">
        <f t="shared" si="5"/>
        <v>8.9770771015354953E-2</v>
      </c>
      <c r="Q25" s="142">
        <v>3000689</v>
      </c>
      <c r="R25" s="142">
        <f t="shared" ref="R25:S25" si="56">C25+H25+M25</f>
        <v>997730</v>
      </c>
      <c r="S25" s="142">
        <f t="shared" si="56"/>
        <v>294083</v>
      </c>
      <c r="T25" s="144">
        <f t="shared" si="8"/>
        <v>0.33250030243054179</v>
      </c>
      <c r="U25" s="144">
        <f t="shared" si="9"/>
        <v>9.8005158148678523E-2</v>
      </c>
      <c r="V25" s="144"/>
      <c r="W25" s="144"/>
      <c r="X25" s="144"/>
      <c r="Y25" s="144"/>
      <c r="Z25" s="144"/>
      <c r="AA25" s="144"/>
      <c r="AB25" s="144"/>
      <c r="AC25" s="142"/>
      <c r="AD25" s="142"/>
      <c r="AE25" s="142"/>
      <c r="AF25" s="142"/>
      <c r="AG25" s="142"/>
      <c r="AH25" s="142">
        <v>1468764</v>
      </c>
      <c r="AI25" s="145">
        <v>1458033</v>
      </c>
      <c r="AJ25" s="145">
        <v>1263152</v>
      </c>
      <c r="AK25" s="143">
        <f t="shared" si="10"/>
        <v>0.99269385687557699</v>
      </c>
      <c r="AL25" s="143">
        <f t="shared" si="11"/>
        <v>0.86001018543482821</v>
      </c>
      <c r="AM25" s="145">
        <v>21553118</v>
      </c>
      <c r="AN25" s="145">
        <v>1225564</v>
      </c>
      <c r="AO25" s="145">
        <v>38904</v>
      </c>
      <c r="AP25" s="143">
        <f t="shared" si="12"/>
        <v>5.6862492006956949E-2</v>
      </c>
      <c r="AQ25" s="143">
        <f t="shared" si="13"/>
        <v>1.8050288593975128E-3</v>
      </c>
      <c r="AR25" s="142">
        <v>17327169</v>
      </c>
      <c r="AS25" s="145">
        <v>3706240</v>
      </c>
      <c r="AT25" s="145">
        <v>1638960</v>
      </c>
      <c r="AU25" s="143">
        <f t="shared" si="14"/>
        <v>0.21389760785503967</v>
      </c>
      <c r="AV25" s="143">
        <f t="shared" si="15"/>
        <v>9.4589023746464301E-2</v>
      </c>
      <c r="AW25" s="146">
        <f t="shared" si="16"/>
        <v>40349051</v>
      </c>
      <c r="AX25" s="145">
        <f t="shared" ref="AX25:AY25" si="57">AI25+AN25+AS25</f>
        <v>6389837</v>
      </c>
      <c r="AY25" s="149">
        <f t="shared" si="57"/>
        <v>2941016</v>
      </c>
      <c r="AZ25" s="143">
        <f t="shared" si="18"/>
        <v>0.15836399721024419</v>
      </c>
      <c r="BA25" s="143">
        <f t="shared" si="19"/>
        <v>7.2889347509065325E-2</v>
      </c>
      <c r="BB25" s="143"/>
      <c r="BC25" s="143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 t="s">
        <v>338</v>
      </c>
      <c r="BQ25" s="148" t="s">
        <v>338</v>
      </c>
      <c r="BR25" s="148" t="s">
        <v>338</v>
      </c>
      <c r="BS25" s="148" t="s">
        <v>338</v>
      </c>
    </row>
    <row r="26" spans="1:71" ht="15.75" customHeight="1" x14ac:dyDescent="0.25">
      <c r="A26" s="141">
        <v>44280</v>
      </c>
      <c r="B26" s="142">
        <v>112301</v>
      </c>
      <c r="C26" s="145">
        <v>122916</v>
      </c>
      <c r="D26" s="145">
        <v>101602</v>
      </c>
      <c r="E26" s="143">
        <f t="shared" si="0"/>
        <v>1.0945227558080515</v>
      </c>
      <c r="F26" s="143">
        <f t="shared" si="1"/>
        <v>0.90472925441447538</v>
      </c>
      <c r="G26" s="142">
        <v>911631</v>
      </c>
      <c r="H26" s="145">
        <v>394412</v>
      </c>
      <c r="I26" s="145">
        <v>22109</v>
      </c>
      <c r="J26" s="143">
        <f t="shared" si="2"/>
        <v>0.43264434842606275</v>
      </c>
      <c r="K26" s="143">
        <f t="shared" si="3"/>
        <v>2.4252137103718499E-2</v>
      </c>
      <c r="L26" s="142">
        <v>1976757</v>
      </c>
      <c r="M26" s="145">
        <v>529155</v>
      </c>
      <c r="N26" s="145">
        <v>187424</v>
      </c>
      <c r="O26" s="143">
        <f t="shared" si="4"/>
        <v>0.26768844121963398</v>
      </c>
      <c r="P26" s="143">
        <f t="shared" si="5"/>
        <v>9.4813879500616413E-2</v>
      </c>
      <c r="Q26" s="142">
        <v>3000689</v>
      </c>
      <c r="R26" s="142">
        <f t="shared" ref="R26:S26" si="58">C26+H26+M26</f>
        <v>1046483</v>
      </c>
      <c r="S26" s="142">
        <f t="shared" si="58"/>
        <v>311135</v>
      </c>
      <c r="T26" s="144">
        <f t="shared" si="8"/>
        <v>0.34874757097453285</v>
      </c>
      <c r="U26" s="144">
        <f t="shared" si="9"/>
        <v>0.10368785302308903</v>
      </c>
      <c r="V26" s="144"/>
      <c r="W26" s="144"/>
      <c r="X26" s="144"/>
      <c r="Y26" s="144"/>
      <c r="Z26" s="144"/>
      <c r="AA26" s="144"/>
      <c r="AB26" s="144"/>
      <c r="AC26" s="142"/>
      <c r="AD26" s="142"/>
      <c r="AE26" s="142"/>
      <c r="AF26" s="142"/>
      <c r="AG26" s="142"/>
      <c r="AH26" s="142">
        <v>1468764</v>
      </c>
      <c r="AI26" s="145">
        <v>1461489</v>
      </c>
      <c r="AJ26" s="145">
        <v>1266029</v>
      </c>
      <c r="AK26" s="143">
        <f t="shared" si="10"/>
        <v>0.99504685572358798</v>
      </c>
      <c r="AL26" s="143">
        <f t="shared" si="11"/>
        <v>0.86196897527444849</v>
      </c>
      <c r="AM26" s="145">
        <v>21553118</v>
      </c>
      <c r="AN26" s="145">
        <v>1301782</v>
      </c>
      <c r="AO26" s="145">
        <v>57227</v>
      </c>
      <c r="AP26" s="143">
        <f t="shared" si="12"/>
        <v>6.0398778496920956E-2</v>
      </c>
      <c r="AQ26" s="143">
        <f t="shared" si="13"/>
        <v>2.6551610769263174E-3</v>
      </c>
      <c r="AR26" s="142">
        <v>17327169</v>
      </c>
      <c r="AS26" s="145">
        <v>3967185</v>
      </c>
      <c r="AT26" s="145">
        <v>1691934</v>
      </c>
      <c r="AU26" s="143">
        <f t="shared" si="14"/>
        <v>0.22895748289867779</v>
      </c>
      <c r="AV26" s="143">
        <f t="shared" si="15"/>
        <v>9.7646303328604925E-2</v>
      </c>
      <c r="AW26" s="146">
        <f t="shared" si="16"/>
        <v>40349051</v>
      </c>
      <c r="AX26" s="145">
        <f t="shared" ref="AX26:AY26" si="59">AI26+AN26+AS26</f>
        <v>6730456</v>
      </c>
      <c r="AY26" s="149">
        <f t="shared" si="59"/>
        <v>3015190</v>
      </c>
      <c r="AZ26" s="143">
        <f t="shared" si="18"/>
        <v>0.16680580665949243</v>
      </c>
      <c r="BA26" s="143">
        <f t="shared" si="19"/>
        <v>7.4727655924299183E-2</v>
      </c>
      <c r="BB26" s="143"/>
      <c r="BC26" s="143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 t="s">
        <v>338</v>
      </c>
      <c r="BQ26" s="148" t="s">
        <v>338</v>
      </c>
      <c r="BR26" s="148" t="s">
        <v>338</v>
      </c>
      <c r="BS26" s="148" t="s">
        <v>338</v>
      </c>
    </row>
    <row r="27" spans="1:71" ht="15.75" customHeight="1" x14ac:dyDescent="0.25">
      <c r="A27" s="141">
        <v>44281</v>
      </c>
      <c r="B27" s="142">
        <v>112301</v>
      </c>
      <c r="C27" s="145">
        <v>123199</v>
      </c>
      <c r="D27" s="145">
        <v>102584</v>
      </c>
      <c r="E27" s="143">
        <f t="shared" si="0"/>
        <v>1.0970427689869191</v>
      </c>
      <c r="F27" s="143">
        <f t="shared" si="1"/>
        <v>0.91347361109874359</v>
      </c>
      <c r="G27" s="142">
        <v>911631</v>
      </c>
      <c r="H27" s="145">
        <v>414506</v>
      </c>
      <c r="I27" s="145">
        <v>29341</v>
      </c>
      <c r="J27" s="143">
        <f t="shared" si="2"/>
        <v>0.45468616139644219</v>
      </c>
      <c r="K27" s="143">
        <f t="shared" si="3"/>
        <v>3.2185171412556175E-2</v>
      </c>
      <c r="L27" s="142">
        <v>1976757</v>
      </c>
      <c r="M27" s="145">
        <v>554981</v>
      </c>
      <c r="N27" s="145">
        <v>211347</v>
      </c>
      <c r="O27" s="143">
        <f t="shared" si="4"/>
        <v>0.28075327417583446</v>
      </c>
      <c r="P27" s="143">
        <f t="shared" si="5"/>
        <v>0.10691602457965244</v>
      </c>
      <c r="Q27" s="142">
        <v>3000689</v>
      </c>
      <c r="R27" s="142">
        <f t="shared" ref="R27:S27" si="60">C27+H27+M27</f>
        <v>1092686</v>
      </c>
      <c r="S27" s="142">
        <f t="shared" si="60"/>
        <v>343272</v>
      </c>
      <c r="T27" s="144">
        <f t="shared" si="8"/>
        <v>0.36414503469036613</v>
      </c>
      <c r="U27" s="144">
        <f t="shared" si="9"/>
        <v>0.1143977266554448</v>
      </c>
      <c r="V27" s="144"/>
      <c r="W27" s="144"/>
      <c r="X27" s="144"/>
      <c r="Y27" s="144"/>
      <c r="Z27" s="144"/>
      <c r="AA27" s="144"/>
      <c r="AB27" s="144"/>
      <c r="AC27" s="142"/>
      <c r="AD27" s="142"/>
      <c r="AE27" s="142"/>
      <c r="AF27" s="142"/>
      <c r="AG27" s="142"/>
      <c r="AH27" s="142">
        <v>1468764</v>
      </c>
      <c r="AI27" s="145">
        <v>1464650</v>
      </c>
      <c r="AJ27" s="145">
        <v>1270999</v>
      </c>
      <c r="AK27" s="143">
        <f t="shared" si="10"/>
        <v>0.99719900542224615</v>
      </c>
      <c r="AL27" s="143">
        <f t="shared" si="11"/>
        <v>0.86535277280761236</v>
      </c>
      <c r="AM27" s="145">
        <v>21553118</v>
      </c>
      <c r="AN27" s="145">
        <v>1356432</v>
      </c>
      <c r="AO27" s="145">
        <v>78322</v>
      </c>
      <c r="AP27" s="143">
        <f t="shared" si="12"/>
        <v>6.29343745067419E-2</v>
      </c>
      <c r="AQ27" s="143">
        <f t="shared" si="13"/>
        <v>3.6339057764171291E-3</v>
      </c>
      <c r="AR27" s="142">
        <v>17327169</v>
      </c>
      <c r="AS27" s="145">
        <v>4169000</v>
      </c>
      <c r="AT27" s="145">
        <v>1803291</v>
      </c>
      <c r="AU27" s="143">
        <f t="shared" si="14"/>
        <v>0.24060479816408556</v>
      </c>
      <c r="AV27" s="143">
        <f t="shared" si="15"/>
        <v>0.10407303120319308</v>
      </c>
      <c r="AW27" s="146">
        <f t="shared" si="16"/>
        <v>40349051</v>
      </c>
      <c r="AX27" s="145">
        <f t="shared" ref="AX27:AY27" si="61">AI27+AN27+AS27</f>
        <v>6990082</v>
      </c>
      <c r="AY27" s="149">
        <f t="shared" si="61"/>
        <v>3152612</v>
      </c>
      <c r="AZ27" s="143">
        <f t="shared" si="18"/>
        <v>0.17324030743622693</v>
      </c>
      <c r="BA27" s="143">
        <f t="shared" si="19"/>
        <v>7.8133485716925535E-2</v>
      </c>
      <c r="BB27" s="143"/>
      <c r="BC27" s="143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 t="s">
        <v>338</v>
      </c>
      <c r="BQ27" s="148" t="s">
        <v>338</v>
      </c>
      <c r="BR27" s="148" t="s">
        <v>338</v>
      </c>
      <c r="BS27" s="148" t="s">
        <v>338</v>
      </c>
    </row>
    <row r="28" spans="1:71" ht="15.75" customHeight="1" x14ac:dyDescent="0.25">
      <c r="A28" s="141">
        <v>44282</v>
      </c>
      <c r="B28" s="142">
        <v>112301</v>
      </c>
      <c r="C28" s="145">
        <v>123199</v>
      </c>
      <c r="D28" s="145">
        <v>102672</v>
      </c>
      <c r="E28" s="143">
        <f t="shared" si="0"/>
        <v>1.0970427689869191</v>
      </c>
      <c r="F28" s="143">
        <f t="shared" si="1"/>
        <v>0.91425721943704863</v>
      </c>
      <c r="G28" s="142">
        <v>911631</v>
      </c>
      <c r="H28" s="145">
        <v>425054</v>
      </c>
      <c r="I28" s="145">
        <v>31070</v>
      </c>
      <c r="J28" s="143">
        <f t="shared" si="2"/>
        <v>0.46625663234356884</v>
      </c>
      <c r="K28" s="143">
        <f t="shared" si="3"/>
        <v>3.4081772120518057E-2</v>
      </c>
      <c r="L28" s="142">
        <v>1976757</v>
      </c>
      <c r="M28" s="145">
        <v>573482</v>
      </c>
      <c r="N28" s="145">
        <v>217379</v>
      </c>
      <c r="O28" s="143">
        <f t="shared" si="4"/>
        <v>0.29011254291751593</v>
      </c>
      <c r="P28" s="143">
        <f t="shared" si="5"/>
        <v>0.10996748715193623</v>
      </c>
      <c r="Q28" s="142">
        <v>3000689</v>
      </c>
      <c r="R28" s="142">
        <f t="shared" ref="R28:S28" si="62">C28+H28+M28</f>
        <v>1121735</v>
      </c>
      <c r="S28" s="142">
        <f t="shared" si="62"/>
        <v>351121</v>
      </c>
      <c r="T28" s="144">
        <f t="shared" si="8"/>
        <v>0.37382581133866255</v>
      </c>
      <c r="U28" s="144">
        <f t="shared" si="9"/>
        <v>0.11701345924219404</v>
      </c>
      <c r="V28" s="144"/>
      <c r="W28" s="144"/>
      <c r="X28" s="144"/>
      <c r="Y28" s="144"/>
      <c r="Z28" s="144"/>
      <c r="AA28" s="144"/>
      <c r="AB28" s="144"/>
      <c r="AC28" s="142"/>
      <c r="AD28" s="142"/>
      <c r="AE28" s="142"/>
      <c r="AF28" s="142"/>
      <c r="AG28" s="142"/>
      <c r="AH28" s="142">
        <v>1468764</v>
      </c>
      <c r="AI28" s="145">
        <v>1429532</v>
      </c>
      <c r="AJ28" s="145">
        <v>1272381</v>
      </c>
      <c r="AK28" s="143">
        <f t="shared" si="10"/>
        <v>0.97328910566980131</v>
      </c>
      <c r="AL28" s="143">
        <f t="shared" si="11"/>
        <v>0.8662937000089872</v>
      </c>
      <c r="AM28" s="145">
        <v>21553118</v>
      </c>
      <c r="AN28" s="145">
        <v>1394731</v>
      </c>
      <c r="AO28" s="145">
        <v>93529</v>
      </c>
      <c r="AP28" s="143">
        <f t="shared" si="12"/>
        <v>6.4711333181584216E-2</v>
      </c>
      <c r="AQ28" s="143">
        <f t="shared" si="13"/>
        <v>4.3394649442368384E-3</v>
      </c>
      <c r="AR28" s="142">
        <v>17327169</v>
      </c>
      <c r="AS28" s="145">
        <v>4312074</v>
      </c>
      <c r="AT28" s="145">
        <v>1857872</v>
      </c>
      <c r="AU28" s="143">
        <f t="shared" si="14"/>
        <v>0.24886200394305613</v>
      </c>
      <c r="AV28" s="143">
        <f t="shared" si="15"/>
        <v>0.10722305530695753</v>
      </c>
      <c r="AW28" s="146">
        <f t="shared" si="16"/>
        <v>40349051</v>
      </c>
      <c r="AX28" s="145">
        <f t="shared" ref="AX28:AY28" si="63">AI28+AN28+AS28</f>
        <v>7136337</v>
      </c>
      <c r="AY28" s="149">
        <f t="shared" si="63"/>
        <v>3223782</v>
      </c>
      <c r="AZ28" s="143">
        <f t="shared" si="18"/>
        <v>0.17686505191906496</v>
      </c>
      <c r="BA28" s="143">
        <f t="shared" si="19"/>
        <v>7.9897343806177745E-2</v>
      </c>
      <c r="BB28" s="143"/>
      <c r="BC28" s="143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 t="s">
        <v>338</v>
      </c>
      <c r="BQ28" s="148" t="s">
        <v>338</v>
      </c>
      <c r="BR28" s="148" t="s">
        <v>338</v>
      </c>
      <c r="BS28" s="148" t="s">
        <v>338</v>
      </c>
    </row>
    <row r="29" spans="1:71" ht="14.5" x14ac:dyDescent="0.25">
      <c r="A29" s="141">
        <v>44283</v>
      </c>
      <c r="B29" s="142">
        <v>112301</v>
      </c>
      <c r="C29" s="145">
        <v>123199</v>
      </c>
      <c r="D29" s="145">
        <v>102692</v>
      </c>
      <c r="E29" s="143">
        <f t="shared" si="0"/>
        <v>1.0970427689869191</v>
      </c>
      <c r="F29" s="143">
        <f t="shared" si="1"/>
        <v>0.91443531224120889</v>
      </c>
      <c r="G29" s="142">
        <v>911631</v>
      </c>
      <c r="H29" s="145">
        <v>431190</v>
      </c>
      <c r="I29" s="145">
        <v>31149</v>
      </c>
      <c r="J29" s="143">
        <f t="shared" si="2"/>
        <v>0.47298742583347869</v>
      </c>
      <c r="K29" s="143">
        <f t="shared" si="3"/>
        <v>3.4168429989765596E-2</v>
      </c>
      <c r="L29" s="142">
        <v>1976757</v>
      </c>
      <c r="M29" s="145">
        <v>585999</v>
      </c>
      <c r="N29" s="145">
        <v>219264</v>
      </c>
      <c r="O29" s="143">
        <f t="shared" si="4"/>
        <v>0.29644463128244897</v>
      </c>
      <c r="P29" s="143">
        <f t="shared" si="5"/>
        <v>0.11092106920577491</v>
      </c>
      <c r="Q29" s="142">
        <v>3000689</v>
      </c>
      <c r="R29" s="142">
        <f t="shared" ref="R29:S29" si="64">C29+H29+M29</f>
        <v>1140388</v>
      </c>
      <c r="S29" s="142">
        <f t="shared" si="64"/>
        <v>353105</v>
      </c>
      <c r="T29" s="144">
        <f t="shared" si="8"/>
        <v>0.38004205034243804</v>
      </c>
      <c r="U29" s="144">
        <f t="shared" si="9"/>
        <v>0.11767464072418035</v>
      </c>
      <c r="V29" s="144"/>
      <c r="W29" s="144"/>
      <c r="X29" s="144"/>
      <c r="Y29" s="144"/>
      <c r="Z29" s="144"/>
      <c r="AA29" s="144"/>
      <c r="AB29" s="144"/>
      <c r="AC29" s="142"/>
      <c r="AD29" s="142"/>
      <c r="AE29" s="142"/>
      <c r="AF29" s="142"/>
      <c r="AG29" s="142"/>
      <c r="AH29" s="142">
        <v>1468764</v>
      </c>
      <c r="AI29" s="145">
        <v>1430428</v>
      </c>
      <c r="AJ29" s="145">
        <v>1273417</v>
      </c>
      <c r="AK29" s="143">
        <f t="shared" si="10"/>
        <v>0.97389914240817455</v>
      </c>
      <c r="AL29" s="143">
        <f t="shared" si="11"/>
        <v>0.86699905498773122</v>
      </c>
      <c r="AM29" s="145">
        <v>21553118</v>
      </c>
      <c r="AN29" s="145">
        <v>1414656</v>
      </c>
      <c r="AO29" s="145">
        <v>101709</v>
      </c>
      <c r="AP29" s="143">
        <f t="shared" si="12"/>
        <v>6.5635793391935218E-2</v>
      </c>
      <c r="AQ29" s="143">
        <f t="shared" si="13"/>
        <v>4.7189923982228462E-3</v>
      </c>
      <c r="AR29" s="142">
        <v>17327169</v>
      </c>
      <c r="AS29" s="145">
        <v>4405955</v>
      </c>
      <c r="AT29" s="145">
        <v>1871683</v>
      </c>
      <c r="AU29" s="143">
        <f t="shared" si="14"/>
        <v>0.25428014235908936</v>
      </c>
      <c r="AV29" s="143">
        <f t="shared" si="15"/>
        <v>0.10802012723486451</v>
      </c>
      <c r="AW29" s="146">
        <f t="shared" si="16"/>
        <v>40349051</v>
      </c>
      <c r="AX29" s="145">
        <f t="shared" ref="AX29:AY29" si="65">AI29+AN29+AS29</f>
        <v>7251039</v>
      </c>
      <c r="AY29" s="149">
        <f t="shared" si="65"/>
        <v>3246809</v>
      </c>
      <c r="AZ29" s="143">
        <f t="shared" si="18"/>
        <v>0.17970779535806183</v>
      </c>
      <c r="BA29" s="143">
        <f t="shared" si="19"/>
        <v>8.0468038765025729E-2</v>
      </c>
      <c r="BB29" s="143"/>
      <c r="BC29" s="143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 t="s">
        <v>338</v>
      </c>
      <c r="BQ29" s="148" t="s">
        <v>338</v>
      </c>
      <c r="BR29" s="148" t="s">
        <v>338</v>
      </c>
      <c r="BS29" s="148" t="s">
        <v>338</v>
      </c>
    </row>
    <row r="30" spans="1:71" ht="14.5" x14ac:dyDescent="0.25">
      <c r="A30" s="141">
        <v>44284</v>
      </c>
      <c r="B30" s="142">
        <v>112301</v>
      </c>
      <c r="C30" s="145">
        <v>123199</v>
      </c>
      <c r="D30" s="145">
        <v>103537</v>
      </c>
      <c r="E30" s="143">
        <f t="shared" si="0"/>
        <v>1.0970427689869191</v>
      </c>
      <c r="F30" s="143">
        <f t="shared" si="1"/>
        <v>0.92195973321697933</v>
      </c>
      <c r="G30" s="142">
        <v>911631</v>
      </c>
      <c r="H30" s="145">
        <v>444817</v>
      </c>
      <c r="I30" s="145">
        <v>42494</v>
      </c>
      <c r="J30" s="143">
        <f t="shared" si="2"/>
        <v>0.48793535981115166</v>
      </c>
      <c r="K30" s="143">
        <f t="shared" si="3"/>
        <v>4.661315817474395E-2</v>
      </c>
      <c r="L30" s="142">
        <v>1976757</v>
      </c>
      <c r="M30" s="145">
        <v>610227</v>
      </c>
      <c r="N30" s="145">
        <v>242034</v>
      </c>
      <c r="O30" s="143">
        <f t="shared" si="4"/>
        <v>0.3087010694789496</v>
      </c>
      <c r="P30" s="143">
        <f t="shared" si="5"/>
        <v>0.12243993571288732</v>
      </c>
      <c r="Q30" s="142">
        <v>3000689</v>
      </c>
      <c r="R30" s="142">
        <f t="shared" ref="R30:S30" si="66">C30+H30+M30</f>
        <v>1178243</v>
      </c>
      <c r="S30" s="142">
        <f t="shared" si="66"/>
        <v>388065</v>
      </c>
      <c r="T30" s="144">
        <f t="shared" si="8"/>
        <v>0.3926574863306394</v>
      </c>
      <c r="U30" s="144">
        <f t="shared" si="9"/>
        <v>0.12932529828982611</v>
      </c>
      <c r="V30" s="144"/>
      <c r="W30" s="144"/>
      <c r="X30" s="144"/>
      <c r="Y30" s="144"/>
      <c r="Z30" s="144"/>
      <c r="AA30" s="144"/>
      <c r="AB30" s="144"/>
      <c r="AC30" s="142"/>
      <c r="AD30" s="142"/>
      <c r="AE30" s="142"/>
      <c r="AF30" s="142"/>
      <c r="AG30" s="142"/>
      <c r="AH30" s="142">
        <v>1468764</v>
      </c>
      <c r="AI30" s="145">
        <v>1432153</v>
      </c>
      <c r="AJ30" s="145">
        <v>1275981</v>
      </c>
      <c r="AK30" s="143">
        <f t="shared" si="10"/>
        <v>0.97507359929845772</v>
      </c>
      <c r="AL30" s="143">
        <f t="shared" si="11"/>
        <v>0.8687447404756653</v>
      </c>
      <c r="AM30" s="145">
        <v>21553118</v>
      </c>
      <c r="AN30" s="145">
        <v>1453977</v>
      </c>
      <c r="AO30" s="145">
        <v>118546</v>
      </c>
      <c r="AP30" s="143">
        <f t="shared" si="12"/>
        <v>6.7460169800026143E-2</v>
      </c>
      <c r="AQ30" s="143">
        <f t="shared" si="13"/>
        <v>5.5001786748441689E-3</v>
      </c>
      <c r="AR30" s="142">
        <v>17327169</v>
      </c>
      <c r="AS30" s="145">
        <v>4549721</v>
      </c>
      <c r="AT30" s="145">
        <v>1936112</v>
      </c>
      <c r="AU30" s="143">
        <f t="shared" si="14"/>
        <v>0.26257728541806225</v>
      </c>
      <c r="AV30" s="143">
        <f t="shared" si="15"/>
        <v>0.11173850731184073</v>
      </c>
      <c r="AW30" s="146">
        <f t="shared" si="16"/>
        <v>40349051</v>
      </c>
      <c r="AX30" s="145">
        <f t="shared" ref="AX30:AY30" si="67">AI30+AN30+AS30</f>
        <v>7435851</v>
      </c>
      <c r="AY30" s="149">
        <f t="shared" si="67"/>
        <v>3330639</v>
      </c>
      <c r="AZ30" s="143">
        <f t="shared" si="18"/>
        <v>0.1842881261321363</v>
      </c>
      <c r="BA30" s="143">
        <f t="shared" si="19"/>
        <v>8.2545658880552111E-2</v>
      </c>
      <c r="BB30" s="143"/>
      <c r="BC30" s="143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 t="s">
        <v>338</v>
      </c>
      <c r="BQ30" s="148" t="s">
        <v>338</v>
      </c>
      <c r="BR30" s="148" t="s">
        <v>338</v>
      </c>
      <c r="BS30" s="148" t="s">
        <v>338</v>
      </c>
    </row>
    <row r="31" spans="1:71" ht="14.5" x14ac:dyDescent="0.25">
      <c r="A31" s="141">
        <v>44285</v>
      </c>
      <c r="B31" s="142">
        <v>112301</v>
      </c>
      <c r="C31" s="145">
        <v>123199</v>
      </c>
      <c r="D31" s="145">
        <v>104246</v>
      </c>
      <c r="E31" s="143">
        <f t="shared" si="0"/>
        <v>1.0970427689869191</v>
      </c>
      <c r="F31" s="143">
        <f t="shared" si="1"/>
        <v>0.9282731231244602</v>
      </c>
      <c r="G31" s="142">
        <v>911631</v>
      </c>
      <c r="H31" s="145">
        <v>460787</v>
      </c>
      <c r="I31" s="145">
        <v>54834</v>
      </c>
      <c r="J31" s="143">
        <f t="shared" si="2"/>
        <v>0.50545341261979904</v>
      </c>
      <c r="K31" s="143">
        <f t="shared" si="3"/>
        <v>6.014933673821974E-2</v>
      </c>
      <c r="L31" s="142">
        <v>1976757</v>
      </c>
      <c r="M31" s="145">
        <v>636631</v>
      </c>
      <c r="N31" s="145">
        <v>266245</v>
      </c>
      <c r="O31" s="143">
        <f t="shared" si="4"/>
        <v>0.3220583005397224</v>
      </c>
      <c r="P31" s="143">
        <f t="shared" si="5"/>
        <v>0.13468777396513582</v>
      </c>
      <c r="Q31" s="142">
        <v>3000689</v>
      </c>
      <c r="R31" s="142">
        <f t="shared" ref="R31:S31" si="68">C31+H31+M31</f>
        <v>1220617</v>
      </c>
      <c r="S31" s="142">
        <f t="shared" si="68"/>
        <v>425325</v>
      </c>
      <c r="T31" s="144">
        <f t="shared" si="8"/>
        <v>0.40677890977705455</v>
      </c>
      <c r="U31" s="144">
        <f t="shared" si="9"/>
        <v>0.14174244648479065</v>
      </c>
      <c r="V31" s="144"/>
      <c r="W31" s="144"/>
      <c r="X31" s="144"/>
      <c r="Y31" s="144"/>
      <c r="Z31" s="144"/>
      <c r="AA31" s="144"/>
      <c r="AB31" s="144"/>
      <c r="AC31" s="142"/>
      <c r="AD31" s="142"/>
      <c r="AE31" s="142"/>
      <c r="AF31" s="142"/>
      <c r="AG31" s="142"/>
      <c r="AH31" s="142">
        <v>1468764</v>
      </c>
      <c r="AI31" s="145">
        <v>1435351</v>
      </c>
      <c r="AJ31" s="145">
        <v>1282214</v>
      </c>
      <c r="AK31" s="143">
        <f t="shared" si="10"/>
        <v>0.97725094024635684</v>
      </c>
      <c r="AL31" s="143">
        <f t="shared" si="11"/>
        <v>0.87298844470588877</v>
      </c>
      <c r="AM31" s="145">
        <v>21553118</v>
      </c>
      <c r="AN31" s="145">
        <v>1546269</v>
      </c>
      <c r="AO31" s="145">
        <v>159823</v>
      </c>
      <c r="AP31" s="143">
        <f t="shared" si="12"/>
        <v>7.1742241656172434E-2</v>
      </c>
      <c r="AQ31" s="143">
        <f t="shared" si="13"/>
        <v>7.4153076134970356E-3</v>
      </c>
      <c r="AR31" s="142">
        <v>17327169</v>
      </c>
      <c r="AS31" s="145">
        <v>4858404</v>
      </c>
      <c r="AT31" s="145">
        <v>2119155</v>
      </c>
      <c r="AU31" s="143">
        <f t="shared" si="14"/>
        <v>0.28039225565353465</v>
      </c>
      <c r="AV31" s="143">
        <f t="shared" si="15"/>
        <v>0.1223024372879378</v>
      </c>
      <c r="AW31" s="146">
        <f t="shared" si="16"/>
        <v>40349051</v>
      </c>
      <c r="AX31" s="145">
        <f t="shared" ref="AX31:AY31" si="69">AI31+AN31+AS31</f>
        <v>7840024</v>
      </c>
      <c r="AY31" s="149">
        <f t="shared" si="69"/>
        <v>3561192</v>
      </c>
      <c r="AZ31" s="143">
        <f t="shared" si="18"/>
        <v>0.1943050407802652</v>
      </c>
      <c r="BA31" s="143">
        <f t="shared" si="19"/>
        <v>8.8259622264721907E-2</v>
      </c>
      <c r="BB31" s="143"/>
      <c r="BC31" s="143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 t="s">
        <v>338</v>
      </c>
      <c r="BQ31" s="148" t="s">
        <v>338</v>
      </c>
      <c r="BR31" s="148" t="s">
        <v>338</v>
      </c>
      <c r="BS31" s="148" t="s">
        <v>338</v>
      </c>
    </row>
    <row r="32" spans="1:71" ht="14.5" x14ac:dyDescent="0.25">
      <c r="A32" s="141">
        <v>44286</v>
      </c>
      <c r="B32" s="142">
        <v>112301</v>
      </c>
      <c r="C32" s="145">
        <v>123199</v>
      </c>
      <c r="D32" s="145">
        <v>104773</v>
      </c>
      <c r="E32" s="143">
        <f t="shared" si="0"/>
        <v>1.0970427689869191</v>
      </c>
      <c r="F32" s="143">
        <f t="shared" si="1"/>
        <v>0.9329658685140827</v>
      </c>
      <c r="G32" s="142">
        <v>911631</v>
      </c>
      <c r="H32" s="145">
        <v>475190</v>
      </c>
      <c r="I32" s="145">
        <v>66739</v>
      </c>
      <c r="J32" s="143">
        <f t="shared" si="2"/>
        <v>0.52125256819919463</v>
      </c>
      <c r="K32" s="143">
        <f t="shared" si="3"/>
        <v>7.3208348553307198E-2</v>
      </c>
      <c r="L32" s="142">
        <v>1976757</v>
      </c>
      <c r="M32" s="145">
        <v>668989</v>
      </c>
      <c r="N32" s="145">
        <v>287470</v>
      </c>
      <c r="O32" s="143">
        <f t="shared" si="4"/>
        <v>0.33842753560503391</v>
      </c>
      <c r="P32" s="143">
        <f t="shared" si="5"/>
        <v>0.14542505730345207</v>
      </c>
      <c r="Q32" s="142">
        <v>3000689</v>
      </c>
      <c r="R32" s="142">
        <f t="shared" ref="R32:S32" si="70">C32+H32+M32</f>
        <v>1267378</v>
      </c>
      <c r="S32" s="142">
        <f t="shared" si="70"/>
        <v>458982</v>
      </c>
      <c r="T32" s="144">
        <f t="shared" si="8"/>
        <v>0.42236233078469643</v>
      </c>
      <c r="U32" s="144">
        <f t="shared" si="9"/>
        <v>0.15295887044608755</v>
      </c>
      <c r="V32" s="144"/>
      <c r="W32" s="144"/>
      <c r="X32" s="144"/>
      <c r="Y32" s="144"/>
      <c r="Z32" s="144"/>
      <c r="AA32" s="144"/>
      <c r="AB32" s="144"/>
      <c r="AC32" s="142"/>
      <c r="AD32" s="142"/>
      <c r="AE32" s="142"/>
      <c r="AF32" s="142"/>
      <c r="AG32" s="142"/>
      <c r="AH32" s="142">
        <v>1468764</v>
      </c>
      <c r="AI32" s="145">
        <v>1438016</v>
      </c>
      <c r="AJ32" s="145">
        <v>1286168</v>
      </c>
      <c r="AK32" s="143">
        <f t="shared" si="10"/>
        <v>0.97906539103627266</v>
      </c>
      <c r="AL32" s="143">
        <f t="shared" si="11"/>
        <v>0.87568050415179022</v>
      </c>
      <c r="AM32" s="145">
        <v>21553118</v>
      </c>
      <c r="AN32" s="145">
        <v>1616340</v>
      </c>
      <c r="AO32" s="145">
        <v>183141</v>
      </c>
      <c r="AP32" s="143">
        <f t="shared" si="12"/>
        <v>7.4993325791655754E-2</v>
      </c>
      <c r="AQ32" s="143">
        <f t="shared" si="13"/>
        <v>8.4971928423534827E-3</v>
      </c>
      <c r="AR32" s="142">
        <v>17327169</v>
      </c>
      <c r="AS32" s="145">
        <v>5061358</v>
      </c>
      <c r="AT32" s="145">
        <v>2247772</v>
      </c>
      <c r="AU32" s="143">
        <f t="shared" si="14"/>
        <v>0.29210530583501554</v>
      </c>
      <c r="AV32" s="143">
        <f t="shared" si="15"/>
        <v>0.12972528864928828</v>
      </c>
      <c r="AW32" s="146">
        <f t="shared" si="16"/>
        <v>40349051</v>
      </c>
      <c r="AX32" s="145">
        <f t="shared" ref="AX32:AY32" si="71">AI32+AN32+AS32</f>
        <v>8115714</v>
      </c>
      <c r="AY32" s="149">
        <f t="shared" si="71"/>
        <v>3717081</v>
      </c>
      <c r="AZ32" s="143">
        <f t="shared" si="18"/>
        <v>0.20113766740139688</v>
      </c>
      <c r="BA32" s="143">
        <f t="shared" si="19"/>
        <v>9.2123133205784691E-2</v>
      </c>
      <c r="BB32" s="143"/>
      <c r="BC32" s="143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 t="s">
        <v>338</v>
      </c>
      <c r="BQ32" s="148" t="s">
        <v>338</v>
      </c>
      <c r="BR32" s="148" t="s">
        <v>338</v>
      </c>
      <c r="BS32" s="148" t="s">
        <v>338</v>
      </c>
    </row>
    <row r="33" spans="1:71" ht="14.5" x14ac:dyDescent="0.25">
      <c r="A33" s="141">
        <v>44287</v>
      </c>
      <c r="B33" s="142">
        <v>112301</v>
      </c>
      <c r="C33" s="145">
        <v>124396</v>
      </c>
      <c r="D33" s="145">
        <v>107368</v>
      </c>
      <c r="E33" s="143">
        <f t="shared" si="0"/>
        <v>1.1077016233159098</v>
      </c>
      <c r="F33" s="143">
        <f t="shared" si="1"/>
        <v>0.9560734098538749</v>
      </c>
      <c r="G33" s="142">
        <v>911631</v>
      </c>
      <c r="H33" s="145">
        <v>477295</v>
      </c>
      <c r="I33" s="145">
        <v>77431</v>
      </c>
      <c r="J33" s="143">
        <f t="shared" si="2"/>
        <v>0.52356161648737265</v>
      </c>
      <c r="K33" s="143">
        <f t="shared" si="3"/>
        <v>8.4936778148176184E-2</v>
      </c>
      <c r="L33" s="142">
        <v>1976757</v>
      </c>
      <c r="M33" s="145">
        <v>699688</v>
      </c>
      <c r="N33" s="145">
        <v>300935</v>
      </c>
      <c r="O33" s="143">
        <f t="shared" si="4"/>
        <v>0.35395751728715263</v>
      </c>
      <c r="P33" s="143">
        <f t="shared" si="5"/>
        <v>0.15223671903020958</v>
      </c>
      <c r="Q33" s="142">
        <v>3000689</v>
      </c>
      <c r="R33" s="142">
        <f t="shared" ref="R33:S33" si="72">C33+H33+M33</f>
        <v>1301379</v>
      </c>
      <c r="S33" s="142">
        <f t="shared" si="72"/>
        <v>485734</v>
      </c>
      <c r="T33" s="144">
        <f t="shared" si="8"/>
        <v>0.43369339508359578</v>
      </c>
      <c r="U33" s="144">
        <f t="shared" si="9"/>
        <v>0.16187415623545126</v>
      </c>
      <c r="V33" s="144"/>
      <c r="W33" s="144"/>
      <c r="X33" s="144"/>
      <c r="Y33" s="144"/>
      <c r="Z33" s="144"/>
      <c r="AA33" s="144"/>
      <c r="AB33" s="144"/>
      <c r="AC33" s="142"/>
      <c r="AD33" s="142"/>
      <c r="AE33" s="142"/>
      <c r="AF33" s="142"/>
      <c r="AG33" s="142"/>
      <c r="AH33" s="142">
        <v>1468764</v>
      </c>
      <c r="AI33" s="145">
        <v>1440648</v>
      </c>
      <c r="AJ33" s="145">
        <v>1289711</v>
      </c>
      <c r="AK33" s="143">
        <f t="shared" si="10"/>
        <v>0.98085737395524397</v>
      </c>
      <c r="AL33" s="143">
        <f t="shared" si="11"/>
        <v>0.87809273647774588</v>
      </c>
      <c r="AM33" s="145">
        <v>21553118</v>
      </c>
      <c r="AN33" s="145">
        <v>1672730</v>
      </c>
      <c r="AO33" s="145">
        <v>213333</v>
      </c>
      <c r="AP33" s="143">
        <f t="shared" si="12"/>
        <v>7.7609652580197447E-2</v>
      </c>
      <c r="AQ33" s="143">
        <f t="shared" si="13"/>
        <v>9.8980110441561162E-3</v>
      </c>
      <c r="AR33" s="142">
        <v>17327169</v>
      </c>
      <c r="AS33" s="145">
        <v>5258199</v>
      </c>
      <c r="AT33" s="145">
        <v>2351407</v>
      </c>
      <c r="AU33" s="143">
        <f t="shared" si="14"/>
        <v>0.30346555747219872</v>
      </c>
      <c r="AV33" s="143">
        <f t="shared" si="15"/>
        <v>0.13570635803229023</v>
      </c>
      <c r="AW33" s="146">
        <f t="shared" si="16"/>
        <v>40349051</v>
      </c>
      <c r="AX33" s="145">
        <f t="shared" ref="AX33:AY33" si="73">AI33+AN33+AS33</f>
        <v>8371577</v>
      </c>
      <c r="AY33" s="149">
        <f t="shared" si="73"/>
        <v>3854451</v>
      </c>
      <c r="AZ33" s="143">
        <f t="shared" si="18"/>
        <v>0.20747890700081148</v>
      </c>
      <c r="BA33" s="143">
        <f t="shared" si="19"/>
        <v>9.5527674244432662E-2</v>
      </c>
      <c r="BB33" s="143"/>
      <c r="BC33" s="143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 t="s">
        <v>338</v>
      </c>
      <c r="BQ33" s="148" t="s">
        <v>338</v>
      </c>
      <c r="BR33" s="148" t="s">
        <v>338</v>
      </c>
      <c r="BS33" s="148" t="s">
        <v>338</v>
      </c>
    </row>
    <row r="34" spans="1:71" ht="14.5" x14ac:dyDescent="0.25">
      <c r="A34" s="141">
        <v>44288</v>
      </c>
      <c r="B34" s="142">
        <v>112301</v>
      </c>
      <c r="C34" s="145">
        <v>124396</v>
      </c>
      <c r="D34" s="145">
        <v>107368</v>
      </c>
      <c r="E34" s="143">
        <f t="shared" si="0"/>
        <v>1.1077016233159098</v>
      </c>
      <c r="F34" s="143">
        <f t="shared" si="1"/>
        <v>0.9560734098538749</v>
      </c>
      <c r="G34" s="142">
        <v>911631</v>
      </c>
      <c r="H34" s="145">
        <v>485807</v>
      </c>
      <c r="I34" s="145">
        <v>80541</v>
      </c>
      <c r="J34" s="143">
        <f t="shared" si="2"/>
        <v>0.5328987276650311</v>
      </c>
      <c r="K34" s="143">
        <f t="shared" si="3"/>
        <v>8.8348246165389291E-2</v>
      </c>
      <c r="L34" s="142">
        <v>1976757</v>
      </c>
      <c r="M34" s="145">
        <v>715419</v>
      </c>
      <c r="N34" s="145">
        <v>302306</v>
      </c>
      <c r="O34" s="143">
        <f t="shared" si="4"/>
        <v>0.36191550099481118</v>
      </c>
      <c r="P34" s="143">
        <f t="shared" si="5"/>
        <v>0.15293027924018987</v>
      </c>
      <c r="Q34" s="142">
        <v>3000689</v>
      </c>
      <c r="R34" s="142">
        <f t="shared" ref="R34:S34" si="74">C34+H34+M34</f>
        <v>1325622</v>
      </c>
      <c r="S34" s="142">
        <f t="shared" si="74"/>
        <v>490215</v>
      </c>
      <c r="T34" s="144">
        <f t="shared" si="8"/>
        <v>0.44177253957341128</v>
      </c>
      <c r="U34" s="144">
        <f t="shared" si="9"/>
        <v>0.16336747993544148</v>
      </c>
      <c r="V34" s="144"/>
      <c r="W34" s="144"/>
      <c r="X34" s="144"/>
      <c r="Y34" s="144"/>
      <c r="Z34" s="144"/>
      <c r="AA34" s="144"/>
      <c r="AB34" s="144"/>
      <c r="AC34" s="142"/>
      <c r="AD34" s="142"/>
      <c r="AE34" s="142"/>
      <c r="AF34" s="142"/>
      <c r="AG34" s="142"/>
      <c r="AH34" s="142">
        <v>1468764</v>
      </c>
      <c r="AI34" s="145">
        <v>1441069</v>
      </c>
      <c r="AJ34" s="145">
        <v>1290437</v>
      </c>
      <c r="AK34" s="143">
        <f t="shared" si="10"/>
        <v>0.9811440095209305</v>
      </c>
      <c r="AL34" s="143">
        <f t="shared" si="11"/>
        <v>0.87858702963852597</v>
      </c>
      <c r="AM34" s="145">
        <v>21553118</v>
      </c>
      <c r="AN34" s="145">
        <v>1679615</v>
      </c>
      <c r="AO34" s="145">
        <v>217777</v>
      </c>
      <c r="AP34" s="143">
        <f t="shared" si="12"/>
        <v>7.7929095920135541E-2</v>
      </c>
      <c r="AQ34" s="143">
        <f t="shared" si="13"/>
        <v>1.0104199308888858E-2</v>
      </c>
      <c r="AR34" s="142">
        <v>17327169</v>
      </c>
      <c r="AS34" s="145">
        <v>5304045</v>
      </c>
      <c r="AT34" s="145">
        <v>2359548</v>
      </c>
      <c r="AU34" s="143">
        <f t="shared" si="14"/>
        <v>0.3061114599851828</v>
      </c>
      <c r="AV34" s="143">
        <f t="shared" si="15"/>
        <v>0.13617619820064086</v>
      </c>
      <c r="AW34" s="146">
        <f t="shared" si="16"/>
        <v>40349051</v>
      </c>
      <c r="AX34" s="145">
        <f t="shared" ref="AX34:AY34" si="75">AI34+AN34+AS34</f>
        <v>8424729</v>
      </c>
      <c r="AY34" s="149">
        <f t="shared" si="75"/>
        <v>3867762</v>
      </c>
      <c r="AZ34" s="143">
        <f t="shared" si="18"/>
        <v>0.20879621183655594</v>
      </c>
      <c r="BA34" s="143">
        <f t="shared" si="19"/>
        <v>9.5857570479166904E-2</v>
      </c>
      <c r="BB34" s="143"/>
      <c r="BC34" s="143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 t="s">
        <v>338</v>
      </c>
      <c r="BQ34" s="148" t="s">
        <v>338</v>
      </c>
      <c r="BR34" s="148" t="s">
        <v>338</v>
      </c>
      <c r="BS34" s="148" t="s">
        <v>338</v>
      </c>
    </row>
    <row r="35" spans="1:71" ht="14.5" x14ac:dyDescent="0.25">
      <c r="A35" s="141">
        <v>44289</v>
      </c>
      <c r="B35" s="142">
        <v>112301</v>
      </c>
      <c r="C35" s="145">
        <v>121845</v>
      </c>
      <c r="D35" s="145">
        <v>105485</v>
      </c>
      <c r="E35" s="143">
        <f t="shared" si="0"/>
        <v>1.0849858861452704</v>
      </c>
      <c r="F35" s="143">
        <f t="shared" si="1"/>
        <v>0.93930597234218749</v>
      </c>
      <c r="G35" s="142">
        <v>911631</v>
      </c>
      <c r="H35" s="145">
        <v>487262</v>
      </c>
      <c r="I35" s="145">
        <v>83140</v>
      </c>
      <c r="J35" s="143">
        <f t="shared" si="2"/>
        <v>0.53449476816826103</v>
      </c>
      <c r="K35" s="143">
        <f t="shared" si="3"/>
        <v>9.1199180370127822E-2</v>
      </c>
      <c r="L35" s="142">
        <v>1976757</v>
      </c>
      <c r="M35" s="145">
        <v>730364</v>
      </c>
      <c r="N35" s="145">
        <v>305602</v>
      </c>
      <c r="O35" s="143">
        <f t="shared" si="4"/>
        <v>0.36947586375057734</v>
      </c>
      <c r="P35" s="143">
        <f t="shared" si="5"/>
        <v>0.15459765666695502</v>
      </c>
      <c r="Q35" s="142">
        <v>3000689</v>
      </c>
      <c r="R35" s="142">
        <f t="shared" ref="R35:S35" si="76">C35+H35+M35</f>
        <v>1339471</v>
      </c>
      <c r="S35" s="142">
        <f t="shared" si="76"/>
        <v>494227</v>
      </c>
      <c r="T35" s="144">
        <f t="shared" si="8"/>
        <v>0.44638781293229657</v>
      </c>
      <c r="U35" s="144">
        <f t="shared" si="9"/>
        <v>0.16470450619840976</v>
      </c>
      <c r="V35" s="144"/>
      <c r="W35" s="144"/>
      <c r="X35" s="144"/>
      <c r="Y35" s="144"/>
      <c r="Z35" s="144"/>
      <c r="AA35" s="144"/>
      <c r="AB35" s="144"/>
      <c r="AC35" s="142"/>
      <c r="AD35" s="142"/>
      <c r="AE35" s="142"/>
      <c r="AF35" s="142"/>
      <c r="AG35" s="142"/>
      <c r="AH35" s="142">
        <v>1468764</v>
      </c>
      <c r="AI35" s="145">
        <v>1441529</v>
      </c>
      <c r="AJ35" s="145">
        <v>1292170</v>
      </c>
      <c r="AK35" s="143">
        <f t="shared" si="10"/>
        <v>0.98145719802500608</v>
      </c>
      <c r="AL35" s="143">
        <f t="shared" si="11"/>
        <v>0.8797669332854019</v>
      </c>
      <c r="AM35" s="145">
        <v>21553118</v>
      </c>
      <c r="AN35" s="145">
        <v>1706928</v>
      </c>
      <c r="AO35" s="145">
        <v>254973</v>
      </c>
      <c r="AP35" s="143">
        <f t="shared" si="12"/>
        <v>7.9196337161054842E-2</v>
      </c>
      <c r="AQ35" s="143">
        <f t="shared" si="13"/>
        <v>1.1829982093542104E-2</v>
      </c>
      <c r="AR35" s="142">
        <v>17327169</v>
      </c>
      <c r="AS35" s="145">
        <v>5396453</v>
      </c>
      <c r="AT35" s="145">
        <v>2407200</v>
      </c>
      <c r="AU35" s="143">
        <f t="shared" si="14"/>
        <v>0.31144458739913022</v>
      </c>
      <c r="AV35" s="143">
        <f t="shared" si="15"/>
        <v>0.13892633008889105</v>
      </c>
      <c r="AW35" s="146">
        <f t="shared" si="16"/>
        <v>40349051</v>
      </c>
      <c r="AX35" s="145">
        <f t="shared" ref="AX35:AY35" si="77">AI35+AN35+AS35</f>
        <v>8544910</v>
      </c>
      <c r="AY35" s="149">
        <f t="shared" si="77"/>
        <v>3954343</v>
      </c>
      <c r="AZ35" s="143">
        <f t="shared" si="18"/>
        <v>0.21177474533415916</v>
      </c>
      <c r="BA35" s="143">
        <f t="shared" si="19"/>
        <v>9.8003370636895529E-2</v>
      </c>
      <c r="BB35" s="143"/>
      <c r="BC35" s="143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 t="s">
        <v>338</v>
      </c>
      <c r="BQ35" s="148" t="s">
        <v>338</v>
      </c>
      <c r="BR35" s="148" t="s">
        <v>338</v>
      </c>
      <c r="BS35" s="148" t="s">
        <v>338</v>
      </c>
    </row>
    <row r="36" spans="1:71" ht="14.5" x14ac:dyDescent="0.25">
      <c r="A36" s="141">
        <v>44290</v>
      </c>
      <c r="B36" s="142">
        <v>112301</v>
      </c>
      <c r="C36" s="145">
        <v>121850</v>
      </c>
      <c r="D36" s="145">
        <v>105514</v>
      </c>
      <c r="E36" s="143">
        <f t="shared" si="0"/>
        <v>1.0850304093463103</v>
      </c>
      <c r="F36" s="143">
        <f t="shared" si="1"/>
        <v>0.93956420690821985</v>
      </c>
      <c r="G36" s="142">
        <v>911631</v>
      </c>
      <c r="H36" s="145">
        <v>488136</v>
      </c>
      <c r="I36" s="145">
        <v>83786</v>
      </c>
      <c r="J36" s="143">
        <f t="shared" si="2"/>
        <v>0.53545348940525284</v>
      </c>
      <c r="K36" s="143">
        <f t="shared" si="3"/>
        <v>9.1907800414860838E-2</v>
      </c>
      <c r="L36" s="142">
        <v>1976757</v>
      </c>
      <c r="M36" s="145">
        <v>742355</v>
      </c>
      <c r="N36" s="145">
        <v>308776</v>
      </c>
      <c r="O36" s="143">
        <f t="shared" si="4"/>
        <v>0.37554185972276816</v>
      </c>
      <c r="P36" s="143">
        <f t="shared" si="5"/>
        <v>0.15620331684673433</v>
      </c>
      <c r="Q36" s="142">
        <v>3000689</v>
      </c>
      <c r="R36" s="142">
        <f t="shared" ref="R36:S36" si="78">C36+H36+M36</f>
        <v>1352341</v>
      </c>
      <c r="S36" s="142">
        <f t="shared" si="78"/>
        <v>498076</v>
      </c>
      <c r="T36" s="144">
        <f t="shared" si="8"/>
        <v>0.45067682788852825</v>
      </c>
      <c r="U36" s="144">
        <f t="shared" si="9"/>
        <v>0.165987211603735</v>
      </c>
      <c r="V36" s="144"/>
      <c r="W36" s="144"/>
      <c r="X36" s="144"/>
      <c r="Y36" s="144"/>
      <c r="Z36" s="144"/>
      <c r="AA36" s="144"/>
      <c r="AB36" s="144"/>
      <c r="AC36" s="142"/>
      <c r="AD36" s="142"/>
      <c r="AE36" s="142"/>
      <c r="AF36" s="142"/>
      <c r="AG36" s="142"/>
      <c r="AH36" s="142">
        <v>1468764</v>
      </c>
      <c r="AI36" s="145">
        <v>1441914</v>
      </c>
      <c r="AJ36" s="145">
        <v>1293500</v>
      </c>
      <c r="AK36" s="143">
        <f t="shared" si="10"/>
        <v>0.98171932318602584</v>
      </c>
      <c r="AL36" s="143">
        <f t="shared" si="11"/>
        <v>0.88067245656892457</v>
      </c>
      <c r="AM36" s="145">
        <v>21553118</v>
      </c>
      <c r="AN36" s="145">
        <v>1721077</v>
      </c>
      <c r="AO36" s="145">
        <v>261638</v>
      </c>
      <c r="AP36" s="143">
        <f t="shared" si="12"/>
        <v>7.9852808303652406E-2</v>
      </c>
      <c r="AQ36" s="143">
        <f t="shared" si="13"/>
        <v>1.213921809364195E-2</v>
      </c>
      <c r="AR36" s="142">
        <v>17327169</v>
      </c>
      <c r="AS36" s="145">
        <v>5466191</v>
      </c>
      <c r="AT36" s="145">
        <v>2459263</v>
      </c>
      <c r="AU36" s="143">
        <f t="shared" si="14"/>
        <v>0.31546936490317606</v>
      </c>
      <c r="AV36" s="143">
        <f t="shared" si="15"/>
        <v>0.14193103328073964</v>
      </c>
      <c r="AW36" s="146">
        <f t="shared" si="16"/>
        <v>40349051</v>
      </c>
      <c r="AX36" s="145">
        <f t="shared" ref="AX36:AY36" si="79">AI36+AN36+AS36</f>
        <v>8629182</v>
      </c>
      <c r="AY36" s="149">
        <f t="shared" si="79"/>
        <v>4014401</v>
      </c>
      <c r="AZ36" s="143">
        <f t="shared" si="18"/>
        <v>0.21386331985850177</v>
      </c>
      <c r="BA36" s="143">
        <f t="shared" si="19"/>
        <v>9.9491831914460635E-2</v>
      </c>
      <c r="BB36" s="143"/>
      <c r="BC36" s="143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 t="s">
        <v>338</v>
      </c>
      <c r="BQ36" s="148" t="s">
        <v>338</v>
      </c>
      <c r="BR36" s="148" t="s">
        <v>338</v>
      </c>
      <c r="BS36" s="148" t="s">
        <v>338</v>
      </c>
    </row>
    <row r="37" spans="1:71" ht="14.5" x14ac:dyDescent="0.25">
      <c r="A37" s="141">
        <v>44291</v>
      </c>
      <c r="B37" s="142">
        <v>112301</v>
      </c>
      <c r="C37" s="145">
        <v>122092</v>
      </c>
      <c r="D37" s="145">
        <v>106037</v>
      </c>
      <c r="E37" s="143">
        <f t="shared" si="0"/>
        <v>1.0871853322766494</v>
      </c>
      <c r="F37" s="143">
        <f t="shared" si="1"/>
        <v>0.94422133373701034</v>
      </c>
      <c r="G37" s="142">
        <v>911631</v>
      </c>
      <c r="H37" s="145">
        <v>493235</v>
      </c>
      <c r="I37" s="145">
        <v>109251</v>
      </c>
      <c r="J37" s="143">
        <f t="shared" si="2"/>
        <v>0.54104676124440698</v>
      </c>
      <c r="K37" s="143">
        <f t="shared" si="3"/>
        <v>0.11984125155901895</v>
      </c>
      <c r="L37" s="142">
        <v>1976757</v>
      </c>
      <c r="M37" s="145">
        <v>771861</v>
      </c>
      <c r="N37" s="145">
        <v>330815</v>
      </c>
      <c r="O37" s="143">
        <f t="shared" si="4"/>
        <v>0.3904683276700171</v>
      </c>
      <c r="P37" s="143">
        <f t="shared" si="5"/>
        <v>0.16735238575100531</v>
      </c>
      <c r="Q37" s="142">
        <v>3000689</v>
      </c>
      <c r="R37" s="142">
        <f t="shared" ref="R37:S37" si="80">C37+H37+M37</f>
        <v>1387188</v>
      </c>
      <c r="S37" s="142">
        <f t="shared" si="80"/>
        <v>546103</v>
      </c>
      <c r="T37" s="144">
        <f t="shared" si="8"/>
        <v>0.46228982743629882</v>
      </c>
      <c r="U37" s="144">
        <f t="shared" si="9"/>
        <v>0.1819925357142976</v>
      </c>
      <c r="V37" s="144"/>
      <c r="W37" s="144"/>
      <c r="X37" s="144"/>
      <c r="Y37" s="144"/>
      <c r="Z37" s="144"/>
      <c r="AA37" s="144"/>
      <c r="AB37" s="144"/>
      <c r="AC37" s="142"/>
      <c r="AD37" s="142"/>
      <c r="AE37" s="142"/>
      <c r="AF37" s="142"/>
      <c r="AG37" s="142"/>
      <c r="AH37" s="142">
        <v>1468764</v>
      </c>
      <c r="AI37" s="145">
        <v>1443385</v>
      </c>
      <c r="AJ37" s="145">
        <v>1297351</v>
      </c>
      <c r="AK37" s="143">
        <f t="shared" si="10"/>
        <v>0.98272084555449346</v>
      </c>
      <c r="AL37" s="143">
        <f t="shared" si="11"/>
        <v>0.88329438902369617</v>
      </c>
      <c r="AM37" s="145">
        <v>21553118</v>
      </c>
      <c r="AN37" s="145">
        <v>1771003</v>
      </c>
      <c r="AO37" s="145">
        <v>329227</v>
      </c>
      <c r="AP37" s="143">
        <f t="shared" si="12"/>
        <v>8.2169224888946457E-2</v>
      </c>
      <c r="AQ37" s="143">
        <f t="shared" si="13"/>
        <v>1.5275144876950053E-2</v>
      </c>
      <c r="AR37" s="142">
        <v>17327169</v>
      </c>
      <c r="AS37" s="145">
        <v>5641985</v>
      </c>
      <c r="AT37" s="145">
        <v>2604222</v>
      </c>
      <c r="AU37" s="143">
        <f t="shared" si="14"/>
        <v>0.32561493455739943</v>
      </c>
      <c r="AV37" s="143">
        <f t="shared" si="15"/>
        <v>0.1502970277487338</v>
      </c>
      <c r="AW37" s="146">
        <f t="shared" si="16"/>
        <v>40349051</v>
      </c>
      <c r="AX37" s="145">
        <f t="shared" ref="AX37:AY37" si="81">AI37+AN37+AS37</f>
        <v>8856373</v>
      </c>
      <c r="AY37" s="149">
        <f t="shared" si="81"/>
        <v>4230800</v>
      </c>
      <c r="AZ37" s="143">
        <f t="shared" si="18"/>
        <v>0.2194939603412234</v>
      </c>
      <c r="BA37" s="143">
        <f t="shared" si="19"/>
        <v>0.10485500637920828</v>
      </c>
      <c r="BB37" s="143"/>
      <c r="BC37" s="143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 t="s">
        <v>338</v>
      </c>
      <c r="BQ37" s="148" t="s">
        <v>338</v>
      </c>
      <c r="BR37" s="148" t="s">
        <v>338</v>
      </c>
      <c r="BS37" s="148" t="s">
        <v>338</v>
      </c>
    </row>
    <row r="38" spans="1:71" ht="14.5" x14ac:dyDescent="0.25">
      <c r="A38" s="141">
        <v>44292</v>
      </c>
      <c r="B38" s="142">
        <v>112301</v>
      </c>
      <c r="C38" s="145">
        <v>122326</v>
      </c>
      <c r="D38" s="145">
        <v>106437</v>
      </c>
      <c r="E38" s="143">
        <f t="shared" si="0"/>
        <v>1.0892690180853242</v>
      </c>
      <c r="F38" s="143">
        <f t="shared" si="1"/>
        <v>0.94778318982021537</v>
      </c>
      <c r="G38" s="142">
        <v>911631</v>
      </c>
      <c r="H38" s="145">
        <v>496569</v>
      </c>
      <c r="I38" s="145">
        <v>124880</v>
      </c>
      <c r="J38" s="143">
        <f t="shared" si="2"/>
        <v>0.54470394271366374</v>
      </c>
      <c r="K38" s="143">
        <f t="shared" si="3"/>
        <v>0.136985249514332</v>
      </c>
      <c r="L38" s="142">
        <v>1976757</v>
      </c>
      <c r="M38" s="145">
        <v>796248</v>
      </c>
      <c r="N38" s="145">
        <v>349648</v>
      </c>
      <c r="O38" s="143">
        <f t="shared" si="4"/>
        <v>0.40280520063922881</v>
      </c>
      <c r="P38" s="143">
        <f t="shared" si="5"/>
        <v>0.17687960634514005</v>
      </c>
      <c r="Q38" s="142">
        <v>3000689</v>
      </c>
      <c r="R38" s="142">
        <f t="shared" ref="R38:S38" si="82">C38+H38+M38</f>
        <v>1415143</v>
      </c>
      <c r="S38" s="142">
        <f t="shared" si="82"/>
        <v>580965</v>
      </c>
      <c r="T38" s="144">
        <f t="shared" si="8"/>
        <v>0.47160602115047578</v>
      </c>
      <c r="U38" s="144">
        <f t="shared" si="9"/>
        <v>0.19361053411399848</v>
      </c>
      <c r="V38" s="144"/>
      <c r="W38" s="144"/>
      <c r="X38" s="144"/>
      <c r="Y38" s="144"/>
      <c r="Z38" s="144"/>
      <c r="AA38" s="144"/>
      <c r="AB38" s="144"/>
      <c r="AC38" s="142"/>
      <c r="AD38" s="142"/>
      <c r="AE38" s="142"/>
      <c r="AF38" s="142"/>
      <c r="AG38" s="142"/>
      <c r="AH38" s="142">
        <v>1468764</v>
      </c>
      <c r="AI38" s="145">
        <v>1444800</v>
      </c>
      <c r="AJ38" s="145">
        <v>1300745</v>
      </c>
      <c r="AK38" s="143">
        <f t="shared" si="10"/>
        <v>0.9836842406268127</v>
      </c>
      <c r="AL38" s="143">
        <f t="shared" si="11"/>
        <v>0.88560517550811435</v>
      </c>
      <c r="AM38" s="145">
        <v>21553118</v>
      </c>
      <c r="AN38" s="145">
        <v>1813087</v>
      </c>
      <c r="AO38" s="145">
        <v>400533</v>
      </c>
      <c r="AP38" s="143">
        <f t="shared" si="12"/>
        <v>8.4121796206006016E-2</v>
      </c>
      <c r="AQ38" s="143">
        <f t="shared" si="13"/>
        <v>1.8583529306525393E-2</v>
      </c>
      <c r="AR38" s="142">
        <v>17327169</v>
      </c>
      <c r="AS38" s="145">
        <v>5763219</v>
      </c>
      <c r="AT38" s="145">
        <v>2730226</v>
      </c>
      <c r="AU38" s="143">
        <f t="shared" si="14"/>
        <v>0.33261169207733821</v>
      </c>
      <c r="AV38" s="143">
        <f t="shared" si="15"/>
        <v>0.15756907547909299</v>
      </c>
      <c r="AW38" s="146">
        <f t="shared" si="16"/>
        <v>40349051</v>
      </c>
      <c r="AX38" s="145">
        <f t="shared" ref="AX38:AY38" si="83">AI38+AN38+AS38</f>
        <v>9021106</v>
      </c>
      <c r="AY38" s="149">
        <f t="shared" si="83"/>
        <v>4431504</v>
      </c>
      <c r="AZ38" s="143">
        <f t="shared" si="18"/>
        <v>0.22357665859353174</v>
      </c>
      <c r="BA38" s="143">
        <f t="shared" si="19"/>
        <v>0.10982920019605913</v>
      </c>
      <c r="BB38" s="143"/>
      <c r="BC38" s="143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 t="s">
        <v>338</v>
      </c>
      <c r="BQ38" s="148" t="s">
        <v>338</v>
      </c>
      <c r="BR38" s="148" t="s">
        <v>338</v>
      </c>
      <c r="BS38" s="148" t="s">
        <v>338</v>
      </c>
    </row>
    <row r="39" spans="1:71" ht="14.5" x14ac:dyDescent="0.25">
      <c r="A39" s="141">
        <v>44293</v>
      </c>
      <c r="B39" s="142">
        <v>112301</v>
      </c>
      <c r="C39" s="145">
        <v>122553</v>
      </c>
      <c r="D39" s="145">
        <v>106800</v>
      </c>
      <c r="E39" s="143">
        <f t="shared" si="0"/>
        <v>1.091290371412543</v>
      </c>
      <c r="F39" s="143">
        <f t="shared" si="1"/>
        <v>0.9510155742157238</v>
      </c>
      <c r="G39" s="142">
        <v>911631</v>
      </c>
      <c r="H39" s="145">
        <v>500370</v>
      </c>
      <c r="I39" s="145">
        <v>142698</v>
      </c>
      <c r="J39" s="143">
        <f t="shared" si="2"/>
        <v>0.54887339285302938</v>
      </c>
      <c r="K39" s="143">
        <f t="shared" si="3"/>
        <v>0.15653043830233943</v>
      </c>
      <c r="L39" s="142">
        <v>1976757</v>
      </c>
      <c r="M39" s="145">
        <v>813740</v>
      </c>
      <c r="N39" s="145">
        <v>369813</v>
      </c>
      <c r="O39" s="143">
        <f t="shared" si="4"/>
        <v>0.41165403739559286</v>
      </c>
      <c r="P39" s="143">
        <f t="shared" si="5"/>
        <v>0.18708065786538255</v>
      </c>
      <c r="Q39" s="142">
        <v>3000689</v>
      </c>
      <c r="R39" s="142">
        <f t="shared" ref="R39:S39" si="84">C39+H39+M39</f>
        <v>1436663</v>
      </c>
      <c r="S39" s="142">
        <f t="shared" si="84"/>
        <v>619311</v>
      </c>
      <c r="T39" s="144">
        <f t="shared" si="8"/>
        <v>0.47877770738653691</v>
      </c>
      <c r="U39" s="144">
        <f t="shared" si="9"/>
        <v>0.20638959918871966</v>
      </c>
      <c r="V39" s="144"/>
      <c r="W39" s="144"/>
      <c r="X39" s="144"/>
      <c r="Y39" s="144"/>
      <c r="Z39" s="144"/>
      <c r="AA39" s="144"/>
      <c r="AB39" s="144"/>
      <c r="AC39" s="142"/>
      <c r="AD39" s="142"/>
      <c r="AE39" s="142"/>
      <c r="AF39" s="142"/>
      <c r="AG39" s="142"/>
      <c r="AH39" s="142">
        <v>1468764</v>
      </c>
      <c r="AI39" s="145">
        <v>1445970</v>
      </c>
      <c r="AJ39" s="145">
        <v>1302596</v>
      </c>
      <c r="AK39" s="143">
        <f t="shared" si="10"/>
        <v>0.98448082877848309</v>
      </c>
      <c r="AL39" s="143">
        <f t="shared" si="11"/>
        <v>0.88686541881473124</v>
      </c>
      <c r="AM39" s="145">
        <v>21553118</v>
      </c>
      <c r="AN39" s="145">
        <v>1844923</v>
      </c>
      <c r="AO39" s="145">
        <v>439807</v>
      </c>
      <c r="AP39" s="143">
        <f t="shared" si="12"/>
        <v>8.5598891074599975E-2</v>
      </c>
      <c r="AQ39" s="143">
        <f t="shared" si="13"/>
        <v>2.0405725055650879E-2</v>
      </c>
      <c r="AR39" s="142">
        <v>17327169</v>
      </c>
      <c r="AS39" s="145">
        <v>5905406</v>
      </c>
      <c r="AT39" s="145">
        <v>2812292</v>
      </c>
      <c r="AU39" s="143">
        <f t="shared" si="14"/>
        <v>0.34081770657399368</v>
      </c>
      <c r="AV39" s="143">
        <f t="shared" si="15"/>
        <v>0.16230533678063624</v>
      </c>
      <c r="AW39" s="146">
        <f t="shared" si="16"/>
        <v>40349051</v>
      </c>
      <c r="AX39" s="145">
        <f t="shared" ref="AX39:AY39" si="85">AI39+AN39+AS39</f>
        <v>9196299</v>
      </c>
      <c r="AY39" s="149">
        <f t="shared" si="85"/>
        <v>4554695</v>
      </c>
      <c r="AZ39" s="143">
        <f t="shared" si="18"/>
        <v>0.22791859466533673</v>
      </c>
      <c r="BA39" s="143">
        <f t="shared" si="19"/>
        <v>0.11288233272202611</v>
      </c>
      <c r="BB39" s="143"/>
      <c r="BC39" s="143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 t="s">
        <v>338</v>
      </c>
      <c r="BQ39" s="148" t="s">
        <v>338</v>
      </c>
      <c r="BR39" s="148" t="s">
        <v>338</v>
      </c>
      <c r="BS39" s="148" t="s">
        <v>338</v>
      </c>
    </row>
    <row r="40" spans="1:71" ht="14.5" x14ac:dyDescent="0.25">
      <c r="A40" s="141">
        <v>44294</v>
      </c>
      <c r="B40" s="142">
        <v>112301</v>
      </c>
      <c r="C40" s="145">
        <v>123061</v>
      </c>
      <c r="D40" s="145">
        <v>107175</v>
      </c>
      <c r="E40" s="143">
        <f t="shared" si="0"/>
        <v>1.0958139286382134</v>
      </c>
      <c r="F40" s="143">
        <f t="shared" si="1"/>
        <v>0.95435481429372848</v>
      </c>
      <c r="G40" s="142">
        <v>911631</v>
      </c>
      <c r="H40" s="145">
        <v>507667</v>
      </c>
      <c r="I40" s="145">
        <v>148824</v>
      </c>
      <c r="J40" s="143">
        <f t="shared" si="2"/>
        <v>0.55687772794036183</v>
      </c>
      <c r="K40" s="143">
        <f t="shared" si="3"/>
        <v>0.16325026244171162</v>
      </c>
      <c r="L40" s="142">
        <v>1976757</v>
      </c>
      <c r="M40" s="145">
        <v>844961</v>
      </c>
      <c r="N40" s="145">
        <v>388298</v>
      </c>
      <c r="O40" s="143">
        <f t="shared" si="4"/>
        <v>0.42744808795415928</v>
      </c>
      <c r="P40" s="143">
        <f t="shared" si="5"/>
        <v>0.19643183254188551</v>
      </c>
      <c r="Q40" s="142">
        <v>3000689</v>
      </c>
      <c r="R40" s="142">
        <f t="shared" ref="R40:S40" si="86">C40+H40+M40</f>
        <v>1475689</v>
      </c>
      <c r="S40" s="142">
        <f t="shared" si="86"/>
        <v>644297</v>
      </c>
      <c r="T40" s="144">
        <f t="shared" si="8"/>
        <v>0.49178338708210012</v>
      </c>
      <c r="U40" s="144">
        <f t="shared" si="9"/>
        <v>0.21471635347748466</v>
      </c>
      <c r="V40" s="144"/>
      <c r="W40" s="144"/>
      <c r="X40" s="144"/>
      <c r="Y40" s="144"/>
      <c r="Z40" s="144"/>
      <c r="AA40" s="144"/>
      <c r="AB40" s="144"/>
      <c r="AC40" s="142"/>
      <c r="AD40" s="142"/>
      <c r="AE40" s="142"/>
      <c r="AF40" s="142"/>
      <c r="AG40" s="142"/>
      <c r="AH40" s="142">
        <v>1468764</v>
      </c>
      <c r="AI40" s="145">
        <v>1447505</v>
      </c>
      <c r="AJ40" s="145">
        <v>1304661</v>
      </c>
      <c r="AK40" s="143">
        <f t="shared" si="10"/>
        <v>0.98552592519969173</v>
      </c>
      <c r="AL40" s="143">
        <f t="shared" si="11"/>
        <v>0.88827136286020081</v>
      </c>
      <c r="AM40" s="145">
        <v>21553118</v>
      </c>
      <c r="AN40" s="145">
        <v>1886623</v>
      </c>
      <c r="AO40" s="145">
        <v>461735</v>
      </c>
      <c r="AP40" s="143">
        <f t="shared" si="12"/>
        <v>8.7533645943941848E-2</v>
      </c>
      <c r="AQ40" s="143">
        <f t="shared" si="13"/>
        <v>2.1423118455529265E-2</v>
      </c>
      <c r="AR40" s="142">
        <v>17327169</v>
      </c>
      <c r="AS40" s="145">
        <v>6039462</v>
      </c>
      <c r="AT40" s="145">
        <v>2931000</v>
      </c>
      <c r="AU40" s="143">
        <f t="shared" si="14"/>
        <v>0.34855445803062229</v>
      </c>
      <c r="AV40" s="143">
        <f t="shared" si="15"/>
        <v>0.16915631168600018</v>
      </c>
      <c r="AW40" s="146">
        <f t="shared" si="16"/>
        <v>40349051</v>
      </c>
      <c r="AX40" s="145">
        <f t="shared" ref="AX40:AY40" si="87">AI40+AN40+AS40</f>
        <v>9373590</v>
      </c>
      <c r="AY40" s="149">
        <f t="shared" si="87"/>
        <v>4697396</v>
      </c>
      <c r="AZ40" s="143">
        <f t="shared" si="18"/>
        <v>0.2323125270034232</v>
      </c>
      <c r="BA40" s="143">
        <f t="shared" si="19"/>
        <v>0.11641899582718811</v>
      </c>
      <c r="BB40" s="143"/>
      <c r="BC40" s="143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 t="s">
        <v>338</v>
      </c>
      <c r="BQ40" s="148" t="s">
        <v>338</v>
      </c>
      <c r="BR40" s="148" t="s">
        <v>338</v>
      </c>
      <c r="BS40" s="148" t="s">
        <v>338</v>
      </c>
    </row>
    <row r="41" spans="1:71" ht="14.5" x14ac:dyDescent="0.25">
      <c r="A41" s="141">
        <v>44295</v>
      </c>
      <c r="B41" s="142">
        <v>112301</v>
      </c>
      <c r="C41" s="145">
        <v>123387</v>
      </c>
      <c r="D41" s="145">
        <v>107509</v>
      </c>
      <c r="E41" s="143">
        <f t="shared" si="0"/>
        <v>1.0987168413460253</v>
      </c>
      <c r="F41" s="143">
        <f t="shared" si="1"/>
        <v>0.95732896412320456</v>
      </c>
      <c r="G41" s="142">
        <v>911631</v>
      </c>
      <c r="H41" s="145">
        <v>516816</v>
      </c>
      <c r="I41" s="145">
        <v>166705</v>
      </c>
      <c r="J41" s="143">
        <f t="shared" si="2"/>
        <v>0.56691358674726944</v>
      </c>
      <c r="K41" s="143">
        <f t="shared" si="3"/>
        <v>0.18286455813810631</v>
      </c>
      <c r="L41" s="142">
        <v>1976757</v>
      </c>
      <c r="M41" s="145">
        <v>866503</v>
      </c>
      <c r="N41" s="145">
        <v>402918</v>
      </c>
      <c r="O41" s="143">
        <f t="shared" si="4"/>
        <v>0.43834573495882395</v>
      </c>
      <c r="P41" s="143">
        <f t="shared" si="5"/>
        <v>0.20382778459871395</v>
      </c>
      <c r="Q41" s="142">
        <v>3000689</v>
      </c>
      <c r="R41" s="142">
        <f t="shared" ref="R41:S41" si="88">C41+H41+M41</f>
        <v>1506706</v>
      </c>
      <c r="S41" s="142">
        <f t="shared" si="88"/>
        <v>677132</v>
      </c>
      <c r="T41" s="144">
        <f t="shared" si="8"/>
        <v>0.50212001310365717</v>
      </c>
      <c r="U41" s="144">
        <f t="shared" si="9"/>
        <v>0.22565884035299894</v>
      </c>
      <c r="V41" s="144"/>
      <c r="W41" s="144"/>
      <c r="X41" s="144"/>
      <c r="Y41" s="144"/>
      <c r="Z41" s="144"/>
      <c r="AA41" s="144"/>
      <c r="AB41" s="144"/>
      <c r="AC41" s="142"/>
      <c r="AD41" s="142"/>
      <c r="AE41" s="142"/>
      <c r="AF41" s="142"/>
      <c r="AG41" s="142"/>
      <c r="AH41" s="142">
        <v>1468764</v>
      </c>
      <c r="AI41" s="145">
        <v>1451679</v>
      </c>
      <c r="AJ41" s="145">
        <v>1309418</v>
      </c>
      <c r="AK41" s="143">
        <f t="shared" si="10"/>
        <v>0.98836777045189017</v>
      </c>
      <c r="AL41" s="143">
        <f t="shared" si="11"/>
        <v>0.89151014049908628</v>
      </c>
      <c r="AM41" s="145">
        <v>21553118</v>
      </c>
      <c r="AN41" s="145">
        <v>1970580</v>
      </c>
      <c r="AO41" s="145">
        <v>541811</v>
      </c>
      <c r="AP41" s="143">
        <f t="shared" si="12"/>
        <v>9.1428998811216092E-2</v>
      </c>
      <c r="AQ41" s="143">
        <f t="shared" si="13"/>
        <v>2.513840456865684E-2</v>
      </c>
      <c r="AR41" s="142">
        <v>17327169</v>
      </c>
      <c r="AS41" s="145">
        <v>6386485</v>
      </c>
      <c r="AT41" s="145">
        <v>3100990</v>
      </c>
      <c r="AU41" s="143">
        <f t="shared" si="14"/>
        <v>0.36858213825928515</v>
      </c>
      <c r="AV41" s="143">
        <f t="shared" si="15"/>
        <v>0.17896691606112919</v>
      </c>
      <c r="AW41" s="146">
        <f t="shared" si="16"/>
        <v>40349051</v>
      </c>
      <c r="AX41" s="145">
        <f t="shared" ref="AX41:AY41" si="89">AI41+AN41+AS41</f>
        <v>9808744</v>
      </c>
      <c r="AY41" s="149">
        <f t="shared" si="89"/>
        <v>4952219</v>
      </c>
      <c r="AZ41" s="143">
        <f t="shared" si="18"/>
        <v>0.2430972664016311</v>
      </c>
      <c r="BA41" s="143">
        <f t="shared" si="19"/>
        <v>0.12273446034703518</v>
      </c>
      <c r="BB41" s="143"/>
      <c r="BC41" s="143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 t="s">
        <v>338</v>
      </c>
      <c r="BQ41" s="148" t="s">
        <v>338</v>
      </c>
      <c r="BR41" s="148" t="s">
        <v>338</v>
      </c>
      <c r="BS41" s="148" t="s">
        <v>338</v>
      </c>
    </row>
    <row r="42" spans="1:71" ht="14.5" x14ac:dyDescent="0.25">
      <c r="A42" s="141">
        <v>44296</v>
      </c>
      <c r="B42" s="142">
        <v>112301</v>
      </c>
      <c r="C42" s="145">
        <v>123474</v>
      </c>
      <c r="D42" s="145">
        <v>107573</v>
      </c>
      <c r="E42" s="143">
        <f t="shared" si="0"/>
        <v>1.0994915450441225</v>
      </c>
      <c r="F42" s="143">
        <f t="shared" si="1"/>
        <v>0.95789886109651734</v>
      </c>
      <c r="G42" s="142">
        <v>911631</v>
      </c>
      <c r="H42" s="145">
        <v>523861</v>
      </c>
      <c r="I42" s="145">
        <v>173234</v>
      </c>
      <c r="J42" s="143">
        <f t="shared" si="2"/>
        <v>0.57464149420105282</v>
      </c>
      <c r="K42" s="143">
        <f t="shared" si="3"/>
        <v>0.19002644710414632</v>
      </c>
      <c r="L42" s="142">
        <v>1976757</v>
      </c>
      <c r="M42" s="145">
        <v>880884</v>
      </c>
      <c r="N42" s="145">
        <v>406805</v>
      </c>
      <c r="O42" s="143">
        <f t="shared" si="4"/>
        <v>0.44562078191704896</v>
      </c>
      <c r="P42" s="143">
        <f t="shared" si="5"/>
        <v>0.20579413655800891</v>
      </c>
      <c r="Q42" s="142">
        <v>3000689</v>
      </c>
      <c r="R42" s="142">
        <f t="shared" ref="R42:S42" si="90">C42+H42+M42</f>
        <v>1528219</v>
      </c>
      <c r="S42" s="142">
        <f t="shared" si="90"/>
        <v>687612</v>
      </c>
      <c r="T42" s="144">
        <f t="shared" si="8"/>
        <v>0.50928936654215085</v>
      </c>
      <c r="U42" s="144">
        <f t="shared" si="9"/>
        <v>0.22915137156832982</v>
      </c>
      <c r="V42" s="144"/>
      <c r="W42" s="144"/>
      <c r="X42" s="144"/>
      <c r="Y42" s="144"/>
      <c r="Z42" s="144"/>
      <c r="AA42" s="144"/>
      <c r="AB42" s="144"/>
      <c r="AC42" s="142"/>
      <c r="AD42" s="142"/>
      <c r="AE42" s="142"/>
      <c r="AF42" s="142"/>
      <c r="AG42" s="142"/>
      <c r="AH42" s="142">
        <v>1468764</v>
      </c>
      <c r="AI42" s="145">
        <v>1453325</v>
      </c>
      <c r="AJ42" s="145">
        <v>1310929</v>
      </c>
      <c r="AK42" s="143">
        <f t="shared" si="10"/>
        <v>0.98948844062082131</v>
      </c>
      <c r="AL42" s="143">
        <f t="shared" si="11"/>
        <v>0.892538896650517</v>
      </c>
      <c r="AM42" s="145">
        <v>21553118</v>
      </c>
      <c r="AN42" s="145">
        <v>2019832</v>
      </c>
      <c r="AO42" s="145">
        <v>588340</v>
      </c>
      <c r="AP42" s="143">
        <f t="shared" si="12"/>
        <v>9.3714143819005682E-2</v>
      </c>
      <c r="AQ42" s="143">
        <f t="shared" si="13"/>
        <v>2.7297210547448401E-2</v>
      </c>
      <c r="AR42" s="142">
        <v>17327169</v>
      </c>
      <c r="AS42" s="145">
        <v>6529170</v>
      </c>
      <c r="AT42" s="145">
        <v>3179779</v>
      </c>
      <c r="AU42" s="143">
        <f t="shared" si="14"/>
        <v>0.37681689374646254</v>
      </c>
      <c r="AV42" s="143">
        <f t="shared" si="15"/>
        <v>0.18351405241098531</v>
      </c>
      <c r="AW42" s="146">
        <f t="shared" si="16"/>
        <v>40349051</v>
      </c>
      <c r="AX42" s="145">
        <f t="shared" ref="AX42:AY42" si="91">AI42+AN42+AS42</f>
        <v>10002327</v>
      </c>
      <c r="AY42" s="149">
        <f t="shared" si="91"/>
        <v>5079048</v>
      </c>
      <c r="AZ42" s="143">
        <f t="shared" si="18"/>
        <v>0.24789497527463533</v>
      </c>
      <c r="BA42" s="143">
        <f t="shared" si="19"/>
        <v>0.12587775608402785</v>
      </c>
      <c r="BB42" s="143"/>
      <c r="BC42" s="143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 t="s">
        <v>338</v>
      </c>
      <c r="BQ42" s="148" t="s">
        <v>338</v>
      </c>
      <c r="BR42" s="148" t="s">
        <v>338</v>
      </c>
      <c r="BS42" s="148" t="s">
        <v>338</v>
      </c>
    </row>
    <row r="43" spans="1:71" ht="14.5" x14ac:dyDescent="0.25">
      <c r="A43" s="141">
        <v>44297</v>
      </c>
      <c r="B43" s="142">
        <v>112301</v>
      </c>
      <c r="C43" s="145">
        <v>123485</v>
      </c>
      <c r="D43" s="145">
        <v>107583</v>
      </c>
      <c r="E43" s="143">
        <f t="shared" si="0"/>
        <v>1.0995894960864105</v>
      </c>
      <c r="F43" s="143">
        <f t="shared" si="1"/>
        <v>0.95798790749859752</v>
      </c>
      <c r="G43" s="142">
        <v>911631</v>
      </c>
      <c r="H43" s="145">
        <v>526687</v>
      </c>
      <c r="I43" s="145">
        <v>177883</v>
      </c>
      <c r="J43" s="143">
        <f t="shared" si="2"/>
        <v>0.57774143266299627</v>
      </c>
      <c r="K43" s="143">
        <f t="shared" si="3"/>
        <v>0.1951260981691057</v>
      </c>
      <c r="L43" s="142">
        <v>1976757</v>
      </c>
      <c r="M43" s="145">
        <v>887215</v>
      </c>
      <c r="N43" s="145">
        <v>412014</v>
      </c>
      <c r="O43" s="143">
        <f t="shared" si="4"/>
        <v>0.44882350233235546</v>
      </c>
      <c r="P43" s="143">
        <f t="shared" si="5"/>
        <v>0.20842926065267506</v>
      </c>
      <c r="Q43" s="142">
        <v>3000689</v>
      </c>
      <c r="R43" s="142">
        <f t="shared" ref="R43:S43" si="92">C43+H43+M43</f>
        <v>1537387</v>
      </c>
      <c r="S43" s="142">
        <f t="shared" si="92"/>
        <v>697480</v>
      </c>
      <c r="T43" s="144">
        <f t="shared" si="8"/>
        <v>0.51234466484197461</v>
      </c>
      <c r="U43" s="144">
        <f t="shared" si="9"/>
        <v>0.2324399496249028</v>
      </c>
      <c r="V43" s="144"/>
      <c r="W43" s="144"/>
      <c r="X43" s="144"/>
      <c r="Y43" s="144"/>
      <c r="Z43" s="144"/>
      <c r="AA43" s="144"/>
      <c r="AB43" s="144"/>
      <c r="AC43" s="142"/>
      <c r="AD43" s="142"/>
      <c r="AE43" s="142"/>
      <c r="AF43" s="142"/>
      <c r="AG43" s="142"/>
      <c r="AH43" s="142">
        <v>1468764</v>
      </c>
      <c r="AI43" s="145">
        <v>1453701</v>
      </c>
      <c r="AJ43" s="145">
        <v>1311259</v>
      </c>
      <c r="AK43" s="143">
        <f t="shared" si="10"/>
        <v>0.98974443818067437</v>
      </c>
      <c r="AL43" s="143">
        <f t="shared" si="11"/>
        <v>0.89276357535996254</v>
      </c>
      <c r="AM43" s="145">
        <v>21553118</v>
      </c>
      <c r="AN43" s="145">
        <v>2030311</v>
      </c>
      <c r="AO43" s="145">
        <v>597464</v>
      </c>
      <c r="AP43" s="143">
        <f t="shared" si="12"/>
        <v>9.420033797430144E-2</v>
      </c>
      <c r="AQ43" s="143">
        <f t="shared" si="13"/>
        <v>2.7720536768740374E-2</v>
      </c>
      <c r="AR43" s="142">
        <v>17327169</v>
      </c>
      <c r="AS43" s="145">
        <v>6564802</v>
      </c>
      <c r="AT43" s="145">
        <v>3193198</v>
      </c>
      <c r="AU43" s="143">
        <f t="shared" si="14"/>
        <v>0.37887331738958624</v>
      </c>
      <c r="AV43" s="143">
        <f t="shared" si="15"/>
        <v>0.18428850090860197</v>
      </c>
      <c r="AW43" s="146">
        <f t="shared" si="16"/>
        <v>40349051</v>
      </c>
      <c r="AX43" s="145">
        <f t="shared" ref="AX43:AY43" si="93">AI43+AN43+AS43</f>
        <v>10048814</v>
      </c>
      <c r="AY43" s="149">
        <f t="shared" si="93"/>
        <v>5101921</v>
      </c>
      <c r="AZ43" s="143">
        <f t="shared" si="18"/>
        <v>0.24904709654757431</v>
      </c>
      <c r="BA43" s="143">
        <f t="shared" si="19"/>
        <v>0.12644463434840139</v>
      </c>
      <c r="BB43" s="143"/>
      <c r="BC43" s="143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 t="s">
        <v>338</v>
      </c>
      <c r="BQ43" s="148" t="s">
        <v>338</v>
      </c>
      <c r="BR43" s="148" t="s">
        <v>338</v>
      </c>
      <c r="BS43" s="148" t="s">
        <v>338</v>
      </c>
    </row>
    <row r="44" spans="1:71" ht="14.5" x14ac:dyDescent="0.25">
      <c r="A44" s="141">
        <v>44298</v>
      </c>
      <c r="B44" s="142">
        <v>112301</v>
      </c>
      <c r="C44" s="145">
        <v>123958</v>
      </c>
      <c r="D44" s="145">
        <v>107968</v>
      </c>
      <c r="E44" s="143">
        <f t="shared" si="0"/>
        <v>1.1038013909048006</v>
      </c>
      <c r="F44" s="143">
        <f t="shared" si="1"/>
        <v>0.96141619397868228</v>
      </c>
      <c r="G44" s="142">
        <v>911631</v>
      </c>
      <c r="H44" s="145">
        <v>537125</v>
      </c>
      <c r="I44" s="145">
        <v>196464</v>
      </c>
      <c r="J44" s="143">
        <f t="shared" si="2"/>
        <v>0.5891912407542087</v>
      </c>
      <c r="K44" s="143">
        <f t="shared" si="3"/>
        <v>0.21550824840313679</v>
      </c>
      <c r="L44" s="142">
        <v>1976757</v>
      </c>
      <c r="M44" s="145">
        <v>907936</v>
      </c>
      <c r="N44" s="145">
        <v>424562</v>
      </c>
      <c r="O44" s="143">
        <f t="shared" si="4"/>
        <v>0.45930582261754987</v>
      </c>
      <c r="P44" s="143">
        <f t="shared" si="5"/>
        <v>0.21477703126889142</v>
      </c>
      <c r="Q44" s="142">
        <v>3000689</v>
      </c>
      <c r="R44" s="142">
        <f t="shared" ref="R44:S44" si="94">C44+H44+M44</f>
        <v>1569019</v>
      </c>
      <c r="S44" s="142">
        <f t="shared" si="94"/>
        <v>728994</v>
      </c>
      <c r="T44" s="144">
        <f t="shared" si="8"/>
        <v>0.52288624379267556</v>
      </c>
      <c r="U44" s="144">
        <f t="shared" si="9"/>
        <v>0.24294220427375179</v>
      </c>
      <c r="V44" s="144"/>
      <c r="W44" s="144"/>
      <c r="X44" s="144"/>
      <c r="Y44" s="144"/>
      <c r="Z44" s="144"/>
      <c r="AA44" s="144"/>
      <c r="AB44" s="144"/>
      <c r="AC44" s="142"/>
      <c r="AD44" s="142"/>
      <c r="AE44" s="142"/>
      <c r="AF44" s="142"/>
      <c r="AG44" s="142"/>
      <c r="AH44" s="142">
        <v>1468764</v>
      </c>
      <c r="AI44" s="145">
        <v>1455949</v>
      </c>
      <c r="AJ44" s="145">
        <v>1314396</v>
      </c>
      <c r="AK44" s="143">
        <f t="shared" si="10"/>
        <v>0.99127497678319998</v>
      </c>
      <c r="AL44" s="143">
        <f t="shared" si="11"/>
        <v>0.8948993847888429</v>
      </c>
      <c r="AM44" s="145">
        <v>21553118</v>
      </c>
      <c r="AN44" s="145">
        <v>2088158</v>
      </c>
      <c r="AO44" s="145">
        <v>672035</v>
      </c>
      <c r="AP44" s="143">
        <f t="shared" si="12"/>
        <v>9.6884265190771937E-2</v>
      </c>
      <c r="AQ44" s="143">
        <f t="shared" si="13"/>
        <v>3.1180407400915263E-2</v>
      </c>
      <c r="AR44" s="142">
        <v>17327169</v>
      </c>
      <c r="AS44" s="145">
        <v>6735239</v>
      </c>
      <c r="AT44" s="145">
        <v>3336070</v>
      </c>
      <c r="AU44" s="143">
        <f t="shared" si="14"/>
        <v>0.38870971940078614</v>
      </c>
      <c r="AV44" s="143">
        <f t="shared" si="15"/>
        <v>0.19253404869543317</v>
      </c>
      <c r="AW44" s="146">
        <f t="shared" si="16"/>
        <v>40349051</v>
      </c>
      <c r="AX44" s="145">
        <f t="shared" ref="AX44:AY44" si="95">AI44+AN44+AS44</f>
        <v>10279346</v>
      </c>
      <c r="AY44" s="149">
        <f t="shared" si="95"/>
        <v>5322501</v>
      </c>
      <c r="AZ44" s="143">
        <f t="shared" si="18"/>
        <v>0.25476053947340671</v>
      </c>
      <c r="BA44" s="143">
        <f t="shared" si="19"/>
        <v>0.13191142958975666</v>
      </c>
      <c r="BB44" s="143"/>
      <c r="BC44" s="143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 t="s">
        <v>338</v>
      </c>
      <c r="BQ44" s="148" t="s">
        <v>338</v>
      </c>
      <c r="BR44" s="148" t="s">
        <v>338</v>
      </c>
      <c r="BS44" s="148" t="s">
        <v>338</v>
      </c>
    </row>
    <row r="45" spans="1:71" ht="14.5" x14ac:dyDescent="0.25">
      <c r="A45" s="141">
        <v>44299</v>
      </c>
      <c r="B45" s="142">
        <v>112301</v>
      </c>
      <c r="C45" s="145">
        <v>124255</v>
      </c>
      <c r="D45" s="145">
        <v>108205</v>
      </c>
      <c r="E45" s="143">
        <f t="shared" si="0"/>
        <v>1.1064460690465803</v>
      </c>
      <c r="F45" s="143">
        <f t="shared" si="1"/>
        <v>0.96352659370798122</v>
      </c>
      <c r="G45" s="142">
        <v>911631</v>
      </c>
      <c r="H45" s="145">
        <v>540904</v>
      </c>
      <c r="I45" s="145">
        <v>210810</v>
      </c>
      <c r="J45" s="143">
        <f t="shared" si="2"/>
        <v>0.59333655832239141</v>
      </c>
      <c r="K45" s="143">
        <f t="shared" si="3"/>
        <v>0.23124487868446772</v>
      </c>
      <c r="L45" s="142">
        <v>1976757</v>
      </c>
      <c r="M45" s="145">
        <v>918905</v>
      </c>
      <c r="N45" s="145">
        <v>430157</v>
      </c>
      <c r="O45" s="143">
        <f t="shared" si="4"/>
        <v>0.46485481017646579</v>
      </c>
      <c r="P45" s="143">
        <f t="shared" si="5"/>
        <v>0.2176074246859882</v>
      </c>
      <c r="Q45" s="142">
        <v>3000689</v>
      </c>
      <c r="R45" s="142">
        <f t="shared" ref="R45:S45" si="96">C45+H45+M45</f>
        <v>1584064</v>
      </c>
      <c r="S45" s="142">
        <f t="shared" si="96"/>
        <v>749172</v>
      </c>
      <c r="T45" s="144">
        <f t="shared" si="8"/>
        <v>0.52790009227880663</v>
      </c>
      <c r="U45" s="144">
        <f t="shared" si="9"/>
        <v>0.24966665989044515</v>
      </c>
      <c r="V45" s="144"/>
      <c r="W45" s="144"/>
      <c r="X45" s="144"/>
      <c r="Y45" s="144"/>
      <c r="Z45" s="144"/>
      <c r="AA45" s="144"/>
      <c r="AB45" s="144"/>
      <c r="AC45" s="142"/>
      <c r="AD45" s="142"/>
      <c r="AE45" s="142"/>
      <c r="AF45" s="142"/>
      <c r="AG45" s="142"/>
      <c r="AH45" s="142">
        <v>1468764</v>
      </c>
      <c r="AI45" s="145">
        <v>1457405</v>
      </c>
      <c r="AJ45" s="145">
        <v>1316347</v>
      </c>
      <c r="AK45" s="143">
        <f t="shared" si="10"/>
        <v>0.99226628648305648</v>
      </c>
      <c r="AL45" s="143">
        <f t="shared" si="11"/>
        <v>0.89622771255286759</v>
      </c>
      <c r="AM45" s="145">
        <v>21553118</v>
      </c>
      <c r="AN45" s="145">
        <v>2108512</v>
      </c>
      <c r="AO45" s="145">
        <v>722410</v>
      </c>
      <c r="AP45" s="143">
        <f t="shared" si="12"/>
        <v>9.7828629713807527E-2</v>
      </c>
      <c r="AQ45" s="143">
        <f t="shared" si="13"/>
        <v>3.3517656238879222E-2</v>
      </c>
      <c r="AR45" s="142">
        <v>17327169</v>
      </c>
      <c r="AS45" s="145">
        <v>6811090</v>
      </c>
      <c r="AT45" s="145">
        <v>3394098</v>
      </c>
      <c r="AU45" s="143">
        <f t="shared" si="14"/>
        <v>0.39308729544912963</v>
      </c>
      <c r="AV45" s="143">
        <f t="shared" si="15"/>
        <v>0.19588300893238819</v>
      </c>
      <c r="AW45" s="146">
        <f t="shared" si="16"/>
        <v>40349051</v>
      </c>
      <c r="AX45" s="145">
        <f t="shared" ref="AX45:AY45" si="97">AI45+AN45+AS45</f>
        <v>10377007</v>
      </c>
      <c r="AY45" s="149">
        <f t="shared" si="97"/>
        <v>5432855</v>
      </c>
      <c r="AZ45" s="143">
        <f t="shared" si="18"/>
        <v>0.2571809433634511</v>
      </c>
      <c r="BA45" s="143">
        <f t="shared" si="19"/>
        <v>0.13464641336917688</v>
      </c>
      <c r="BB45" s="143"/>
      <c r="BC45" s="143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 t="s">
        <v>338</v>
      </c>
      <c r="BQ45" s="148" t="s">
        <v>338</v>
      </c>
      <c r="BR45" s="148" t="s">
        <v>338</v>
      </c>
      <c r="BS45" s="148" t="s">
        <v>338</v>
      </c>
    </row>
    <row r="46" spans="1:71" ht="14.5" x14ac:dyDescent="0.25">
      <c r="A46" s="141">
        <v>44300</v>
      </c>
      <c r="B46" s="142">
        <v>112301</v>
      </c>
      <c r="C46" s="145">
        <v>124484</v>
      </c>
      <c r="D46" s="145">
        <v>108418</v>
      </c>
      <c r="E46" s="143">
        <f t="shared" si="0"/>
        <v>1.1084852316542151</v>
      </c>
      <c r="F46" s="143">
        <f t="shared" si="1"/>
        <v>0.96542328207228789</v>
      </c>
      <c r="G46" s="142">
        <v>911631</v>
      </c>
      <c r="H46" s="145">
        <v>543256</v>
      </c>
      <c r="I46" s="145">
        <v>231255</v>
      </c>
      <c r="J46" s="143">
        <f t="shared" si="2"/>
        <v>0.59591654956884965</v>
      </c>
      <c r="K46" s="143">
        <f t="shared" si="3"/>
        <v>0.25367171585871917</v>
      </c>
      <c r="L46" s="142">
        <v>1976757</v>
      </c>
      <c r="M46" s="145">
        <v>930601</v>
      </c>
      <c r="N46" s="145">
        <v>443508</v>
      </c>
      <c r="O46" s="143">
        <f t="shared" si="4"/>
        <v>0.47077157182192853</v>
      </c>
      <c r="P46" s="143">
        <f t="shared" si="5"/>
        <v>0.22436141619834912</v>
      </c>
      <c r="Q46" s="142">
        <v>3000689</v>
      </c>
      <c r="R46" s="142">
        <f t="shared" ref="R46:S46" si="98">C46+H46+M46</f>
        <v>1598341</v>
      </c>
      <c r="S46" s="142">
        <f t="shared" si="98"/>
        <v>783181</v>
      </c>
      <c r="T46" s="144">
        <f t="shared" si="8"/>
        <v>0.53265799954610427</v>
      </c>
      <c r="U46" s="144">
        <f t="shared" si="9"/>
        <v>0.26100039024370736</v>
      </c>
      <c r="V46" s="144"/>
      <c r="W46" s="144"/>
      <c r="X46" s="144"/>
      <c r="Y46" s="144"/>
      <c r="Z46" s="144"/>
      <c r="AA46" s="144"/>
      <c r="AB46" s="144"/>
      <c r="AC46" s="142"/>
      <c r="AD46" s="142"/>
      <c r="AE46" s="142"/>
      <c r="AF46" s="142"/>
      <c r="AG46" s="142"/>
      <c r="AH46" s="142">
        <v>1468764</v>
      </c>
      <c r="AI46" s="145">
        <v>1459169</v>
      </c>
      <c r="AJ46" s="145">
        <v>1318528</v>
      </c>
      <c r="AK46" s="143">
        <f t="shared" si="10"/>
        <v>0.99346729631172881</v>
      </c>
      <c r="AL46" s="143">
        <f t="shared" si="11"/>
        <v>0.89771263456893002</v>
      </c>
      <c r="AM46" s="145">
        <v>21553118</v>
      </c>
      <c r="AN46" s="145">
        <v>2131067</v>
      </c>
      <c r="AO46" s="145">
        <v>781975</v>
      </c>
      <c r="AP46" s="143">
        <f t="shared" si="12"/>
        <v>9.8875114032224945E-2</v>
      </c>
      <c r="AQ46" s="143">
        <f t="shared" si="13"/>
        <v>3.6281293500086624E-2</v>
      </c>
      <c r="AR46" s="142">
        <v>17327169</v>
      </c>
      <c r="AS46" s="145">
        <v>6890942</v>
      </c>
      <c r="AT46" s="145">
        <v>3472356</v>
      </c>
      <c r="AU46" s="143">
        <f t="shared" si="14"/>
        <v>0.39769578053979848</v>
      </c>
      <c r="AV46" s="143">
        <f t="shared" si="15"/>
        <v>0.20039949976825411</v>
      </c>
      <c r="AW46" s="146">
        <f t="shared" si="16"/>
        <v>40349051</v>
      </c>
      <c r="AX46" s="145">
        <f t="shared" ref="AX46:AY46" si="99">AI46+AN46+AS46</f>
        <v>10481178</v>
      </c>
      <c r="AY46" s="149">
        <f t="shared" si="99"/>
        <v>5572859</v>
      </c>
      <c r="AZ46" s="143">
        <f t="shared" si="18"/>
        <v>0.25976268933809621</v>
      </c>
      <c r="BA46" s="143">
        <f t="shared" si="19"/>
        <v>0.13811623475357573</v>
      </c>
      <c r="BB46" s="143"/>
      <c r="BC46" s="143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 t="s">
        <v>338</v>
      </c>
      <c r="BQ46" s="148" t="s">
        <v>338</v>
      </c>
      <c r="BR46" s="148" t="s">
        <v>338</v>
      </c>
      <c r="BS46" s="148" t="s">
        <v>338</v>
      </c>
    </row>
    <row r="47" spans="1:71" ht="14.5" x14ac:dyDescent="0.25">
      <c r="A47" s="141">
        <v>44301</v>
      </c>
      <c r="B47" s="142">
        <v>112301</v>
      </c>
      <c r="C47" s="145">
        <v>124755</v>
      </c>
      <c r="D47" s="145">
        <v>108761</v>
      </c>
      <c r="E47" s="143">
        <f t="shared" si="0"/>
        <v>1.1108983891505864</v>
      </c>
      <c r="F47" s="143">
        <f t="shared" si="1"/>
        <v>0.96847757366363607</v>
      </c>
      <c r="G47" s="142">
        <v>911631</v>
      </c>
      <c r="H47" s="145">
        <v>545822</v>
      </c>
      <c r="I47" s="145">
        <v>252371</v>
      </c>
      <c r="J47" s="143">
        <f t="shared" si="2"/>
        <v>0.59873128491681393</v>
      </c>
      <c r="K47" s="143">
        <f t="shared" si="3"/>
        <v>0.27683459645404773</v>
      </c>
      <c r="L47" s="142">
        <v>1976757</v>
      </c>
      <c r="M47" s="145">
        <v>944880</v>
      </c>
      <c r="N47" s="145">
        <v>452555</v>
      </c>
      <c r="O47" s="143">
        <f t="shared" si="4"/>
        <v>0.47799501911464082</v>
      </c>
      <c r="P47" s="143">
        <f t="shared" si="5"/>
        <v>0.22893810417770116</v>
      </c>
      <c r="Q47" s="142">
        <v>3000689</v>
      </c>
      <c r="R47" s="142">
        <f t="shared" ref="R47:S47" si="100">C47+H47+M47</f>
        <v>1615457</v>
      </c>
      <c r="S47" s="142">
        <f t="shared" si="100"/>
        <v>813687</v>
      </c>
      <c r="T47" s="144">
        <f t="shared" si="8"/>
        <v>0.53836202285541757</v>
      </c>
      <c r="U47" s="144">
        <f t="shared" si="9"/>
        <v>0.27116672204283748</v>
      </c>
      <c r="V47" s="144"/>
      <c r="W47" s="144"/>
      <c r="X47" s="144"/>
      <c r="Y47" s="144"/>
      <c r="Z47" s="144"/>
      <c r="AA47" s="144"/>
      <c r="AB47" s="144"/>
      <c r="AC47" s="142"/>
      <c r="AD47" s="142"/>
      <c r="AE47" s="142"/>
      <c r="AF47" s="142"/>
      <c r="AG47" s="142"/>
      <c r="AH47" s="142">
        <v>1468764</v>
      </c>
      <c r="AI47" s="145">
        <v>1460747</v>
      </c>
      <c r="AJ47" s="145">
        <v>1321085</v>
      </c>
      <c r="AK47" s="143">
        <f t="shared" si="10"/>
        <v>0.99454166904962271</v>
      </c>
      <c r="AL47" s="143">
        <f t="shared" si="11"/>
        <v>0.89945355414484562</v>
      </c>
      <c r="AM47" s="145">
        <v>21553118</v>
      </c>
      <c r="AN47" s="145">
        <v>2155898</v>
      </c>
      <c r="AO47" s="145">
        <v>844895</v>
      </c>
      <c r="AP47" s="143">
        <f t="shared" si="12"/>
        <v>0.10002719792096902</v>
      </c>
      <c r="AQ47" s="143">
        <f t="shared" si="13"/>
        <v>3.9200592693827412E-2</v>
      </c>
      <c r="AR47" s="142">
        <v>17327169</v>
      </c>
      <c r="AS47" s="145">
        <v>6983097</v>
      </c>
      <c r="AT47" s="145">
        <v>3549833</v>
      </c>
      <c r="AU47" s="143">
        <f t="shared" si="14"/>
        <v>0.40301430660715548</v>
      </c>
      <c r="AV47" s="143">
        <f t="shared" si="15"/>
        <v>0.20487091688203654</v>
      </c>
      <c r="AW47" s="146">
        <f t="shared" si="16"/>
        <v>40349051</v>
      </c>
      <c r="AX47" s="145">
        <f t="shared" ref="AX47:AY47" si="101">AI47+AN47+AS47</f>
        <v>10599742</v>
      </c>
      <c r="AY47" s="149">
        <f t="shared" si="101"/>
        <v>5715813</v>
      </c>
      <c r="AZ47" s="143">
        <f t="shared" si="18"/>
        <v>0.26270114754371793</v>
      </c>
      <c r="BA47" s="143">
        <f t="shared" si="19"/>
        <v>0.14165916814251717</v>
      </c>
      <c r="BB47" s="143"/>
      <c r="BC47" s="143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 t="s">
        <v>338</v>
      </c>
      <c r="BQ47" s="148" t="s">
        <v>338</v>
      </c>
      <c r="BR47" s="148" t="s">
        <v>338</v>
      </c>
      <c r="BS47" s="148" t="s">
        <v>338</v>
      </c>
    </row>
    <row r="48" spans="1:71" ht="14.5" x14ac:dyDescent="0.25">
      <c r="A48" s="141">
        <v>44302</v>
      </c>
      <c r="B48" s="142">
        <v>112301</v>
      </c>
      <c r="C48" s="145">
        <v>125148</v>
      </c>
      <c r="D48" s="145">
        <v>109038</v>
      </c>
      <c r="E48" s="143">
        <f t="shared" si="0"/>
        <v>1.1143979127523354</v>
      </c>
      <c r="F48" s="143">
        <f t="shared" si="1"/>
        <v>0.97094415900125552</v>
      </c>
      <c r="G48" s="142">
        <v>911631</v>
      </c>
      <c r="H48" s="145">
        <v>548314</v>
      </c>
      <c r="I48" s="145">
        <v>272887</v>
      </c>
      <c r="J48" s="143">
        <f t="shared" si="2"/>
        <v>0.6014648470707995</v>
      </c>
      <c r="K48" s="143">
        <f t="shared" si="3"/>
        <v>0.29933931601711655</v>
      </c>
      <c r="L48" s="142">
        <v>1976757</v>
      </c>
      <c r="M48" s="145">
        <v>959985</v>
      </c>
      <c r="N48" s="145">
        <v>458619</v>
      </c>
      <c r="O48" s="143">
        <f t="shared" si="4"/>
        <v>0.48563632252219163</v>
      </c>
      <c r="P48" s="143">
        <f t="shared" si="5"/>
        <v>0.23200575488034189</v>
      </c>
      <c r="Q48" s="142">
        <v>3000689</v>
      </c>
      <c r="R48" s="142">
        <f t="shared" ref="R48:S48" si="102">C48+H48+M48</f>
        <v>1633447</v>
      </c>
      <c r="S48" s="142">
        <f t="shared" si="102"/>
        <v>840544</v>
      </c>
      <c r="T48" s="144">
        <f t="shared" si="8"/>
        <v>0.54435731260387199</v>
      </c>
      <c r="U48" s="144">
        <f t="shared" si="9"/>
        <v>0.28011699979571358</v>
      </c>
      <c r="V48" s="144"/>
      <c r="W48" s="144"/>
      <c r="X48" s="144"/>
      <c r="Y48" s="144"/>
      <c r="Z48" s="144"/>
      <c r="AA48" s="144"/>
      <c r="AB48" s="144"/>
      <c r="AC48" s="142"/>
      <c r="AD48" s="142"/>
      <c r="AE48" s="142"/>
      <c r="AF48" s="142"/>
      <c r="AG48" s="142"/>
      <c r="AH48" s="142">
        <v>1468764</v>
      </c>
      <c r="AI48" s="145">
        <v>1464225</v>
      </c>
      <c r="AJ48" s="145">
        <v>1323006</v>
      </c>
      <c r="AK48" s="143">
        <f t="shared" si="10"/>
        <v>0.99690964647826341</v>
      </c>
      <c r="AL48" s="143">
        <f t="shared" si="11"/>
        <v>0.90076145657164797</v>
      </c>
      <c r="AM48" s="145">
        <v>21553118</v>
      </c>
      <c r="AN48" s="145">
        <v>2178289</v>
      </c>
      <c r="AO48" s="145">
        <v>898025</v>
      </c>
      <c r="AP48" s="143">
        <f t="shared" si="12"/>
        <v>0.10106607313150701</v>
      </c>
      <c r="AQ48" s="143">
        <f t="shared" si="13"/>
        <v>4.1665665264765867E-2</v>
      </c>
      <c r="AR48" s="142">
        <v>17327169</v>
      </c>
      <c r="AS48" s="145">
        <v>7066375</v>
      </c>
      <c r="AT48" s="145">
        <v>3600857</v>
      </c>
      <c r="AU48" s="143">
        <f t="shared" si="14"/>
        <v>0.40782051586153512</v>
      </c>
      <c r="AV48" s="143">
        <f t="shared" si="15"/>
        <v>0.20781565644104932</v>
      </c>
      <c r="AW48" s="146">
        <f t="shared" si="16"/>
        <v>40349051</v>
      </c>
      <c r="AX48" s="145">
        <f t="shared" ref="AX48:AY48" si="103">AI48+AN48+AS48</f>
        <v>10708889</v>
      </c>
      <c r="AY48" s="149">
        <f t="shared" si="103"/>
        <v>5821888</v>
      </c>
      <c r="AZ48" s="143">
        <f t="shared" si="18"/>
        <v>0.2654062173606016</v>
      </c>
      <c r="BA48" s="143">
        <f t="shared" si="19"/>
        <v>0.14428810233975514</v>
      </c>
      <c r="BB48" s="143"/>
      <c r="BC48" s="143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 t="s">
        <v>338</v>
      </c>
      <c r="BQ48" s="148" t="s">
        <v>338</v>
      </c>
      <c r="BR48" s="148" t="s">
        <v>338</v>
      </c>
      <c r="BS48" s="148" t="s">
        <v>338</v>
      </c>
    </row>
    <row r="49" spans="1:71" ht="14.5" x14ac:dyDescent="0.25">
      <c r="A49" s="141">
        <v>44303</v>
      </c>
      <c r="B49" s="142">
        <v>112301</v>
      </c>
      <c r="C49" s="145">
        <v>125188</v>
      </c>
      <c r="D49" s="145">
        <v>109105</v>
      </c>
      <c r="E49" s="143">
        <f t="shared" si="0"/>
        <v>1.1147540983606556</v>
      </c>
      <c r="F49" s="143">
        <f t="shared" si="1"/>
        <v>0.97154076989519234</v>
      </c>
      <c r="G49" s="142">
        <v>911631</v>
      </c>
      <c r="H49" s="145">
        <v>549011</v>
      </c>
      <c r="I49" s="145">
        <v>278295</v>
      </c>
      <c r="J49" s="143">
        <f t="shared" si="2"/>
        <v>0.60222941080327452</v>
      </c>
      <c r="K49" s="143">
        <f t="shared" si="3"/>
        <v>0.3052715407878846</v>
      </c>
      <c r="L49" s="142">
        <v>1976757</v>
      </c>
      <c r="M49" s="145">
        <v>967733</v>
      </c>
      <c r="N49" s="145">
        <v>461648</v>
      </c>
      <c r="O49" s="143">
        <f t="shared" si="4"/>
        <v>0.48955587358486652</v>
      </c>
      <c r="P49" s="143">
        <f t="shared" si="5"/>
        <v>0.23353806259444129</v>
      </c>
      <c r="Q49" s="142">
        <v>3000689</v>
      </c>
      <c r="R49" s="142">
        <f t="shared" ref="R49:S49" si="104">C49+H49+M49</f>
        <v>1641932</v>
      </c>
      <c r="S49" s="142">
        <f t="shared" si="104"/>
        <v>849048</v>
      </c>
      <c r="T49" s="144">
        <f t="shared" si="8"/>
        <v>0.54718499651246766</v>
      </c>
      <c r="U49" s="144">
        <f t="shared" si="9"/>
        <v>0.28295101558342101</v>
      </c>
      <c r="V49" s="144"/>
      <c r="W49" s="144"/>
      <c r="X49" s="144"/>
      <c r="Y49" s="144"/>
      <c r="Z49" s="144"/>
      <c r="AA49" s="144"/>
      <c r="AB49" s="144"/>
      <c r="AC49" s="142"/>
      <c r="AD49" s="142"/>
      <c r="AE49" s="142"/>
      <c r="AF49" s="142"/>
      <c r="AG49" s="142"/>
      <c r="AH49" s="142">
        <v>1468764</v>
      </c>
      <c r="AI49" s="145">
        <v>1465021</v>
      </c>
      <c r="AJ49" s="145">
        <v>1323987</v>
      </c>
      <c r="AK49" s="143">
        <f t="shared" si="10"/>
        <v>0.99745159875922884</v>
      </c>
      <c r="AL49" s="143">
        <f t="shared" si="11"/>
        <v>0.90142936509881777</v>
      </c>
      <c r="AM49" s="145">
        <v>21553118</v>
      </c>
      <c r="AN49" s="145">
        <v>2199326</v>
      </c>
      <c r="AO49" s="145">
        <v>930003</v>
      </c>
      <c r="AP49" s="143">
        <f t="shared" si="12"/>
        <v>0.10204212680504046</v>
      </c>
      <c r="AQ49" s="143">
        <f t="shared" si="13"/>
        <v>4.3149348507255422E-2</v>
      </c>
      <c r="AR49" s="142">
        <v>17327169</v>
      </c>
      <c r="AS49" s="145">
        <v>7139477</v>
      </c>
      <c r="AT49" s="145">
        <v>3636800</v>
      </c>
      <c r="AU49" s="143">
        <f t="shared" si="14"/>
        <v>0.41203943933368459</v>
      </c>
      <c r="AV49" s="143">
        <f t="shared" si="15"/>
        <v>0.20989002877504109</v>
      </c>
      <c r="AW49" s="146">
        <f t="shared" si="16"/>
        <v>40349051</v>
      </c>
      <c r="AX49" s="145">
        <f t="shared" ref="AX49:AY49" si="105">AI49+AN49+AS49</f>
        <v>10803824</v>
      </c>
      <c r="AY49" s="149">
        <f t="shared" si="105"/>
        <v>5890790</v>
      </c>
      <c r="AZ49" s="143">
        <f t="shared" si="18"/>
        <v>0.26775906080170264</v>
      </c>
      <c r="BA49" s="143">
        <f t="shared" si="19"/>
        <v>0.14599575092856584</v>
      </c>
      <c r="BB49" s="143"/>
      <c r="BC49" s="143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 t="s">
        <v>338</v>
      </c>
      <c r="BQ49" s="148" t="s">
        <v>338</v>
      </c>
      <c r="BR49" s="148" t="s">
        <v>338</v>
      </c>
      <c r="BS49" s="148" t="s">
        <v>338</v>
      </c>
    </row>
    <row r="50" spans="1:71" ht="14.5" x14ac:dyDescent="0.25">
      <c r="A50" s="141">
        <v>44304</v>
      </c>
      <c r="B50" s="142">
        <v>112301</v>
      </c>
      <c r="C50" s="145">
        <v>125193</v>
      </c>
      <c r="D50" s="145">
        <v>109105</v>
      </c>
      <c r="E50" s="143">
        <f t="shared" si="0"/>
        <v>1.1147986215616958</v>
      </c>
      <c r="F50" s="143">
        <f t="shared" si="1"/>
        <v>0.97154076989519234</v>
      </c>
      <c r="G50" s="142">
        <v>911631</v>
      </c>
      <c r="H50" s="145">
        <v>549394</v>
      </c>
      <c r="I50" s="145">
        <v>281756</v>
      </c>
      <c r="J50" s="143">
        <f t="shared" si="2"/>
        <v>0.60264953692886702</v>
      </c>
      <c r="K50" s="143">
        <f t="shared" si="3"/>
        <v>0.30906803300896962</v>
      </c>
      <c r="L50" s="142">
        <v>1976757</v>
      </c>
      <c r="M50" s="145">
        <v>971708</v>
      </c>
      <c r="N50" s="145">
        <v>466276</v>
      </c>
      <c r="O50" s="143">
        <f t="shared" si="4"/>
        <v>0.49156674290264307</v>
      </c>
      <c r="P50" s="143">
        <f t="shared" si="5"/>
        <v>0.2358792709473142</v>
      </c>
      <c r="Q50" s="142">
        <v>3000689</v>
      </c>
      <c r="R50" s="142">
        <f t="shared" ref="R50:S50" si="106">C50+H50+M50</f>
        <v>1646295</v>
      </c>
      <c r="S50" s="142">
        <f t="shared" si="106"/>
        <v>857137</v>
      </c>
      <c r="T50" s="144">
        <f t="shared" si="8"/>
        <v>0.54863899591060583</v>
      </c>
      <c r="U50" s="144">
        <f t="shared" si="9"/>
        <v>0.28564672980105571</v>
      </c>
      <c r="V50" s="144"/>
      <c r="W50" s="144"/>
      <c r="X50" s="144"/>
      <c r="Y50" s="144"/>
      <c r="Z50" s="144"/>
      <c r="AA50" s="144"/>
      <c r="AB50" s="144"/>
      <c r="AC50" s="142"/>
      <c r="AD50" s="142"/>
      <c r="AE50" s="142"/>
      <c r="AF50" s="142"/>
      <c r="AG50" s="142"/>
      <c r="AH50" s="142">
        <v>1468764</v>
      </c>
      <c r="AI50" s="145">
        <v>1465210</v>
      </c>
      <c r="AJ50" s="145">
        <v>1324382</v>
      </c>
      <c r="AK50" s="143">
        <f t="shared" si="10"/>
        <v>0.99758027838372942</v>
      </c>
      <c r="AL50" s="143">
        <f t="shared" si="11"/>
        <v>0.90169829870557827</v>
      </c>
      <c r="AM50" s="145">
        <v>21553118</v>
      </c>
      <c r="AN50" s="145">
        <v>2203494</v>
      </c>
      <c r="AO50" s="145">
        <v>936963</v>
      </c>
      <c r="AP50" s="143">
        <f t="shared" si="12"/>
        <v>0.10223550949797612</v>
      </c>
      <c r="AQ50" s="143">
        <f t="shared" si="13"/>
        <v>4.3472271622138382E-2</v>
      </c>
      <c r="AR50" s="142">
        <v>17327169</v>
      </c>
      <c r="AS50" s="145">
        <v>7159290</v>
      </c>
      <c r="AT50" s="145">
        <v>3649998</v>
      </c>
      <c r="AU50" s="143">
        <f t="shared" si="14"/>
        <v>0.41318290368149579</v>
      </c>
      <c r="AV50" s="143">
        <f t="shared" si="15"/>
        <v>0.21065172273670327</v>
      </c>
      <c r="AW50" s="146">
        <f t="shared" si="16"/>
        <v>40349051</v>
      </c>
      <c r="AX50" s="145">
        <f t="shared" ref="AX50:AY50" si="107">AI50+AN50+AS50</f>
        <v>10827994</v>
      </c>
      <c r="AY50" s="149">
        <f t="shared" si="107"/>
        <v>5911343</v>
      </c>
      <c r="AZ50" s="143">
        <f t="shared" si="18"/>
        <v>0.26835808356434454</v>
      </c>
      <c r="BA50" s="143">
        <f t="shared" si="19"/>
        <v>0.14650513093851947</v>
      </c>
      <c r="BB50" s="143"/>
      <c r="BC50" s="143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 t="s">
        <v>338</v>
      </c>
      <c r="BQ50" s="148" t="s">
        <v>338</v>
      </c>
      <c r="BR50" s="148" t="s">
        <v>338</v>
      </c>
      <c r="BS50" s="148" t="s">
        <v>338</v>
      </c>
    </row>
    <row r="51" spans="1:71" ht="14.5" x14ac:dyDescent="0.25">
      <c r="A51" s="141">
        <v>44305</v>
      </c>
      <c r="B51" s="142">
        <v>112301</v>
      </c>
      <c r="C51" s="145">
        <v>125459</v>
      </c>
      <c r="D51" s="145">
        <v>109299</v>
      </c>
      <c r="E51" s="143">
        <f t="shared" si="0"/>
        <v>1.1171672558570271</v>
      </c>
      <c r="F51" s="143">
        <f t="shared" si="1"/>
        <v>0.97326827009554684</v>
      </c>
      <c r="G51" s="142">
        <v>911631</v>
      </c>
      <c r="H51" s="145">
        <v>552556</v>
      </c>
      <c r="I51" s="145">
        <v>308789</v>
      </c>
      <c r="J51" s="143">
        <f t="shared" si="2"/>
        <v>0.60611804556887605</v>
      </c>
      <c r="K51" s="143">
        <f t="shared" si="3"/>
        <v>0.33872147831743327</v>
      </c>
      <c r="L51" s="142">
        <v>1976757</v>
      </c>
      <c r="M51" s="145">
        <v>990548</v>
      </c>
      <c r="N51" s="145">
        <v>475981</v>
      </c>
      <c r="O51" s="143">
        <f t="shared" si="4"/>
        <v>0.50109750465029335</v>
      </c>
      <c r="P51" s="143">
        <f t="shared" si="5"/>
        <v>0.24078882735713089</v>
      </c>
      <c r="Q51" s="142">
        <v>3000689</v>
      </c>
      <c r="R51" s="142">
        <f t="shared" ref="R51:S51" si="108">C51+H51+M51</f>
        <v>1668563</v>
      </c>
      <c r="S51" s="142">
        <f t="shared" si="108"/>
        <v>894069</v>
      </c>
      <c r="T51" s="144">
        <f t="shared" si="8"/>
        <v>0.55605995822959331</v>
      </c>
      <c r="U51" s="144">
        <f t="shared" si="9"/>
        <v>0.29795456976714346</v>
      </c>
      <c r="V51" s="144"/>
      <c r="W51" s="144"/>
      <c r="X51" s="144"/>
      <c r="Y51" s="144"/>
      <c r="Z51" s="144"/>
      <c r="AA51" s="144"/>
      <c r="AB51" s="144"/>
      <c r="AC51" s="142"/>
      <c r="AD51" s="142"/>
      <c r="AE51" s="142"/>
      <c r="AF51" s="142"/>
      <c r="AG51" s="142"/>
      <c r="AH51" s="142">
        <v>1468764</v>
      </c>
      <c r="AI51" s="145">
        <v>1466675</v>
      </c>
      <c r="AJ51" s="145">
        <v>1325963</v>
      </c>
      <c r="AK51" s="143">
        <f t="shared" si="10"/>
        <v>0.99857771568475262</v>
      </c>
      <c r="AL51" s="143">
        <f t="shared" si="11"/>
        <v>0.90277471397719444</v>
      </c>
      <c r="AM51" s="145">
        <v>21553118</v>
      </c>
      <c r="AN51" s="145">
        <v>2237282</v>
      </c>
      <c r="AO51" s="145">
        <v>1002268</v>
      </c>
      <c r="AP51" s="143">
        <f t="shared" si="12"/>
        <v>0.10380317130913495</v>
      </c>
      <c r="AQ51" s="143">
        <f t="shared" si="13"/>
        <v>4.6502227659125699E-2</v>
      </c>
      <c r="AR51" s="142">
        <v>17327169</v>
      </c>
      <c r="AS51" s="145">
        <v>7267647</v>
      </c>
      <c r="AT51" s="145">
        <v>3724381</v>
      </c>
      <c r="AU51" s="143">
        <f t="shared" si="14"/>
        <v>0.41943649305896424</v>
      </c>
      <c r="AV51" s="143">
        <f t="shared" si="15"/>
        <v>0.21494457634712283</v>
      </c>
      <c r="AW51" s="146">
        <f t="shared" si="16"/>
        <v>40349051</v>
      </c>
      <c r="AX51" s="145">
        <f t="shared" ref="AX51:AY51" si="109">AI51+AN51+AS51</f>
        <v>10971604</v>
      </c>
      <c r="AY51" s="149">
        <f t="shared" si="109"/>
        <v>6052612</v>
      </c>
      <c r="AZ51" s="143">
        <f t="shared" si="18"/>
        <v>0.27191727508039781</v>
      </c>
      <c r="BA51" s="143">
        <f t="shared" si="19"/>
        <v>0.15000630374181539</v>
      </c>
      <c r="BB51" s="143"/>
      <c r="BC51" s="143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 t="s">
        <v>338</v>
      </c>
      <c r="BQ51" s="148" t="s">
        <v>338</v>
      </c>
      <c r="BR51" s="148" t="s">
        <v>338</v>
      </c>
      <c r="BS51" s="148" t="s">
        <v>338</v>
      </c>
    </row>
    <row r="52" spans="1:71" ht="14.5" x14ac:dyDescent="0.25">
      <c r="A52" s="141">
        <v>44306</v>
      </c>
      <c r="B52" s="142">
        <v>112301</v>
      </c>
      <c r="C52" s="145">
        <v>125568</v>
      </c>
      <c r="D52" s="145">
        <v>109421</v>
      </c>
      <c r="E52" s="143">
        <f t="shared" si="0"/>
        <v>1.1181378616397004</v>
      </c>
      <c r="F52" s="143">
        <f t="shared" si="1"/>
        <v>0.97435463620092433</v>
      </c>
      <c r="G52" s="142">
        <v>911631</v>
      </c>
      <c r="H52" s="145">
        <v>554268</v>
      </c>
      <c r="I52" s="145">
        <v>320304</v>
      </c>
      <c r="J52" s="143">
        <f t="shared" si="2"/>
        <v>0.60799599838092389</v>
      </c>
      <c r="K52" s="143">
        <f t="shared" si="3"/>
        <v>0.35135268546155185</v>
      </c>
      <c r="L52" s="142">
        <v>1976757</v>
      </c>
      <c r="M52" s="145">
        <v>1007563</v>
      </c>
      <c r="N52" s="145">
        <v>481378</v>
      </c>
      <c r="O52" s="143">
        <f t="shared" si="4"/>
        <v>0.50970503708852433</v>
      </c>
      <c r="P52" s="143">
        <f t="shared" si="5"/>
        <v>0.24351905671764409</v>
      </c>
      <c r="Q52" s="142">
        <v>3000689</v>
      </c>
      <c r="R52" s="142">
        <f t="shared" ref="R52:S52" si="110">C52+H52+M52</f>
        <v>1687399</v>
      </c>
      <c r="S52" s="142">
        <f t="shared" si="110"/>
        <v>911103</v>
      </c>
      <c r="T52" s="144">
        <f t="shared" si="8"/>
        <v>0.56233718322691884</v>
      </c>
      <c r="U52" s="144">
        <f t="shared" si="9"/>
        <v>0.30363126601923757</v>
      </c>
      <c r="V52" s="144"/>
      <c r="W52" s="144"/>
      <c r="X52" s="144"/>
      <c r="Y52" s="144"/>
      <c r="Z52" s="144"/>
      <c r="AA52" s="144"/>
      <c r="AB52" s="144"/>
      <c r="AC52" s="142"/>
      <c r="AD52" s="142"/>
      <c r="AE52" s="142"/>
      <c r="AF52" s="142"/>
      <c r="AG52" s="142"/>
      <c r="AH52" s="142">
        <v>1468764</v>
      </c>
      <c r="AI52" s="145">
        <v>1467860</v>
      </c>
      <c r="AJ52" s="145">
        <v>1327443</v>
      </c>
      <c r="AK52" s="143">
        <f t="shared" si="10"/>
        <v>0.99938451650503413</v>
      </c>
      <c r="AL52" s="143">
        <f t="shared" si="11"/>
        <v>0.90378236394682876</v>
      </c>
      <c r="AM52" s="145">
        <v>21553118</v>
      </c>
      <c r="AN52" s="145">
        <v>2264590</v>
      </c>
      <c r="AO52" s="145">
        <v>1040757</v>
      </c>
      <c r="AP52" s="143">
        <f t="shared" si="12"/>
        <v>0.10507018056505792</v>
      </c>
      <c r="AQ52" s="143">
        <f t="shared" si="13"/>
        <v>4.8288001763828324E-2</v>
      </c>
      <c r="AR52" s="142">
        <v>17327169</v>
      </c>
      <c r="AS52" s="145">
        <v>7383064</v>
      </c>
      <c r="AT52" s="145">
        <v>3790548</v>
      </c>
      <c r="AU52" s="143">
        <f t="shared" si="14"/>
        <v>0.42609753503298781</v>
      </c>
      <c r="AV52" s="143">
        <f t="shared" si="15"/>
        <v>0.21876326132676377</v>
      </c>
      <c r="AW52" s="146">
        <f t="shared" si="16"/>
        <v>40349051</v>
      </c>
      <c r="AX52" s="145">
        <f t="shared" ref="AX52:AY52" si="111">AI52+AN52+AS52</f>
        <v>11115514</v>
      </c>
      <c r="AY52" s="149">
        <f t="shared" si="111"/>
        <v>6158748</v>
      </c>
      <c r="AZ52" s="143">
        <f t="shared" si="18"/>
        <v>0.27548390171555709</v>
      </c>
      <c r="BA52" s="143">
        <f t="shared" si="19"/>
        <v>0.15263674974660493</v>
      </c>
      <c r="BB52" s="143"/>
      <c r="BC52" s="143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 t="s">
        <v>338</v>
      </c>
      <c r="BQ52" s="148" t="s">
        <v>338</v>
      </c>
      <c r="BR52" s="148" t="s">
        <v>338</v>
      </c>
      <c r="BS52" s="148" t="s">
        <v>338</v>
      </c>
    </row>
    <row r="53" spans="1:71" ht="14.5" x14ac:dyDescent="0.25">
      <c r="A53" s="141">
        <v>44307</v>
      </c>
      <c r="B53" s="142">
        <v>112301</v>
      </c>
      <c r="C53" s="145">
        <v>125808</v>
      </c>
      <c r="D53" s="145">
        <v>109615</v>
      </c>
      <c r="E53" s="143">
        <f t="shared" si="0"/>
        <v>1.1202749752896235</v>
      </c>
      <c r="F53" s="143">
        <f t="shared" si="1"/>
        <v>0.97608213640127872</v>
      </c>
      <c r="G53" s="142">
        <v>911631</v>
      </c>
      <c r="H53" s="145">
        <v>556786</v>
      </c>
      <c r="I53" s="145">
        <v>341170</v>
      </c>
      <c r="J53" s="143">
        <f t="shared" si="2"/>
        <v>0.61075808084630734</v>
      </c>
      <c r="K53" s="143">
        <f t="shared" si="3"/>
        <v>0.37424133229343892</v>
      </c>
      <c r="L53" s="142">
        <v>1976757</v>
      </c>
      <c r="M53" s="145">
        <v>1025472</v>
      </c>
      <c r="N53" s="145">
        <v>493120</v>
      </c>
      <c r="O53" s="143">
        <f t="shared" si="4"/>
        <v>0.51876482541860225</v>
      </c>
      <c r="P53" s="143">
        <f t="shared" si="5"/>
        <v>0.24945908880049494</v>
      </c>
      <c r="Q53" s="142">
        <v>3000689</v>
      </c>
      <c r="R53" s="142">
        <f t="shared" ref="R53:S53" si="112">C53+H53+M53</f>
        <v>1708066</v>
      </c>
      <c r="S53" s="142">
        <f t="shared" si="112"/>
        <v>943905</v>
      </c>
      <c r="T53" s="144">
        <f t="shared" si="8"/>
        <v>0.5692246014165413</v>
      </c>
      <c r="U53" s="144">
        <f t="shared" si="9"/>
        <v>0.3145627554205051</v>
      </c>
      <c r="V53" s="144"/>
      <c r="W53" s="144"/>
      <c r="X53" s="144"/>
      <c r="Y53" s="144"/>
      <c r="Z53" s="144"/>
      <c r="AA53" s="144"/>
      <c r="AB53" s="144"/>
      <c r="AC53" s="142"/>
      <c r="AD53" s="142"/>
      <c r="AE53" s="142"/>
      <c r="AF53" s="142"/>
      <c r="AG53" s="142"/>
      <c r="AH53" s="142">
        <v>1468764</v>
      </c>
      <c r="AI53" s="145">
        <v>1480525</v>
      </c>
      <c r="AJ53" s="145">
        <v>1338926</v>
      </c>
      <c r="AK53" s="143">
        <f t="shared" si="10"/>
        <v>1.0080074130357226</v>
      </c>
      <c r="AL53" s="143">
        <f t="shared" si="11"/>
        <v>0.91160050219095778</v>
      </c>
      <c r="AM53" s="145">
        <v>21553118</v>
      </c>
      <c r="AN53" s="145">
        <v>2298131</v>
      </c>
      <c r="AO53" s="145">
        <v>1111339</v>
      </c>
      <c r="AP53" s="143">
        <f t="shared" si="12"/>
        <v>0.10662638231739835</v>
      </c>
      <c r="AQ53" s="143">
        <f t="shared" si="13"/>
        <v>5.1562794765935956E-2</v>
      </c>
      <c r="AR53" s="142">
        <v>17327169</v>
      </c>
      <c r="AS53" s="145">
        <v>7522899</v>
      </c>
      <c r="AT53" s="145">
        <v>3891666</v>
      </c>
      <c r="AU53" s="143">
        <f t="shared" si="14"/>
        <v>0.43416780894790141</v>
      </c>
      <c r="AV53" s="143">
        <f t="shared" si="15"/>
        <v>0.2245990675106822</v>
      </c>
      <c r="AW53" s="146">
        <f t="shared" si="16"/>
        <v>40349051</v>
      </c>
      <c r="AX53" s="145">
        <f t="shared" ref="AX53:AY53" si="113">AI53+AN53+AS53</f>
        <v>11301555</v>
      </c>
      <c r="AY53" s="149">
        <f t="shared" si="113"/>
        <v>6341931</v>
      </c>
      <c r="AZ53" s="143">
        <f t="shared" si="18"/>
        <v>0.2800946916942359</v>
      </c>
      <c r="BA53" s="143">
        <f t="shared" si="19"/>
        <v>0.1571767078239337</v>
      </c>
      <c r="BB53" s="143"/>
      <c r="BC53" s="143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 t="s">
        <v>338</v>
      </c>
      <c r="BQ53" s="148" t="s">
        <v>338</v>
      </c>
      <c r="BR53" s="148" t="s">
        <v>338</v>
      </c>
      <c r="BS53" s="148" t="s">
        <v>338</v>
      </c>
    </row>
    <row r="54" spans="1:71" ht="14.5" x14ac:dyDescent="0.25">
      <c r="A54" s="141">
        <v>44308</v>
      </c>
      <c r="B54" s="142">
        <v>112301</v>
      </c>
      <c r="C54" s="145">
        <v>126323</v>
      </c>
      <c r="D54" s="145">
        <v>109990</v>
      </c>
      <c r="E54" s="143">
        <f t="shared" si="0"/>
        <v>1.1248608649967498</v>
      </c>
      <c r="F54" s="143">
        <f t="shared" si="1"/>
        <v>0.9794213764792834</v>
      </c>
      <c r="G54" s="142">
        <v>911631</v>
      </c>
      <c r="H54" s="145">
        <v>561547</v>
      </c>
      <c r="I54" s="145">
        <v>370371</v>
      </c>
      <c r="J54" s="143">
        <f t="shared" si="2"/>
        <v>0.61598058863728855</v>
      </c>
      <c r="K54" s="143">
        <f t="shared" si="3"/>
        <v>0.40627293279846782</v>
      </c>
      <c r="L54" s="142">
        <v>1976757</v>
      </c>
      <c r="M54" s="145">
        <v>1058587</v>
      </c>
      <c r="N54" s="145">
        <v>515356</v>
      </c>
      <c r="O54" s="143">
        <f t="shared" si="4"/>
        <v>0.53551701094267024</v>
      </c>
      <c r="P54" s="143">
        <f t="shared" si="5"/>
        <v>0.26070781588227587</v>
      </c>
      <c r="Q54" s="142">
        <v>3000689</v>
      </c>
      <c r="R54" s="142">
        <f t="shared" ref="R54:S54" si="114">C54+H54+M54</f>
        <v>1746457</v>
      </c>
      <c r="S54" s="142">
        <f t="shared" si="114"/>
        <v>995717</v>
      </c>
      <c r="T54" s="144">
        <f t="shared" si="8"/>
        <v>0.58201866304705352</v>
      </c>
      <c r="U54" s="144">
        <f t="shared" si="9"/>
        <v>0.33182945650149015</v>
      </c>
      <c r="V54" s="144"/>
      <c r="W54" s="144"/>
      <c r="X54" s="144"/>
      <c r="Y54" s="144"/>
      <c r="Z54" s="144"/>
      <c r="AA54" s="144"/>
      <c r="AB54" s="144"/>
      <c r="AC54" s="142"/>
      <c r="AD54" s="142"/>
      <c r="AE54" s="142"/>
      <c r="AF54" s="142"/>
      <c r="AG54" s="142"/>
      <c r="AH54" s="142">
        <v>1468764</v>
      </c>
      <c r="AI54" s="145">
        <v>1481515</v>
      </c>
      <c r="AJ54" s="145">
        <v>1340196</v>
      </c>
      <c r="AK54" s="143">
        <f t="shared" si="10"/>
        <v>1.008681449164059</v>
      </c>
      <c r="AL54" s="143">
        <f t="shared" si="11"/>
        <v>0.91246517480003597</v>
      </c>
      <c r="AM54" s="145">
        <v>21553118</v>
      </c>
      <c r="AN54" s="145">
        <v>2328940</v>
      </c>
      <c r="AO54" s="145">
        <v>1170028</v>
      </c>
      <c r="AP54" s="143">
        <f t="shared" si="12"/>
        <v>0.10805582746774736</v>
      </c>
      <c r="AQ54" s="143">
        <f t="shared" si="13"/>
        <v>5.42857882557874E-2</v>
      </c>
      <c r="AR54" s="142">
        <v>17327169</v>
      </c>
      <c r="AS54" s="145">
        <v>7621517</v>
      </c>
      <c r="AT54" s="145">
        <v>3977973</v>
      </c>
      <c r="AU54" s="143">
        <f t="shared" si="14"/>
        <v>0.43985933305088676</v>
      </c>
      <c r="AV54" s="143">
        <f t="shared" si="15"/>
        <v>0.22958008893432044</v>
      </c>
      <c r="AW54" s="146">
        <f t="shared" si="16"/>
        <v>40349051</v>
      </c>
      <c r="AX54" s="145">
        <f t="shared" ref="AX54:AY54" si="115">AI54+AN54+AS54</f>
        <v>11431972</v>
      </c>
      <c r="AY54" s="149">
        <f t="shared" si="115"/>
        <v>6488197</v>
      </c>
      <c r="AZ54" s="143">
        <f t="shared" si="18"/>
        <v>0.28332691145573657</v>
      </c>
      <c r="BA54" s="143">
        <f t="shared" si="19"/>
        <v>0.16080172492780562</v>
      </c>
      <c r="BB54" s="143"/>
      <c r="BC54" s="143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 t="s">
        <v>338</v>
      </c>
      <c r="BQ54" s="148" t="s">
        <v>338</v>
      </c>
      <c r="BR54" s="148" t="s">
        <v>338</v>
      </c>
      <c r="BS54" s="148" t="s">
        <v>338</v>
      </c>
    </row>
    <row r="55" spans="1:71" ht="14.5" x14ac:dyDescent="0.25">
      <c r="A55" s="141">
        <v>44309</v>
      </c>
      <c r="B55" s="142">
        <v>112301</v>
      </c>
      <c r="C55" s="145">
        <v>126594</v>
      </c>
      <c r="D55" s="145">
        <v>110213</v>
      </c>
      <c r="E55" s="143">
        <f t="shared" si="0"/>
        <v>1.1272740224931213</v>
      </c>
      <c r="F55" s="143">
        <f t="shared" si="1"/>
        <v>0.98140711124567015</v>
      </c>
      <c r="G55" s="142">
        <v>911631</v>
      </c>
      <c r="H55" s="145">
        <v>564499</v>
      </c>
      <c r="I55" s="145">
        <v>387901</v>
      </c>
      <c r="J55" s="143">
        <f t="shared" si="2"/>
        <v>0.61921874091600659</v>
      </c>
      <c r="K55" s="143">
        <f t="shared" si="3"/>
        <v>0.42550220429099056</v>
      </c>
      <c r="L55" s="142">
        <v>1976757</v>
      </c>
      <c r="M55" s="145">
        <v>1079773</v>
      </c>
      <c r="N55" s="145">
        <v>530125</v>
      </c>
      <c r="O55" s="143">
        <f t="shared" si="4"/>
        <v>0.54623456499711398</v>
      </c>
      <c r="P55" s="143">
        <f t="shared" si="5"/>
        <v>0.26817914392107883</v>
      </c>
      <c r="Q55" s="142">
        <v>3000689</v>
      </c>
      <c r="R55" s="142">
        <f t="shared" ref="R55:S55" si="116">C55+H55+M55</f>
        <v>1770866</v>
      </c>
      <c r="S55" s="142">
        <f t="shared" si="116"/>
        <v>1028239</v>
      </c>
      <c r="T55" s="144">
        <f t="shared" si="8"/>
        <v>0.59015312816489818</v>
      </c>
      <c r="U55" s="144">
        <f t="shared" si="9"/>
        <v>0.34266763400005801</v>
      </c>
      <c r="V55" s="144"/>
      <c r="W55" s="144"/>
      <c r="X55" s="144"/>
      <c r="Y55" s="144"/>
      <c r="Z55" s="144"/>
      <c r="AA55" s="144"/>
      <c r="AB55" s="144"/>
      <c r="AC55" s="142"/>
      <c r="AD55" s="142"/>
      <c r="AE55" s="142"/>
      <c r="AF55" s="142"/>
      <c r="AG55" s="142"/>
      <c r="AH55" s="142">
        <v>1468764</v>
      </c>
      <c r="AI55" s="145">
        <v>1483781</v>
      </c>
      <c r="AJ55" s="145">
        <v>1342774</v>
      </c>
      <c r="AK55" s="143">
        <f t="shared" si="10"/>
        <v>1.0102242429689181</v>
      </c>
      <c r="AL55" s="143">
        <f t="shared" si="11"/>
        <v>0.91422039211200712</v>
      </c>
      <c r="AM55" s="145">
        <v>21553118</v>
      </c>
      <c r="AN55" s="145">
        <v>2357556</v>
      </c>
      <c r="AO55" s="145">
        <v>1225863</v>
      </c>
      <c r="AP55" s="143">
        <f t="shared" si="12"/>
        <v>0.10938352399870868</v>
      </c>
      <c r="AQ55" s="143">
        <f t="shared" si="13"/>
        <v>5.6876364709737122E-2</v>
      </c>
      <c r="AR55" s="142">
        <v>17327169</v>
      </c>
      <c r="AS55" s="145">
        <v>7745803</v>
      </c>
      <c r="AT55" s="145">
        <v>4108511</v>
      </c>
      <c r="AU55" s="143">
        <f t="shared" si="14"/>
        <v>0.44703223013522869</v>
      </c>
      <c r="AV55" s="143">
        <f t="shared" si="15"/>
        <v>0.23711380664665993</v>
      </c>
      <c r="AW55" s="146">
        <f t="shared" si="16"/>
        <v>40349051</v>
      </c>
      <c r="AX55" s="145">
        <f t="shared" ref="AX55:AY55" si="117">AI55+AN55+AS55</f>
        <v>11587140</v>
      </c>
      <c r="AY55" s="149">
        <f t="shared" si="117"/>
        <v>6677148</v>
      </c>
      <c r="AZ55" s="143">
        <f t="shared" si="18"/>
        <v>0.28717255332721459</v>
      </c>
      <c r="BA55" s="143">
        <f t="shared" si="19"/>
        <v>0.16548463556181284</v>
      </c>
      <c r="BB55" s="143"/>
      <c r="BC55" s="143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 t="s">
        <v>338</v>
      </c>
      <c r="BQ55" s="148" t="s">
        <v>338</v>
      </c>
      <c r="BR55" s="148" t="s">
        <v>338</v>
      </c>
      <c r="BS55" s="148" t="s">
        <v>338</v>
      </c>
    </row>
    <row r="56" spans="1:71" ht="14.5" x14ac:dyDescent="0.25">
      <c r="A56" s="141">
        <v>44310</v>
      </c>
      <c r="B56" s="142">
        <v>112301</v>
      </c>
      <c r="C56" s="145">
        <v>126642</v>
      </c>
      <c r="D56" s="145">
        <v>110273</v>
      </c>
      <c r="E56" s="143">
        <f t="shared" si="0"/>
        <v>1.1277014452231058</v>
      </c>
      <c r="F56" s="143">
        <f t="shared" si="1"/>
        <v>0.98194138965815081</v>
      </c>
      <c r="G56" s="142">
        <v>911631</v>
      </c>
      <c r="H56" s="145">
        <v>565373</v>
      </c>
      <c r="I56" s="145">
        <v>392124</v>
      </c>
      <c r="J56" s="143">
        <f t="shared" si="2"/>
        <v>0.62017746215299829</v>
      </c>
      <c r="K56" s="143">
        <f t="shared" si="3"/>
        <v>0.43013456102304548</v>
      </c>
      <c r="L56" s="142">
        <v>1976757</v>
      </c>
      <c r="M56" s="145">
        <v>1092495</v>
      </c>
      <c r="N56" s="145">
        <v>543877</v>
      </c>
      <c r="O56" s="143">
        <f t="shared" si="4"/>
        <v>0.55267035857214619</v>
      </c>
      <c r="P56" s="143">
        <f t="shared" si="5"/>
        <v>0.27513599294197516</v>
      </c>
      <c r="Q56" s="142">
        <v>3000689</v>
      </c>
      <c r="R56" s="142">
        <f t="shared" ref="R56:S56" si="118">C56+H56+M56</f>
        <v>1784510</v>
      </c>
      <c r="S56" s="142">
        <f t="shared" si="118"/>
        <v>1046274</v>
      </c>
      <c r="T56" s="144">
        <f t="shared" si="8"/>
        <v>0.59470008388073536</v>
      </c>
      <c r="U56" s="144">
        <f t="shared" si="9"/>
        <v>0.34867792030430345</v>
      </c>
      <c r="V56" s="144"/>
      <c r="W56" s="144"/>
      <c r="X56" s="144"/>
      <c r="Y56" s="144"/>
      <c r="Z56" s="144"/>
      <c r="AA56" s="144"/>
      <c r="AB56" s="144"/>
      <c r="AC56" s="142"/>
      <c r="AD56" s="142"/>
      <c r="AE56" s="142"/>
      <c r="AF56" s="142"/>
      <c r="AG56" s="142"/>
      <c r="AH56" s="142">
        <v>1468764</v>
      </c>
      <c r="AI56" s="145">
        <v>1484971</v>
      </c>
      <c r="AJ56" s="145">
        <v>1344232</v>
      </c>
      <c r="AK56" s="143">
        <f t="shared" si="10"/>
        <v>1.0110344480120701</v>
      </c>
      <c r="AL56" s="143">
        <f t="shared" si="11"/>
        <v>0.91521306350101173</v>
      </c>
      <c r="AM56" s="145">
        <v>21553118</v>
      </c>
      <c r="AN56" s="145">
        <v>2384567</v>
      </c>
      <c r="AO56" s="145">
        <v>1263040</v>
      </c>
      <c r="AP56" s="143">
        <f t="shared" si="12"/>
        <v>0.11063675334585001</v>
      </c>
      <c r="AQ56" s="143">
        <f t="shared" si="13"/>
        <v>5.8601265951404337E-2</v>
      </c>
      <c r="AR56" s="142">
        <v>17327169</v>
      </c>
      <c r="AS56" s="145">
        <v>7848268</v>
      </c>
      <c r="AT56" s="145">
        <v>4190969</v>
      </c>
      <c r="AU56" s="143">
        <f t="shared" si="14"/>
        <v>0.45294577550435389</v>
      </c>
      <c r="AV56" s="143">
        <f t="shared" si="15"/>
        <v>0.24187269137849352</v>
      </c>
      <c r="AW56" s="146">
        <f t="shared" si="16"/>
        <v>40349051</v>
      </c>
      <c r="AX56" s="145">
        <f t="shared" ref="AX56:AY56" si="119">AI56+AN56+AS56</f>
        <v>11717806</v>
      </c>
      <c r="AY56" s="149">
        <f t="shared" si="119"/>
        <v>6798241</v>
      </c>
      <c r="AZ56" s="143">
        <f t="shared" si="18"/>
        <v>0.29041094423757324</v>
      </c>
      <c r="BA56" s="143">
        <f t="shared" si="19"/>
        <v>0.16848577182149835</v>
      </c>
      <c r="BB56" s="143"/>
      <c r="BC56" s="143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 t="s">
        <v>338</v>
      </c>
      <c r="BQ56" s="148" t="s">
        <v>338</v>
      </c>
      <c r="BR56" s="148" t="s">
        <v>338</v>
      </c>
      <c r="BS56" s="148" t="s">
        <v>338</v>
      </c>
    </row>
    <row r="57" spans="1:71" ht="14.5" x14ac:dyDescent="0.25">
      <c r="A57" s="141">
        <v>44311</v>
      </c>
      <c r="B57" s="142">
        <v>112301</v>
      </c>
      <c r="C57" s="145">
        <v>126663</v>
      </c>
      <c r="D57" s="145">
        <v>110297</v>
      </c>
      <c r="E57" s="143">
        <f t="shared" si="0"/>
        <v>1.127888442667474</v>
      </c>
      <c r="F57" s="143">
        <f t="shared" si="1"/>
        <v>0.98215510102314318</v>
      </c>
      <c r="G57" s="142">
        <v>911631</v>
      </c>
      <c r="H57" s="145">
        <v>565919</v>
      </c>
      <c r="I57" s="145">
        <v>394656</v>
      </c>
      <c r="J57" s="143">
        <f t="shared" si="2"/>
        <v>0.62077638869235474</v>
      </c>
      <c r="K57" s="143">
        <f t="shared" si="3"/>
        <v>0.43291200057918172</v>
      </c>
      <c r="L57" s="142">
        <v>1976757</v>
      </c>
      <c r="M57" s="145">
        <v>1103805</v>
      </c>
      <c r="N57" s="145">
        <v>554636</v>
      </c>
      <c r="O57" s="143">
        <f t="shared" si="4"/>
        <v>0.55839185089517829</v>
      </c>
      <c r="P57" s="143">
        <f t="shared" si="5"/>
        <v>0.28057874589542364</v>
      </c>
      <c r="Q57" s="142">
        <v>3000689</v>
      </c>
      <c r="R57" s="142">
        <f t="shared" ref="R57:S57" si="120">C57+H57+M57</f>
        <v>1796387</v>
      </c>
      <c r="S57" s="142">
        <f t="shared" si="120"/>
        <v>1059589</v>
      </c>
      <c r="T57" s="144">
        <f t="shared" si="8"/>
        <v>0.5986581748391786</v>
      </c>
      <c r="U57" s="144">
        <f t="shared" si="9"/>
        <v>0.35311523453446858</v>
      </c>
      <c r="V57" s="144"/>
      <c r="W57" s="144"/>
      <c r="X57" s="144"/>
      <c r="Y57" s="144"/>
      <c r="Z57" s="144"/>
      <c r="AA57" s="144"/>
      <c r="AB57" s="144"/>
      <c r="AC57" s="142"/>
      <c r="AD57" s="142"/>
      <c r="AE57" s="142"/>
      <c r="AF57" s="142"/>
      <c r="AG57" s="142"/>
      <c r="AH57" s="142">
        <v>1468764</v>
      </c>
      <c r="AI57" s="145">
        <v>1485102</v>
      </c>
      <c r="AJ57" s="145">
        <v>1344441</v>
      </c>
      <c r="AK57" s="143">
        <f t="shared" si="10"/>
        <v>1.0111236386512741</v>
      </c>
      <c r="AL57" s="143">
        <f t="shared" si="11"/>
        <v>0.91535536001699391</v>
      </c>
      <c r="AM57" s="145">
        <v>21553118</v>
      </c>
      <c r="AN57" s="145">
        <v>2386671</v>
      </c>
      <c r="AO57" s="145">
        <v>1269557</v>
      </c>
      <c r="AP57" s="143">
        <f t="shared" si="12"/>
        <v>0.11073437263230314</v>
      </c>
      <c r="AQ57" s="143">
        <f t="shared" si="13"/>
        <v>5.8903635195612994E-2</v>
      </c>
      <c r="AR57" s="142">
        <v>17327169</v>
      </c>
      <c r="AS57" s="145">
        <v>7869046</v>
      </c>
      <c r="AT57" s="145">
        <v>4215417</v>
      </c>
      <c r="AU57" s="143">
        <f t="shared" si="14"/>
        <v>0.45414493273540529</v>
      </c>
      <c r="AV57" s="143">
        <f t="shared" si="15"/>
        <v>0.24328365470435476</v>
      </c>
      <c r="AW57" s="146">
        <f t="shared" si="16"/>
        <v>40349051</v>
      </c>
      <c r="AX57" s="145">
        <f t="shared" ref="AX57:AY57" si="121">AI57+AN57+AS57</f>
        <v>11740819</v>
      </c>
      <c r="AY57" s="149">
        <f t="shared" si="121"/>
        <v>6829415</v>
      </c>
      <c r="AZ57" s="143">
        <f t="shared" si="18"/>
        <v>0.29098129222419628</v>
      </c>
      <c r="BA57" s="143">
        <f t="shared" si="19"/>
        <v>0.16925837983153558</v>
      </c>
      <c r="BB57" s="143"/>
      <c r="BC57" s="143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 t="s">
        <v>338</v>
      </c>
      <c r="BQ57" s="148" t="s">
        <v>338</v>
      </c>
      <c r="BR57" s="148" t="s">
        <v>338</v>
      </c>
      <c r="BS57" s="148" t="s">
        <v>338</v>
      </c>
    </row>
    <row r="58" spans="1:71" ht="14.5" x14ac:dyDescent="0.25">
      <c r="A58" s="141">
        <v>44312</v>
      </c>
      <c r="B58" s="142">
        <v>112301</v>
      </c>
      <c r="C58" s="145">
        <v>126864</v>
      </c>
      <c r="D58" s="145">
        <v>110554</v>
      </c>
      <c r="E58" s="143">
        <f t="shared" si="0"/>
        <v>1.1296782753492844</v>
      </c>
      <c r="F58" s="143">
        <f t="shared" si="1"/>
        <v>0.98444359355660238</v>
      </c>
      <c r="G58" s="142">
        <v>911631</v>
      </c>
      <c r="H58" s="145">
        <v>568335</v>
      </c>
      <c r="I58" s="145">
        <v>416922</v>
      </c>
      <c r="J58" s="143">
        <f t="shared" si="2"/>
        <v>0.62342658378225402</v>
      </c>
      <c r="K58" s="143">
        <f t="shared" si="3"/>
        <v>0.45733635648634152</v>
      </c>
      <c r="L58" s="142">
        <v>1976757</v>
      </c>
      <c r="M58" s="145">
        <v>1127512</v>
      </c>
      <c r="N58" s="145">
        <v>577131</v>
      </c>
      <c r="O58" s="143">
        <f t="shared" si="4"/>
        <v>0.57038472609430502</v>
      </c>
      <c r="P58" s="143">
        <f t="shared" si="5"/>
        <v>0.2919584956572811</v>
      </c>
      <c r="Q58" s="142">
        <v>3000689</v>
      </c>
      <c r="R58" s="142">
        <f t="shared" ref="R58:S58" si="122">C58+H58+M58</f>
        <v>1822711</v>
      </c>
      <c r="S58" s="142">
        <f t="shared" si="122"/>
        <v>1104607</v>
      </c>
      <c r="T58" s="144">
        <f t="shared" si="8"/>
        <v>0.60743082672012993</v>
      </c>
      <c r="U58" s="144">
        <f t="shared" si="9"/>
        <v>0.368117788947805</v>
      </c>
      <c r="V58" s="144"/>
      <c r="W58" s="144"/>
      <c r="X58" s="144"/>
      <c r="Y58" s="144"/>
      <c r="Z58" s="144"/>
      <c r="AA58" s="144"/>
      <c r="AB58" s="144"/>
      <c r="AC58" s="142"/>
      <c r="AD58" s="142"/>
      <c r="AE58" s="142"/>
      <c r="AF58" s="142"/>
      <c r="AG58" s="142"/>
      <c r="AH58" s="142">
        <v>1468764</v>
      </c>
      <c r="AI58" s="145">
        <v>1486574</v>
      </c>
      <c r="AJ58" s="145">
        <v>1346352</v>
      </c>
      <c r="AK58" s="143">
        <f t="shared" si="10"/>
        <v>1.0121258418643158</v>
      </c>
      <c r="AL58" s="143">
        <f t="shared" si="11"/>
        <v>0.91665645399805551</v>
      </c>
      <c r="AM58" s="145">
        <v>21553118</v>
      </c>
      <c r="AN58" s="145">
        <v>2417375</v>
      </c>
      <c r="AO58" s="145">
        <v>1332721</v>
      </c>
      <c r="AP58" s="143">
        <f t="shared" si="12"/>
        <v>0.11215894609772933</v>
      </c>
      <c r="AQ58" s="143">
        <f t="shared" si="13"/>
        <v>6.1834255257174391E-2</v>
      </c>
      <c r="AR58" s="142">
        <v>17327169</v>
      </c>
      <c r="AS58" s="145">
        <v>7967909</v>
      </c>
      <c r="AT58" s="145">
        <v>4344278</v>
      </c>
      <c r="AU58" s="143">
        <f t="shared" si="14"/>
        <v>0.45985059648232207</v>
      </c>
      <c r="AV58" s="143">
        <f t="shared" si="15"/>
        <v>0.2507205879968043</v>
      </c>
      <c r="AW58" s="146">
        <f t="shared" si="16"/>
        <v>40349051</v>
      </c>
      <c r="AX58" s="145">
        <f t="shared" ref="AX58:AY58" si="123">AI58+AN58+AS58</f>
        <v>11871858</v>
      </c>
      <c r="AY58" s="149">
        <f t="shared" si="123"/>
        <v>7023351</v>
      </c>
      <c r="AZ58" s="143">
        <f t="shared" si="18"/>
        <v>0.29422892746597684</v>
      </c>
      <c r="BA58" s="143">
        <f t="shared" si="19"/>
        <v>0.17406483736135456</v>
      </c>
      <c r="BB58" s="143"/>
      <c r="BC58" s="143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 t="s">
        <v>338</v>
      </c>
      <c r="BQ58" s="148" t="s">
        <v>338</v>
      </c>
      <c r="BR58" s="148" t="s">
        <v>338</v>
      </c>
      <c r="BS58" s="148" t="s">
        <v>338</v>
      </c>
    </row>
    <row r="59" spans="1:71" ht="14.5" x14ac:dyDescent="0.25">
      <c r="A59" s="141">
        <v>44313</v>
      </c>
      <c r="B59" s="142">
        <v>112301</v>
      </c>
      <c r="C59" s="145">
        <v>127101</v>
      </c>
      <c r="D59" s="145">
        <v>110788</v>
      </c>
      <c r="E59" s="143">
        <f t="shared" si="0"/>
        <v>1.1317886750785835</v>
      </c>
      <c r="F59" s="143">
        <f t="shared" si="1"/>
        <v>0.98652727936527729</v>
      </c>
      <c r="G59" s="142">
        <v>911631</v>
      </c>
      <c r="H59" s="145">
        <v>570852</v>
      </c>
      <c r="I59" s="145">
        <v>432310</v>
      </c>
      <c r="J59" s="143">
        <f t="shared" si="2"/>
        <v>0.62618756931258368</v>
      </c>
      <c r="K59" s="143">
        <f t="shared" si="3"/>
        <v>0.47421599309369689</v>
      </c>
      <c r="L59" s="142">
        <v>1976757</v>
      </c>
      <c r="M59" s="145">
        <v>1152521</v>
      </c>
      <c r="N59" s="145">
        <v>699388</v>
      </c>
      <c r="O59" s="143">
        <f t="shared" si="4"/>
        <v>0.58303625584732977</v>
      </c>
      <c r="P59" s="143">
        <f t="shared" si="5"/>
        <v>0.35380575356505628</v>
      </c>
      <c r="Q59" s="142">
        <v>3000689</v>
      </c>
      <c r="R59" s="142">
        <f t="shared" ref="R59:S59" si="124">C59+H59+M59</f>
        <v>1850474</v>
      </c>
      <c r="S59" s="142">
        <f t="shared" si="124"/>
        <v>1242486</v>
      </c>
      <c r="T59" s="144">
        <f t="shared" si="8"/>
        <v>0.61668303512959854</v>
      </c>
      <c r="U59" s="144">
        <f t="shared" si="9"/>
        <v>0.41406690263469492</v>
      </c>
      <c r="V59" s="144"/>
      <c r="W59" s="144"/>
      <c r="X59" s="144"/>
      <c r="Y59" s="144"/>
      <c r="Z59" s="144"/>
      <c r="AA59" s="144"/>
      <c r="AB59" s="144"/>
      <c r="AC59" s="142"/>
      <c r="AD59" s="142"/>
      <c r="AE59" s="142"/>
      <c r="AF59" s="142"/>
      <c r="AG59" s="142"/>
      <c r="AH59" s="142">
        <v>1468764</v>
      </c>
      <c r="AI59" s="145">
        <v>1488135</v>
      </c>
      <c r="AJ59" s="145">
        <v>1348327</v>
      </c>
      <c r="AK59" s="143">
        <f t="shared" si="10"/>
        <v>1.0131886402444505</v>
      </c>
      <c r="AL59" s="143">
        <f t="shared" si="11"/>
        <v>0.91800112203185813</v>
      </c>
      <c r="AM59" s="145">
        <v>21553118</v>
      </c>
      <c r="AN59" s="145">
        <v>2450582</v>
      </c>
      <c r="AO59" s="145">
        <v>1390926</v>
      </c>
      <c r="AP59" s="143">
        <f t="shared" si="12"/>
        <v>0.11369965125231532</v>
      </c>
      <c r="AQ59" s="143">
        <f t="shared" si="13"/>
        <v>6.4534792599381677E-2</v>
      </c>
      <c r="AR59" s="142">
        <v>17327169</v>
      </c>
      <c r="AS59" s="145">
        <v>8076455</v>
      </c>
      <c r="AT59" s="145">
        <v>4475281</v>
      </c>
      <c r="AU59" s="143">
        <f t="shared" si="14"/>
        <v>0.46611509358510905</v>
      </c>
      <c r="AV59" s="143">
        <f t="shared" si="15"/>
        <v>0.25828114217619741</v>
      </c>
      <c r="AW59" s="146">
        <f t="shared" si="16"/>
        <v>40349051</v>
      </c>
      <c r="AX59" s="145">
        <f t="shared" ref="AX59:AY59" si="125">AI59+AN59+AS59</f>
        <v>12015172</v>
      </c>
      <c r="AY59" s="149">
        <f t="shared" si="125"/>
        <v>7214534</v>
      </c>
      <c r="AZ59" s="143">
        <f t="shared" si="18"/>
        <v>0.29778078299784549</v>
      </c>
      <c r="BA59" s="143">
        <f t="shared" si="19"/>
        <v>0.17880306528151058</v>
      </c>
      <c r="BB59" s="143"/>
      <c r="BC59" s="143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 t="s">
        <v>338</v>
      </c>
      <c r="BQ59" s="148" t="s">
        <v>338</v>
      </c>
      <c r="BR59" s="148" t="s">
        <v>338</v>
      </c>
      <c r="BS59" s="148" t="s">
        <v>338</v>
      </c>
    </row>
    <row r="60" spans="1:71" ht="14.5" x14ac:dyDescent="0.25">
      <c r="A60" s="141">
        <v>44314</v>
      </c>
      <c r="B60" s="142">
        <v>112301</v>
      </c>
      <c r="C60" s="145">
        <v>127317</v>
      </c>
      <c r="D60" s="145">
        <v>111063</v>
      </c>
      <c r="E60" s="143">
        <f t="shared" si="0"/>
        <v>1.1337120773635141</v>
      </c>
      <c r="F60" s="143">
        <f t="shared" si="1"/>
        <v>0.98897605542248068</v>
      </c>
      <c r="G60" s="142">
        <v>911631</v>
      </c>
      <c r="H60" s="145">
        <v>572898</v>
      </c>
      <c r="I60" s="145">
        <v>446748</v>
      </c>
      <c r="J60" s="143">
        <f t="shared" si="2"/>
        <v>0.62843189843258951</v>
      </c>
      <c r="K60" s="143">
        <f t="shared" si="3"/>
        <v>0.49005354139997431</v>
      </c>
      <c r="L60" s="142">
        <v>1976757</v>
      </c>
      <c r="M60" s="145">
        <v>1178054</v>
      </c>
      <c r="N60" s="145">
        <v>625051</v>
      </c>
      <c r="O60" s="143">
        <f t="shared" si="4"/>
        <v>0.59595286623494947</v>
      </c>
      <c r="P60" s="143">
        <f t="shared" si="5"/>
        <v>0.31620022086680355</v>
      </c>
      <c r="Q60" s="142">
        <v>3000689</v>
      </c>
      <c r="R60" s="142">
        <f t="shared" ref="R60:S60" si="126">C60+H60+M60</f>
        <v>1878269</v>
      </c>
      <c r="S60" s="142">
        <f t="shared" si="126"/>
        <v>1182862</v>
      </c>
      <c r="T60" s="144">
        <f t="shared" si="8"/>
        <v>0.62594590775651859</v>
      </c>
      <c r="U60" s="144">
        <f t="shared" si="9"/>
        <v>0.39419679946838876</v>
      </c>
      <c r="V60" s="144"/>
      <c r="W60" s="144"/>
      <c r="X60" s="144"/>
      <c r="Y60" s="144"/>
      <c r="Z60" s="144"/>
      <c r="AA60" s="144"/>
      <c r="AB60" s="144"/>
      <c r="AC60" s="142"/>
      <c r="AD60" s="142"/>
      <c r="AE60" s="142"/>
      <c r="AF60" s="142"/>
      <c r="AG60" s="142"/>
      <c r="AH60" s="142">
        <v>1468764</v>
      </c>
      <c r="AI60" s="145">
        <v>1489628</v>
      </c>
      <c r="AJ60" s="145">
        <v>1350703</v>
      </c>
      <c r="AK60" s="143">
        <f t="shared" si="10"/>
        <v>1.0142051411935478</v>
      </c>
      <c r="AL60" s="143">
        <f t="shared" si="11"/>
        <v>0.91961880873986568</v>
      </c>
      <c r="AM60" s="145">
        <v>21553118</v>
      </c>
      <c r="AN60" s="145">
        <v>2484374</v>
      </c>
      <c r="AO60" s="145">
        <v>1451949</v>
      </c>
      <c r="AP60" s="143">
        <f t="shared" si="12"/>
        <v>0.11526749865147122</v>
      </c>
      <c r="AQ60" s="143">
        <f t="shared" si="13"/>
        <v>6.7366076685517154E-2</v>
      </c>
      <c r="AR60" s="142">
        <v>17327169</v>
      </c>
      <c r="AS60" s="145">
        <v>8175635</v>
      </c>
      <c r="AT60" s="145">
        <v>4608443</v>
      </c>
      <c r="AU60" s="143">
        <f t="shared" si="14"/>
        <v>0.4718390522998881</v>
      </c>
      <c r="AV60" s="143">
        <f t="shared" si="15"/>
        <v>0.26596629836068431</v>
      </c>
      <c r="AW60" s="146">
        <f t="shared" si="16"/>
        <v>40349051</v>
      </c>
      <c r="AX60" s="145">
        <f t="shared" ref="AX60:AY60" si="127">AI60+AN60+AS60</f>
        <v>12149637</v>
      </c>
      <c r="AY60" s="149">
        <f t="shared" si="127"/>
        <v>7411095</v>
      </c>
      <c r="AZ60" s="143">
        <f t="shared" si="18"/>
        <v>0.30111332729981677</v>
      </c>
      <c r="BA60" s="143">
        <f t="shared" si="19"/>
        <v>0.18367458010350726</v>
      </c>
      <c r="BB60" s="143"/>
      <c r="BC60" s="143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 t="s">
        <v>338</v>
      </c>
      <c r="BQ60" s="148" t="s">
        <v>338</v>
      </c>
      <c r="BR60" s="148" t="s">
        <v>338</v>
      </c>
      <c r="BS60" s="148" t="s">
        <v>338</v>
      </c>
    </row>
    <row r="61" spans="1:71" ht="14.5" x14ac:dyDescent="0.25">
      <c r="A61" s="141">
        <v>44315</v>
      </c>
      <c r="B61" s="142">
        <v>112301</v>
      </c>
      <c r="C61" s="145">
        <v>127525</v>
      </c>
      <c r="D61" s="145">
        <v>111399</v>
      </c>
      <c r="E61" s="143">
        <f t="shared" si="0"/>
        <v>1.1355642425267807</v>
      </c>
      <c r="F61" s="143">
        <f t="shared" si="1"/>
        <v>0.99196801453237282</v>
      </c>
      <c r="G61" s="142">
        <v>911631</v>
      </c>
      <c r="H61" s="145">
        <v>574631</v>
      </c>
      <c r="I61" s="145">
        <v>453025</v>
      </c>
      <c r="J61" s="143">
        <f t="shared" si="2"/>
        <v>0.6303328868807665</v>
      </c>
      <c r="K61" s="143">
        <f t="shared" si="3"/>
        <v>0.49693900273246522</v>
      </c>
      <c r="L61" s="142">
        <v>1976757</v>
      </c>
      <c r="M61" s="145">
        <v>1203940</v>
      </c>
      <c r="N61" s="145">
        <v>650068</v>
      </c>
      <c r="O61" s="143">
        <f t="shared" si="4"/>
        <v>0.60904805193556921</v>
      </c>
      <c r="P61" s="143">
        <f t="shared" si="5"/>
        <v>0.32885579765241757</v>
      </c>
      <c r="Q61" s="142">
        <v>3000689</v>
      </c>
      <c r="R61" s="142">
        <f t="shared" ref="R61:S61" si="128">C61+H61+M61</f>
        <v>1906096</v>
      </c>
      <c r="S61" s="142">
        <f t="shared" si="128"/>
        <v>1214492</v>
      </c>
      <c r="T61" s="144">
        <f t="shared" si="8"/>
        <v>0.63521944460088997</v>
      </c>
      <c r="U61" s="144">
        <f t="shared" si="9"/>
        <v>0.40473771190549906</v>
      </c>
      <c r="V61" s="144"/>
      <c r="W61" s="144"/>
      <c r="X61" s="144"/>
      <c r="Y61" s="144"/>
      <c r="Z61" s="144"/>
      <c r="AA61" s="144"/>
      <c r="AB61" s="144"/>
      <c r="AC61" s="142"/>
      <c r="AD61" s="142"/>
      <c r="AE61" s="142"/>
      <c r="AF61" s="142"/>
      <c r="AG61" s="142"/>
      <c r="AH61" s="142">
        <v>1468764</v>
      </c>
      <c r="AI61" s="145">
        <v>1491053</v>
      </c>
      <c r="AJ61" s="145">
        <v>1352846</v>
      </c>
      <c r="AK61" s="143">
        <f t="shared" si="10"/>
        <v>1.0151753447116079</v>
      </c>
      <c r="AL61" s="143">
        <f t="shared" si="11"/>
        <v>0.92107785866211322</v>
      </c>
      <c r="AM61" s="145">
        <v>21553118</v>
      </c>
      <c r="AN61" s="145">
        <v>2520487</v>
      </c>
      <c r="AO61" s="145">
        <v>1499869</v>
      </c>
      <c r="AP61" s="143">
        <f t="shared" si="12"/>
        <v>0.11694303348592069</v>
      </c>
      <c r="AQ61" s="143">
        <f t="shared" si="13"/>
        <v>6.9589420890286038E-2</v>
      </c>
      <c r="AR61" s="142">
        <v>17327169</v>
      </c>
      <c r="AS61" s="145">
        <v>8294475</v>
      </c>
      <c r="AT61" s="145">
        <v>4730728</v>
      </c>
      <c r="AU61" s="143">
        <f t="shared" si="14"/>
        <v>0.47869764529912534</v>
      </c>
      <c r="AV61" s="143">
        <f t="shared" si="15"/>
        <v>0.27302371206744735</v>
      </c>
      <c r="AW61" s="146">
        <f t="shared" si="16"/>
        <v>40349051</v>
      </c>
      <c r="AX61" s="145">
        <f t="shared" ref="AX61:AY61" si="129">AI61+AN61+AS61</f>
        <v>12306015</v>
      </c>
      <c r="AY61" s="149">
        <f t="shared" si="129"/>
        <v>7583443</v>
      </c>
      <c r="AZ61" s="143">
        <f t="shared" si="18"/>
        <v>0.30498895748502236</v>
      </c>
      <c r="BA61" s="143">
        <f t="shared" si="19"/>
        <v>0.18794600646245682</v>
      </c>
      <c r="BB61" s="143"/>
      <c r="BC61" s="143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 t="s">
        <v>338</v>
      </c>
      <c r="BQ61" s="148" t="s">
        <v>338</v>
      </c>
      <c r="BR61" s="148" t="s">
        <v>338</v>
      </c>
      <c r="BS61" s="148" t="s">
        <v>338</v>
      </c>
    </row>
    <row r="62" spans="1:71" ht="14.5" x14ac:dyDescent="0.25">
      <c r="A62" s="141">
        <v>44316</v>
      </c>
      <c r="B62" s="142">
        <v>112301</v>
      </c>
      <c r="C62" s="145">
        <v>127800</v>
      </c>
      <c r="D62" s="145">
        <v>111554</v>
      </c>
      <c r="E62" s="143">
        <f t="shared" si="0"/>
        <v>1.1380130185839841</v>
      </c>
      <c r="F62" s="143">
        <f t="shared" si="1"/>
        <v>0.99334823376461479</v>
      </c>
      <c r="G62" s="142">
        <v>911631</v>
      </c>
      <c r="H62" s="145">
        <v>576085</v>
      </c>
      <c r="I62" s="145">
        <v>455627</v>
      </c>
      <c r="J62" s="143">
        <f t="shared" si="2"/>
        <v>0.63192783044894263</v>
      </c>
      <c r="K62" s="143">
        <f t="shared" si="3"/>
        <v>0.49979322774236506</v>
      </c>
      <c r="L62" s="142">
        <v>1976757</v>
      </c>
      <c r="M62" s="145">
        <v>1231164</v>
      </c>
      <c r="N62" s="145">
        <v>664088</v>
      </c>
      <c r="O62" s="143">
        <f t="shared" si="4"/>
        <v>0.62282010383673869</v>
      </c>
      <c r="P62" s="143">
        <f t="shared" si="5"/>
        <v>0.33594822226505333</v>
      </c>
      <c r="Q62" s="142">
        <v>3000689</v>
      </c>
      <c r="R62" s="142">
        <f t="shared" ref="R62:S62" si="130">C62+H62+M62</f>
        <v>1935049</v>
      </c>
      <c r="S62" s="142">
        <f t="shared" si="130"/>
        <v>1231269</v>
      </c>
      <c r="T62" s="144">
        <f t="shared" si="8"/>
        <v>0.64486822859683224</v>
      </c>
      <c r="U62" s="144">
        <f t="shared" si="9"/>
        <v>0.41032876116118666</v>
      </c>
      <c r="V62" s="144"/>
      <c r="W62" s="144"/>
      <c r="X62" s="144"/>
      <c r="Y62" s="144"/>
      <c r="Z62" s="144"/>
      <c r="AA62" s="144"/>
      <c r="AB62" s="144"/>
      <c r="AC62" s="142"/>
      <c r="AD62" s="142"/>
      <c r="AE62" s="142"/>
      <c r="AF62" s="142"/>
      <c r="AG62" s="142"/>
      <c r="AH62" s="142">
        <v>1468764</v>
      </c>
      <c r="AI62" s="145">
        <v>1492208</v>
      </c>
      <c r="AJ62" s="145">
        <v>1353880</v>
      </c>
      <c r="AK62" s="143">
        <f t="shared" si="10"/>
        <v>1.0159617201946671</v>
      </c>
      <c r="AL62" s="143">
        <f t="shared" si="11"/>
        <v>0.92178185195170903</v>
      </c>
      <c r="AM62" s="145">
        <v>21553118</v>
      </c>
      <c r="AN62" s="145">
        <v>2545562</v>
      </c>
      <c r="AO62" s="145">
        <v>1511246</v>
      </c>
      <c r="AP62" s="143">
        <f t="shared" si="12"/>
        <v>0.11810643824248537</v>
      </c>
      <c r="AQ62" s="143">
        <f t="shared" si="13"/>
        <v>7.0117279550921591E-2</v>
      </c>
      <c r="AR62" s="142">
        <v>17327169</v>
      </c>
      <c r="AS62" s="145">
        <v>8383743</v>
      </c>
      <c r="AT62" s="145">
        <v>4781158</v>
      </c>
      <c r="AU62" s="143">
        <f t="shared" si="14"/>
        <v>0.48384955441942074</v>
      </c>
      <c r="AV62" s="143">
        <f t="shared" si="15"/>
        <v>0.27593417020403044</v>
      </c>
      <c r="AW62" s="146">
        <f t="shared" si="16"/>
        <v>40349051</v>
      </c>
      <c r="AX62" s="145">
        <f t="shared" ref="AX62:AY62" si="131">AI62+AN62+AS62</f>
        <v>12421513</v>
      </c>
      <c r="AY62" s="149">
        <f t="shared" si="131"/>
        <v>7646284</v>
      </c>
      <c r="AZ62" s="143">
        <f t="shared" si="18"/>
        <v>0.30785142877338056</v>
      </c>
      <c r="BA62" s="143">
        <f t="shared" si="19"/>
        <v>0.18950344086159548</v>
      </c>
      <c r="BB62" s="143"/>
      <c r="BC62" s="143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 t="s">
        <v>338</v>
      </c>
      <c r="BQ62" s="148" t="s">
        <v>338</v>
      </c>
      <c r="BR62" s="148" t="s">
        <v>338</v>
      </c>
      <c r="BS62" s="148" t="s">
        <v>338</v>
      </c>
    </row>
    <row r="63" spans="1:71" ht="14.5" x14ac:dyDescent="0.25">
      <c r="A63" s="141">
        <v>44317</v>
      </c>
      <c r="B63" s="142">
        <v>112301</v>
      </c>
      <c r="C63" s="145">
        <v>127812</v>
      </c>
      <c r="D63" s="145">
        <v>111574</v>
      </c>
      <c r="E63" s="143">
        <f t="shared" si="0"/>
        <v>1.1381198742664802</v>
      </c>
      <c r="F63" s="143">
        <f t="shared" si="1"/>
        <v>0.99352632656877504</v>
      </c>
      <c r="G63" s="142">
        <v>911631</v>
      </c>
      <c r="H63" s="145">
        <v>576250</v>
      </c>
      <c r="I63" s="145">
        <v>456820</v>
      </c>
      <c r="J63" s="143">
        <f t="shared" si="2"/>
        <v>0.63210882473281405</v>
      </c>
      <c r="K63" s="143">
        <f t="shared" si="3"/>
        <v>0.50110187126150818</v>
      </c>
      <c r="L63" s="142">
        <v>1976757</v>
      </c>
      <c r="M63" s="145">
        <v>1239584</v>
      </c>
      <c r="N63" s="145">
        <v>676798</v>
      </c>
      <c r="O63" s="143">
        <f t="shared" si="4"/>
        <v>0.62707960563690934</v>
      </c>
      <c r="P63" s="143">
        <f t="shared" si="5"/>
        <v>0.34237794529120169</v>
      </c>
      <c r="Q63" s="142">
        <v>3000689</v>
      </c>
      <c r="R63" s="142">
        <f t="shared" ref="R63:S63" si="132">C63+H63+M63</f>
        <v>1943646</v>
      </c>
      <c r="S63" s="142">
        <f t="shared" si="132"/>
        <v>1245192</v>
      </c>
      <c r="T63" s="144">
        <f t="shared" si="8"/>
        <v>0.64773323726650778</v>
      </c>
      <c r="U63" s="144">
        <f t="shared" si="9"/>
        <v>0.41496869552292825</v>
      </c>
      <c r="V63" s="144"/>
      <c r="W63" s="144"/>
      <c r="X63" s="144"/>
      <c r="Y63" s="144"/>
      <c r="Z63" s="144"/>
      <c r="AA63" s="144"/>
      <c r="AB63" s="144"/>
      <c r="AC63" s="142"/>
      <c r="AD63" s="142"/>
      <c r="AE63" s="142"/>
      <c r="AF63" s="142"/>
      <c r="AG63" s="142"/>
      <c r="AH63" s="142">
        <v>1468764</v>
      </c>
      <c r="AI63" s="145">
        <v>1492380</v>
      </c>
      <c r="AJ63" s="145">
        <v>1354040</v>
      </c>
      <c r="AK63" s="143">
        <f t="shared" si="10"/>
        <v>1.0160788254614084</v>
      </c>
      <c r="AL63" s="143">
        <f t="shared" si="11"/>
        <v>0.92189078708356142</v>
      </c>
      <c r="AM63" s="145">
        <v>21553118</v>
      </c>
      <c r="AN63" s="145">
        <v>2548948</v>
      </c>
      <c r="AO63" s="145">
        <v>1516279</v>
      </c>
      <c r="AP63" s="143">
        <f t="shared" si="12"/>
        <v>0.11826353848199597</v>
      </c>
      <c r="AQ63" s="143">
        <f t="shared" si="13"/>
        <v>7.035079564822129E-2</v>
      </c>
      <c r="AR63" s="142">
        <v>17327169</v>
      </c>
      <c r="AS63" s="145">
        <v>8415096</v>
      </c>
      <c r="AT63" s="145">
        <v>4808166</v>
      </c>
      <c r="AU63" s="143">
        <f t="shared" si="14"/>
        <v>0.48565902485281931</v>
      </c>
      <c r="AV63" s="143">
        <f t="shared" si="15"/>
        <v>0.27749287838076725</v>
      </c>
      <c r="AW63" s="146">
        <f t="shared" si="16"/>
        <v>40349051</v>
      </c>
      <c r="AX63" s="145">
        <f t="shared" ref="AX63:AY63" si="133">AI63+AN63+AS63</f>
        <v>12456424</v>
      </c>
      <c r="AY63" s="149">
        <f t="shared" si="133"/>
        <v>7678485</v>
      </c>
      <c r="AZ63" s="143">
        <f t="shared" si="18"/>
        <v>0.3087166535837485</v>
      </c>
      <c r="BA63" s="143">
        <f t="shared" si="19"/>
        <v>0.19030150176270563</v>
      </c>
      <c r="BB63" s="143"/>
      <c r="BC63" s="143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 t="s">
        <v>338</v>
      </c>
      <c r="BQ63" s="148" t="s">
        <v>338</v>
      </c>
      <c r="BR63" s="148" t="s">
        <v>338</v>
      </c>
      <c r="BS63" s="148" t="s">
        <v>338</v>
      </c>
    </row>
    <row r="64" spans="1:71" ht="14.5" x14ac:dyDescent="0.25">
      <c r="A64" s="141">
        <v>44318</v>
      </c>
      <c r="B64" s="142">
        <v>112301</v>
      </c>
      <c r="C64" s="145">
        <v>127813</v>
      </c>
      <c r="D64" s="145">
        <v>111576</v>
      </c>
      <c r="E64" s="143">
        <f t="shared" si="0"/>
        <v>1.1381287789066883</v>
      </c>
      <c r="F64" s="143">
        <f t="shared" si="1"/>
        <v>0.99354413584919099</v>
      </c>
      <c r="G64" s="142">
        <v>911631</v>
      </c>
      <c r="H64" s="145">
        <v>576362</v>
      </c>
      <c r="I64" s="145">
        <v>457590</v>
      </c>
      <c r="J64" s="143">
        <f t="shared" si="2"/>
        <v>0.6322316814588359</v>
      </c>
      <c r="K64" s="143">
        <f t="shared" si="3"/>
        <v>0.50194651125290823</v>
      </c>
      <c r="L64" s="142">
        <v>1976757</v>
      </c>
      <c r="M64" s="145">
        <v>1243811</v>
      </c>
      <c r="N64" s="145">
        <v>687800</v>
      </c>
      <c r="O64" s="143">
        <f t="shared" si="4"/>
        <v>0.62921795648124679</v>
      </c>
      <c r="P64" s="143">
        <f t="shared" si="5"/>
        <v>0.34794362685954822</v>
      </c>
      <c r="Q64" s="142">
        <v>3000689</v>
      </c>
      <c r="R64" s="142">
        <f t="shared" ref="R64:S64" si="134">C64+H64+M64</f>
        <v>1947986</v>
      </c>
      <c r="S64" s="142">
        <f t="shared" si="134"/>
        <v>1256966</v>
      </c>
      <c r="T64" s="144">
        <f t="shared" si="8"/>
        <v>0.64917957175835284</v>
      </c>
      <c r="U64" s="144">
        <f t="shared" si="9"/>
        <v>0.41889246103144978</v>
      </c>
      <c r="V64" s="144"/>
      <c r="W64" s="144"/>
      <c r="X64" s="144"/>
      <c r="Y64" s="144"/>
      <c r="Z64" s="144"/>
      <c r="AA64" s="144"/>
      <c r="AB64" s="144"/>
      <c r="AC64" s="142"/>
      <c r="AD64" s="142"/>
      <c r="AE64" s="142"/>
      <c r="AF64" s="142"/>
      <c r="AG64" s="142"/>
      <c r="AH64" s="142">
        <v>1468764</v>
      </c>
      <c r="AI64" s="145">
        <v>1492468</v>
      </c>
      <c r="AJ64" s="145">
        <v>1354159</v>
      </c>
      <c r="AK64" s="143">
        <f t="shared" si="10"/>
        <v>1.0161387397839272</v>
      </c>
      <c r="AL64" s="143">
        <f t="shared" si="11"/>
        <v>0.92197180758787656</v>
      </c>
      <c r="AM64" s="145">
        <v>21553118</v>
      </c>
      <c r="AN64" s="145">
        <v>2550173</v>
      </c>
      <c r="AO64" s="145">
        <v>1519705</v>
      </c>
      <c r="AP64" s="143">
        <f t="shared" si="12"/>
        <v>0.11832037480609534</v>
      </c>
      <c r="AQ64" s="143">
        <f t="shared" si="13"/>
        <v>7.0509751767702467E-2</v>
      </c>
      <c r="AR64" s="142">
        <v>17327169</v>
      </c>
      <c r="AS64" s="145">
        <v>8426025</v>
      </c>
      <c r="AT64" s="145">
        <v>4829246</v>
      </c>
      <c r="AU64" s="143">
        <f t="shared" si="14"/>
        <v>0.48628976839782656</v>
      </c>
      <c r="AV64" s="143">
        <f t="shared" si="15"/>
        <v>0.27870946488719539</v>
      </c>
      <c r="AW64" s="146">
        <f t="shared" si="16"/>
        <v>40349051</v>
      </c>
      <c r="AX64" s="145">
        <f t="shared" ref="AX64:AY64" si="135">AI64+AN64+AS64</f>
        <v>12468666</v>
      </c>
      <c r="AY64" s="149">
        <f t="shared" si="135"/>
        <v>7703110</v>
      </c>
      <c r="AZ64" s="143">
        <f t="shared" si="18"/>
        <v>0.3090200560107349</v>
      </c>
      <c r="BA64" s="143">
        <f t="shared" si="19"/>
        <v>0.19091180112265838</v>
      </c>
      <c r="BB64" s="143"/>
      <c r="BC64" s="143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 t="s">
        <v>338</v>
      </c>
      <c r="BQ64" s="148" t="s">
        <v>338</v>
      </c>
      <c r="BR64" s="148" t="s">
        <v>338</v>
      </c>
      <c r="BS64" s="148" t="s">
        <v>338</v>
      </c>
    </row>
    <row r="65" spans="1:71" ht="14.5" x14ac:dyDescent="0.25">
      <c r="A65" s="141">
        <v>44319</v>
      </c>
      <c r="B65" s="142">
        <v>112301</v>
      </c>
      <c r="C65" s="145">
        <v>128009</v>
      </c>
      <c r="D65" s="145">
        <v>111795</v>
      </c>
      <c r="E65" s="143">
        <f t="shared" si="0"/>
        <v>1.1398740883874587</v>
      </c>
      <c r="F65" s="143">
        <f t="shared" si="1"/>
        <v>0.99549425205474573</v>
      </c>
      <c r="G65" s="142">
        <v>911631</v>
      </c>
      <c r="H65" s="145">
        <v>577667</v>
      </c>
      <c r="I65" s="145">
        <v>462354</v>
      </c>
      <c r="J65" s="143">
        <f t="shared" si="2"/>
        <v>0.63366318170400082</v>
      </c>
      <c r="K65" s="143">
        <f t="shared" si="3"/>
        <v>0.50717230984905082</v>
      </c>
      <c r="L65" s="142">
        <v>1976757</v>
      </c>
      <c r="M65" s="145">
        <v>1262887</v>
      </c>
      <c r="N65" s="145">
        <v>712884</v>
      </c>
      <c r="O65" s="143">
        <f t="shared" si="4"/>
        <v>0.63886810569027963</v>
      </c>
      <c r="P65" s="143">
        <f t="shared" si="5"/>
        <v>0.36063309754309708</v>
      </c>
      <c r="Q65" s="142">
        <v>3000689</v>
      </c>
      <c r="R65" s="142">
        <f t="shared" ref="R65:S65" si="136">C65+H65+M65</f>
        <v>1968563</v>
      </c>
      <c r="S65" s="142">
        <f t="shared" si="136"/>
        <v>1287033</v>
      </c>
      <c r="T65" s="144">
        <f t="shared" si="8"/>
        <v>0.65603699683639327</v>
      </c>
      <c r="U65" s="144">
        <f t="shared" si="9"/>
        <v>0.42891249309741863</v>
      </c>
      <c r="V65" s="144"/>
      <c r="W65" s="144"/>
      <c r="X65" s="144"/>
      <c r="Y65" s="144"/>
      <c r="Z65" s="144"/>
      <c r="AA65" s="144"/>
      <c r="AB65" s="144"/>
      <c r="AC65" s="142"/>
      <c r="AD65" s="142"/>
      <c r="AE65" s="142"/>
      <c r="AF65" s="142"/>
      <c r="AG65" s="142"/>
      <c r="AH65" s="142">
        <v>1468764</v>
      </c>
      <c r="AI65" s="145">
        <v>1493588</v>
      </c>
      <c r="AJ65" s="145">
        <v>1355942</v>
      </c>
      <c r="AK65" s="143">
        <f t="shared" si="10"/>
        <v>1.0169012857068938</v>
      </c>
      <c r="AL65" s="143">
        <f t="shared" si="11"/>
        <v>0.92318575346345633</v>
      </c>
      <c r="AM65" s="145">
        <v>21553118</v>
      </c>
      <c r="AN65" s="145">
        <v>2574276</v>
      </c>
      <c r="AO65" s="145">
        <v>1559008</v>
      </c>
      <c r="AP65" s="143">
        <f t="shared" si="12"/>
        <v>0.11943868167937464</v>
      </c>
      <c r="AQ65" s="143">
        <f t="shared" si="13"/>
        <v>7.2333293029806636E-2</v>
      </c>
      <c r="AR65" s="142">
        <v>17327169</v>
      </c>
      <c r="AS65" s="145">
        <v>8503507</v>
      </c>
      <c r="AT65" s="145">
        <v>4935457</v>
      </c>
      <c r="AU65" s="143">
        <f t="shared" si="14"/>
        <v>0.49076147407577081</v>
      </c>
      <c r="AV65" s="143">
        <f t="shared" si="15"/>
        <v>0.28483920252639078</v>
      </c>
      <c r="AW65" s="146">
        <f t="shared" si="16"/>
        <v>40349051</v>
      </c>
      <c r="AX65" s="145">
        <f t="shared" ref="AX65:AY65" si="137">AI65+AN65+AS65</f>
        <v>12571371</v>
      </c>
      <c r="AY65" s="149">
        <f t="shared" si="137"/>
        <v>7850407</v>
      </c>
      <c r="AZ65" s="143">
        <f t="shared" si="18"/>
        <v>0.31156546903668192</v>
      </c>
      <c r="BA65" s="143">
        <f t="shared" si="19"/>
        <v>0.19456237025252465</v>
      </c>
      <c r="BB65" s="143"/>
      <c r="BC65" s="143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 t="s">
        <v>338</v>
      </c>
      <c r="BQ65" s="148" t="s">
        <v>338</v>
      </c>
      <c r="BR65" s="148" t="s">
        <v>338</v>
      </c>
      <c r="BS65" s="148" t="s">
        <v>338</v>
      </c>
    </row>
    <row r="66" spans="1:71" ht="14.5" x14ac:dyDescent="0.25">
      <c r="A66" s="141">
        <v>44320</v>
      </c>
      <c r="B66" s="142">
        <v>112301</v>
      </c>
      <c r="C66" s="145">
        <v>128375</v>
      </c>
      <c r="D66" s="145">
        <v>112125</v>
      </c>
      <c r="E66" s="143">
        <f t="shared" si="0"/>
        <v>1.1431331867035912</v>
      </c>
      <c r="F66" s="143">
        <f t="shared" si="1"/>
        <v>0.99843278332338981</v>
      </c>
      <c r="G66" s="142">
        <v>911631</v>
      </c>
      <c r="H66" s="145">
        <v>578758</v>
      </c>
      <c r="I66" s="145">
        <v>466027</v>
      </c>
      <c r="J66" s="143">
        <f t="shared" si="2"/>
        <v>0.63485993784765982</v>
      </c>
      <c r="K66" s="143">
        <f t="shared" si="3"/>
        <v>0.5112013523015343</v>
      </c>
      <c r="L66" s="142">
        <v>1976757</v>
      </c>
      <c r="M66" s="145">
        <v>1287142</v>
      </c>
      <c r="N66" s="145">
        <v>735527</v>
      </c>
      <c r="O66" s="143">
        <f t="shared" si="4"/>
        <v>0.65113820262176891</v>
      </c>
      <c r="P66" s="143">
        <f t="shared" si="5"/>
        <v>0.3720877174078554</v>
      </c>
      <c r="Q66" s="142">
        <v>3000689</v>
      </c>
      <c r="R66" s="142">
        <f t="shared" ref="R66:S66" si="138">C66+H66+M66</f>
        <v>1994275</v>
      </c>
      <c r="S66" s="142">
        <f t="shared" si="138"/>
        <v>1313679</v>
      </c>
      <c r="T66" s="144">
        <f t="shared" si="8"/>
        <v>0.66460569555858673</v>
      </c>
      <c r="U66" s="144">
        <f t="shared" si="9"/>
        <v>0.43779245366647462</v>
      </c>
      <c r="V66" s="144"/>
      <c r="W66" s="144"/>
      <c r="X66" s="144"/>
      <c r="Y66" s="144"/>
      <c r="Z66" s="144"/>
      <c r="AA66" s="144"/>
      <c r="AB66" s="144"/>
      <c r="AC66" s="142"/>
      <c r="AD66" s="142"/>
      <c r="AE66" s="142"/>
      <c r="AF66" s="142"/>
      <c r="AG66" s="142"/>
      <c r="AH66" s="142">
        <v>1468764</v>
      </c>
      <c r="AI66" s="145">
        <v>1494938</v>
      </c>
      <c r="AJ66" s="145">
        <v>1357804</v>
      </c>
      <c r="AK66" s="143">
        <f t="shared" si="10"/>
        <v>1.0178204258818979</v>
      </c>
      <c r="AL66" s="143">
        <f t="shared" si="11"/>
        <v>0.92445348606038824</v>
      </c>
      <c r="AM66" s="145">
        <v>21553118</v>
      </c>
      <c r="AN66" s="145">
        <v>2600188</v>
      </c>
      <c r="AO66" s="145">
        <v>1592578</v>
      </c>
      <c r="AP66" s="143">
        <f t="shared" si="12"/>
        <v>0.12064092072432397</v>
      </c>
      <c r="AQ66" s="143">
        <f t="shared" si="13"/>
        <v>7.3890840295125743E-2</v>
      </c>
      <c r="AR66" s="142">
        <v>17327169</v>
      </c>
      <c r="AS66" s="145">
        <v>8603702</v>
      </c>
      <c r="AT66" s="145">
        <v>5051854</v>
      </c>
      <c r="AU66" s="143">
        <f t="shared" si="14"/>
        <v>0.49654401131540876</v>
      </c>
      <c r="AV66" s="143">
        <f t="shared" si="15"/>
        <v>0.29155680307614013</v>
      </c>
      <c r="AW66" s="146">
        <f t="shared" si="16"/>
        <v>40349051</v>
      </c>
      <c r="AX66" s="145">
        <f t="shared" ref="AX66:AY66" si="139">AI66+AN66+AS66</f>
        <v>12698828</v>
      </c>
      <c r="AY66" s="149">
        <f t="shared" si="139"/>
        <v>8002236</v>
      </c>
      <c r="AZ66" s="143">
        <f t="shared" si="18"/>
        <v>0.31472432895633656</v>
      </c>
      <c r="BA66" s="143">
        <f t="shared" si="19"/>
        <v>0.19832525924835259</v>
      </c>
      <c r="BB66" s="143"/>
      <c r="BC66" s="143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 t="s">
        <v>338</v>
      </c>
      <c r="BQ66" s="148" t="s">
        <v>338</v>
      </c>
      <c r="BR66" s="148" t="s">
        <v>338</v>
      </c>
      <c r="BS66" s="148" t="s">
        <v>338</v>
      </c>
    </row>
    <row r="67" spans="1:71" ht="14.5" x14ac:dyDescent="0.25">
      <c r="A67" s="141">
        <v>44321</v>
      </c>
      <c r="B67" s="142">
        <v>112301</v>
      </c>
      <c r="C67" s="145">
        <v>128537</v>
      </c>
      <c r="D67" s="145">
        <v>112434</v>
      </c>
      <c r="E67" s="143">
        <f t="shared" si="0"/>
        <v>1.1445757384172892</v>
      </c>
      <c r="F67" s="143">
        <f t="shared" si="1"/>
        <v>1.0011843171476658</v>
      </c>
      <c r="G67" s="142">
        <v>911631</v>
      </c>
      <c r="H67" s="145">
        <v>579595</v>
      </c>
      <c r="I67" s="145">
        <v>470116</v>
      </c>
      <c r="J67" s="143">
        <f t="shared" si="2"/>
        <v>0.63577807248766227</v>
      </c>
      <c r="K67" s="143">
        <f t="shared" si="3"/>
        <v>0.51568671973638458</v>
      </c>
      <c r="L67" s="142">
        <v>1976757</v>
      </c>
      <c r="M67" s="145">
        <v>1319068</v>
      </c>
      <c r="N67" s="145">
        <v>756711</v>
      </c>
      <c r="O67" s="143">
        <f t="shared" si="4"/>
        <v>0.66728889792726165</v>
      </c>
      <c r="P67" s="143">
        <f t="shared" si="5"/>
        <v>0.38280425970415177</v>
      </c>
      <c r="Q67" s="142">
        <v>3000689</v>
      </c>
      <c r="R67" s="142">
        <f t="shared" ref="R67:S67" si="140">C67+H67+M67</f>
        <v>2027200</v>
      </c>
      <c r="S67" s="142">
        <f t="shared" si="140"/>
        <v>1339261</v>
      </c>
      <c r="T67" s="144">
        <f t="shared" si="8"/>
        <v>0.675578175545683</v>
      </c>
      <c r="U67" s="144">
        <f t="shared" si="9"/>
        <v>0.44631782900527178</v>
      </c>
      <c r="V67" s="144"/>
      <c r="W67" s="144"/>
      <c r="X67" s="144"/>
      <c r="Y67" s="144"/>
      <c r="Z67" s="144"/>
      <c r="AA67" s="144"/>
      <c r="AB67" s="144"/>
      <c r="AC67" s="142"/>
      <c r="AD67" s="142"/>
      <c r="AE67" s="142"/>
      <c r="AF67" s="142"/>
      <c r="AG67" s="142"/>
      <c r="AH67" s="142">
        <v>1468764</v>
      </c>
      <c r="AI67" s="145">
        <v>1496358</v>
      </c>
      <c r="AJ67" s="145">
        <v>1359726</v>
      </c>
      <c r="AK67" s="143">
        <f t="shared" si="10"/>
        <v>1.0187872251770878</v>
      </c>
      <c r="AL67" s="143">
        <f t="shared" si="11"/>
        <v>0.92576206933176464</v>
      </c>
      <c r="AM67" s="145">
        <v>21553118</v>
      </c>
      <c r="AN67" s="145">
        <v>2630996</v>
      </c>
      <c r="AO67" s="145">
        <v>1632325</v>
      </c>
      <c r="AP67" s="143">
        <f t="shared" si="12"/>
        <v>0.12207031947767372</v>
      </c>
      <c r="AQ67" s="143">
        <f t="shared" si="13"/>
        <v>7.5734981824903472E-2</v>
      </c>
      <c r="AR67" s="142">
        <v>17327169</v>
      </c>
      <c r="AS67" s="145">
        <v>8723790</v>
      </c>
      <c r="AT67" s="145">
        <v>5173811</v>
      </c>
      <c r="AU67" s="143">
        <f t="shared" si="14"/>
        <v>0.5034746299294478</v>
      </c>
      <c r="AV67" s="143">
        <f t="shared" si="15"/>
        <v>0.29859528697388477</v>
      </c>
      <c r="AW67" s="146">
        <f t="shared" si="16"/>
        <v>40349051</v>
      </c>
      <c r="AX67" s="145">
        <f t="shared" ref="AX67:AY67" si="141">AI67+AN67+AS67</f>
        <v>12851144</v>
      </c>
      <c r="AY67" s="149">
        <f t="shared" si="141"/>
        <v>8165862</v>
      </c>
      <c r="AZ67" s="143">
        <f t="shared" si="18"/>
        <v>0.31849928762884661</v>
      </c>
      <c r="BA67" s="143">
        <f t="shared" si="19"/>
        <v>0.20238052191115968</v>
      </c>
      <c r="BB67" s="143"/>
      <c r="BC67" s="143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 t="s">
        <v>338</v>
      </c>
      <c r="BQ67" s="148" t="s">
        <v>338</v>
      </c>
      <c r="BR67" s="148" t="s">
        <v>338</v>
      </c>
      <c r="BS67" s="148" t="s">
        <v>338</v>
      </c>
    </row>
    <row r="68" spans="1:71" ht="14.5" x14ac:dyDescent="0.25">
      <c r="A68" s="141">
        <v>44322</v>
      </c>
      <c r="B68" s="142">
        <v>112301</v>
      </c>
      <c r="C68" s="145">
        <v>128715</v>
      </c>
      <c r="D68" s="145">
        <v>112784</v>
      </c>
      <c r="E68" s="143">
        <f t="shared" si="0"/>
        <v>1.1461607643743155</v>
      </c>
      <c r="F68" s="143">
        <f t="shared" si="1"/>
        <v>1.00430094122047</v>
      </c>
      <c r="G68" s="142">
        <v>911631</v>
      </c>
      <c r="H68" s="145">
        <v>581010</v>
      </c>
      <c r="I68" s="145">
        <v>475633</v>
      </c>
      <c r="J68" s="143">
        <f t="shared" si="2"/>
        <v>0.63733023558874147</v>
      </c>
      <c r="K68" s="143">
        <f t="shared" si="3"/>
        <v>0.52173851042801311</v>
      </c>
      <c r="L68" s="142">
        <v>1976757</v>
      </c>
      <c r="M68" s="145">
        <v>1355054</v>
      </c>
      <c r="N68" s="145">
        <v>778273</v>
      </c>
      <c r="O68" s="143">
        <f t="shared" si="4"/>
        <v>0.68549346227179164</v>
      </c>
      <c r="P68" s="143">
        <f t="shared" si="5"/>
        <v>0.39371202429028962</v>
      </c>
      <c r="Q68" s="142">
        <v>3000689</v>
      </c>
      <c r="R68" s="142">
        <f t="shared" ref="R68:S68" si="142">C68+H68+M68</f>
        <v>2064779</v>
      </c>
      <c r="S68" s="142">
        <f t="shared" si="142"/>
        <v>1366690</v>
      </c>
      <c r="T68" s="144">
        <f t="shared" si="8"/>
        <v>0.6881016326583661</v>
      </c>
      <c r="U68" s="144">
        <f t="shared" si="9"/>
        <v>0.45545872964509149</v>
      </c>
      <c r="V68" s="144"/>
      <c r="W68" s="144"/>
      <c r="X68" s="144"/>
      <c r="Y68" s="144"/>
      <c r="Z68" s="144"/>
      <c r="AA68" s="144"/>
      <c r="AB68" s="144"/>
      <c r="AC68" s="142"/>
      <c r="AD68" s="142"/>
      <c r="AE68" s="142"/>
      <c r="AF68" s="142"/>
      <c r="AG68" s="142"/>
      <c r="AH68" s="142">
        <v>1468764</v>
      </c>
      <c r="AI68" s="145">
        <v>1497332</v>
      </c>
      <c r="AJ68" s="145">
        <v>1361268</v>
      </c>
      <c r="AK68" s="143">
        <f t="shared" si="10"/>
        <v>1.0194503677922389</v>
      </c>
      <c r="AL68" s="143">
        <f t="shared" si="11"/>
        <v>0.92681193166499176</v>
      </c>
      <c r="AM68" s="145">
        <v>21553118</v>
      </c>
      <c r="AN68" s="145">
        <v>2660457</v>
      </c>
      <c r="AO68" s="145">
        <v>1670766</v>
      </c>
      <c r="AP68" s="143">
        <f t="shared" si="12"/>
        <v>0.12343722147301379</v>
      </c>
      <c r="AQ68" s="143">
        <f t="shared" si="13"/>
        <v>7.7518528873641385E-2</v>
      </c>
      <c r="AR68" s="142">
        <v>17327169</v>
      </c>
      <c r="AS68" s="145">
        <v>8837180</v>
      </c>
      <c r="AT68" s="145">
        <v>5285372</v>
      </c>
      <c r="AU68" s="143">
        <f t="shared" si="14"/>
        <v>0.51001868799225081</v>
      </c>
      <c r="AV68" s="143">
        <f t="shared" si="15"/>
        <v>0.30503378826627708</v>
      </c>
      <c r="AW68" s="146">
        <f t="shared" si="16"/>
        <v>40349051</v>
      </c>
      <c r="AX68" s="145">
        <f t="shared" ref="AX68:AY68" si="143">AI68+AN68+AS68</f>
        <v>12994969</v>
      </c>
      <c r="AY68" s="149">
        <f t="shared" si="143"/>
        <v>8317406</v>
      </c>
      <c r="AZ68" s="143">
        <f t="shared" si="18"/>
        <v>0.32206380764692583</v>
      </c>
      <c r="BA68" s="143">
        <f t="shared" si="19"/>
        <v>0.20613634754383692</v>
      </c>
      <c r="BB68" s="143"/>
      <c r="BC68" s="143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 t="s">
        <v>338</v>
      </c>
      <c r="BQ68" s="148" t="s">
        <v>338</v>
      </c>
      <c r="BR68" s="148" t="s">
        <v>338</v>
      </c>
      <c r="BS68" s="148" t="s">
        <v>338</v>
      </c>
    </row>
    <row r="69" spans="1:71" ht="14.5" x14ac:dyDescent="0.25">
      <c r="A69" s="141">
        <v>44323</v>
      </c>
      <c r="B69" s="142">
        <v>112301</v>
      </c>
      <c r="C69" s="145">
        <v>128893</v>
      </c>
      <c r="D69" s="145">
        <v>113107</v>
      </c>
      <c r="E69" s="143">
        <f t="shared" si="0"/>
        <v>1.1477457903313417</v>
      </c>
      <c r="F69" s="143">
        <f t="shared" si="1"/>
        <v>1.0071771400076579</v>
      </c>
      <c r="G69" s="142">
        <v>911631</v>
      </c>
      <c r="H69" s="145">
        <v>581932</v>
      </c>
      <c r="I69" s="145">
        <v>482803</v>
      </c>
      <c r="J69" s="143">
        <f t="shared" si="2"/>
        <v>0.638341609708314</v>
      </c>
      <c r="K69" s="143">
        <f t="shared" si="3"/>
        <v>0.52960353476351729</v>
      </c>
      <c r="L69" s="142">
        <v>1976757</v>
      </c>
      <c r="M69" s="145">
        <v>1388224</v>
      </c>
      <c r="N69" s="145">
        <v>799276</v>
      </c>
      <c r="O69" s="143">
        <f t="shared" si="4"/>
        <v>0.70227347114491057</v>
      </c>
      <c r="P69" s="143">
        <f t="shared" si="5"/>
        <v>0.40433700247425453</v>
      </c>
      <c r="Q69" s="142">
        <v>3000689</v>
      </c>
      <c r="R69" s="142">
        <f t="shared" ref="R69:S69" si="144">C69+H69+M69</f>
        <v>2099049</v>
      </c>
      <c r="S69" s="142">
        <f t="shared" si="144"/>
        <v>1395186</v>
      </c>
      <c r="T69" s="144">
        <f t="shared" si="8"/>
        <v>0.69952234303521621</v>
      </c>
      <c r="U69" s="144">
        <f t="shared" si="9"/>
        <v>0.46495521528555611</v>
      </c>
      <c r="V69" s="144"/>
      <c r="W69" s="144"/>
      <c r="X69" s="144"/>
      <c r="Y69" s="144"/>
      <c r="Z69" s="144"/>
      <c r="AA69" s="144"/>
      <c r="AB69" s="144"/>
      <c r="AC69" s="142"/>
      <c r="AD69" s="142"/>
      <c r="AE69" s="142"/>
      <c r="AF69" s="142"/>
      <c r="AG69" s="142"/>
      <c r="AH69" s="142">
        <v>1468764</v>
      </c>
      <c r="AI69" s="145">
        <v>1498947</v>
      </c>
      <c r="AJ69" s="145">
        <v>1363159</v>
      </c>
      <c r="AK69" s="143">
        <f t="shared" si="10"/>
        <v>1.0205499317793736</v>
      </c>
      <c r="AL69" s="143">
        <f t="shared" si="11"/>
        <v>0.92809940875457186</v>
      </c>
      <c r="AM69" s="145">
        <v>21553118</v>
      </c>
      <c r="AN69" s="145">
        <v>2691305</v>
      </c>
      <c r="AO69" s="145">
        <v>1708253</v>
      </c>
      <c r="AP69" s="143">
        <f t="shared" si="12"/>
        <v>0.12486847610633413</v>
      </c>
      <c r="AQ69" s="143">
        <f t="shared" si="13"/>
        <v>7.9257813185080697E-2</v>
      </c>
      <c r="AR69" s="142">
        <v>17327169</v>
      </c>
      <c r="AS69" s="145">
        <v>8989745</v>
      </c>
      <c r="AT69" s="145">
        <v>5413948</v>
      </c>
      <c r="AU69" s="143">
        <f t="shared" si="14"/>
        <v>0.51882364626327593</v>
      </c>
      <c r="AV69" s="143">
        <f t="shared" si="15"/>
        <v>0.31245427340150028</v>
      </c>
      <c r="AW69" s="146">
        <f t="shared" si="16"/>
        <v>40349051</v>
      </c>
      <c r="AX69" s="145">
        <f t="shared" ref="AX69:AY69" si="145">AI69+AN69+AS69</f>
        <v>13179997</v>
      </c>
      <c r="AY69" s="149">
        <f t="shared" si="145"/>
        <v>8485360</v>
      </c>
      <c r="AZ69" s="143">
        <f t="shared" si="18"/>
        <v>0.32664949170675661</v>
      </c>
      <c r="BA69" s="143">
        <f t="shared" si="19"/>
        <v>0.21029887419161358</v>
      </c>
      <c r="BB69" s="143"/>
      <c r="BC69" s="143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 t="s">
        <v>338</v>
      </c>
      <c r="BQ69" s="148" t="s">
        <v>338</v>
      </c>
      <c r="BR69" s="148" t="s">
        <v>338</v>
      </c>
      <c r="BS69" s="148" t="s">
        <v>338</v>
      </c>
    </row>
    <row r="70" spans="1:71" ht="14.5" x14ac:dyDescent="0.25">
      <c r="A70" s="141">
        <v>44324</v>
      </c>
      <c r="B70" s="142">
        <v>112301</v>
      </c>
      <c r="C70" s="145">
        <v>128918</v>
      </c>
      <c r="D70" s="145">
        <v>113180</v>
      </c>
      <c r="E70" s="143">
        <f t="shared" si="0"/>
        <v>1.1479684063365421</v>
      </c>
      <c r="F70" s="143">
        <f t="shared" si="1"/>
        <v>1.007827178742843</v>
      </c>
      <c r="G70" s="142">
        <v>911631</v>
      </c>
      <c r="H70" s="145">
        <v>582375</v>
      </c>
      <c r="I70" s="145">
        <v>484444</v>
      </c>
      <c r="J70" s="143">
        <f t="shared" si="2"/>
        <v>0.63882755193713248</v>
      </c>
      <c r="K70" s="143">
        <f t="shared" si="3"/>
        <v>0.53140360518674767</v>
      </c>
      <c r="L70" s="142">
        <v>1976757</v>
      </c>
      <c r="M70" s="145">
        <v>1405753</v>
      </c>
      <c r="N70" s="145">
        <v>808129</v>
      </c>
      <c r="O70" s="143">
        <f t="shared" si="4"/>
        <v>0.71114102542699986</v>
      </c>
      <c r="P70" s="143">
        <f t="shared" si="5"/>
        <v>0.40881554991331764</v>
      </c>
      <c r="Q70" s="142">
        <v>3000689</v>
      </c>
      <c r="R70" s="142">
        <f t="shared" ref="R70:S70" si="146">C70+H70+M70</f>
        <v>2117046</v>
      </c>
      <c r="S70" s="142">
        <f t="shared" si="146"/>
        <v>1405753</v>
      </c>
      <c r="T70" s="144">
        <f t="shared" si="8"/>
        <v>0.7055199655812382</v>
      </c>
      <c r="U70" s="144">
        <f t="shared" si="9"/>
        <v>0.46847673984208293</v>
      </c>
      <c r="V70" s="144"/>
      <c r="W70" s="144"/>
      <c r="X70" s="144"/>
      <c r="Y70" s="144"/>
      <c r="Z70" s="144"/>
      <c r="AA70" s="144"/>
      <c r="AB70" s="144"/>
      <c r="AC70" s="142"/>
      <c r="AD70" s="142"/>
      <c r="AE70" s="142"/>
      <c r="AF70" s="142"/>
      <c r="AG70" s="142"/>
      <c r="AH70" s="142">
        <v>1468764</v>
      </c>
      <c r="AI70" s="145">
        <v>1499656</v>
      </c>
      <c r="AJ70" s="145">
        <v>1364428</v>
      </c>
      <c r="AK70" s="143">
        <f t="shared" si="10"/>
        <v>1.0210326505823943</v>
      </c>
      <c r="AL70" s="143">
        <f t="shared" si="11"/>
        <v>0.92896340051907589</v>
      </c>
      <c r="AM70" s="145">
        <v>21553118</v>
      </c>
      <c r="AN70" s="145">
        <v>2724661</v>
      </c>
      <c r="AO70" s="145">
        <v>1742105</v>
      </c>
      <c r="AP70" s="143">
        <f t="shared" si="12"/>
        <v>0.12641609441381058</v>
      </c>
      <c r="AQ70" s="143">
        <f t="shared" si="13"/>
        <v>8.082844440419247E-2</v>
      </c>
      <c r="AR70" s="142">
        <v>17327169</v>
      </c>
      <c r="AS70" s="145">
        <v>9096369</v>
      </c>
      <c r="AT70" s="145">
        <v>5504931</v>
      </c>
      <c r="AU70" s="143">
        <f t="shared" si="14"/>
        <v>0.5249772193022415</v>
      </c>
      <c r="AV70" s="143">
        <f t="shared" si="15"/>
        <v>0.31770516002931581</v>
      </c>
      <c r="AW70" s="146">
        <f t="shared" si="16"/>
        <v>40349051</v>
      </c>
      <c r="AX70" s="145">
        <f t="shared" ref="AX70:AY70" si="147">AI70+AN70+AS70</f>
        <v>13320686</v>
      </c>
      <c r="AY70" s="149">
        <f t="shared" si="147"/>
        <v>8611464</v>
      </c>
      <c r="AZ70" s="143">
        <f t="shared" si="18"/>
        <v>0.33013628994644756</v>
      </c>
      <c r="BA70" s="143">
        <f t="shared" si="19"/>
        <v>0.21342420172410004</v>
      </c>
      <c r="BB70" s="143"/>
      <c r="BC70" s="143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 t="s">
        <v>338</v>
      </c>
      <c r="BQ70" s="148" t="s">
        <v>338</v>
      </c>
      <c r="BR70" s="148" t="s">
        <v>338</v>
      </c>
      <c r="BS70" s="148" t="s">
        <v>338</v>
      </c>
    </row>
    <row r="71" spans="1:71" ht="14.5" x14ac:dyDescent="0.25">
      <c r="A71" s="141">
        <v>44325</v>
      </c>
      <c r="B71" s="142">
        <v>112301</v>
      </c>
      <c r="C71" s="145">
        <v>128923</v>
      </c>
      <c r="D71" s="145">
        <v>113187</v>
      </c>
      <c r="E71" s="143">
        <f t="shared" si="0"/>
        <v>1.148012929537582</v>
      </c>
      <c r="F71" s="143">
        <f t="shared" si="1"/>
        <v>1.0078895112242989</v>
      </c>
      <c r="G71" s="142">
        <v>911631</v>
      </c>
      <c r="H71" s="145">
        <v>582505</v>
      </c>
      <c r="I71" s="145">
        <v>485431</v>
      </c>
      <c r="J71" s="143">
        <f t="shared" si="2"/>
        <v>0.63897015349412212</v>
      </c>
      <c r="K71" s="143">
        <f t="shared" si="3"/>
        <v>0.53248628008481502</v>
      </c>
      <c r="L71" s="142">
        <v>1976757</v>
      </c>
      <c r="M71" s="145">
        <v>1415570</v>
      </c>
      <c r="N71" s="145">
        <v>816952</v>
      </c>
      <c r="O71" s="143">
        <f t="shared" si="4"/>
        <v>0.71610724029306583</v>
      </c>
      <c r="P71" s="143">
        <f t="shared" si="5"/>
        <v>0.41327892098017105</v>
      </c>
      <c r="Q71" s="142">
        <v>3000689</v>
      </c>
      <c r="R71" s="142">
        <f t="shared" ref="R71:S71" si="148">C71+H71+M71</f>
        <v>2126998</v>
      </c>
      <c r="S71" s="142">
        <f t="shared" si="148"/>
        <v>1415570</v>
      </c>
      <c r="T71" s="144">
        <f t="shared" si="8"/>
        <v>0.70883653720862105</v>
      </c>
      <c r="U71" s="144">
        <f t="shared" si="9"/>
        <v>0.47174832180209281</v>
      </c>
      <c r="V71" s="144"/>
      <c r="W71" s="144"/>
      <c r="X71" s="144"/>
      <c r="Y71" s="144"/>
      <c r="Z71" s="144"/>
      <c r="AA71" s="144"/>
      <c r="AB71" s="144"/>
      <c r="AC71" s="142"/>
      <c r="AD71" s="142"/>
      <c r="AE71" s="142"/>
      <c r="AF71" s="142"/>
      <c r="AG71" s="142"/>
      <c r="AH71" s="142">
        <v>1468764</v>
      </c>
      <c r="AI71" s="145">
        <v>1499726</v>
      </c>
      <c r="AJ71" s="145">
        <v>1364582</v>
      </c>
      <c r="AK71" s="143">
        <f t="shared" si="10"/>
        <v>1.0210803097025798</v>
      </c>
      <c r="AL71" s="143">
        <f t="shared" si="11"/>
        <v>0.92906825058348375</v>
      </c>
      <c r="AM71" s="145">
        <v>21553118</v>
      </c>
      <c r="AN71" s="145">
        <v>2726951</v>
      </c>
      <c r="AO71" s="145">
        <v>1748306</v>
      </c>
      <c r="AP71" s="143">
        <f t="shared" si="12"/>
        <v>0.12652234354212694</v>
      </c>
      <c r="AQ71" s="143">
        <f t="shared" si="13"/>
        <v>8.1116152196633456E-2</v>
      </c>
      <c r="AR71" s="142">
        <v>17327169</v>
      </c>
      <c r="AS71" s="145">
        <v>9121975</v>
      </c>
      <c r="AT71" s="145">
        <v>5530248</v>
      </c>
      <c r="AU71" s="143">
        <f t="shared" si="14"/>
        <v>0.52645501408799089</v>
      </c>
      <c r="AV71" s="143">
        <f t="shared" si="15"/>
        <v>0.31916627580650941</v>
      </c>
      <c r="AW71" s="146">
        <f t="shared" si="16"/>
        <v>40349051</v>
      </c>
      <c r="AX71" s="145">
        <f t="shared" ref="AX71:AY71" si="149">AI71+AN71+AS71</f>
        <v>13348652</v>
      </c>
      <c r="AY71" s="149">
        <f t="shared" si="149"/>
        <v>8643136</v>
      </c>
      <c r="AZ71" s="143">
        <f t="shared" si="18"/>
        <v>0.33082939174951104</v>
      </c>
      <c r="BA71" s="143">
        <f t="shared" si="19"/>
        <v>0.21420915203185323</v>
      </c>
      <c r="BB71" s="143"/>
      <c r="BC71" s="143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 t="s">
        <v>338</v>
      </c>
      <c r="BQ71" s="148" t="s">
        <v>338</v>
      </c>
      <c r="BR71" s="148" t="s">
        <v>338</v>
      </c>
      <c r="BS71" s="148" t="s">
        <v>338</v>
      </c>
    </row>
    <row r="72" spans="1:71" ht="14.5" x14ac:dyDescent="0.25">
      <c r="A72" s="141">
        <v>44326</v>
      </c>
      <c r="B72" s="142">
        <v>112301</v>
      </c>
      <c r="C72" s="145">
        <v>129109</v>
      </c>
      <c r="D72" s="145">
        <v>113552</v>
      </c>
      <c r="E72" s="143">
        <f t="shared" si="0"/>
        <v>1.1496691926162723</v>
      </c>
      <c r="F72" s="143">
        <f t="shared" si="1"/>
        <v>1.0111397049002235</v>
      </c>
      <c r="G72" s="142">
        <v>911631</v>
      </c>
      <c r="H72" s="145">
        <v>583358</v>
      </c>
      <c r="I72" s="145">
        <v>496586</v>
      </c>
      <c r="J72" s="143">
        <f t="shared" si="2"/>
        <v>0.63990583909498466</v>
      </c>
      <c r="K72" s="143">
        <f t="shared" si="3"/>
        <v>0.54472259060957773</v>
      </c>
      <c r="L72" s="142">
        <v>1976757</v>
      </c>
      <c r="M72" s="145">
        <v>1446273</v>
      </c>
      <c r="N72" s="145">
        <v>835742</v>
      </c>
      <c r="O72" s="143">
        <f t="shared" si="4"/>
        <v>0.73163924549147918</v>
      </c>
      <c r="P72" s="143">
        <f t="shared" si="5"/>
        <v>0.42278438877413865</v>
      </c>
      <c r="Q72" s="142">
        <v>3000689</v>
      </c>
      <c r="R72" s="142">
        <f t="shared" ref="R72:S72" si="150">C72+H72+M72</f>
        <v>2158740</v>
      </c>
      <c r="S72" s="142">
        <f t="shared" si="150"/>
        <v>1445880</v>
      </c>
      <c r="T72" s="144">
        <f t="shared" si="8"/>
        <v>0.71941477440681123</v>
      </c>
      <c r="U72" s="144">
        <f t="shared" si="9"/>
        <v>0.48184933526933316</v>
      </c>
      <c r="V72" s="144"/>
      <c r="W72" s="144"/>
      <c r="X72" s="144"/>
      <c r="Y72" s="144"/>
      <c r="Z72" s="144"/>
      <c r="AA72" s="144"/>
      <c r="AB72" s="144"/>
      <c r="AC72" s="142"/>
      <c r="AD72" s="142"/>
      <c r="AE72" s="142"/>
      <c r="AF72" s="142"/>
      <c r="AG72" s="142"/>
      <c r="AH72" s="142">
        <v>1468764</v>
      </c>
      <c r="AI72" s="145">
        <v>1501027</v>
      </c>
      <c r="AJ72" s="145">
        <v>1366419</v>
      </c>
      <c r="AK72" s="143">
        <f t="shared" si="10"/>
        <v>1.0219660884934543</v>
      </c>
      <c r="AL72" s="143">
        <f t="shared" si="11"/>
        <v>0.93031896206606368</v>
      </c>
      <c r="AM72" s="145">
        <v>21553118</v>
      </c>
      <c r="AN72" s="145">
        <v>2760561</v>
      </c>
      <c r="AO72" s="145">
        <v>1794839</v>
      </c>
      <c r="AP72" s="143">
        <f t="shared" si="12"/>
        <v>0.12808174668741665</v>
      </c>
      <c r="AQ72" s="143">
        <f t="shared" si="13"/>
        <v>8.3275143763422071E-2</v>
      </c>
      <c r="AR72" s="142">
        <v>17327169</v>
      </c>
      <c r="AS72" s="145">
        <v>9251201</v>
      </c>
      <c r="AT72" s="145">
        <v>5643009</v>
      </c>
      <c r="AU72" s="143">
        <f t="shared" si="14"/>
        <v>0.53391301256425672</v>
      </c>
      <c r="AV72" s="143">
        <f t="shared" si="15"/>
        <v>0.32567403249774962</v>
      </c>
      <c r="AW72" s="146">
        <f t="shared" si="16"/>
        <v>40349051</v>
      </c>
      <c r="AX72" s="145">
        <f t="shared" ref="AX72:AY72" si="151">AI72+AN72+AS72</f>
        <v>13512789</v>
      </c>
      <c r="AY72" s="149">
        <f t="shared" si="151"/>
        <v>8804267</v>
      </c>
      <c r="AZ72" s="143">
        <f t="shared" si="18"/>
        <v>0.33489731889852875</v>
      </c>
      <c r="BA72" s="143">
        <f t="shared" si="19"/>
        <v>0.21820257928742859</v>
      </c>
      <c r="BB72" s="143"/>
      <c r="BC72" s="143"/>
      <c r="BD72" s="148"/>
      <c r="BE72" s="148"/>
      <c r="BF72" s="148"/>
      <c r="BG72" s="148"/>
      <c r="BH72" s="148"/>
      <c r="BI72" s="148"/>
      <c r="BJ72" s="148"/>
      <c r="BK72" s="148"/>
      <c r="BL72" s="148"/>
      <c r="BM72" s="148"/>
      <c r="BN72" s="148"/>
      <c r="BO72" s="148"/>
      <c r="BP72" s="148" t="s">
        <v>338</v>
      </c>
      <c r="BQ72" s="148" t="s">
        <v>338</v>
      </c>
      <c r="BR72" s="148" t="s">
        <v>338</v>
      </c>
      <c r="BS72" s="148" t="s">
        <v>338</v>
      </c>
    </row>
    <row r="73" spans="1:71" ht="14.5" x14ac:dyDescent="0.25">
      <c r="A73" s="141">
        <v>44327</v>
      </c>
      <c r="B73" s="142">
        <v>112301</v>
      </c>
      <c r="C73" s="145">
        <v>129269</v>
      </c>
      <c r="D73" s="145">
        <v>113898</v>
      </c>
      <c r="E73" s="143">
        <f t="shared" si="0"/>
        <v>1.1510939350495544</v>
      </c>
      <c r="F73" s="143">
        <f t="shared" si="1"/>
        <v>1.0142207104121959</v>
      </c>
      <c r="G73" s="142">
        <v>911631</v>
      </c>
      <c r="H73" s="145">
        <v>583948</v>
      </c>
      <c r="I73" s="145">
        <v>499734</v>
      </c>
      <c r="J73" s="143">
        <f t="shared" si="2"/>
        <v>0.64055303077670678</v>
      </c>
      <c r="K73" s="143">
        <f t="shared" si="3"/>
        <v>0.54817574215883402</v>
      </c>
      <c r="L73" s="142">
        <v>1976757</v>
      </c>
      <c r="M73" s="145">
        <v>1470603</v>
      </c>
      <c r="N73" s="145">
        <v>848188</v>
      </c>
      <c r="O73" s="143">
        <f t="shared" si="4"/>
        <v>0.74394728335349258</v>
      </c>
      <c r="P73" s="143">
        <f t="shared" si="5"/>
        <v>0.42908055972484227</v>
      </c>
      <c r="Q73" s="142">
        <v>3000689</v>
      </c>
      <c r="R73" s="142">
        <f t="shared" ref="R73:S73" si="152">C73+H73+M73</f>
        <v>2183820</v>
      </c>
      <c r="S73" s="142">
        <f t="shared" si="152"/>
        <v>1461820</v>
      </c>
      <c r="T73" s="144">
        <f t="shared" si="8"/>
        <v>0.72777285483433973</v>
      </c>
      <c r="U73" s="144">
        <f t="shared" si="9"/>
        <v>0.48716144858730775</v>
      </c>
      <c r="V73" s="144"/>
      <c r="W73" s="144"/>
      <c r="X73" s="144"/>
      <c r="Y73" s="144"/>
      <c r="Z73" s="144"/>
      <c r="AA73" s="144"/>
      <c r="AB73" s="144"/>
      <c r="AC73" s="142"/>
      <c r="AD73" s="142"/>
      <c r="AE73" s="142"/>
      <c r="AF73" s="142"/>
      <c r="AG73" s="142"/>
      <c r="AH73" s="142">
        <v>1468764</v>
      </c>
      <c r="AI73" s="145">
        <v>1501809</v>
      </c>
      <c r="AJ73" s="145">
        <v>1367719</v>
      </c>
      <c r="AK73" s="143">
        <f t="shared" si="10"/>
        <v>1.0224985089503829</v>
      </c>
      <c r="AL73" s="143">
        <f t="shared" si="11"/>
        <v>0.93120406001236411</v>
      </c>
      <c r="AM73" s="145">
        <v>21553118</v>
      </c>
      <c r="AN73" s="145">
        <v>2783660</v>
      </c>
      <c r="AO73" s="145">
        <v>1812015</v>
      </c>
      <c r="AP73" s="143">
        <f t="shared" si="12"/>
        <v>0.1291534709734341</v>
      </c>
      <c r="AQ73" s="143">
        <f t="shared" si="13"/>
        <v>8.4072058622794155E-2</v>
      </c>
      <c r="AR73" s="142">
        <v>17327169</v>
      </c>
      <c r="AS73" s="145">
        <v>9361491</v>
      </c>
      <c r="AT73" s="145">
        <v>5708101</v>
      </c>
      <c r="AU73" s="143">
        <f t="shared" si="14"/>
        <v>0.54027816084670266</v>
      </c>
      <c r="AV73" s="143">
        <f t="shared" si="15"/>
        <v>0.32943067618258931</v>
      </c>
      <c r="AW73" s="146">
        <f t="shared" si="16"/>
        <v>40349051</v>
      </c>
      <c r="AX73" s="145">
        <f t="shared" ref="AX73:AY73" si="153">AI73+AN73+AS73</f>
        <v>13646960</v>
      </c>
      <c r="AY73" s="149">
        <f t="shared" si="153"/>
        <v>8887835</v>
      </c>
      <c r="AZ73" s="143">
        <f t="shared" si="18"/>
        <v>0.33822257678377615</v>
      </c>
      <c r="BA73" s="143">
        <f t="shared" si="19"/>
        <v>0.2202737060656024</v>
      </c>
      <c r="BB73" s="143"/>
      <c r="BC73" s="143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 t="s">
        <v>338</v>
      </c>
      <c r="BQ73" s="148" t="s">
        <v>338</v>
      </c>
      <c r="BR73" s="148" t="s">
        <v>338</v>
      </c>
      <c r="BS73" s="148" t="s">
        <v>338</v>
      </c>
    </row>
    <row r="74" spans="1:71" ht="14.5" x14ac:dyDescent="0.25">
      <c r="A74" s="141">
        <v>44328</v>
      </c>
      <c r="B74" s="142">
        <v>112301</v>
      </c>
      <c r="C74" s="145">
        <v>129295</v>
      </c>
      <c r="D74" s="145">
        <v>113947</v>
      </c>
      <c r="E74" s="143">
        <f t="shared" si="0"/>
        <v>1.1513254556949626</v>
      </c>
      <c r="F74" s="143">
        <f t="shared" si="1"/>
        <v>1.0146570377823885</v>
      </c>
      <c r="G74" s="142">
        <v>911631</v>
      </c>
      <c r="H74" s="145">
        <v>584003</v>
      </c>
      <c r="I74" s="145">
        <v>500318</v>
      </c>
      <c r="J74" s="143">
        <f t="shared" si="2"/>
        <v>0.64061336220466392</v>
      </c>
      <c r="K74" s="143">
        <f t="shared" si="3"/>
        <v>0.54881635223023351</v>
      </c>
      <c r="L74" s="142">
        <v>1976757</v>
      </c>
      <c r="M74" s="145">
        <v>1474854</v>
      </c>
      <c r="N74" s="145">
        <v>855317</v>
      </c>
      <c r="O74" s="143">
        <f t="shared" si="4"/>
        <v>0.74609777529559784</v>
      </c>
      <c r="P74" s="143">
        <f t="shared" si="5"/>
        <v>0.43268697164092501</v>
      </c>
      <c r="Q74" s="142">
        <v>3000689</v>
      </c>
      <c r="R74" s="142">
        <f t="shared" ref="R74:S74" si="154">C74+H74+M74</f>
        <v>2188152</v>
      </c>
      <c r="S74" s="142">
        <f t="shared" si="154"/>
        <v>1469582</v>
      </c>
      <c r="T74" s="144">
        <f t="shared" si="8"/>
        <v>0.72921652327182196</v>
      </c>
      <c r="U74" s="144">
        <f t="shared" si="9"/>
        <v>0.48974818783286106</v>
      </c>
      <c r="V74" s="144"/>
      <c r="W74" s="144"/>
      <c r="X74" s="144"/>
      <c r="Y74" s="144"/>
      <c r="Z74" s="144"/>
      <c r="AA74" s="144"/>
      <c r="AB74" s="144"/>
      <c r="AC74" s="142"/>
      <c r="AD74" s="142"/>
      <c r="AE74" s="142"/>
      <c r="AF74" s="142"/>
      <c r="AG74" s="142"/>
      <c r="AH74" s="142">
        <v>1468764</v>
      </c>
      <c r="AI74" s="145">
        <v>1502009</v>
      </c>
      <c r="AJ74" s="145">
        <v>1368070</v>
      </c>
      <c r="AK74" s="143">
        <f t="shared" si="10"/>
        <v>1.0226346778651982</v>
      </c>
      <c r="AL74" s="143">
        <f t="shared" si="11"/>
        <v>0.9314430364578653</v>
      </c>
      <c r="AM74" s="145">
        <v>21553118</v>
      </c>
      <c r="AN74" s="145">
        <v>2787803</v>
      </c>
      <c r="AO74" s="145">
        <v>1817360</v>
      </c>
      <c r="AP74" s="143">
        <f t="shared" si="12"/>
        <v>0.12934569374138813</v>
      </c>
      <c r="AQ74" s="143">
        <f t="shared" si="13"/>
        <v>8.4320050583864478E-2</v>
      </c>
      <c r="AR74" s="142">
        <v>17327169</v>
      </c>
      <c r="AS74" s="145">
        <v>9401248</v>
      </c>
      <c r="AT74" s="145">
        <v>5732660</v>
      </c>
      <c r="AU74" s="143">
        <f t="shared" si="14"/>
        <v>0.54257264992336607</v>
      </c>
      <c r="AV74" s="143">
        <f t="shared" si="15"/>
        <v>0.33084804563284398</v>
      </c>
      <c r="AW74" s="146">
        <f t="shared" si="16"/>
        <v>40349051</v>
      </c>
      <c r="AX74" s="145">
        <f t="shared" ref="AX74:AY74" si="155">AI74+AN74+AS74</f>
        <v>13691060</v>
      </c>
      <c r="AY74" s="149">
        <f t="shared" si="155"/>
        <v>8918090</v>
      </c>
      <c r="AZ74" s="143">
        <f t="shared" si="18"/>
        <v>0.33931553929236152</v>
      </c>
      <c r="BA74" s="143">
        <f t="shared" si="19"/>
        <v>0.22102353782744483</v>
      </c>
      <c r="BB74" s="143"/>
      <c r="BC74" s="143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 t="s">
        <v>338</v>
      </c>
      <c r="BQ74" s="148" t="s">
        <v>338</v>
      </c>
      <c r="BR74" s="148" t="s">
        <v>338</v>
      </c>
      <c r="BS74" s="148" t="s">
        <v>338</v>
      </c>
    </row>
    <row r="75" spans="1:71" ht="14.5" x14ac:dyDescent="0.25">
      <c r="A75" s="141">
        <v>44329</v>
      </c>
      <c r="B75" s="142">
        <v>112301</v>
      </c>
      <c r="C75" s="145">
        <v>129295</v>
      </c>
      <c r="D75" s="145">
        <v>113948</v>
      </c>
      <c r="E75" s="143">
        <f t="shared" si="0"/>
        <v>1.1513254556949626</v>
      </c>
      <c r="F75" s="143">
        <f t="shared" si="1"/>
        <v>1.0146659424225963</v>
      </c>
      <c r="G75" s="142">
        <v>911631</v>
      </c>
      <c r="H75" s="145">
        <v>584004</v>
      </c>
      <c r="I75" s="145">
        <v>500337</v>
      </c>
      <c r="J75" s="143">
        <f t="shared" si="2"/>
        <v>0.64061445913971771</v>
      </c>
      <c r="K75" s="143">
        <f t="shared" si="3"/>
        <v>0.54883719399625508</v>
      </c>
      <c r="L75" s="142">
        <v>1976757</v>
      </c>
      <c r="M75" s="145">
        <v>1475068</v>
      </c>
      <c r="N75" s="145">
        <v>855498</v>
      </c>
      <c r="O75" s="143">
        <f t="shared" si="4"/>
        <v>0.7462060334173598</v>
      </c>
      <c r="P75" s="143">
        <f t="shared" si="5"/>
        <v>0.43277853575325648</v>
      </c>
      <c r="Q75" s="142">
        <v>3000689</v>
      </c>
      <c r="R75" s="142">
        <f t="shared" ref="R75:S75" si="156">C75+H75+M75</f>
        <v>2188367</v>
      </c>
      <c r="S75" s="142">
        <f t="shared" si="156"/>
        <v>1469783</v>
      </c>
      <c r="T75" s="144">
        <f t="shared" si="8"/>
        <v>0.72928817348282349</v>
      </c>
      <c r="U75" s="144">
        <f t="shared" si="9"/>
        <v>0.48981517244872763</v>
      </c>
      <c r="V75" s="144"/>
      <c r="W75" s="144"/>
      <c r="X75" s="144"/>
      <c r="Y75" s="144"/>
      <c r="Z75" s="144"/>
      <c r="AA75" s="144"/>
      <c r="AB75" s="144"/>
      <c r="AC75" s="142"/>
      <c r="AD75" s="142"/>
      <c r="AE75" s="142"/>
      <c r="AF75" s="142"/>
      <c r="AG75" s="142"/>
      <c r="AH75" s="142">
        <v>1468764</v>
      </c>
      <c r="AI75" s="145">
        <v>1502025</v>
      </c>
      <c r="AJ75" s="145">
        <v>1368079</v>
      </c>
      <c r="AK75" s="143">
        <f t="shared" si="10"/>
        <v>1.0226455713783835</v>
      </c>
      <c r="AL75" s="143">
        <f t="shared" si="11"/>
        <v>0.931449164059032</v>
      </c>
      <c r="AM75" s="145">
        <v>21553118</v>
      </c>
      <c r="AN75" s="145">
        <v>2788132</v>
      </c>
      <c r="AO75" s="145">
        <v>1817544</v>
      </c>
      <c r="AP75" s="143">
        <f t="shared" si="12"/>
        <v>0.12936095835414627</v>
      </c>
      <c r="AQ75" s="143">
        <f t="shared" si="13"/>
        <v>8.4328587631729207E-2</v>
      </c>
      <c r="AR75" s="142">
        <v>17327169</v>
      </c>
      <c r="AS75" s="145">
        <v>9406282</v>
      </c>
      <c r="AT75" s="145">
        <v>5733632</v>
      </c>
      <c r="AU75" s="143">
        <f t="shared" si="14"/>
        <v>0.54286317632153291</v>
      </c>
      <c r="AV75" s="143">
        <f t="shared" si="15"/>
        <v>0.33090414250591083</v>
      </c>
      <c r="AW75" s="146">
        <f t="shared" si="16"/>
        <v>40349051</v>
      </c>
      <c r="AX75" s="145">
        <f t="shared" ref="AX75:AY75" si="157">AI75+AN75+AS75</f>
        <v>13696439</v>
      </c>
      <c r="AY75" s="149">
        <f t="shared" si="157"/>
        <v>8919255</v>
      </c>
      <c r="AZ75" s="143">
        <f t="shared" si="18"/>
        <v>0.33944885097793254</v>
      </c>
      <c r="BA75" s="143">
        <f t="shared" si="19"/>
        <v>0.22105241087330654</v>
      </c>
      <c r="BB75" s="143"/>
      <c r="BC75" s="143"/>
      <c r="BD75" s="148"/>
      <c r="BE75" s="148"/>
      <c r="BF75" s="148"/>
      <c r="BG75" s="148"/>
      <c r="BH75" s="148"/>
      <c r="BI75" s="148"/>
      <c r="BJ75" s="148"/>
      <c r="BK75" s="148"/>
      <c r="BL75" s="148"/>
      <c r="BM75" s="148"/>
      <c r="BN75" s="148"/>
      <c r="BO75" s="148"/>
      <c r="BP75" s="148" t="s">
        <v>338</v>
      </c>
      <c r="BQ75" s="148" t="s">
        <v>338</v>
      </c>
      <c r="BR75" s="148" t="s">
        <v>338</v>
      </c>
      <c r="BS75" s="148" t="s">
        <v>338</v>
      </c>
    </row>
    <row r="76" spans="1:71" ht="14.5" x14ac:dyDescent="0.25">
      <c r="A76" s="141">
        <v>44330</v>
      </c>
      <c r="B76" s="142">
        <v>112301</v>
      </c>
      <c r="C76" s="145">
        <v>129295</v>
      </c>
      <c r="D76" s="145">
        <v>113948</v>
      </c>
      <c r="E76" s="143">
        <f t="shared" si="0"/>
        <v>1.1513254556949626</v>
      </c>
      <c r="F76" s="143">
        <f t="shared" si="1"/>
        <v>1.0146659424225963</v>
      </c>
      <c r="G76" s="142">
        <v>911631</v>
      </c>
      <c r="H76" s="145">
        <v>584007</v>
      </c>
      <c r="I76" s="145">
        <v>500353</v>
      </c>
      <c r="J76" s="143">
        <f t="shared" si="2"/>
        <v>0.64061774994487897</v>
      </c>
      <c r="K76" s="143">
        <f t="shared" si="3"/>
        <v>0.54885474495711528</v>
      </c>
      <c r="L76" s="142">
        <v>1976757</v>
      </c>
      <c r="M76" s="145">
        <v>1475317</v>
      </c>
      <c r="N76" s="145">
        <v>855736</v>
      </c>
      <c r="O76" s="143">
        <f t="shared" si="4"/>
        <v>0.74633199730669986</v>
      </c>
      <c r="P76" s="143">
        <f t="shared" si="5"/>
        <v>0.43289893497278625</v>
      </c>
      <c r="Q76" s="142">
        <v>3000689</v>
      </c>
      <c r="R76" s="142">
        <f t="shared" ref="R76:S76" si="158">C76+H76+M76</f>
        <v>2188619</v>
      </c>
      <c r="S76" s="142">
        <f t="shared" si="158"/>
        <v>1470037</v>
      </c>
      <c r="T76" s="144">
        <f t="shared" si="8"/>
        <v>0.72937215419525314</v>
      </c>
      <c r="U76" s="144">
        <f t="shared" si="9"/>
        <v>0.48989981967474805</v>
      </c>
      <c r="V76" s="144"/>
      <c r="W76" s="144"/>
      <c r="X76" s="144"/>
      <c r="Y76" s="144"/>
      <c r="Z76" s="144"/>
      <c r="AA76" s="144"/>
      <c r="AB76" s="144"/>
      <c r="AC76" s="142"/>
      <c r="AD76" s="142"/>
      <c r="AE76" s="142"/>
      <c r="AF76" s="142"/>
      <c r="AG76" s="142"/>
      <c r="AH76" s="142">
        <v>1468764</v>
      </c>
      <c r="AI76" s="145">
        <v>1502036</v>
      </c>
      <c r="AJ76" s="145">
        <v>1368093</v>
      </c>
      <c r="AK76" s="143">
        <f t="shared" si="10"/>
        <v>1.0226530606686983</v>
      </c>
      <c r="AL76" s="143">
        <f t="shared" si="11"/>
        <v>0.93145869588306907</v>
      </c>
      <c r="AM76" s="145">
        <v>21553118</v>
      </c>
      <c r="AN76" s="145">
        <v>2788357</v>
      </c>
      <c r="AO76" s="145">
        <v>1817833</v>
      </c>
      <c r="AP76" s="143">
        <f t="shared" si="12"/>
        <v>0.12937139767898084</v>
      </c>
      <c r="AQ76" s="143">
        <f t="shared" si="13"/>
        <v>8.4341996364516725E-2</v>
      </c>
      <c r="AR76" s="142">
        <v>17327169</v>
      </c>
      <c r="AS76" s="145">
        <v>9408183</v>
      </c>
      <c r="AT76" s="145">
        <v>5734811</v>
      </c>
      <c r="AU76" s="143">
        <f t="shared" si="14"/>
        <v>0.54297288841587454</v>
      </c>
      <c r="AV76" s="143">
        <f t="shared" si="15"/>
        <v>0.33097218593527888</v>
      </c>
      <c r="AW76" s="146">
        <f t="shared" si="16"/>
        <v>40349051</v>
      </c>
      <c r="AX76" s="145">
        <f t="shared" ref="AX76:AY76" si="159">AI76+AN76+AS76</f>
        <v>13698576</v>
      </c>
      <c r="AY76" s="149">
        <f t="shared" si="159"/>
        <v>8920737</v>
      </c>
      <c r="AZ76" s="143">
        <f t="shared" si="18"/>
        <v>0.33950181380969779</v>
      </c>
      <c r="BA76" s="143">
        <f t="shared" si="19"/>
        <v>0.22108914036169028</v>
      </c>
      <c r="BB76" s="143"/>
      <c r="BC76" s="143"/>
      <c r="BD76" s="148"/>
      <c r="BE76" s="148"/>
      <c r="BF76" s="148"/>
      <c r="BG76" s="148"/>
      <c r="BH76" s="148"/>
      <c r="BI76" s="148"/>
      <c r="BJ76" s="148"/>
      <c r="BK76" s="148"/>
      <c r="BL76" s="148"/>
      <c r="BM76" s="148"/>
      <c r="BN76" s="148"/>
      <c r="BO76" s="148"/>
      <c r="BP76" s="148" t="s">
        <v>338</v>
      </c>
      <c r="BQ76" s="148" t="s">
        <v>338</v>
      </c>
      <c r="BR76" s="148" t="s">
        <v>338</v>
      </c>
      <c r="BS76" s="148" t="s">
        <v>338</v>
      </c>
    </row>
    <row r="77" spans="1:71" ht="14.5" x14ac:dyDescent="0.25">
      <c r="A77" s="141">
        <v>44331</v>
      </c>
      <c r="B77" s="142">
        <v>112301</v>
      </c>
      <c r="C77" s="145">
        <v>129313</v>
      </c>
      <c r="D77" s="145">
        <v>113974</v>
      </c>
      <c r="E77" s="143">
        <f t="shared" si="0"/>
        <v>1.1514857392187068</v>
      </c>
      <c r="F77" s="143">
        <f t="shared" si="1"/>
        <v>1.0148974630680048</v>
      </c>
      <c r="G77" s="142">
        <v>911631</v>
      </c>
      <c r="H77" s="145">
        <v>584099</v>
      </c>
      <c r="I77" s="145">
        <v>501780</v>
      </c>
      <c r="J77" s="143">
        <f t="shared" si="2"/>
        <v>0.64071866796982546</v>
      </c>
      <c r="K77" s="143">
        <f t="shared" si="3"/>
        <v>0.55042007127883974</v>
      </c>
      <c r="L77" s="142">
        <v>1976757</v>
      </c>
      <c r="M77" s="145">
        <v>1477975</v>
      </c>
      <c r="N77" s="145">
        <v>862142</v>
      </c>
      <c r="O77" s="143">
        <f t="shared" si="4"/>
        <v>0.74767662388447342</v>
      </c>
      <c r="P77" s="143">
        <f t="shared" si="5"/>
        <v>0.43613959631861682</v>
      </c>
      <c r="Q77" s="142">
        <v>3000689</v>
      </c>
      <c r="R77" s="142">
        <f t="shared" ref="R77:S77" si="160">C77+H77+M77</f>
        <v>2191387</v>
      </c>
      <c r="S77" s="142">
        <f t="shared" si="160"/>
        <v>1477896</v>
      </c>
      <c r="T77" s="144">
        <f t="shared" si="8"/>
        <v>0.73029460900479859</v>
      </c>
      <c r="U77" s="144">
        <f t="shared" si="9"/>
        <v>0.49251888482945083</v>
      </c>
      <c r="V77" s="144"/>
      <c r="W77" s="144"/>
      <c r="X77" s="144"/>
      <c r="Y77" s="144"/>
      <c r="Z77" s="144"/>
      <c r="AA77" s="144"/>
      <c r="AB77" s="144"/>
      <c r="AC77" s="142"/>
      <c r="AD77" s="142"/>
      <c r="AE77" s="142"/>
      <c r="AF77" s="142"/>
      <c r="AG77" s="142"/>
      <c r="AH77" s="142">
        <v>1468764</v>
      </c>
      <c r="AI77" s="145">
        <v>1502212</v>
      </c>
      <c r="AJ77" s="145">
        <v>1368299</v>
      </c>
      <c r="AK77" s="143">
        <f t="shared" si="10"/>
        <v>1.022772889313736</v>
      </c>
      <c r="AL77" s="143">
        <f t="shared" si="11"/>
        <v>0.93159894986532898</v>
      </c>
      <c r="AM77" s="145">
        <v>21553118</v>
      </c>
      <c r="AN77" s="145">
        <v>2791566</v>
      </c>
      <c r="AO77" s="145">
        <v>1829662</v>
      </c>
      <c r="AP77" s="143">
        <f t="shared" si="12"/>
        <v>0.12952028564962156</v>
      </c>
      <c r="AQ77" s="143">
        <f t="shared" si="13"/>
        <v>8.4890826468819958E-2</v>
      </c>
      <c r="AR77" s="142">
        <v>17327169</v>
      </c>
      <c r="AS77" s="145">
        <v>9430549</v>
      </c>
      <c r="AT77" s="145">
        <v>5761421</v>
      </c>
      <c r="AU77" s="143">
        <f t="shared" si="14"/>
        <v>0.5442636936247347</v>
      </c>
      <c r="AV77" s="143">
        <f t="shared" si="15"/>
        <v>0.33250792440473109</v>
      </c>
      <c r="AW77" s="146">
        <f t="shared" si="16"/>
        <v>40349051</v>
      </c>
      <c r="AX77" s="145">
        <f t="shared" ref="AX77:AY77" si="161">AI77+AN77+AS77</f>
        <v>13724327</v>
      </c>
      <c r="AY77" s="149">
        <f t="shared" si="161"/>
        <v>8959382</v>
      </c>
      <c r="AZ77" s="143">
        <f t="shared" si="18"/>
        <v>0.34014001965002844</v>
      </c>
      <c r="BA77" s="143">
        <f t="shared" si="19"/>
        <v>0.22204690762119783</v>
      </c>
      <c r="BB77" s="143"/>
      <c r="BC77" s="143"/>
      <c r="BD77" s="148"/>
      <c r="BE77" s="148"/>
      <c r="BF77" s="148"/>
      <c r="BG77" s="148"/>
      <c r="BH77" s="148"/>
      <c r="BI77" s="148"/>
      <c r="BJ77" s="148"/>
      <c r="BK77" s="148"/>
      <c r="BL77" s="148"/>
      <c r="BM77" s="148"/>
      <c r="BN77" s="148"/>
      <c r="BO77" s="148"/>
      <c r="BP77" s="148" t="s">
        <v>338</v>
      </c>
      <c r="BQ77" s="148" t="s">
        <v>338</v>
      </c>
      <c r="BR77" s="148" t="s">
        <v>338</v>
      </c>
      <c r="BS77" s="148" t="s">
        <v>338</v>
      </c>
    </row>
    <row r="78" spans="1:71" ht="14.5" x14ac:dyDescent="0.25">
      <c r="A78" s="141">
        <v>44332</v>
      </c>
      <c r="B78" s="142">
        <v>112301</v>
      </c>
      <c r="C78" s="145">
        <v>129318</v>
      </c>
      <c r="D78" s="145">
        <v>113982</v>
      </c>
      <c r="E78" s="143">
        <f t="shared" si="0"/>
        <v>1.151530262419747</v>
      </c>
      <c r="F78" s="143">
        <f t="shared" si="1"/>
        <v>1.0149687001896688</v>
      </c>
      <c r="G78" s="142">
        <v>911631</v>
      </c>
      <c r="H78" s="145">
        <v>584827</v>
      </c>
      <c r="I78" s="145">
        <v>502660</v>
      </c>
      <c r="J78" s="143">
        <f t="shared" si="2"/>
        <v>0.64151723668896732</v>
      </c>
      <c r="K78" s="143">
        <f t="shared" si="3"/>
        <v>0.55138537412615407</v>
      </c>
      <c r="L78" s="142">
        <v>1976757</v>
      </c>
      <c r="M78" s="145">
        <v>1481782</v>
      </c>
      <c r="N78" s="145">
        <v>867073</v>
      </c>
      <c r="O78" s="143">
        <f t="shared" si="4"/>
        <v>0.74960250551787599</v>
      </c>
      <c r="P78" s="143">
        <f t="shared" si="5"/>
        <v>0.438634086030807</v>
      </c>
      <c r="Q78" s="142">
        <v>3000689</v>
      </c>
      <c r="R78" s="142">
        <f t="shared" ref="R78:S78" si="162">C78+H78+M78</f>
        <v>2195927</v>
      </c>
      <c r="S78" s="142">
        <f t="shared" si="162"/>
        <v>1483715</v>
      </c>
      <c r="T78" s="144">
        <f t="shared" si="8"/>
        <v>0.73180759485571478</v>
      </c>
      <c r="U78" s="144">
        <f t="shared" si="9"/>
        <v>0.49445810612162738</v>
      </c>
      <c r="V78" s="144"/>
      <c r="W78" s="144"/>
      <c r="X78" s="144"/>
      <c r="Y78" s="144"/>
      <c r="Z78" s="144"/>
      <c r="AA78" s="144"/>
      <c r="AB78" s="144"/>
      <c r="AC78" s="142"/>
      <c r="AD78" s="142"/>
      <c r="AE78" s="142"/>
      <c r="AF78" s="142"/>
      <c r="AG78" s="142"/>
      <c r="AH78" s="142">
        <v>1468764</v>
      </c>
      <c r="AI78" s="145">
        <v>1502228</v>
      </c>
      <c r="AJ78" s="145">
        <v>1368337</v>
      </c>
      <c r="AK78" s="143">
        <f t="shared" si="10"/>
        <v>1.0227837828269211</v>
      </c>
      <c r="AL78" s="143">
        <f t="shared" si="11"/>
        <v>0.93162482195914387</v>
      </c>
      <c r="AM78" s="145">
        <v>21553118</v>
      </c>
      <c r="AN78" s="145">
        <v>2792478</v>
      </c>
      <c r="AO78" s="145">
        <v>1832798</v>
      </c>
      <c r="AP78" s="143">
        <f t="shared" si="12"/>
        <v>0.12956259971295103</v>
      </c>
      <c r="AQ78" s="143">
        <f t="shared" si="13"/>
        <v>8.503632745851436E-2</v>
      </c>
      <c r="AR78" s="142">
        <v>17327169</v>
      </c>
      <c r="AS78" s="145">
        <v>9449637</v>
      </c>
      <c r="AT78" s="145">
        <v>5774108</v>
      </c>
      <c r="AU78" s="143">
        <f t="shared" si="14"/>
        <v>0.54536531616907524</v>
      </c>
      <c r="AV78" s="143">
        <f t="shared" si="15"/>
        <v>0.33324012710905054</v>
      </c>
      <c r="AW78" s="146">
        <f t="shared" si="16"/>
        <v>40349051</v>
      </c>
      <c r="AX78" s="145">
        <f t="shared" ref="AX78:AY78" si="163">AI78+AN78+AS78</f>
        <v>13744343</v>
      </c>
      <c r="AY78" s="149">
        <f t="shared" si="163"/>
        <v>8975243</v>
      </c>
      <c r="AZ78" s="143">
        <f t="shared" si="18"/>
        <v>0.34063609079678231</v>
      </c>
      <c r="BA78" s="143">
        <f t="shared" si="19"/>
        <v>0.22244000236833328</v>
      </c>
      <c r="BB78" s="143"/>
      <c r="BC78" s="143"/>
      <c r="BD78" s="148"/>
      <c r="BE78" s="148"/>
      <c r="BF78" s="148"/>
      <c r="BG78" s="148"/>
      <c r="BH78" s="148"/>
      <c r="BI78" s="148"/>
      <c r="BJ78" s="148"/>
      <c r="BK78" s="148"/>
      <c r="BL78" s="148"/>
      <c r="BM78" s="148"/>
      <c r="BN78" s="148"/>
      <c r="BO78" s="148"/>
      <c r="BP78" s="148" t="s">
        <v>338</v>
      </c>
      <c r="BQ78" s="148" t="s">
        <v>338</v>
      </c>
      <c r="BR78" s="148" t="s">
        <v>338</v>
      </c>
      <c r="BS78" s="148" t="s">
        <v>338</v>
      </c>
    </row>
    <row r="79" spans="1:71" ht="14.5" x14ac:dyDescent="0.25">
      <c r="A79" s="141">
        <v>44333</v>
      </c>
      <c r="B79" s="142">
        <v>112301</v>
      </c>
      <c r="C79" s="145">
        <v>129401</v>
      </c>
      <c r="D79" s="145">
        <v>114352</v>
      </c>
      <c r="E79" s="143">
        <f t="shared" si="0"/>
        <v>1.152269347557012</v>
      </c>
      <c r="F79" s="143">
        <f t="shared" si="1"/>
        <v>1.0182634170666334</v>
      </c>
      <c r="G79" s="142">
        <v>911631</v>
      </c>
      <c r="H79" s="145">
        <v>585577</v>
      </c>
      <c r="I79" s="145">
        <v>507155</v>
      </c>
      <c r="J79" s="143">
        <f t="shared" si="2"/>
        <v>0.64233993797929201</v>
      </c>
      <c r="K79" s="143">
        <f t="shared" si="3"/>
        <v>0.55631609719283348</v>
      </c>
      <c r="L79" s="142">
        <v>1976757</v>
      </c>
      <c r="M79" s="145">
        <v>1490559</v>
      </c>
      <c r="N79" s="145">
        <v>888577</v>
      </c>
      <c r="O79" s="143">
        <f t="shared" si="4"/>
        <v>0.75404260614734131</v>
      </c>
      <c r="P79" s="143">
        <f t="shared" si="5"/>
        <v>0.44951250963067285</v>
      </c>
      <c r="Q79" s="142">
        <v>3000689</v>
      </c>
      <c r="R79" s="142">
        <f t="shared" ref="R79:S79" si="164">C79+H79+M79</f>
        <v>2205537</v>
      </c>
      <c r="S79" s="142">
        <f t="shared" si="164"/>
        <v>1510084</v>
      </c>
      <c r="T79" s="144">
        <f t="shared" si="8"/>
        <v>0.73501019265908596</v>
      </c>
      <c r="U79" s="144">
        <f t="shared" si="9"/>
        <v>0.50324575455836973</v>
      </c>
      <c r="V79" s="144"/>
      <c r="W79" s="144"/>
      <c r="X79" s="144"/>
      <c r="Y79" s="144"/>
      <c r="Z79" s="144"/>
      <c r="AA79" s="144"/>
      <c r="AB79" s="144"/>
      <c r="AC79" s="142"/>
      <c r="AD79" s="142"/>
      <c r="AE79" s="142"/>
      <c r="AF79" s="142"/>
      <c r="AG79" s="142"/>
      <c r="AH79" s="142">
        <v>1468764</v>
      </c>
      <c r="AI79" s="145">
        <v>1503025</v>
      </c>
      <c r="AJ79" s="145">
        <v>1369938</v>
      </c>
      <c r="AK79" s="143">
        <f t="shared" si="10"/>
        <v>1.0233264159524607</v>
      </c>
      <c r="AL79" s="143">
        <f t="shared" si="11"/>
        <v>0.93271485412224153</v>
      </c>
      <c r="AM79" s="145">
        <v>21553118</v>
      </c>
      <c r="AN79" s="145">
        <v>2806995</v>
      </c>
      <c r="AO79" s="145">
        <v>1864236</v>
      </c>
      <c r="AP79" s="143">
        <f t="shared" si="12"/>
        <v>0.13023614495127805</v>
      </c>
      <c r="AQ79" s="143">
        <f t="shared" si="13"/>
        <v>8.6494956321400918E-2</v>
      </c>
      <c r="AR79" s="142">
        <v>17327169</v>
      </c>
      <c r="AS79" s="145">
        <v>9517264</v>
      </c>
      <c r="AT79" s="145">
        <v>5859097</v>
      </c>
      <c r="AU79" s="143">
        <f t="shared" si="14"/>
        <v>0.54926826188398115</v>
      </c>
      <c r="AV79" s="143">
        <f t="shared" si="15"/>
        <v>0.33814508301962082</v>
      </c>
      <c r="AW79" s="146">
        <f t="shared" si="16"/>
        <v>40349051</v>
      </c>
      <c r="AX79" s="145">
        <f t="shared" ref="AX79:AY79" si="165">AI79+AN79+AS79</f>
        <v>13827284</v>
      </c>
      <c r="AY79" s="149">
        <f t="shared" si="165"/>
        <v>9093271</v>
      </c>
      <c r="AZ79" s="143">
        <f t="shared" si="18"/>
        <v>0.34269167817602453</v>
      </c>
      <c r="BA79" s="143">
        <f t="shared" si="19"/>
        <v>0.22536517649448559</v>
      </c>
      <c r="BB79" s="143"/>
      <c r="BC79" s="143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 t="s">
        <v>338</v>
      </c>
      <c r="BQ79" s="148" t="s">
        <v>338</v>
      </c>
      <c r="BR79" s="148" t="s">
        <v>338</v>
      </c>
      <c r="BS79" s="148" t="s">
        <v>338</v>
      </c>
    </row>
    <row r="80" spans="1:71" ht="14.5" x14ac:dyDescent="0.25">
      <c r="A80" s="141">
        <v>44334</v>
      </c>
      <c r="B80" s="142">
        <v>112301</v>
      </c>
      <c r="C80" s="145">
        <v>129533</v>
      </c>
      <c r="D80" s="145">
        <v>114701</v>
      </c>
      <c r="E80" s="143">
        <f t="shared" si="0"/>
        <v>1.1534447600644695</v>
      </c>
      <c r="F80" s="143">
        <f t="shared" si="1"/>
        <v>1.0213711364992297</v>
      </c>
      <c r="G80" s="142">
        <v>911631</v>
      </c>
      <c r="H80" s="145">
        <v>586347</v>
      </c>
      <c r="I80" s="145">
        <v>510664</v>
      </c>
      <c r="J80" s="143">
        <f t="shared" si="2"/>
        <v>0.64318457797069206</v>
      </c>
      <c r="K80" s="143">
        <f t="shared" si="3"/>
        <v>0.56016524229649933</v>
      </c>
      <c r="L80" s="142">
        <v>1976757</v>
      </c>
      <c r="M80" s="145">
        <v>1507872</v>
      </c>
      <c r="N80" s="145">
        <v>915320</v>
      </c>
      <c r="O80" s="143">
        <f t="shared" si="4"/>
        <v>0.76280089054952127</v>
      </c>
      <c r="P80" s="143">
        <f t="shared" si="5"/>
        <v>0.46304123369741451</v>
      </c>
      <c r="Q80" s="142">
        <v>3000689</v>
      </c>
      <c r="R80" s="142">
        <f t="shared" ref="R80:S80" si="166">C80+H80+M80</f>
        <v>2223752</v>
      </c>
      <c r="S80" s="142">
        <f t="shared" si="166"/>
        <v>1540685</v>
      </c>
      <c r="T80" s="144">
        <f t="shared" si="8"/>
        <v>0.74108046518649551</v>
      </c>
      <c r="U80" s="144">
        <f t="shared" si="9"/>
        <v>0.51344374575305873</v>
      </c>
      <c r="V80" s="144"/>
      <c r="W80" s="144"/>
      <c r="X80" s="144"/>
      <c r="Y80" s="144"/>
      <c r="Z80" s="144"/>
      <c r="AA80" s="144"/>
      <c r="AB80" s="144"/>
      <c r="AC80" s="142"/>
      <c r="AD80" s="142"/>
      <c r="AE80" s="142"/>
      <c r="AF80" s="142"/>
      <c r="AG80" s="142"/>
      <c r="AH80" s="142">
        <v>1468764</v>
      </c>
      <c r="AI80" s="145">
        <v>1504324</v>
      </c>
      <c r="AJ80" s="145">
        <v>1372017</v>
      </c>
      <c r="AK80" s="143">
        <f t="shared" si="10"/>
        <v>1.024210833054187</v>
      </c>
      <c r="AL80" s="143">
        <f t="shared" si="11"/>
        <v>0.93413032999174817</v>
      </c>
      <c r="AM80" s="145">
        <v>21553118</v>
      </c>
      <c r="AN80" s="145">
        <v>2841581</v>
      </c>
      <c r="AO80" s="145">
        <v>1906473</v>
      </c>
      <c r="AP80" s="143">
        <f t="shared" si="12"/>
        <v>0.13184083156785018</v>
      </c>
      <c r="AQ80" s="143">
        <f t="shared" si="13"/>
        <v>8.8454626379347992E-2</v>
      </c>
      <c r="AR80" s="142">
        <v>17327169</v>
      </c>
      <c r="AS80" s="145">
        <v>9632092</v>
      </c>
      <c r="AT80" s="145">
        <v>5997003</v>
      </c>
      <c r="AU80" s="143">
        <f t="shared" si="14"/>
        <v>0.55589531099973688</v>
      </c>
      <c r="AV80" s="143">
        <f t="shared" si="15"/>
        <v>0.34610402888088643</v>
      </c>
      <c r="AW80" s="146">
        <f t="shared" si="16"/>
        <v>40349051</v>
      </c>
      <c r="AX80" s="145">
        <f t="shared" ref="AX80:AY80" si="167">AI80+AN80+AS80</f>
        <v>13977997</v>
      </c>
      <c r="AY80" s="149">
        <f t="shared" si="167"/>
        <v>9275493</v>
      </c>
      <c r="AZ80" s="143">
        <f t="shared" si="18"/>
        <v>0.34642690852877805</v>
      </c>
      <c r="BA80" s="143">
        <f t="shared" si="19"/>
        <v>0.2298813174069447</v>
      </c>
      <c r="BB80" s="143"/>
      <c r="BC80" s="143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 t="s">
        <v>338</v>
      </c>
      <c r="BQ80" s="148" t="s">
        <v>338</v>
      </c>
      <c r="BR80" s="148" t="s">
        <v>338</v>
      </c>
      <c r="BS80" s="148" t="s">
        <v>338</v>
      </c>
    </row>
    <row r="81" spans="1:71" ht="14.5" x14ac:dyDescent="0.25">
      <c r="A81" s="141">
        <v>44335</v>
      </c>
      <c r="B81" s="142">
        <v>112301</v>
      </c>
      <c r="C81" s="145">
        <v>129714</v>
      </c>
      <c r="D81" s="145">
        <v>115004</v>
      </c>
      <c r="E81" s="143">
        <f t="shared" si="0"/>
        <v>1.1550564999421198</v>
      </c>
      <c r="F81" s="143">
        <f t="shared" si="1"/>
        <v>1.0240692424822575</v>
      </c>
      <c r="G81" s="142">
        <v>911631</v>
      </c>
      <c r="H81" s="145">
        <v>587128</v>
      </c>
      <c r="I81" s="145">
        <v>514002</v>
      </c>
      <c r="J81" s="143">
        <f t="shared" si="2"/>
        <v>0.64404128424768359</v>
      </c>
      <c r="K81" s="143">
        <f t="shared" si="3"/>
        <v>0.56382681150597114</v>
      </c>
      <c r="L81" s="142">
        <v>1976757</v>
      </c>
      <c r="M81" s="145">
        <v>1531144</v>
      </c>
      <c r="N81" s="145">
        <v>937777</v>
      </c>
      <c r="O81" s="143">
        <f t="shared" si="4"/>
        <v>0.77457370835160821</v>
      </c>
      <c r="P81" s="143">
        <f t="shared" si="5"/>
        <v>0.47440176005447304</v>
      </c>
      <c r="Q81" s="142">
        <v>3000689</v>
      </c>
      <c r="R81" s="142">
        <f t="shared" ref="R81:S81" si="168">C81+H81+M81</f>
        <v>2247986</v>
      </c>
      <c r="S81" s="142">
        <f t="shared" si="168"/>
        <v>1566783</v>
      </c>
      <c r="T81" s="144">
        <f t="shared" si="8"/>
        <v>0.7491566103651528</v>
      </c>
      <c r="U81" s="144">
        <f t="shared" si="9"/>
        <v>0.52214108159825956</v>
      </c>
      <c r="V81" s="144"/>
      <c r="W81" s="144"/>
      <c r="X81" s="144"/>
      <c r="Y81" s="144"/>
      <c r="Z81" s="144"/>
      <c r="AA81" s="144"/>
      <c r="AB81" s="144"/>
      <c r="AC81" s="142"/>
      <c r="AD81" s="142"/>
      <c r="AE81" s="142"/>
      <c r="AF81" s="142"/>
      <c r="AG81" s="142"/>
      <c r="AH81" s="142">
        <v>1468764</v>
      </c>
      <c r="AI81" s="145">
        <v>1505817</v>
      </c>
      <c r="AJ81" s="145">
        <v>1373813</v>
      </c>
      <c r="AK81" s="143">
        <f t="shared" si="10"/>
        <v>1.0252273340032845</v>
      </c>
      <c r="AL81" s="143">
        <f t="shared" si="11"/>
        <v>0.93535312684679095</v>
      </c>
      <c r="AM81" s="145">
        <v>21553118</v>
      </c>
      <c r="AN81" s="145">
        <v>2888392</v>
      </c>
      <c r="AO81" s="145">
        <v>1943802</v>
      </c>
      <c r="AP81" s="143">
        <f t="shared" si="12"/>
        <v>0.13401272150043442</v>
      </c>
      <c r="AQ81" s="143">
        <f t="shared" si="13"/>
        <v>9.0186579964903452E-2</v>
      </c>
      <c r="AR81" s="142">
        <v>17327169</v>
      </c>
      <c r="AS81" s="145">
        <v>9800124</v>
      </c>
      <c r="AT81" s="145">
        <v>6109914</v>
      </c>
      <c r="AU81" s="143">
        <f t="shared" si="14"/>
        <v>0.56559291364907904</v>
      </c>
      <c r="AV81" s="143">
        <f t="shared" si="15"/>
        <v>0.35262044249698266</v>
      </c>
      <c r="AW81" s="146">
        <f t="shared" si="16"/>
        <v>40349051</v>
      </c>
      <c r="AX81" s="145">
        <f t="shared" ref="AX81:AY81" si="169">AI81+AN81+AS81</f>
        <v>14194333</v>
      </c>
      <c r="AY81" s="149">
        <f t="shared" si="169"/>
        <v>9427529</v>
      </c>
      <c r="AZ81" s="143">
        <f t="shared" si="18"/>
        <v>0.35178852161851343</v>
      </c>
      <c r="BA81" s="143">
        <f t="shared" si="19"/>
        <v>0.2336493366349558</v>
      </c>
      <c r="BB81" s="143"/>
      <c r="BC81" s="143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 t="s">
        <v>338</v>
      </c>
      <c r="BQ81" s="148" t="s">
        <v>338</v>
      </c>
      <c r="BR81" s="148" t="s">
        <v>338</v>
      </c>
      <c r="BS81" s="148" t="s">
        <v>338</v>
      </c>
    </row>
    <row r="82" spans="1:71" ht="14.5" x14ac:dyDescent="0.25">
      <c r="A82" s="141">
        <v>44336</v>
      </c>
      <c r="B82" s="142">
        <v>112301</v>
      </c>
      <c r="C82" s="145">
        <v>129893</v>
      </c>
      <c r="D82" s="145">
        <v>115301</v>
      </c>
      <c r="E82" s="143">
        <f t="shared" si="0"/>
        <v>1.1566504305393541</v>
      </c>
      <c r="F82" s="143">
        <f t="shared" si="1"/>
        <v>1.0267139206240372</v>
      </c>
      <c r="G82" s="142">
        <v>911631</v>
      </c>
      <c r="H82" s="145">
        <v>587816</v>
      </c>
      <c r="I82" s="145">
        <v>517660</v>
      </c>
      <c r="J82" s="143">
        <f t="shared" si="2"/>
        <v>0.64479597556467472</v>
      </c>
      <c r="K82" s="143">
        <f t="shared" si="3"/>
        <v>0.5678393999326482</v>
      </c>
      <c r="L82" s="142">
        <v>1976757</v>
      </c>
      <c r="M82" s="145">
        <v>1557616</v>
      </c>
      <c r="N82" s="145">
        <v>966272</v>
      </c>
      <c r="O82" s="143">
        <f t="shared" si="4"/>
        <v>0.78796533918938949</v>
      </c>
      <c r="P82" s="143">
        <f t="shared" si="5"/>
        <v>0.48881678425825736</v>
      </c>
      <c r="Q82" s="142">
        <v>3000689</v>
      </c>
      <c r="R82" s="142">
        <f t="shared" ref="R82:S82" si="170">C82+H82+M82</f>
        <v>2275325</v>
      </c>
      <c r="S82" s="142">
        <f t="shared" si="170"/>
        <v>1599233</v>
      </c>
      <c r="T82" s="144">
        <f t="shared" si="8"/>
        <v>0.75826751789339053</v>
      </c>
      <c r="U82" s="144">
        <f t="shared" si="9"/>
        <v>0.53295526460756182</v>
      </c>
      <c r="V82" s="144"/>
      <c r="W82" s="144"/>
      <c r="X82" s="144"/>
      <c r="Y82" s="144"/>
      <c r="Z82" s="144"/>
      <c r="AA82" s="144"/>
      <c r="AB82" s="144"/>
      <c r="AC82" s="142"/>
      <c r="AD82" s="142"/>
      <c r="AE82" s="142"/>
      <c r="AF82" s="142"/>
      <c r="AG82" s="142"/>
      <c r="AH82" s="142">
        <v>1468764</v>
      </c>
      <c r="AI82" s="145">
        <v>1507098</v>
      </c>
      <c r="AJ82" s="145">
        <v>1375400</v>
      </c>
      <c r="AK82" s="143">
        <f t="shared" si="10"/>
        <v>1.0260994959026775</v>
      </c>
      <c r="AL82" s="143">
        <f t="shared" si="11"/>
        <v>0.93643362718585155</v>
      </c>
      <c r="AM82" s="145">
        <v>21553118</v>
      </c>
      <c r="AN82" s="145">
        <v>2944133</v>
      </c>
      <c r="AO82" s="145">
        <v>1980252</v>
      </c>
      <c r="AP82" s="143">
        <f t="shared" si="12"/>
        <v>0.13659893663645326</v>
      </c>
      <c r="AQ82" s="143">
        <f t="shared" si="13"/>
        <v>9.187775058810517E-2</v>
      </c>
      <c r="AR82" s="142">
        <v>17327169</v>
      </c>
      <c r="AS82" s="145">
        <v>9996350</v>
      </c>
      <c r="AT82" s="145">
        <v>6224200</v>
      </c>
      <c r="AU82" s="143">
        <f t="shared" si="14"/>
        <v>0.57691767189435272</v>
      </c>
      <c r="AV82" s="143">
        <f t="shared" si="15"/>
        <v>0.35921621125759207</v>
      </c>
      <c r="AW82" s="146">
        <f t="shared" si="16"/>
        <v>40349051</v>
      </c>
      <c r="AX82" s="145">
        <f t="shared" ref="AX82:AY82" si="171">AI82+AN82+AS82</f>
        <v>14447581</v>
      </c>
      <c r="AY82" s="149">
        <f t="shared" si="171"/>
        <v>9579852</v>
      </c>
      <c r="AZ82" s="143">
        <f t="shared" si="18"/>
        <v>0.35806495176305386</v>
      </c>
      <c r="BA82" s="143">
        <f t="shared" si="19"/>
        <v>0.23742446879357831</v>
      </c>
      <c r="BB82" s="143"/>
      <c r="BC82" s="143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 t="s">
        <v>339</v>
      </c>
      <c r="BQ82" s="148" t="s">
        <v>338</v>
      </c>
      <c r="BR82" s="148" t="s">
        <v>340</v>
      </c>
      <c r="BS82" s="148" t="s">
        <v>338</v>
      </c>
    </row>
    <row r="83" spans="1:71" ht="14.5" x14ac:dyDescent="0.25">
      <c r="A83" s="141">
        <v>44337</v>
      </c>
      <c r="B83" s="142">
        <v>112301</v>
      </c>
      <c r="C83" s="145">
        <v>130014</v>
      </c>
      <c r="D83" s="145">
        <v>115625</v>
      </c>
      <c r="E83" s="143">
        <f t="shared" si="0"/>
        <v>1.1577278920045235</v>
      </c>
      <c r="F83" s="143">
        <f t="shared" si="1"/>
        <v>1.0295990240514332</v>
      </c>
      <c r="G83" s="142">
        <v>911631</v>
      </c>
      <c r="H83" s="145">
        <v>588442</v>
      </c>
      <c r="I83" s="145">
        <v>520855</v>
      </c>
      <c r="J83" s="143">
        <f t="shared" si="2"/>
        <v>0.6454826569083324</v>
      </c>
      <c r="K83" s="143">
        <f t="shared" si="3"/>
        <v>0.57134410742943142</v>
      </c>
      <c r="L83" s="142">
        <v>1976757</v>
      </c>
      <c r="M83" s="145">
        <v>1584442</v>
      </c>
      <c r="N83" s="145">
        <v>990835</v>
      </c>
      <c r="O83" s="143">
        <f t="shared" si="4"/>
        <v>0.80153605121924443</v>
      </c>
      <c r="P83" s="143">
        <f t="shared" si="5"/>
        <v>0.50124269194443227</v>
      </c>
      <c r="Q83" s="142">
        <v>3000689</v>
      </c>
      <c r="R83" s="142">
        <f t="shared" ref="R83:S83" si="172">C83+H83+M83</f>
        <v>2302898</v>
      </c>
      <c r="S83" s="142">
        <f t="shared" si="172"/>
        <v>1627315</v>
      </c>
      <c r="T83" s="144">
        <f t="shared" si="8"/>
        <v>0.76745640751174149</v>
      </c>
      <c r="U83" s="144">
        <f t="shared" si="9"/>
        <v>0.542313781934749</v>
      </c>
      <c r="V83" s="144"/>
      <c r="W83" s="144"/>
      <c r="X83" s="144"/>
      <c r="Y83" s="144"/>
      <c r="Z83" s="144"/>
      <c r="AA83" s="144"/>
      <c r="AB83" s="144"/>
      <c r="AC83" s="142"/>
      <c r="AD83" s="142"/>
      <c r="AE83" s="142"/>
      <c r="AF83" s="142"/>
      <c r="AG83" s="142"/>
      <c r="AH83" s="142">
        <v>1468764</v>
      </c>
      <c r="AI83" s="145">
        <v>1508652</v>
      </c>
      <c r="AJ83" s="145">
        <v>1377170</v>
      </c>
      <c r="AK83" s="143">
        <f t="shared" si="10"/>
        <v>1.0271575283707934</v>
      </c>
      <c r="AL83" s="143">
        <f t="shared" si="11"/>
        <v>0.93763872208196819</v>
      </c>
      <c r="AM83" s="145">
        <v>21553118</v>
      </c>
      <c r="AN83" s="145">
        <v>2987906</v>
      </c>
      <c r="AO83" s="145">
        <v>2006984</v>
      </c>
      <c r="AP83" s="143">
        <f t="shared" si="12"/>
        <v>0.13862987248527103</v>
      </c>
      <c r="AQ83" s="143">
        <f t="shared" si="13"/>
        <v>9.311803517245161E-2</v>
      </c>
      <c r="AR83" s="142">
        <v>17327169</v>
      </c>
      <c r="AS83" s="145">
        <v>10179623</v>
      </c>
      <c r="AT83" s="145">
        <v>6361674</v>
      </c>
      <c r="AU83" s="143">
        <f t="shared" si="14"/>
        <v>0.58749487582189563</v>
      </c>
      <c r="AV83" s="143">
        <f t="shared" si="15"/>
        <v>0.3671502251752724</v>
      </c>
      <c r="AW83" s="146">
        <f t="shared" si="16"/>
        <v>40349051</v>
      </c>
      <c r="AX83" s="145">
        <f t="shared" ref="AX83:AY83" si="173">AI83+AN83+AS83</f>
        <v>14676181</v>
      </c>
      <c r="AY83" s="149">
        <f t="shared" si="173"/>
        <v>9745828</v>
      </c>
      <c r="AZ83" s="143">
        <f t="shared" si="18"/>
        <v>0.36373051252184346</v>
      </c>
      <c r="BA83" s="143">
        <f t="shared" si="19"/>
        <v>0.24153797322271595</v>
      </c>
      <c r="BB83" s="143"/>
      <c r="BC83" s="143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 t="s">
        <v>341</v>
      </c>
      <c r="BQ83" s="148" t="s">
        <v>338</v>
      </c>
      <c r="BR83" s="148" t="s">
        <v>340</v>
      </c>
      <c r="BS83" s="148" t="s">
        <v>338</v>
      </c>
    </row>
    <row r="84" spans="1:71" ht="14.5" x14ac:dyDescent="0.25">
      <c r="A84" s="141">
        <v>44338</v>
      </c>
      <c r="B84" s="142">
        <v>112301</v>
      </c>
      <c r="C84" s="145">
        <v>130055</v>
      </c>
      <c r="D84" s="145">
        <v>115679</v>
      </c>
      <c r="E84" s="143">
        <f t="shared" si="0"/>
        <v>1.1580929822530521</v>
      </c>
      <c r="F84" s="143">
        <f t="shared" si="1"/>
        <v>1.0300798746226658</v>
      </c>
      <c r="G84" s="142">
        <v>911631</v>
      </c>
      <c r="H84" s="145">
        <v>588873</v>
      </c>
      <c r="I84" s="145">
        <v>521910</v>
      </c>
      <c r="J84" s="143">
        <f t="shared" si="2"/>
        <v>0.64595543591650573</v>
      </c>
      <c r="K84" s="143">
        <f t="shared" si="3"/>
        <v>0.57250137391115485</v>
      </c>
      <c r="L84" s="142">
        <v>1976757</v>
      </c>
      <c r="M84" s="145">
        <v>1597118</v>
      </c>
      <c r="N84" s="145">
        <v>1007097</v>
      </c>
      <c r="O84" s="143">
        <f t="shared" si="4"/>
        <v>0.8079485743568886</v>
      </c>
      <c r="P84" s="143">
        <f t="shared" si="5"/>
        <v>0.50946929744020131</v>
      </c>
      <c r="Q84" s="142">
        <v>3000689</v>
      </c>
      <c r="R84" s="142">
        <f t="shared" ref="R84:S84" si="174">C84+H84+M84</f>
        <v>2316046</v>
      </c>
      <c r="S84" s="142">
        <f t="shared" si="174"/>
        <v>1644686</v>
      </c>
      <c r="T84" s="144">
        <f t="shared" si="8"/>
        <v>0.7718380678570822</v>
      </c>
      <c r="U84" s="144">
        <f t="shared" si="9"/>
        <v>0.54810278572687809</v>
      </c>
      <c r="V84" s="144"/>
      <c r="W84" s="144"/>
      <c r="X84" s="144"/>
      <c r="Y84" s="144"/>
      <c r="Z84" s="144"/>
      <c r="AA84" s="144"/>
      <c r="AB84" s="144"/>
      <c r="AC84" s="142"/>
      <c r="AD84" s="142"/>
      <c r="AE84" s="142"/>
      <c r="AF84" s="142"/>
      <c r="AG84" s="142"/>
      <c r="AH84" s="142">
        <v>1468764</v>
      </c>
      <c r="AI84" s="145">
        <v>1509523</v>
      </c>
      <c r="AJ84" s="145">
        <v>1378053</v>
      </c>
      <c r="AK84" s="143">
        <f t="shared" si="10"/>
        <v>1.0277505439948147</v>
      </c>
      <c r="AL84" s="143">
        <f t="shared" si="11"/>
        <v>0.93823990784087841</v>
      </c>
      <c r="AM84" s="145">
        <v>21553118</v>
      </c>
      <c r="AN84" s="145">
        <v>3030396</v>
      </c>
      <c r="AO84" s="145">
        <v>2029296</v>
      </c>
      <c r="AP84" s="143">
        <f t="shared" si="12"/>
        <v>0.1406012809840321</v>
      </c>
      <c r="AQ84" s="143">
        <f t="shared" si="13"/>
        <v>9.4153245020047682E-2</v>
      </c>
      <c r="AR84" s="142">
        <v>17327169</v>
      </c>
      <c r="AS84" s="145">
        <v>10317952</v>
      </c>
      <c r="AT84" s="145">
        <v>6445395</v>
      </c>
      <c r="AU84" s="143">
        <f t="shared" si="14"/>
        <v>0.59547823421125512</v>
      </c>
      <c r="AV84" s="143">
        <f t="shared" si="15"/>
        <v>0.3719820012143934</v>
      </c>
      <c r="AW84" s="146">
        <f t="shared" si="16"/>
        <v>40349051</v>
      </c>
      <c r="AX84" s="145">
        <f t="shared" ref="AX84:AY84" si="175">AI84+AN84+AS84</f>
        <v>14857871</v>
      </c>
      <c r="AY84" s="149">
        <f t="shared" si="175"/>
        <v>9852744</v>
      </c>
      <c r="AZ84" s="143">
        <f t="shared" si="18"/>
        <v>0.36823346848975458</v>
      </c>
      <c r="BA84" s="143">
        <f t="shared" si="19"/>
        <v>0.24418775053718117</v>
      </c>
      <c r="BB84" s="143"/>
      <c r="BC84" s="143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 t="s">
        <v>342</v>
      </c>
      <c r="BQ84" s="148" t="s">
        <v>338</v>
      </c>
      <c r="BR84" s="148" t="s">
        <v>340</v>
      </c>
      <c r="BS84" s="148" t="s">
        <v>338</v>
      </c>
    </row>
    <row r="85" spans="1:71" ht="14.5" x14ac:dyDescent="0.25">
      <c r="A85" s="141">
        <v>44339</v>
      </c>
      <c r="B85" s="142">
        <v>112301</v>
      </c>
      <c r="C85" s="145">
        <v>130055</v>
      </c>
      <c r="D85" s="145">
        <v>115685</v>
      </c>
      <c r="E85" s="143">
        <f t="shared" si="0"/>
        <v>1.1580929822530521</v>
      </c>
      <c r="F85" s="143">
        <f t="shared" si="1"/>
        <v>1.0301333024639139</v>
      </c>
      <c r="G85" s="142">
        <v>911631</v>
      </c>
      <c r="H85" s="145">
        <v>589306</v>
      </c>
      <c r="I85" s="145">
        <v>522510</v>
      </c>
      <c r="J85" s="143">
        <f t="shared" si="2"/>
        <v>0.64643040879478653</v>
      </c>
      <c r="K85" s="143">
        <f t="shared" si="3"/>
        <v>0.57315953494341465</v>
      </c>
      <c r="L85" s="142">
        <v>1976757</v>
      </c>
      <c r="M85" s="145">
        <v>1605233</v>
      </c>
      <c r="N85" s="145">
        <v>1018653</v>
      </c>
      <c r="O85" s="143">
        <f t="shared" si="4"/>
        <v>0.81205378303959463</v>
      </c>
      <c r="P85" s="143">
        <f t="shared" si="5"/>
        <v>0.51531523601535245</v>
      </c>
      <c r="Q85" s="142">
        <v>3000689</v>
      </c>
      <c r="R85" s="142">
        <f t="shared" ref="R85:S85" si="176">C85+H85+M85</f>
        <v>2324594</v>
      </c>
      <c r="S85" s="142">
        <f t="shared" si="176"/>
        <v>1656848</v>
      </c>
      <c r="T85" s="144">
        <f t="shared" si="8"/>
        <v>0.77468674694378525</v>
      </c>
      <c r="U85" s="144">
        <f t="shared" si="9"/>
        <v>0.5521558548719977</v>
      </c>
      <c r="V85" s="144"/>
      <c r="W85" s="144"/>
      <c r="X85" s="144"/>
      <c r="Y85" s="144"/>
      <c r="Z85" s="144"/>
      <c r="AA85" s="144"/>
      <c r="AB85" s="144"/>
      <c r="AC85" s="142"/>
      <c r="AD85" s="142"/>
      <c r="AE85" s="142"/>
      <c r="AF85" s="142"/>
      <c r="AG85" s="142"/>
      <c r="AH85" s="142">
        <v>1468764</v>
      </c>
      <c r="AI85" s="145">
        <v>1509602</v>
      </c>
      <c r="AJ85" s="145">
        <v>1378175</v>
      </c>
      <c r="AK85" s="143">
        <f t="shared" si="10"/>
        <v>1.0278043307161668</v>
      </c>
      <c r="AL85" s="143">
        <f t="shared" si="11"/>
        <v>0.93832297087891592</v>
      </c>
      <c r="AM85" s="145">
        <v>21553118</v>
      </c>
      <c r="AN85" s="145">
        <v>3035376</v>
      </c>
      <c r="AO85" s="145">
        <v>2031431</v>
      </c>
      <c r="AP85" s="143">
        <f t="shared" si="12"/>
        <v>0.14083233804037076</v>
      </c>
      <c r="AQ85" s="143">
        <f t="shared" si="13"/>
        <v>9.4252302613478015E-2</v>
      </c>
      <c r="AR85" s="142">
        <v>17327169</v>
      </c>
      <c r="AS85" s="145">
        <v>10350966</v>
      </c>
      <c r="AT85" s="145">
        <v>6470711</v>
      </c>
      <c r="AU85" s="143">
        <f t="shared" si="14"/>
        <v>0.59738356565922568</v>
      </c>
      <c r="AV85" s="143">
        <f t="shared" si="15"/>
        <v>0.37344305927875465</v>
      </c>
      <c r="AW85" s="146">
        <f t="shared" si="16"/>
        <v>40349051</v>
      </c>
      <c r="AX85" s="145">
        <f t="shared" ref="AX85:AY85" si="177">AI85+AN85+AS85</f>
        <v>14895944</v>
      </c>
      <c r="AY85" s="149">
        <f t="shared" si="177"/>
        <v>9880317</v>
      </c>
      <c r="AZ85" s="143">
        <f t="shared" si="18"/>
        <v>0.36917705945549995</v>
      </c>
      <c r="BA85" s="143">
        <f t="shared" si="19"/>
        <v>0.24487111233421574</v>
      </c>
      <c r="BB85" s="143"/>
      <c r="BC85" s="143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 t="s">
        <v>343</v>
      </c>
      <c r="BQ85" s="148" t="s">
        <v>338</v>
      </c>
      <c r="BR85" s="148" t="s">
        <v>340</v>
      </c>
      <c r="BS85" s="148" t="s">
        <v>338</v>
      </c>
    </row>
    <row r="86" spans="1:71" ht="14.5" x14ac:dyDescent="0.25">
      <c r="A86" s="141">
        <v>44340</v>
      </c>
      <c r="B86" s="142">
        <v>112301</v>
      </c>
      <c r="C86" s="145">
        <v>130064</v>
      </c>
      <c r="D86" s="145">
        <v>115709</v>
      </c>
      <c r="E86" s="143">
        <f t="shared" si="0"/>
        <v>1.1581731240149242</v>
      </c>
      <c r="F86" s="143">
        <f t="shared" si="1"/>
        <v>1.0303470138289061</v>
      </c>
      <c r="G86" s="142">
        <v>911631</v>
      </c>
      <c r="H86" s="145">
        <v>589583</v>
      </c>
      <c r="I86" s="145">
        <v>523390</v>
      </c>
      <c r="J86" s="143">
        <f t="shared" si="2"/>
        <v>0.64673425980467969</v>
      </c>
      <c r="K86" s="143">
        <f t="shared" si="3"/>
        <v>0.57412483779072887</v>
      </c>
      <c r="L86" s="142">
        <v>1976757</v>
      </c>
      <c r="M86" s="145">
        <v>1609867</v>
      </c>
      <c r="N86" s="145">
        <v>1024668</v>
      </c>
      <c r="O86" s="143">
        <f t="shared" si="4"/>
        <v>0.81439802666690952</v>
      </c>
      <c r="P86" s="143">
        <f t="shared" si="5"/>
        <v>0.51835809864338411</v>
      </c>
      <c r="Q86" s="142">
        <v>3000689</v>
      </c>
      <c r="R86" s="142">
        <f t="shared" ref="R86:S86" si="178">C86+H86+M86</f>
        <v>2329514</v>
      </c>
      <c r="S86" s="142">
        <f t="shared" si="178"/>
        <v>1663767</v>
      </c>
      <c r="T86" s="144">
        <f t="shared" si="8"/>
        <v>0.77632637037693675</v>
      </c>
      <c r="U86" s="144">
        <f t="shared" si="9"/>
        <v>0.55446165863906594</v>
      </c>
      <c r="V86" s="144"/>
      <c r="W86" s="144"/>
      <c r="X86" s="144"/>
      <c r="Y86" s="144"/>
      <c r="Z86" s="144"/>
      <c r="AA86" s="144"/>
      <c r="AB86" s="144"/>
      <c r="AC86" s="142"/>
      <c r="AD86" s="142"/>
      <c r="AE86" s="142"/>
      <c r="AF86" s="142"/>
      <c r="AG86" s="142"/>
      <c r="AH86" s="142">
        <v>1468764</v>
      </c>
      <c r="AI86" s="145">
        <v>1509688</v>
      </c>
      <c r="AJ86" s="145">
        <v>1378297</v>
      </c>
      <c r="AK86" s="143">
        <f t="shared" si="10"/>
        <v>1.0278628833495373</v>
      </c>
      <c r="AL86" s="143">
        <f t="shared" si="11"/>
        <v>0.93840603391695332</v>
      </c>
      <c r="AM86" s="145">
        <v>21553118</v>
      </c>
      <c r="AN86" s="145">
        <v>3037155</v>
      </c>
      <c r="AO86" s="145">
        <v>2035034</v>
      </c>
      <c r="AP86" s="143">
        <f t="shared" si="12"/>
        <v>0.14091487830206284</v>
      </c>
      <c r="AQ86" s="143">
        <f t="shared" si="13"/>
        <v>9.4419471001829056E-2</v>
      </c>
      <c r="AR86" s="142">
        <v>17327169</v>
      </c>
      <c r="AS86" s="145">
        <v>10358642</v>
      </c>
      <c r="AT86" s="145">
        <v>6482944</v>
      </c>
      <c r="AU86" s="143">
        <f t="shared" si="14"/>
        <v>0.59782656936052281</v>
      </c>
      <c r="AV86" s="143">
        <f t="shared" si="15"/>
        <v>0.37414906035717665</v>
      </c>
      <c r="AW86" s="146">
        <f t="shared" si="16"/>
        <v>40349051</v>
      </c>
      <c r="AX86" s="145">
        <f t="shared" ref="AX86:AY86" si="179">AI86+AN86+AS86</f>
        <v>14905485</v>
      </c>
      <c r="AY86" s="149">
        <f t="shared" si="179"/>
        <v>9896275</v>
      </c>
      <c r="AZ86" s="143">
        <f t="shared" si="18"/>
        <v>0.36941352102680186</v>
      </c>
      <c r="BA86" s="143">
        <f t="shared" si="19"/>
        <v>0.24526661110319548</v>
      </c>
      <c r="BB86" s="143"/>
      <c r="BC86" s="143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 t="s">
        <v>344</v>
      </c>
      <c r="BQ86" s="148" t="s">
        <v>338</v>
      </c>
      <c r="BR86" s="148" t="s">
        <v>340</v>
      </c>
      <c r="BS86" s="148" t="s">
        <v>338</v>
      </c>
    </row>
    <row r="87" spans="1:71" ht="14.5" x14ac:dyDescent="0.25">
      <c r="A87" s="141">
        <v>44341</v>
      </c>
      <c r="B87" s="142">
        <v>112301</v>
      </c>
      <c r="C87" s="145">
        <v>130238</v>
      </c>
      <c r="D87" s="145">
        <v>116082</v>
      </c>
      <c r="E87" s="143">
        <f t="shared" si="0"/>
        <v>1.1597225314111184</v>
      </c>
      <c r="F87" s="143">
        <f t="shared" si="1"/>
        <v>1.0336684446264948</v>
      </c>
      <c r="G87" s="142">
        <v>911631</v>
      </c>
      <c r="H87" s="145">
        <v>590267</v>
      </c>
      <c r="I87" s="145">
        <v>526945</v>
      </c>
      <c r="J87" s="143">
        <f t="shared" si="2"/>
        <v>0.64748456338145588</v>
      </c>
      <c r="K87" s="143">
        <f t="shared" si="3"/>
        <v>0.57802444190686797</v>
      </c>
      <c r="L87" s="142">
        <v>1976757</v>
      </c>
      <c r="M87" s="145">
        <v>1652727</v>
      </c>
      <c r="N87" s="145">
        <v>1061588</v>
      </c>
      <c r="O87" s="143">
        <f t="shared" si="4"/>
        <v>0.83608000376374025</v>
      </c>
      <c r="P87" s="143">
        <f t="shared" si="5"/>
        <v>0.5370351540427073</v>
      </c>
      <c r="Q87" s="142">
        <v>3000689</v>
      </c>
      <c r="R87" s="142">
        <f t="shared" ref="R87:S87" si="180">C87+H87+M87</f>
        <v>2373232</v>
      </c>
      <c r="S87" s="142">
        <f t="shared" si="180"/>
        <v>1704615</v>
      </c>
      <c r="T87" s="144">
        <f t="shared" si="8"/>
        <v>0.7908956909563104</v>
      </c>
      <c r="U87" s="144">
        <f t="shared" si="9"/>
        <v>0.56807453221576776</v>
      </c>
      <c r="V87" s="144"/>
      <c r="W87" s="144"/>
      <c r="X87" s="144"/>
      <c r="Y87" s="144"/>
      <c r="Z87" s="144"/>
      <c r="AA87" s="144"/>
      <c r="AB87" s="144"/>
      <c r="AC87" s="142"/>
      <c r="AD87" s="142"/>
      <c r="AE87" s="142"/>
      <c r="AF87" s="142"/>
      <c r="AG87" s="142"/>
      <c r="AH87" s="142">
        <v>1468764</v>
      </c>
      <c r="AI87" s="145">
        <v>1511907</v>
      </c>
      <c r="AJ87" s="145">
        <v>1380437</v>
      </c>
      <c r="AK87" s="143">
        <f t="shared" si="10"/>
        <v>1.0293736774594149</v>
      </c>
      <c r="AL87" s="143">
        <f t="shared" si="11"/>
        <v>0.9398630413054786</v>
      </c>
      <c r="AM87" s="145">
        <v>21553118</v>
      </c>
      <c r="AN87" s="145">
        <v>3116601</v>
      </c>
      <c r="AO87" s="145">
        <v>2083789</v>
      </c>
      <c r="AP87" s="143">
        <f t="shared" si="12"/>
        <v>0.1446009343056536</v>
      </c>
      <c r="AQ87" s="143">
        <f t="shared" si="13"/>
        <v>9.668155670098405E-2</v>
      </c>
      <c r="AR87" s="142">
        <v>17327169</v>
      </c>
      <c r="AS87" s="145">
        <v>10683409</v>
      </c>
      <c r="AT87" s="145">
        <v>6660547</v>
      </c>
      <c r="AU87" s="143">
        <f t="shared" si="14"/>
        <v>0.61656979279188651</v>
      </c>
      <c r="AV87" s="143">
        <f t="shared" si="15"/>
        <v>0.38439903252516322</v>
      </c>
      <c r="AW87" s="146">
        <f t="shared" si="16"/>
        <v>40349051</v>
      </c>
      <c r="AX87" s="145">
        <f t="shared" ref="AX87:AY87" si="181">AI87+AN87+AS87</f>
        <v>15311917</v>
      </c>
      <c r="AY87" s="149">
        <f t="shared" si="181"/>
        <v>10124773</v>
      </c>
      <c r="AZ87" s="143">
        <f t="shared" si="18"/>
        <v>0.37948642212179912</v>
      </c>
      <c r="BA87" s="143">
        <f t="shared" si="19"/>
        <v>0.25092964392148903</v>
      </c>
      <c r="BB87" s="143"/>
      <c r="BC87" s="143"/>
      <c r="BD87" s="148"/>
      <c r="BE87" s="148"/>
      <c r="BF87" s="148"/>
      <c r="BG87" s="148"/>
      <c r="BH87" s="148"/>
      <c r="BI87" s="148"/>
      <c r="BJ87" s="148"/>
      <c r="BK87" s="148"/>
      <c r="BL87" s="148"/>
      <c r="BM87" s="148"/>
      <c r="BN87" s="148"/>
      <c r="BO87" s="148"/>
      <c r="BP87" s="148" t="s">
        <v>345</v>
      </c>
      <c r="BQ87" s="148" t="s">
        <v>338</v>
      </c>
      <c r="BR87" s="148" t="s">
        <v>340</v>
      </c>
      <c r="BS87" s="148" t="s">
        <v>338</v>
      </c>
    </row>
    <row r="88" spans="1:71" ht="14.5" x14ac:dyDescent="0.25">
      <c r="A88" s="141">
        <v>44342</v>
      </c>
      <c r="B88" s="142">
        <v>112301</v>
      </c>
      <c r="C88" s="145">
        <v>130312</v>
      </c>
      <c r="D88" s="145">
        <v>116230</v>
      </c>
      <c r="E88" s="143">
        <f t="shared" si="0"/>
        <v>1.1603814747865113</v>
      </c>
      <c r="F88" s="143">
        <f t="shared" si="1"/>
        <v>1.0349863313772807</v>
      </c>
      <c r="G88" s="142">
        <v>911631</v>
      </c>
      <c r="H88" s="145">
        <v>591012</v>
      </c>
      <c r="I88" s="145">
        <v>528669</v>
      </c>
      <c r="J88" s="143">
        <f t="shared" si="2"/>
        <v>0.64830177999651173</v>
      </c>
      <c r="K88" s="143">
        <f t="shared" si="3"/>
        <v>0.57991555793956107</v>
      </c>
      <c r="L88" s="142">
        <v>1976757</v>
      </c>
      <c r="M88" s="145">
        <v>1676765</v>
      </c>
      <c r="N88" s="145">
        <v>1087265</v>
      </c>
      <c r="O88" s="143">
        <f t="shared" si="4"/>
        <v>0.84824032493624657</v>
      </c>
      <c r="P88" s="143">
        <f t="shared" si="5"/>
        <v>0.55002461101693334</v>
      </c>
      <c r="Q88" s="142">
        <v>3000689</v>
      </c>
      <c r="R88" s="142">
        <f t="shared" ref="R88:S88" si="182">C88+H88+M88</f>
        <v>2398089</v>
      </c>
      <c r="S88" s="142">
        <f t="shared" si="182"/>
        <v>1732164</v>
      </c>
      <c r="T88" s="144">
        <f t="shared" si="8"/>
        <v>0.79917945511847444</v>
      </c>
      <c r="U88" s="144">
        <f t="shared" si="9"/>
        <v>0.57725542367103022</v>
      </c>
      <c r="V88" s="144"/>
      <c r="W88" s="144"/>
      <c r="X88" s="144"/>
      <c r="Y88" s="144"/>
      <c r="Z88" s="144"/>
      <c r="AA88" s="144"/>
      <c r="AB88" s="144"/>
      <c r="AC88" s="142"/>
      <c r="AD88" s="142"/>
      <c r="AE88" s="142"/>
      <c r="AF88" s="142"/>
      <c r="AG88" s="142"/>
      <c r="AH88" s="142">
        <v>1468764</v>
      </c>
      <c r="AI88" s="145">
        <v>1513104</v>
      </c>
      <c r="AJ88" s="145">
        <v>1381501</v>
      </c>
      <c r="AK88" s="143">
        <f t="shared" si="10"/>
        <v>1.0301886484145852</v>
      </c>
      <c r="AL88" s="143">
        <f t="shared" si="11"/>
        <v>0.94058745993229687</v>
      </c>
      <c r="AM88" s="145">
        <v>21553118</v>
      </c>
      <c r="AN88" s="145">
        <v>3153442</v>
      </c>
      <c r="AO88" s="145">
        <v>2098872</v>
      </c>
      <c r="AP88" s="143">
        <f t="shared" si="12"/>
        <v>0.14631024615556784</v>
      </c>
      <c r="AQ88" s="143">
        <f t="shared" si="13"/>
        <v>9.7381362640894933E-2</v>
      </c>
      <c r="AR88" s="142">
        <v>17327169</v>
      </c>
      <c r="AS88" s="145">
        <v>10847764</v>
      </c>
      <c r="AT88" s="145">
        <v>6743753</v>
      </c>
      <c r="AU88" s="143">
        <f t="shared" si="14"/>
        <v>0.62605518535659233</v>
      </c>
      <c r="AV88" s="143">
        <f t="shared" si="15"/>
        <v>0.38920108645561197</v>
      </c>
      <c r="AW88" s="146">
        <f t="shared" si="16"/>
        <v>40349051</v>
      </c>
      <c r="AX88" s="145">
        <f t="shared" ref="AX88:AY88" si="183">AI88+AN88+AS88</f>
        <v>15514310</v>
      </c>
      <c r="AY88" s="149">
        <f t="shared" si="183"/>
        <v>10224126</v>
      </c>
      <c r="AZ88" s="143">
        <f t="shared" si="18"/>
        <v>0.38450247565921686</v>
      </c>
      <c r="BA88" s="143">
        <f t="shared" si="19"/>
        <v>0.25339198188329137</v>
      </c>
      <c r="BB88" s="143"/>
      <c r="BC88" s="143"/>
      <c r="BD88" s="148"/>
      <c r="BE88" s="148"/>
      <c r="BF88" s="148"/>
      <c r="BG88" s="148"/>
      <c r="BH88" s="148"/>
      <c r="BI88" s="148"/>
      <c r="BJ88" s="148"/>
      <c r="BK88" s="148"/>
      <c r="BL88" s="148"/>
      <c r="BM88" s="148"/>
      <c r="BN88" s="148"/>
      <c r="BO88" s="148"/>
      <c r="BP88" s="148" t="s">
        <v>346</v>
      </c>
      <c r="BQ88" s="148" t="s">
        <v>338</v>
      </c>
      <c r="BR88" s="148" t="s">
        <v>340</v>
      </c>
      <c r="BS88" s="148" t="s">
        <v>338</v>
      </c>
    </row>
    <row r="89" spans="1:71" ht="14.5" x14ac:dyDescent="0.25">
      <c r="A89" s="141">
        <v>44343</v>
      </c>
      <c r="B89" s="142">
        <v>112301</v>
      </c>
      <c r="C89" s="145">
        <v>130439</v>
      </c>
      <c r="D89" s="145">
        <v>116619</v>
      </c>
      <c r="E89" s="143">
        <f t="shared" si="0"/>
        <v>1.1615123640929288</v>
      </c>
      <c r="F89" s="143">
        <f t="shared" si="1"/>
        <v>1.0384502364181976</v>
      </c>
      <c r="G89" s="142">
        <v>911631</v>
      </c>
      <c r="H89" s="145">
        <v>591661</v>
      </c>
      <c r="I89" s="145">
        <v>531718</v>
      </c>
      <c r="J89" s="143">
        <f t="shared" si="2"/>
        <v>0.64901369084640603</v>
      </c>
      <c r="K89" s="143">
        <f t="shared" si="3"/>
        <v>0.58326011291849444</v>
      </c>
      <c r="L89" s="142">
        <v>1976757</v>
      </c>
      <c r="M89" s="145">
        <v>1707434</v>
      </c>
      <c r="N89" s="145">
        <v>1121955</v>
      </c>
      <c r="O89" s="143">
        <f t="shared" si="4"/>
        <v>0.86375513024615569</v>
      </c>
      <c r="P89" s="143">
        <f t="shared" si="5"/>
        <v>0.56757355608200699</v>
      </c>
      <c r="Q89" s="142">
        <v>3000689</v>
      </c>
      <c r="R89" s="142">
        <f t="shared" ref="R89:S89" si="184">C89+H89+M89</f>
        <v>2429534</v>
      </c>
      <c r="S89" s="142">
        <f t="shared" si="184"/>
        <v>1770292</v>
      </c>
      <c r="T89" s="144">
        <f t="shared" si="8"/>
        <v>0.80965871504844389</v>
      </c>
      <c r="U89" s="144">
        <f t="shared" si="9"/>
        <v>0.58996183876436381</v>
      </c>
      <c r="V89" s="144"/>
      <c r="W89" s="144"/>
      <c r="X89" s="144"/>
      <c r="Y89" s="144"/>
      <c r="Z89" s="144"/>
      <c r="AA89" s="144"/>
      <c r="AB89" s="144"/>
      <c r="AC89" s="142"/>
      <c r="AD89" s="142"/>
      <c r="AE89" s="142"/>
      <c r="AF89" s="142"/>
      <c r="AG89" s="142"/>
      <c r="AH89" s="142">
        <v>1468764</v>
      </c>
      <c r="AI89" s="145">
        <v>1513104</v>
      </c>
      <c r="AJ89" s="145">
        <v>1381501</v>
      </c>
      <c r="AK89" s="143">
        <f t="shared" si="10"/>
        <v>1.0301886484145852</v>
      </c>
      <c r="AL89" s="143">
        <f t="shared" si="11"/>
        <v>0.94058745993229687</v>
      </c>
      <c r="AM89" s="145">
        <v>21553118</v>
      </c>
      <c r="AN89" s="145">
        <v>3153442</v>
      </c>
      <c r="AO89" s="145">
        <v>2098872</v>
      </c>
      <c r="AP89" s="143">
        <f t="shared" si="12"/>
        <v>0.14631024615556784</v>
      </c>
      <c r="AQ89" s="143">
        <f t="shared" si="13"/>
        <v>9.7381362640894933E-2</v>
      </c>
      <c r="AR89" s="142">
        <v>17327169</v>
      </c>
      <c r="AS89" s="145">
        <v>10847764</v>
      </c>
      <c r="AT89" s="145">
        <v>6743753</v>
      </c>
      <c r="AU89" s="143">
        <f t="shared" si="14"/>
        <v>0.62605518535659233</v>
      </c>
      <c r="AV89" s="143">
        <f t="shared" si="15"/>
        <v>0.38920108645561197</v>
      </c>
      <c r="AW89" s="146">
        <f t="shared" si="16"/>
        <v>40349051</v>
      </c>
      <c r="AX89" s="145">
        <f t="shared" ref="AX89:AY89" si="185">AI89+AN89+AS89</f>
        <v>15514310</v>
      </c>
      <c r="AY89" s="149">
        <f t="shared" si="185"/>
        <v>10224126</v>
      </c>
      <c r="AZ89" s="143">
        <f t="shared" si="18"/>
        <v>0.38450247565921686</v>
      </c>
      <c r="BA89" s="143">
        <f t="shared" si="19"/>
        <v>0.25339198188329137</v>
      </c>
      <c r="BB89" s="143"/>
      <c r="BC89" s="143"/>
      <c r="BD89" s="148"/>
      <c r="BE89" s="148"/>
      <c r="BF89" s="148"/>
      <c r="BG89" s="148"/>
      <c r="BH89" s="148"/>
      <c r="BI89" s="148"/>
      <c r="BJ89" s="148"/>
      <c r="BK89" s="148"/>
      <c r="BL89" s="148"/>
      <c r="BM89" s="148"/>
      <c r="BN89" s="148"/>
      <c r="BO89" s="148"/>
      <c r="BP89" s="148" t="s">
        <v>347</v>
      </c>
      <c r="BQ89" s="148" t="s">
        <v>338</v>
      </c>
      <c r="BR89" s="148" t="s">
        <v>340</v>
      </c>
      <c r="BS89" s="148" t="s">
        <v>338</v>
      </c>
    </row>
    <row r="90" spans="1:71" ht="14.5" x14ac:dyDescent="0.25">
      <c r="A90" s="141">
        <v>44344</v>
      </c>
      <c r="B90" s="142">
        <v>112301</v>
      </c>
      <c r="C90" s="145">
        <v>133442</v>
      </c>
      <c r="D90" s="145">
        <v>119578</v>
      </c>
      <c r="E90" s="143">
        <f t="shared" si="0"/>
        <v>1.18825299863759</v>
      </c>
      <c r="F90" s="143">
        <f t="shared" si="1"/>
        <v>1.0647990667937062</v>
      </c>
      <c r="G90" s="142">
        <v>911631</v>
      </c>
      <c r="H90" s="145">
        <v>591661</v>
      </c>
      <c r="I90" s="145">
        <v>531718</v>
      </c>
      <c r="J90" s="143">
        <f t="shared" si="2"/>
        <v>0.64901369084640603</v>
      </c>
      <c r="K90" s="143">
        <f t="shared" si="3"/>
        <v>0.58326011291849444</v>
      </c>
      <c r="L90" s="142">
        <v>1976757</v>
      </c>
      <c r="M90" s="145">
        <v>1707434</v>
      </c>
      <c r="N90" s="145">
        <v>1121955</v>
      </c>
      <c r="O90" s="143">
        <f t="shared" si="4"/>
        <v>0.86375513024615569</v>
      </c>
      <c r="P90" s="143">
        <f t="shared" si="5"/>
        <v>0.56757355608200699</v>
      </c>
      <c r="Q90" s="142">
        <v>3000689</v>
      </c>
      <c r="R90" s="142">
        <f t="shared" ref="R90:S90" si="186">C90+H90+M90</f>
        <v>2432537</v>
      </c>
      <c r="S90" s="142">
        <f t="shared" si="186"/>
        <v>1773251</v>
      </c>
      <c r="T90" s="144">
        <f t="shared" si="8"/>
        <v>0.81065948520489794</v>
      </c>
      <c r="U90" s="144">
        <f t="shared" si="9"/>
        <v>0.59094794562182218</v>
      </c>
      <c r="V90" s="144"/>
      <c r="W90" s="144"/>
      <c r="X90" s="144"/>
      <c r="Y90" s="144"/>
      <c r="Z90" s="144"/>
      <c r="AA90" s="144"/>
      <c r="AB90" s="144"/>
      <c r="AC90" s="142"/>
      <c r="AD90" s="142"/>
      <c r="AE90" s="142"/>
      <c r="AF90" s="142"/>
      <c r="AG90" s="142"/>
      <c r="AH90" s="142">
        <v>1468764</v>
      </c>
      <c r="AI90" s="145">
        <v>1516031</v>
      </c>
      <c r="AJ90" s="145">
        <v>1384767</v>
      </c>
      <c r="AK90" s="143">
        <f t="shared" si="10"/>
        <v>1.0321814804829095</v>
      </c>
      <c r="AL90" s="143">
        <f t="shared" si="11"/>
        <v>0.94281109831123311</v>
      </c>
      <c r="AM90" s="145">
        <v>21553118</v>
      </c>
      <c r="AN90" s="145">
        <v>3251706</v>
      </c>
      <c r="AO90" s="145">
        <v>2165628</v>
      </c>
      <c r="AP90" s="143">
        <f t="shared" si="12"/>
        <v>0.15086940089132347</v>
      </c>
      <c r="AQ90" s="143">
        <f t="shared" si="13"/>
        <v>0.10047864072381546</v>
      </c>
      <c r="AR90" s="142">
        <v>17327169</v>
      </c>
      <c r="AS90" s="145">
        <v>11291975</v>
      </c>
      <c r="AT90" s="145">
        <v>6961338</v>
      </c>
      <c r="AU90" s="143">
        <f t="shared" si="14"/>
        <v>0.65169186033794668</v>
      </c>
      <c r="AV90" s="143">
        <f t="shared" si="15"/>
        <v>0.40175853308754594</v>
      </c>
      <c r="AW90" s="146">
        <f t="shared" si="16"/>
        <v>40349051</v>
      </c>
      <c r="AX90" s="145">
        <f t="shared" ref="AX90:AY90" si="187">AI90+AN90+AS90</f>
        <v>16059712</v>
      </c>
      <c r="AY90" s="149">
        <f t="shared" si="187"/>
        <v>10511733</v>
      </c>
      <c r="AZ90" s="143">
        <f t="shared" si="18"/>
        <v>0.39801957176142755</v>
      </c>
      <c r="BA90" s="143">
        <f t="shared" si="19"/>
        <v>0.26051995621904467</v>
      </c>
      <c r="BB90" s="143"/>
      <c r="BC90" s="143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 t="s">
        <v>348</v>
      </c>
      <c r="BQ90" s="148" t="s">
        <v>338</v>
      </c>
      <c r="BR90" s="148" t="s">
        <v>340</v>
      </c>
      <c r="BS90" s="148" t="s">
        <v>338</v>
      </c>
    </row>
    <row r="91" spans="1:71" ht="14.5" x14ac:dyDescent="0.25">
      <c r="A91" s="141">
        <v>44345</v>
      </c>
      <c r="B91" s="142">
        <v>112301</v>
      </c>
      <c r="C91" s="145">
        <v>133442</v>
      </c>
      <c r="D91" s="145">
        <v>119578</v>
      </c>
      <c r="E91" s="143">
        <f t="shared" si="0"/>
        <v>1.18825299863759</v>
      </c>
      <c r="F91" s="143">
        <f t="shared" si="1"/>
        <v>1.0647990667937062</v>
      </c>
      <c r="G91" s="142">
        <v>911631</v>
      </c>
      <c r="H91" s="145">
        <v>591661</v>
      </c>
      <c r="I91" s="145">
        <v>531718</v>
      </c>
      <c r="J91" s="143">
        <f t="shared" si="2"/>
        <v>0.64901369084640603</v>
      </c>
      <c r="K91" s="143">
        <f t="shared" si="3"/>
        <v>0.58326011291849444</v>
      </c>
      <c r="L91" s="142">
        <v>1976757</v>
      </c>
      <c r="M91" s="145">
        <v>1707434</v>
      </c>
      <c r="N91" s="145">
        <v>1121955</v>
      </c>
      <c r="O91" s="143">
        <f t="shared" si="4"/>
        <v>0.86375513024615569</v>
      </c>
      <c r="P91" s="143">
        <f t="shared" si="5"/>
        <v>0.56757355608200699</v>
      </c>
      <c r="Q91" s="142">
        <v>3000689</v>
      </c>
      <c r="R91" s="142">
        <f t="shared" ref="R91:S91" si="188">C91+H91+M91</f>
        <v>2432537</v>
      </c>
      <c r="S91" s="142">
        <f t="shared" si="188"/>
        <v>1773251</v>
      </c>
      <c r="T91" s="144">
        <f t="shared" si="8"/>
        <v>0.81065948520489794</v>
      </c>
      <c r="U91" s="144">
        <f t="shared" si="9"/>
        <v>0.59094794562182218</v>
      </c>
      <c r="V91" s="144"/>
      <c r="W91" s="144"/>
      <c r="X91" s="144"/>
      <c r="Y91" s="144"/>
      <c r="Z91" s="144"/>
      <c r="AA91" s="144"/>
      <c r="AB91" s="144"/>
      <c r="AC91" s="142"/>
      <c r="AD91" s="142"/>
      <c r="AE91" s="142"/>
      <c r="AF91" s="142"/>
      <c r="AG91" s="142"/>
      <c r="AH91" s="142">
        <v>1468764</v>
      </c>
      <c r="AI91" s="145">
        <v>1516876</v>
      </c>
      <c r="AJ91" s="145">
        <v>1385402</v>
      </c>
      <c r="AK91" s="143">
        <f t="shared" si="10"/>
        <v>1.0327567941480047</v>
      </c>
      <c r="AL91" s="143">
        <f t="shared" si="11"/>
        <v>0.9432434346157722</v>
      </c>
      <c r="AM91" s="145">
        <v>21553118</v>
      </c>
      <c r="AN91" s="145">
        <v>3293415</v>
      </c>
      <c r="AO91" s="145">
        <v>2176967</v>
      </c>
      <c r="AP91" s="143">
        <f t="shared" si="12"/>
        <v>0.15280457333365874</v>
      </c>
      <c r="AQ91" s="143">
        <f t="shared" si="13"/>
        <v>0.10100473629847895</v>
      </c>
      <c r="AR91" s="142">
        <v>17327169</v>
      </c>
      <c r="AS91" s="145">
        <v>11446457</v>
      </c>
      <c r="AT91" s="145">
        <v>7008311</v>
      </c>
      <c r="AU91" s="143">
        <f t="shared" si="14"/>
        <v>0.66060745410863131</v>
      </c>
      <c r="AV91" s="143">
        <f t="shared" si="15"/>
        <v>0.40446947796261468</v>
      </c>
      <c r="AW91" s="146">
        <f t="shared" si="16"/>
        <v>40349051</v>
      </c>
      <c r="AX91" s="145">
        <f t="shared" ref="AX91:AY91" si="189">AI91+AN91+AS91</f>
        <v>16256748</v>
      </c>
      <c r="AY91" s="149">
        <f t="shared" si="189"/>
        <v>10570680</v>
      </c>
      <c r="AZ91" s="143">
        <f t="shared" si="18"/>
        <v>0.40290285885534211</v>
      </c>
      <c r="BA91" s="143">
        <f t="shared" si="19"/>
        <v>0.26198088277218712</v>
      </c>
      <c r="BB91" s="143"/>
      <c r="BC91" s="143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 t="s">
        <v>349</v>
      </c>
      <c r="BQ91" s="148" t="s">
        <v>338</v>
      </c>
      <c r="BR91" s="148" t="s">
        <v>340</v>
      </c>
      <c r="BS91" s="148" t="s">
        <v>338</v>
      </c>
    </row>
    <row r="92" spans="1:71" ht="14.5" x14ac:dyDescent="0.25">
      <c r="A92" s="141">
        <v>44346</v>
      </c>
      <c r="B92" s="142">
        <v>112301</v>
      </c>
      <c r="C92" s="145">
        <v>133466</v>
      </c>
      <c r="D92" s="145">
        <v>119600</v>
      </c>
      <c r="E92" s="143">
        <f t="shared" si="0"/>
        <v>1.1884667100025823</v>
      </c>
      <c r="F92" s="143">
        <f t="shared" si="1"/>
        <v>1.0649949688782825</v>
      </c>
      <c r="G92" s="142">
        <v>911631</v>
      </c>
      <c r="H92" s="145">
        <v>591661</v>
      </c>
      <c r="I92" s="145">
        <v>531718</v>
      </c>
      <c r="J92" s="143">
        <f t="shared" si="2"/>
        <v>0.64901369084640603</v>
      </c>
      <c r="K92" s="143">
        <f t="shared" si="3"/>
        <v>0.58326011291849444</v>
      </c>
      <c r="L92" s="142">
        <v>1976757</v>
      </c>
      <c r="M92" s="145">
        <v>1707434</v>
      </c>
      <c r="N92" s="145">
        <v>1124013</v>
      </c>
      <c r="O92" s="143">
        <f t="shared" si="4"/>
        <v>0.86375513024615569</v>
      </c>
      <c r="P92" s="143">
        <f t="shared" si="5"/>
        <v>0.56861465521558796</v>
      </c>
      <c r="Q92" s="142">
        <v>3000689</v>
      </c>
      <c r="R92" s="142">
        <f t="shared" ref="R92:S92" si="190">C92+H92+M92</f>
        <v>2432561</v>
      </c>
      <c r="S92" s="142">
        <f t="shared" si="190"/>
        <v>1775331</v>
      </c>
      <c r="T92" s="144">
        <f t="shared" si="8"/>
        <v>0.81066748336798644</v>
      </c>
      <c r="U92" s="144">
        <f t="shared" si="9"/>
        <v>0.59164111975616263</v>
      </c>
      <c r="V92" s="144"/>
      <c r="W92" s="144"/>
      <c r="X92" s="144"/>
      <c r="Y92" s="144"/>
      <c r="Z92" s="144"/>
      <c r="AA92" s="144"/>
      <c r="AB92" s="144"/>
      <c r="AC92" s="142"/>
      <c r="AD92" s="142"/>
      <c r="AE92" s="142"/>
      <c r="AF92" s="142"/>
      <c r="AG92" s="142"/>
      <c r="AH92" s="142">
        <v>1468764</v>
      </c>
      <c r="AI92" s="145">
        <v>1516911</v>
      </c>
      <c r="AJ92" s="145">
        <v>1385433</v>
      </c>
      <c r="AK92" s="143">
        <f t="shared" si="10"/>
        <v>1.0327806237080974</v>
      </c>
      <c r="AL92" s="143">
        <f t="shared" si="11"/>
        <v>0.94326454079756861</v>
      </c>
      <c r="AM92" s="145">
        <v>21553118</v>
      </c>
      <c r="AN92" s="145">
        <v>3294841</v>
      </c>
      <c r="AO92" s="145">
        <v>2177631</v>
      </c>
      <c r="AP92" s="143">
        <f t="shared" si="12"/>
        <v>0.15287073545461033</v>
      </c>
      <c r="AQ92" s="143">
        <f t="shared" si="13"/>
        <v>0.10103554390599077</v>
      </c>
      <c r="AR92" s="142">
        <v>17327169</v>
      </c>
      <c r="AS92" s="145">
        <v>11446457</v>
      </c>
      <c r="AT92" s="145">
        <v>7008311</v>
      </c>
      <c r="AU92" s="143">
        <f t="shared" si="14"/>
        <v>0.66060745410863131</v>
      </c>
      <c r="AV92" s="143">
        <f t="shared" si="15"/>
        <v>0.40446947796261468</v>
      </c>
      <c r="AW92" s="146">
        <f t="shared" si="16"/>
        <v>40349051</v>
      </c>
      <c r="AX92" s="145">
        <f t="shared" ref="AX92:AY92" si="191">AI92+AN92+AS92</f>
        <v>16258209</v>
      </c>
      <c r="AY92" s="149">
        <f t="shared" si="191"/>
        <v>10571375</v>
      </c>
      <c r="AZ92" s="143">
        <f t="shared" si="18"/>
        <v>0.40293906788538841</v>
      </c>
      <c r="BA92" s="143">
        <f t="shared" si="19"/>
        <v>0.26199810746478275</v>
      </c>
      <c r="BB92" s="143"/>
      <c r="BC92" s="143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 t="s">
        <v>350</v>
      </c>
      <c r="BQ92" s="148" t="s">
        <v>338</v>
      </c>
      <c r="BR92" s="148" t="s">
        <v>340</v>
      </c>
      <c r="BS92" s="148" t="s">
        <v>338</v>
      </c>
    </row>
    <row r="93" spans="1:71" ht="14.5" x14ac:dyDescent="0.25">
      <c r="A93" s="141">
        <v>44347</v>
      </c>
      <c r="B93" s="142">
        <v>112301</v>
      </c>
      <c r="C93" s="145">
        <v>133466</v>
      </c>
      <c r="D93" s="145">
        <v>119600</v>
      </c>
      <c r="E93" s="143">
        <f t="shared" si="0"/>
        <v>1.1884667100025823</v>
      </c>
      <c r="F93" s="143">
        <f t="shared" si="1"/>
        <v>1.0649949688782825</v>
      </c>
      <c r="G93" s="142">
        <v>911631</v>
      </c>
      <c r="H93" s="145">
        <v>591661</v>
      </c>
      <c r="I93" s="145">
        <v>531718</v>
      </c>
      <c r="J93" s="143">
        <f t="shared" si="2"/>
        <v>0.64901369084640603</v>
      </c>
      <c r="K93" s="143">
        <f t="shared" si="3"/>
        <v>0.58326011291849444</v>
      </c>
      <c r="L93" s="142">
        <v>1976757</v>
      </c>
      <c r="M93" s="145">
        <v>1794667</v>
      </c>
      <c r="N93" s="145">
        <v>1145836</v>
      </c>
      <c r="O93" s="143">
        <f t="shared" si="4"/>
        <v>0.90788447947825657</v>
      </c>
      <c r="P93" s="143">
        <f t="shared" si="5"/>
        <v>0.57965445423994955</v>
      </c>
      <c r="Q93" s="142">
        <v>3000689</v>
      </c>
      <c r="R93" s="142">
        <f t="shared" ref="R93:S93" si="192">C93+H93+M93</f>
        <v>2519794</v>
      </c>
      <c r="S93" s="142">
        <f t="shared" si="192"/>
        <v>1797154</v>
      </c>
      <c r="T93" s="144">
        <f t="shared" si="8"/>
        <v>0.83973847339727647</v>
      </c>
      <c r="U93" s="144">
        <f t="shared" si="9"/>
        <v>0.59891378280121665</v>
      </c>
      <c r="V93" s="144"/>
      <c r="W93" s="144"/>
      <c r="X93" s="144"/>
      <c r="Y93" s="144"/>
      <c r="Z93" s="144"/>
      <c r="AA93" s="144"/>
      <c r="AB93" s="144"/>
      <c r="AC93" s="142"/>
      <c r="AD93" s="142"/>
      <c r="AE93" s="142"/>
      <c r="AF93" s="142"/>
      <c r="AG93" s="142"/>
      <c r="AH93" s="142">
        <v>1468764</v>
      </c>
      <c r="AI93" s="145">
        <v>1518202</v>
      </c>
      <c r="AJ93" s="145">
        <v>1386778</v>
      </c>
      <c r="AK93" s="143">
        <f t="shared" si="10"/>
        <v>1.0336595940532312</v>
      </c>
      <c r="AL93" s="143">
        <f t="shared" si="11"/>
        <v>0.94418027674970251</v>
      </c>
      <c r="AM93" s="145">
        <v>21553118</v>
      </c>
      <c r="AN93" s="145">
        <v>3340338</v>
      </c>
      <c r="AO93" s="145">
        <v>2198723</v>
      </c>
      <c r="AP93" s="143">
        <f t="shared" si="12"/>
        <v>0.15498165973016062</v>
      </c>
      <c r="AQ93" s="143">
        <f t="shared" si="13"/>
        <v>0.10201414941448379</v>
      </c>
      <c r="AR93" s="142">
        <v>17327169</v>
      </c>
      <c r="AS93" s="145">
        <v>11663306</v>
      </c>
      <c r="AT93" s="145">
        <v>7111644</v>
      </c>
      <c r="AU93" s="143">
        <f t="shared" si="14"/>
        <v>0.67312242409593859</v>
      </c>
      <c r="AV93" s="143">
        <f t="shared" si="15"/>
        <v>0.41043311807023986</v>
      </c>
      <c r="AW93" s="146">
        <f t="shared" si="16"/>
        <v>40349051</v>
      </c>
      <c r="AX93" s="145">
        <f t="shared" ref="AX93:AY93" si="193">AI93+AN93+AS93</f>
        <v>16521846</v>
      </c>
      <c r="AY93" s="149">
        <f t="shared" si="193"/>
        <v>10697145</v>
      </c>
      <c r="AZ93" s="143">
        <f t="shared" si="18"/>
        <v>0.40947297620457046</v>
      </c>
      <c r="BA93" s="143">
        <f t="shared" si="19"/>
        <v>0.26511515723133117</v>
      </c>
      <c r="BB93" s="143"/>
      <c r="BC93" s="143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 t="s">
        <v>351</v>
      </c>
      <c r="BQ93" s="148" t="s">
        <v>338</v>
      </c>
      <c r="BR93" s="148" t="s">
        <v>340</v>
      </c>
      <c r="BS93" s="148" t="s">
        <v>338</v>
      </c>
    </row>
    <row r="94" spans="1:71" ht="14.5" x14ac:dyDescent="0.25">
      <c r="A94" s="141">
        <v>44348</v>
      </c>
      <c r="B94" s="142">
        <v>112301</v>
      </c>
      <c r="C94" s="145">
        <v>133593</v>
      </c>
      <c r="D94" s="145">
        <v>119829</v>
      </c>
      <c r="E94" s="143">
        <f t="shared" si="0"/>
        <v>1.189597599309</v>
      </c>
      <c r="F94" s="143">
        <f t="shared" si="1"/>
        <v>1.0670341314859173</v>
      </c>
      <c r="G94" s="142">
        <v>911631</v>
      </c>
      <c r="H94" s="145">
        <v>591661</v>
      </c>
      <c r="I94" s="145">
        <v>531832</v>
      </c>
      <c r="J94" s="143">
        <f t="shared" si="2"/>
        <v>0.64901369084640603</v>
      </c>
      <c r="K94" s="143">
        <f t="shared" si="3"/>
        <v>0.58338516351462377</v>
      </c>
      <c r="L94" s="142">
        <v>1976757</v>
      </c>
      <c r="M94" s="145">
        <v>1794667</v>
      </c>
      <c r="N94" s="145">
        <v>1152681</v>
      </c>
      <c r="O94" s="143">
        <f t="shared" si="4"/>
        <v>0.90788447947825657</v>
      </c>
      <c r="P94" s="143">
        <f t="shared" si="5"/>
        <v>0.58311719649911442</v>
      </c>
      <c r="Q94" s="142">
        <v>3000689</v>
      </c>
      <c r="R94" s="142">
        <f t="shared" ref="R94:S94" si="194">C94+H94+M94</f>
        <v>2519921</v>
      </c>
      <c r="S94" s="142">
        <f t="shared" si="194"/>
        <v>1804342</v>
      </c>
      <c r="T94" s="144">
        <f t="shared" si="8"/>
        <v>0.83978079701028663</v>
      </c>
      <c r="U94" s="144">
        <f t="shared" si="9"/>
        <v>0.60130923264623559</v>
      </c>
      <c r="V94" s="144"/>
      <c r="W94" s="144"/>
      <c r="X94" s="144"/>
      <c r="Y94" s="144"/>
      <c r="Z94" s="144"/>
      <c r="AA94" s="144"/>
      <c r="AB94" s="144"/>
      <c r="AC94" s="142"/>
      <c r="AD94" s="142"/>
      <c r="AE94" s="142"/>
      <c r="AF94" s="142"/>
      <c r="AG94" s="142"/>
      <c r="AH94" s="142">
        <v>1468764</v>
      </c>
      <c r="AI94" s="145">
        <v>1518383</v>
      </c>
      <c r="AJ94" s="145">
        <v>1386931</v>
      </c>
      <c r="AK94" s="143">
        <f t="shared" si="10"/>
        <v>1.0337828269211391</v>
      </c>
      <c r="AL94" s="143">
        <f t="shared" si="11"/>
        <v>0.94428444596953631</v>
      </c>
      <c r="AM94" s="145">
        <v>21553118</v>
      </c>
      <c r="AN94" s="145">
        <v>3345008</v>
      </c>
      <c r="AO94" s="145">
        <v>2200524</v>
      </c>
      <c r="AP94" s="143">
        <f t="shared" si="12"/>
        <v>0.1551983337167272</v>
      </c>
      <c r="AQ94" s="143">
        <f t="shared" si="13"/>
        <v>0.10209771041015968</v>
      </c>
      <c r="AR94" s="142">
        <v>17327169</v>
      </c>
      <c r="AS94" s="145">
        <v>11704499</v>
      </c>
      <c r="AT94" s="145">
        <v>7132916</v>
      </c>
      <c r="AU94" s="143">
        <f t="shared" si="14"/>
        <v>0.67549978879988992</v>
      </c>
      <c r="AV94" s="143">
        <f t="shared" si="15"/>
        <v>0.41166078544048368</v>
      </c>
      <c r="AW94" s="146">
        <f t="shared" si="16"/>
        <v>40349051</v>
      </c>
      <c r="AX94" s="145">
        <f t="shared" ref="AX94:AY94" si="195">AI94+AN94+AS94</f>
        <v>16567890</v>
      </c>
      <c r="AY94" s="149">
        <f t="shared" si="195"/>
        <v>10720371</v>
      </c>
      <c r="AZ94" s="143">
        <f t="shared" si="18"/>
        <v>0.41061411828496286</v>
      </c>
      <c r="BA94" s="143">
        <f t="shared" si="19"/>
        <v>0.26569078415251945</v>
      </c>
      <c r="BB94" s="143"/>
      <c r="BC94" s="143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 t="s">
        <v>352</v>
      </c>
      <c r="BQ94" s="148" t="s">
        <v>338</v>
      </c>
      <c r="BR94" s="148" t="s">
        <v>340</v>
      </c>
      <c r="BS94" s="148" t="s">
        <v>338</v>
      </c>
    </row>
    <row r="95" spans="1:71" ht="14.5" x14ac:dyDescent="0.25">
      <c r="A95" s="141">
        <v>44349</v>
      </c>
      <c r="B95" s="142">
        <v>112301</v>
      </c>
      <c r="C95" s="145">
        <v>133773</v>
      </c>
      <c r="D95" s="145">
        <v>120240</v>
      </c>
      <c r="E95" s="143">
        <f t="shared" si="0"/>
        <v>1.1912004345464422</v>
      </c>
      <c r="F95" s="143">
        <f t="shared" si="1"/>
        <v>1.0706939386114105</v>
      </c>
      <c r="G95" s="142">
        <v>911631</v>
      </c>
      <c r="H95" s="145">
        <v>591661</v>
      </c>
      <c r="I95" s="145">
        <v>532949</v>
      </c>
      <c r="J95" s="143">
        <f t="shared" si="2"/>
        <v>0.64901369084640603</v>
      </c>
      <c r="K95" s="143">
        <f t="shared" si="3"/>
        <v>0.58461043996968076</v>
      </c>
      <c r="L95" s="142">
        <v>1976757</v>
      </c>
      <c r="M95" s="145">
        <v>1794667</v>
      </c>
      <c r="N95" s="145">
        <v>1176722</v>
      </c>
      <c r="O95" s="143">
        <f t="shared" si="4"/>
        <v>0.90788447947825657</v>
      </c>
      <c r="P95" s="143">
        <f t="shared" si="5"/>
        <v>0.59527903530884174</v>
      </c>
      <c r="Q95" s="142">
        <v>3000689</v>
      </c>
      <c r="R95" s="142">
        <f t="shared" ref="R95:S95" si="196">C95+H95+M95</f>
        <v>2520101</v>
      </c>
      <c r="S95" s="142">
        <f t="shared" si="196"/>
        <v>1829911</v>
      </c>
      <c r="T95" s="144">
        <f t="shared" si="8"/>
        <v>0.83984078323345068</v>
      </c>
      <c r="U95" s="144">
        <f t="shared" si="9"/>
        <v>0.60983027564669312</v>
      </c>
      <c r="V95" s="144"/>
      <c r="W95" s="144"/>
      <c r="X95" s="144"/>
      <c r="Y95" s="144"/>
      <c r="Z95" s="144"/>
      <c r="AA95" s="144"/>
      <c r="AB95" s="144"/>
      <c r="AC95" s="142"/>
      <c r="AD95" s="142"/>
      <c r="AE95" s="142"/>
      <c r="AF95" s="142"/>
      <c r="AG95" s="142"/>
      <c r="AH95" s="142">
        <v>1468764</v>
      </c>
      <c r="AI95" s="145">
        <v>1519593</v>
      </c>
      <c r="AJ95" s="145">
        <v>1388681</v>
      </c>
      <c r="AK95" s="143">
        <f t="shared" si="10"/>
        <v>1.0346066488557726</v>
      </c>
      <c r="AL95" s="143">
        <f t="shared" si="11"/>
        <v>0.94547592397417146</v>
      </c>
      <c r="AM95" s="145">
        <v>21553118</v>
      </c>
      <c r="AN95" s="145">
        <v>3390271</v>
      </c>
      <c r="AO95" s="145">
        <v>2232677</v>
      </c>
      <c r="AP95" s="143">
        <f t="shared" si="12"/>
        <v>0.15729840109444954</v>
      </c>
      <c r="AQ95" s="143">
        <f t="shared" si="13"/>
        <v>0.10358951312752057</v>
      </c>
      <c r="AR95" s="142">
        <v>17327169</v>
      </c>
      <c r="AS95" s="145">
        <v>11899323</v>
      </c>
      <c r="AT95" s="145">
        <v>7255044</v>
      </c>
      <c r="AU95" s="143">
        <f t="shared" si="14"/>
        <v>0.68674363365417623</v>
      </c>
      <c r="AV95" s="143">
        <f t="shared" si="15"/>
        <v>0.41870913823256412</v>
      </c>
      <c r="AW95" s="146">
        <f t="shared" si="16"/>
        <v>40349051</v>
      </c>
      <c r="AX95" s="145">
        <f t="shared" ref="AX95:AY95" si="197">AI95+AN95+AS95</f>
        <v>16809187</v>
      </c>
      <c r="AY95" s="149">
        <f t="shared" si="197"/>
        <v>10876402</v>
      </c>
      <c r="AZ95" s="143">
        <f t="shared" si="18"/>
        <v>0.41659435806804973</v>
      </c>
      <c r="BA95" s="143">
        <f t="shared" si="19"/>
        <v>0.26955781438329246</v>
      </c>
      <c r="BB95" s="143"/>
      <c r="BC95" s="143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 t="s">
        <v>353</v>
      </c>
      <c r="BQ95" s="148" t="s">
        <v>338</v>
      </c>
      <c r="BR95" s="148" t="s">
        <v>340</v>
      </c>
      <c r="BS95" s="148" t="s">
        <v>338</v>
      </c>
    </row>
    <row r="96" spans="1:71" ht="14.5" x14ac:dyDescent="0.25">
      <c r="A96" s="141">
        <v>44350</v>
      </c>
      <c r="B96" s="142">
        <v>112301</v>
      </c>
      <c r="C96" s="145">
        <v>135712</v>
      </c>
      <c r="D96" s="145">
        <v>120240</v>
      </c>
      <c r="E96" s="143">
        <f t="shared" si="0"/>
        <v>1.2084665319097783</v>
      </c>
      <c r="F96" s="143">
        <f t="shared" si="1"/>
        <v>1.0706939386114105</v>
      </c>
      <c r="G96" s="142">
        <v>911631</v>
      </c>
      <c r="H96" s="145">
        <v>593122</v>
      </c>
      <c r="I96" s="145">
        <v>533954</v>
      </c>
      <c r="J96" s="143">
        <f t="shared" si="2"/>
        <v>0.65061631295995859</v>
      </c>
      <c r="K96" s="143">
        <f t="shared" si="3"/>
        <v>0.58571285969871578</v>
      </c>
      <c r="L96" s="142">
        <v>1976757</v>
      </c>
      <c r="M96" s="145">
        <v>1805312</v>
      </c>
      <c r="N96" s="145">
        <v>1180307</v>
      </c>
      <c r="O96" s="143">
        <f t="shared" si="4"/>
        <v>0.91326956221730848</v>
      </c>
      <c r="P96" s="143">
        <f t="shared" si="5"/>
        <v>0.59709261178789297</v>
      </c>
      <c r="Q96" s="142">
        <v>3000689</v>
      </c>
      <c r="R96" s="142">
        <f t="shared" ref="R96:S96" si="198">C96+H96+M96</f>
        <v>2534146</v>
      </c>
      <c r="S96" s="142">
        <f t="shared" si="198"/>
        <v>1834501</v>
      </c>
      <c r="T96" s="144">
        <f t="shared" si="8"/>
        <v>0.84452137492422574</v>
      </c>
      <c r="U96" s="144">
        <f t="shared" si="9"/>
        <v>0.61135992433737718</v>
      </c>
      <c r="V96" s="144"/>
      <c r="W96" s="144"/>
      <c r="X96" s="144"/>
      <c r="Y96" s="144"/>
      <c r="Z96" s="144"/>
      <c r="AA96" s="144"/>
      <c r="AB96" s="144"/>
      <c r="AC96" s="142"/>
      <c r="AD96" s="142"/>
      <c r="AE96" s="142"/>
      <c r="AF96" s="142"/>
      <c r="AG96" s="142"/>
      <c r="AH96" s="142">
        <v>1468764</v>
      </c>
      <c r="AI96" s="145">
        <v>1520919</v>
      </c>
      <c r="AJ96" s="145">
        <v>1390115</v>
      </c>
      <c r="AK96" s="143">
        <f t="shared" si="10"/>
        <v>1.035509448760999</v>
      </c>
      <c r="AL96" s="143">
        <f t="shared" si="11"/>
        <v>0.94645225509339825</v>
      </c>
      <c r="AM96" s="145">
        <v>21553118</v>
      </c>
      <c r="AN96" s="145">
        <v>3441880</v>
      </c>
      <c r="AO96" s="145">
        <v>2262419</v>
      </c>
      <c r="AP96" s="143">
        <f t="shared" si="12"/>
        <v>0.15969290382950624</v>
      </c>
      <c r="AQ96" s="143">
        <f t="shared" si="13"/>
        <v>0.10496945267965405</v>
      </c>
      <c r="AR96" s="142">
        <v>17327169</v>
      </c>
      <c r="AS96" s="145">
        <v>12141282</v>
      </c>
      <c r="AT96" s="145">
        <v>7349911</v>
      </c>
      <c r="AU96" s="143">
        <f t="shared" si="14"/>
        <v>0.70070777286237584</v>
      </c>
      <c r="AV96" s="143">
        <f t="shared" si="15"/>
        <v>0.42418418150131737</v>
      </c>
      <c r="AW96" s="146">
        <f t="shared" si="16"/>
        <v>40349051</v>
      </c>
      <c r="AX96" s="145">
        <f t="shared" ref="AX96:AY96" si="199">AI96+AN96+AS96</f>
        <v>17104081</v>
      </c>
      <c r="AY96" s="149">
        <f t="shared" si="199"/>
        <v>11002445</v>
      </c>
      <c r="AZ96" s="143">
        <f t="shared" si="18"/>
        <v>0.42390293144688829</v>
      </c>
      <c r="BA96" s="143">
        <f t="shared" si="19"/>
        <v>0.27268163010822732</v>
      </c>
      <c r="BB96" s="143"/>
      <c r="BC96" s="143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 t="s">
        <v>354</v>
      </c>
      <c r="BQ96" s="148" t="s">
        <v>338</v>
      </c>
      <c r="BR96" s="148" t="s">
        <v>340</v>
      </c>
      <c r="BS96" s="148" t="s">
        <v>338</v>
      </c>
    </row>
    <row r="97" spans="1:71" ht="14.5" x14ac:dyDescent="0.25">
      <c r="A97" s="141">
        <v>44351</v>
      </c>
      <c r="B97" s="142">
        <v>112301</v>
      </c>
      <c r="C97" s="145">
        <v>135712</v>
      </c>
      <c r="D97" s="145">
        <v>120490</v>
      </c>
      <c r="E97" s="143">
        <f t="shared" si="0"/>
        <v>1.2084665319097783</v>
      </c>
      <c r="F97" s="143">
        <f t="shared" si="1"/>
        <v>1.0729200986634135</v>
      </c>
      <c r="G97" s="142">
        <v>911631</v>
      </c>
      <c r="H97" s="145">
        <v>593332</v>
      </c>
      <c r="I97" s="145">
        <v>534307</v>
      </c>
      <c r="J97" s="143">
        <f t="shared" si="2"/>
        <v>0.65084666932124946</v>
      </c>
      <c r="K97" s="143">
        <f t="shared" si="3"/>
        <v>0.58610007777269535</v>
      </c>
      <c r="L97" s="142">
        <v>1976757</v>
      </c>
      <c r="M97" s="145">
        <f t="shared" ref="M97:M139" si="200">R97-H97-C97</f>
        <v>1846940</v>
      </c>
      <c r="N97" s="145">
        <v>1186829</v>
      </c>
      <c r="O97" s="143">
        <f t="shared" si="4"/>
        <v>0.93432829629539693</v>
      </c>
      <c r="P97" s="143">
        <f t="shared" si="5"/>
        <v>0.60039195510626753</v>
      </c>
      <c r="Q97" s="142">
        <v>3000689</v>
      </c>
      <c r="R97" s="142">
        <v>2575984</v>
      </c>
      <c r="S97" s="142">
        <f t="shared" ref="S97:S99" si="201">D97+I97+N97</f>
        <v>1841626</v>
      </c>
      <c r="T97" s="144">
        <f t="shared" si="8"/>
        <v>0.85846417272833009</v>
      </c>
      <c r="U97" s="144">
        <f t="shared" si="9"/>
        <v>0.61373437900428873</v>
      </c>
      <c r="V97" s="144"/>
      <c r="W97" s="144"/>
      <c r="X97" s="144"/>
      <c r="Y97" s="144"/>
      <c r="Z97" s="144"/>
      <c r="AA97" s="144"/>
      <c r="AB97" s="144"/>
      <c r="AC97" s="142"/>
      <c r="AD97" s="142"/>
      <c r="AE97" s="142"/>
      <c r="AF97" s="142"/>
      <c r="AG97" s="142"/>
      <c r="AH97" s="142">
        <v>1468764</v>
      </c>
      <c r="AI97" s="145">
        <v>1521660</v>
      </c>
      <c r="AJ97" s="145">
        <v>1390990</v>
      </c>
      <c r="AK97" s="143">
        <f t="shared" si="10"/>
        <v>1.0360139545903904</v>
      </c>
      <c r="AL97" s="143">
        <f t="shared" si="11"/>
        <v>0.94704799409571583</v>
      </c>
      <c r="AM97" s="145">
        <v>21553118</v>
      </c>
      <c r="AN97" s="145">
        <v>3472441</v>
      </c>
      <c r="AO97" s="145">
        <v>2277856</v>
      </c>
      <c r="AP97" s="143">
        <f t="shared" si="12"/>
        <v>0.1611108425240376</v>
      </c>
      <c r="AQ97" s="143">
        <f t="shared" si="13"/>
        <v>0.10568568315730466</v>
      </c>
      <c r="AR97" s="142">
        <v>17327169</v>
      </c>
      <c r="AS97" s="145">
        <v>12372171</v>
      </c>
      <c r="AT97" s="145">
        <v>7400836</v>
      </c>
      <c r="AU97" s="143">
        <f t="shared" si="14"/>
        <v>0.71403303101620352</v>
      </c>
      <c r="AV97" s="143">
        <f t="shared" si="15"/>
        <v>0.42712320748992522</v>
      </c>
      <c r="AW97" s="146">
        <f t="shared" si="16"/>
        <v>40349051</v>
      </c>
      <c r="AX97" s="145">
        <f t="shared" ref="AX97:AY97" si="202">AI97+AN97+AS97</f>
        <v>17366272</v>
      </c>
      <c r="AY97" s="149">
        <f t="shared" si="202"/>
        <v>11069682</v>
      </c>
      <c r="AZ97" s="143">
        <f t="shared" si="18"/>
        <v>0.43040100249197932</v>
      </c>
      <c r="BA97" s="143">
        <f t="shared" si="19"/>
        <v>0.2743480137859996</v>
      </c>
      <c r="BB97" s="143"/>
      <c r="BC97" s="143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 t="s">
        <v>355</v>
      </c>
      <c r="BQ97" s="148" t="s">
        <v>338</v>
      </c>
      <c r="BR97" s="148" t="s">
        <v>340</v>
      </c>
      <c r="BS97" s="148" t="s">
        <v>338</v>
      </c>
    </row>
    <row r="98" spans="1:71" ht="14.5" x14ac:dyDescent="0.25">
      <c r="A98" s="141">
        <v>44352</v>
      </c>
      <c r="B98" s="142">
        <v>112301</v>
      </c>
      <c r="C98" s="145">
        <v>135712</v>
      </c>
      <c r="D98" s="145">
        <v>120490</v>
      </c>
      <c r="E98" s="143">
        <f t="shared" si="0"/>
        <v>1.2084665319097783</v>
      </c>
      <c r="F98" s="143">
        <f t="shared" si="1"/>
        <v>1.0729200986634135</v>
      </c>
      <c r="G98" s="142">
        <v>911631</v>
      </c>
      <c r="H98" s="145">
        <v>593332</v>
      </c>
      <c r="I98" s="145">
        <v>534407</v>
      </c>
      <c r="J98" s="143">
        <f t="shared" si="2"/>
        <v>0.65084666932124946</v>
      </c>
      <c r="K98" s="143">
        <f t="shared" si="3"/>
        <v>0.58620977127807194</v>
      </c>
      <c r="L98" s="142">
        <v>1976757</v>
      </c>
      <c r="M98" s="145">
        <f t="shared" si="200"/>
        <v>1854565</v>
      </c>
      <c r="N98" s="145">
        <v>1186860</v>
      </c>
      <c r="O98" s="143">
        <f t="shared" si="4"/>
        <v>0.93818562423201235</v>
      </c>
      <c r="P98" s="143">
        <f t="shared" si="5"/>
        <v>0.60040763735755076</v>
      </c>
      <c r="Q98" s="142">
        <v>3000689</v>
      </c>
      <c r="R98" s="142">
        <v>2583609</v>
      </c>
      <c r="S98" s="142">
        <f t="shared" si="201"/>
        <v>1841757</v>
      </c>
      <c r="T98" s="144">
        <f t="shared" si="8"/>
        <v>0.86100525579291953</v>
      </c>
      <c r="U98" s="144">
        <f t="shared" si="9"/>
        <v>0.6137780356444803</v>
      </c>
      <c r="V98" s="144"/>
      <c r="W98" s="144"/>
      <c r="X98" s="144"/>
      <c r="Y98" s="144"/>
      <c r="Z98" s="144"/>
      <c r="AA98" s="144"/>
      <c r="AB98" s="144"/>
      <c r="AC98" s="142"/>
      <c r="AD98" s="142"/>
      <c r="AE98" s="142"/>
      <c r="AF98" s="142"/>
      <c r="AG98" s="142"/>
      <c r="AH98" s="142">
        <v>1468764</v>
      </c>
      <c r="AI98" s="145">
        <v>1522193</v>
      </c>
      <c r="AJ98" s="145">
        <v>1391547</v>
      </c>
      <c r="AK98" s="143">
        <f t="shared" si="10"/>
        <v>1.0363768447483734</v>
      </c>
      <c r="AL98" s="143">
        <f t="shared" si="11"/>
        <v>0.94742722452347683</v>
      </c>
      <c r="AM98" s="145">
        <v>21553118</v>
      </c>
      <c r="AN98" s="145">
        <v>3499667</v>
      </c>
      <c r="AO98" s="145">
        <v>2296633</v>
      </c>
      <c r="AP98" s="143">
        <f t="shared" si="12"/>
        <v>0.16237404722602083</v>
      </c>
      <c r="AQ98" s="143">
        <f t="shared" si="13"/>
        <v>0.10655687961249968</v>
      </c>
      <c r="AR98" s="142">
        <v>17327169</v>
      </c>
      <c r="AS98" s="145">
        <v>12571219</v>
      </c>
      <c r="AT98" s="145">
        <v>7437870</v>
      </c>
      <c r="AU98" s="143">
        <f t="shared" si="14"/>
        <v>0.72552065487443451</v>
      </c>
      <c r="AV98" s="143">
        <f t="shared" si="15"/>
        <v>0.42926054452403622</v>
      </c>
      <c r="AW98" s="146">
        <f t="shared" si="16"/>
        <v>40349051</v>
      </c>
      <c r="AX98" s="145">
        <f t="shared" ref="AX98:AY98" si="203">AI98+AN98+AS98</f>
        <v>17593079</v>
      </c>
      <c r="AY98" s="149">
        <f t="shared" si="203"/>
        <v>11126050</v>
      </c>
      <c r="AZ98" s="143">
        <f t="shared" si="18"/>
        <v>0.43602212602224522</v>
      </c>
      <c r="BA98" s="143">
        <f t="shared" si="19"/>
        <v>0.27574502309856058</v>
      </c>
      <c r="BB98" s="143"/>
      <c r="BC98" s="143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 t="s">
        <v>356</v>
      </c>
      <c r="BQ98" s="148" t="s">
        <v>338</v>
      </c>
      <c r="BR98" s="148" t="s">
        <v>340</v>
      </c>
      <c r="BS98" s="148" t="s">
        <v>338</v>
      </c>
    </row>
    <row r="99" spans="1:71" ht="14.5" x14ac:dyDescent="0.25">
      <c r="A99" s="141">
        <v>44353</v>
      </c>
      <c r="B99" s="142">
        <v>112301</v>
      </c>
      <c r="C99" s="145">
        <v>135728</v>
      </c>
      <c r="D99" s="145">
        <v>120491</v>
      </c>
      <c r="E99" s="143">
        <f t="shared" si="0"/>
        <v>1.2086090061531063</v>
      </c>
      <c r="F99" s="143">
        <f t="shared" si="1"/>
        <v>1.0729290033036216</v>
      </c>
      <c r="G99" s="142">
        <v>911631</v>
      </c>
      <c r="H99" s="145">
        <v>593332</v>
      </c>
      <c r="I99" s="145">
        <v>534410</v>
      </c>
      <c r="J99" s="143">
        <f t="shared" si="2"/>
        <v>0.65084666932124946</v>
      </c>
      <c r="K99" s="143">
        <f t="shared" si="3"/>
        <v>0.58621306208323321</v>
      </c>
      <c r="L99" s="142">
        <v>1976757</v>
      </c>
      <c r="M99" s="145">
        <f t="shared" si="200"/>
        <v>1856406</v>
      </c>
      <c r="N99" s="145">
        <v>1186874</v>
      </c>
      <c r="O99" s="143">
        <f t="shared" si="4"/>
        <v>0.93911694760661024</v>
      </c>
      <c r="P99" s="143">
        <f t="shared" si="5"/>
        <v>0.60041471966458193</v>
      </c>
      <c r="Q99" s="142">
        <v>3000689</v>
      </c>
      <c r="R99" s="142">
        <v>2585466</v>
      </c>
      <c r="S99" s="142">
        <f t="shared" si="201"/>
        <v>1841775</v>
      </c>
      <c r="T99" s="144">
        <f t="shared" si="8"/>
        <v>0.86162411366189562</v>
      </c>
      <c r="U99" s="144">
        <f t="shared" si="9"/>
        <v>0.61378403426679673</v>
      </c>
      <c r="V99" s="144"/>
      <c r="W99" s="144"/>
      <c r="X99" s="144"/>
      <c r="Y99" s="144"/>
      <c r="Z99" s="144"/>
      <c r="AA99" s="144"/>
      <c r="AB99" s="144"/>
      <c r="AC99" s="142"/>
      <c r="AD99" s="142"/>
      <c r="AE99" s="142"/>
      <c r="AF99" s="142"/>
      <c r="AG99" s="142"/>
      <c r="AH99" s="142">
        <v>1468764</v>
      </c>
      <c r="AI99" s="145">
        <v>1522193</v>
      </c>
      <c r="AJ99" s="145">
        <v>1391547</v>
      </c>
      <c r="AK99" s="143">
        <f t="shared" si="10"/>
        <v>1.0363768447483734</v>
      </c>
      <c r="AL99" s="143">
        <f t="shared" si="11"/>
        <v>0.94742722452347683</v>
      </c>
      <c r="AM99" s="145">
        <v>21553118</v>
      </c>
      <c r="AN99" s="145">
        <v>3499667</v>
      </c>
      <c r="AO99" s="145">
        <v>2296633</v>
      </c>
      <c r="AP99" s="143">
        <f t="shared" si="12"/>
        <v>0.16237404722602083</v>
      </c>
      <c r="AQ99" s="143">
        <f t="shared" si="13"/>
        <v>0.10655687961249968</v>
      </c>
      <c r="AR99" s="142">
        <v>17327169</v>
      </c>
      <c r="AS99" s="145">
        <v>12571219</v>
      </c>
      <c r="AT99" s="145">
        <v>7437870</v>
      </c>
      <c r="AU99" s="143">
        <f t="shared" si="14"/>
        <v>0.72552065487443451</v>
      </c>
      <c r="AV99" s="143">
        <f t="shared" si="15"/>
        <v>0.42926054452403622</v>
      </c>
      <c r="AW99" s="146">
        <f t="shared" si="16"/>
        <v>40349051</v>
      </c>
      <c r="AX99" s="145">
        <f t="shared" ref="AX99:AY99" si="204">AI99+AN99+AS99</f>
        <v>17593079</v>
      </c>
      <c r="AY99" s="149">
        <f t="shared" si="204"/>
        <v>11126050</v>
      </c>
      <c r="AZ99" s="143">
        <f t="shared" si="18"/>
        <v>0.43602212602224522</v>
      </c>
      <c r="BA99" s="143">
        <f t="shared" si="19"/>
        <v>0.27574502309856058</v>
      </c>
      <c r="BB99" s="143"/>
      <c r="BC99" s="143"/>
      <c r="BD99" s="148"/>
      <c r="BE99" s="148"/>
      <c r="BF99" s="148"/>
      <c r="BG99" s="148"/>
      <c r="BH99" s="148"/>
      <c r="BI99" s="148"/>
      <c r="BJ99" s="148"/>
      <c r="BK99" s="148"/>
      <c r="BL99" s="148"/>
      <c r="BM99" s="148"/>
      <c r="BN99" s="148"/>
      <c r="BO99" s="148"/>
      <c r="BP99" s="148" t="s">
        <v>356</v>
      </c>
      <c r="BQ99" s="148" t="s">
        <v>338</v>
      </c>
      <c r="BR99" s="148" t="s">
        <v>340</v>
      </c>
      <c r="BS99" s="148" t="s">
        <v>338</v>
      </c>
    </row>
    <row r="100" spans="1:71" ht="14.5" x14ac:dyDescent="0.25">
      <c r="A100" s="141">
        <v>44354</v>
      </c>
      <c r="B100" s="142">
        <v>112301</v>
      </c>
      <c r="C100" s="145">
        <v>135728</v>
      </c>
      <c r="D100" s="145">
        <v>120568</v>
      </c>
      <c r="E100" s="143">
        <f t="shared" si="0"/>
        <v>1.2086090061531063</v>
      </c>
      <c r="F100" s="143">
        <f t="shared" si="1"/>
        <v>1.0736146605996384</v>
      </c>
      <c r="G100" s="142">
        <v>911631</v>
      </c>
      <c r="H100" s="145">
        <v>593442</v>
      </c>
      <c r="I100" s="145">
        <v>534697</v>
      </c>
      <c r="J100" s="143">
        <f t="shared" si="2"/>
        <v>0.65096733217716374</v>
      </c>
      <c r="K100" s="143">
        <f t="shared" si="3"/>
        <v>0.58652788244366416</v>
      </c>
      <c r="L100" s="142">
        <v>1976757</v>
      </c>
      <c r="M100" s="145">
        <f t="shared" si="200"/>
        <v>1878591</v>
      </c>
      <c r="N100" s="145">
        <f>S100-D100-I100</f>
        <v>1190433</v>
      </c>
      <c r="O100" s="143">
        <f t="shared" si="4"/>
        <v>0.95033987485563476</v>
      </c>
      <c r="P100" s="143">
        <f t="shared" si="5"/>
        <v>0.60221514328771819</v>
      </c>
      <c r="Q100" s="142">
        <v>3000689</v>
      </c>
      <c r="R100" s="142">
        <v>2607761</v>
      </c>
      <c r="S100" s="142">
        <v>1845698</v>
      </c>
      <c r="T100" s="144">
        <f t="shared" si="8"/>
        <v>0.86905407391435763</v>
      </c>
      <c r="U100" s="144">
        <f t="shared" si="9"/>
        <v>0.61509140067497836</v>
      </c>
      <c r="V100" s="144"/>
      <c r="W100" s="144"/>
      <c r="X100" s="144"/>
      <c r="Y100" s="144"/>
      <c r="Z100" s="144"/>
      <c r="AA100" s="144"/>
      <c r="AB100" s="144"/>
      <c r="AC100" s="142"/>
      <c r="AD100" s="142"/>
      <c r="AE100" s="142"/>
      <c r="AF100" s="142"/>
      <c r="AG100" s="142"/>
      <c r="AH100" s="142">
        <v>1468764</v>
      </c>
      <c r="AI100" s="145">
        <v>1523336</v>
      </c>
      <c r="AJ100" s="145">
        <v>1392873</v>
      </c>
      <c r="AK100" s="143">
        <f t="shared" si="10"/>
        <v>1.0371550500965439</v>
      </c>
      <c r="AL100" s="143">
        <f t="shared" si="11"/>
        <v>0.94833002442870329</v>
      </c>
      <c r="AM100" s="145">
        <v>21553118</v>
      </c>
      <c r="AN100" s="145">
        <v>3536666</v>
      </c>
      <c r="AO100" s="145">
        <v>2319990</v>
      </c>
      <c r="AP100" s="143">
        <f t="shared" si="12"/>
        <v>0.16409068980181893</v>
      </c>
      <c r="AQ100" s="143">
        <f t="shared" si="13"/>
        <v>0.10764057432432746</v>
      </c>
      <c r="AR100" s="142">
        <v>17327169</v>
      </c>
      <c r="AS100" s="145">
        <v>12693203</v>
      </c>
      <c r="AT100" s="145">
        <v>7517751</v>
      </c>
      <c r="AU100" s="143">
        <f t="shared" si="14"/>
        <v>0.73256069701865323</v>
      </c>
      <c r="AV100" s="143">
        <f t="shared" si="15"/>
        <v>0.43387070328684391</v>
      </c>
      <c r="AW100" s="146">
        <f t="shared" si="16"/>
        <v>40349051</v>
      </c>
      <c r="AX100" s="145">
        <f t="shared" ref="AX100:AY100" si="205">AI100+AN100+AS100</f>
        <v>17753205</v>
      </c>
      <c r="AY100" s="149">
        <f t="shared" si="205"/>
        <v>11230614</v>
      </c>
      <c r="AZ100" s="143">
        <f t="shared" si="18"/>
        <v>0.4399906456288154</v>
      </c>
      <c r="BA100" s="143">
        <f t="shared" si="19"/>
        <v>0.27833650907923463</v>
      </c>
      <c r="BB100" s="143"/>
      <c r="BC100" s="143"/>
      <c r="BD100" s="148"/>
      <c r="BE100" s="148"/>
      <c r="BF100" s="148"/>
      <c r="BG100" s="148"/>
      <c r="BH100" s="148"/>
      <c r="BI100" s="148"/>
      <c r="BJ100" s="148"/>
      <c r="BK100" s="148"/>
      <c r="BL100" s="148"/>
      <c r="BM100" s="148"/>
      <c r="BN100" s="148"/>
      <c r="BO100" s="148"/>
      <c r="BP100" s="148" t="s">
        <v>356</v>
      </c>
      <c r="BQ100" s="148" t="s">
        <v>338</v>
      </c>
      <c r="BR100" s="148" t="s">
        <v>340</v>
      </c>
      <c r="BS100" s="148" t="s">
        <v>338</v>
      </c>
    </row>
    <row r="101" spans="1:71" ht="14.5" x14ac:dyDescent="0.25">
      <c r="A101" s="141">
        <v>44355</v>
      </c>
      <c r="B101" s="142">
        <v>112301</v>
      </c>
      <c r="C101" s="145">
        <v>135728</v>
      </c>
      <c r="D101" s="145">
        <v>120568</v>
      </c>
      <c r="E101" s="143">
        <f t="shared" si="0"/>
        <v>1.2086090061531063</v>
      </c>
      <c r="F101" s="143">
        <f t="shared" si="1"/>
        <v>1.0736146605996384</v>
      </c>
      <c r="G101" s="142">
        <v>911631</v>
      </c>
      <c r="H101" s="145">
        <v>593442</v>
      </c>
      <c r="I101" s="145">
        <v>535079</v>
      </c>
      <c r="J101" s="143">
        <f t="shared" si="2"/>
        <v>0.65096733217716374</v>
      </c>
      <c r="K101" s="143">
        <f t="shared" si="3"/>
        <v>0.58694691163420287</v>
      </c>
      <c r="L101" s="142">
        <v>1976757</v>
      </c>
      <c r="M101" s="145">
        <f t="shared" si="200"/>
        <v>1951461</v>
      </c>
      <c r="N101" s="145">
        <v>1197044</v>
      </c>
      <c r="O101" s="143">
        <f t="shared" si="4"/>
        <v>0.98720328295283644</v>
      </c>
      <c r="P101" s="143">
        <f t="shared" si="5"/>
        <v>0.60555950984364793</v>
      </c>
      <c r="Q101" s="142">
        <v>3000689</v>
      </c>
      <c r="R101" s="142">
        <v>2680631</v>
      </c>
      <c r="S101" s="142">
        <v>1845698</v>
      </c>
      <c r="T101" s="144">
        <f t="shared" si="8"/>
        <v>0.89333849659194942</v>
      </c>
      <c r="U101" s="144">
        <f t="shared" si="9"/>
        <v>0.61509140067497836</v>
      </c>
      <c r="V101" s="144"/>
      <c r="W101" s="144"/>
      <c r="X101" s="144"/>
      <c r="Y101" s="144"/>
      <c r="Z101" s="144"/>
      <c r="AA101" s="144"/>
      <c r="AB101" s="144"/>
      <c r="AC101" s="142"/>
      <c r="AD101" s="142"/>
      <c r="AE101" s="142"/>
      <c r="AF101" s="142"/>
      <c r="AG101" s="142"/>
      <c r="AH101" s="142">
        <v>1468764</v>
      </c>
      <c r="AI101" s="145">
        <v>1525261</v>
      </c>
      <c r="AJ101" s="145">
        <v>1394443</v>
      </c>
      <c r="AK101" s="143">
        <f t="shared" si="10"/>
        <v>1.0384656759016424</v>
      </c>
      <c r="AL101" s="143">
        <f t="shared" si="11"/>
        <v>0.94939895041000455</v>
      </c>
      <c r="AM101" s="145">
        <v>21553118</v>
      </c>
      <c r="AN101" s="145">
        <v>3637967</v>
      </c>
      <c r="AO101" s="145">
        <v>2357355</v>
      </c>
      <c r="AP101" s="143">
        <f t="shared" si="12"/>
        <v>0.16879075222434173</v>
      </c>
      <c r="AQ101" s="143">
        <f t="shared" si="13"/>
        <v>0.10937419820185645</v>
      </c>
      <c r="AR101" s="142">
        <v>17327169</v>
      </c>
      <c r="AS101" s="145">
        <v>13242581</v>
      </c>
      <c r="AT101" s="145">
        <v>7644223</v>
      </c>
      <c r="AU101" s="143">
        <f t="shared" si="14"/>
        <v>0.76426685744220535</v>
      </c>
      <c r="AV101" s="143">
        <f t="shared" si="15"/>
        <v>0.44116976062275376</v>
      </c>
      <c r="AW101" s="146">
        <f t="shared" si="16"/>
        <v>40349051</v>
      </c>
      <c r="AX101" s="145">
        <f t="shared" ref="AX101:AY101" si="206">AI101+AN101+AS101</f>
        <v>18405809</v>
      </c>
      <c r="AY101" s="149">
        <f t="shared" si="206"/>
        <v>11396021</v>
      </c>
      <c r="AZ101" s="143">
        <f t="shared" si="18"/>
        <v>0.4561646071923724</v>
      </c>
      <c r="BA101" s="143">
        <f t="shared" si="19"/>
        <v>0.28243591156580111</v>
      </c>
      <c r="BB101" s="143"/>
      <c r="BC101" s="143"/>
      <c r="BD101" s="148"/>
      <c r="BE101" s="148"/>
      <c r="BF101" s="148"/>
      <c r="BG101" s="148"/>
      <c r="BH101" s="148"/>
      <c r="BI101" s="148"/>
      <c r="BJ101" s="148"/>
      <c r="BK101" s="148"/>
      <c r="BL101" s="148"/>
      <c r="BM101" s="148"/>
      <c r="BN101" s="148"/>
      <c r="BO101" s="148"/>
      <c r="BP101" s="148" t="s">
        <v>357</v>
      </c>
      <c r="BQ101" s="148" t="s">
        <v>338</v>
      </c>
      <c r="BR101" s="148" t="s">
        <v>340</v>
      </c>
      <c r="BS101" s="148" t="s">
        <v>338</v>
      </c>
    </row>
    <row r="102" spans="1:71" ht="14.5" x14ac:dyDescent="0.25">
      <c r="A102" s="141">
        <v>44356</v>
      </c>
      <c r="B102" s="142">
        <v>112301</v>
      </c>
      <c r="C102" s="145">
        <v>135728</v>
      </c>
      <c r="D102" s="145">
        <v>120761</v>
      </c>
      <c r="E102" s="143">
        <f t="shared" si="0"/>
        <v>1.2086090061531063</v>
      </c>
      <c r="F102" s="143">
        <f t="shared" si="1"/>
        <v>1.0753332561597848</v>
      </c>
      <c r="G102" s="142">
        <v>911631</v>
      </c>
      <c r="H102" s="145">
        <v>593442</v>
      </c>
      <c r="I102" s="145">
        <v>535079</v>
      </c>
      <c r="J102" s="143">
        <f t="shared" si="2"/>
        <v>0.65096733217716374</v>
      </c>
      <c r="K102" s="143">
        <f t="shared" si="3"/>
        <v>0.58694691163420287</v>
      </c>
      <c r="L102" s="142">
        <v>1976757</v>
      </c>
      <c r="M102" s="145">
        <f t="shared" si="200"/>
        <v>1999271</v>
      </c>
      <c r="N102" s="145">
        <v>1199225</v>
      </c>
      <c r="O102" s="143">
        <f t="shared" si="4"/>
        <v>1.0113893614642568</v>
      </c>
      <c r="P102" s="143">
        <f t="shared" si="5"/>
        <v>0.60666283210328842</v>
      </c>
      <c r="Q102" s="142">
        <v>3000689</v>
      </c>
      <c r="R102" s="142">
        <v>2728441</v>
      </c>
      <c r="S102" s="142">
        <v>1845698</v>
      </c>
      <c r="T102" s="144">
        <f t="shared" si="8"/>
        <v>0.90927150397791978</v>
      </c>
      <c r="U102" s="144">
        <f t="shared" si="9"/>
        <v>0.61509140067497836</v>
      </c>
      <c r="V102" s="144"/>
      <c r="W102" s="144"/>
      <c r="X102" s="144"/>
      <c r="Y102" s="144"/>
      <c r="Z102" s="144"/>
      <c r="AA102" s="144"/>
      <c r="AB102" s="144"/>
      <c r="AC102" s="142"/>
      <c r="AD102" s="142"/>
      <c r="AE102" s="142"/>
      <c r="AF102" s="142"/>
      <c r="AG102" s="142"/>
      <c r="AH102" s="142">
        <v>1468764</v>
      </c>
      <c r="AI102" s="145">
        <v>1526586</v>
      </c>
      <c r="AJ102" s="145">
        <v>1395252</v>
      </c>
      <c r="AK102" s="143">
        <f t="shared" si="10"/>
        <v>1.0393677949622948</v>
      </c>
      <c r="AL102" s="143">
        <f t="shared" si="11"/>
        <v>0.94994975367043311</v>
      </c>
      <c r="AM102" s="145">
        <v>21553118</v>
      </c>
      <c r="AN102" s="145">
        <v>3716307</v>
      </c>
      <c r="AO102" s="145">
        <v>2369250</v>
      </c>
      <c r="AP102" s="143">
        <f t="shared" si="12"/>
        <v>0.17242549314674563</v>
      </c>
      <c r="AQ102" s="143">
        <f t="shared" si="13"/>
        <v>0.10992609050811117</v>
      </c>
      <c r="AR102" s="142">
        <v>17327169</v>
      </c>
      <c r="AS102" s="145">
        <v>13623087</v>
      </c>
      <c r="AT102" s="145">
        <v>7685406</v>
      </c>
      <c r="AU102" s="143">
        <f t="shared" si="14"/>
        <v>0.78622693643722175</v>
      </c>
      <c r="AV102" s="143">
        <f t="shared" si="15"/>
        <v>0.44354654819838141</v>
      </c>
      <c r="AW102" s="146">
        <f t="shared" si="16"/>
        <v>40349051</v>
      </c>
      <c r="AX102" s="145">
        <f t="shared" ref="AX102:AY102" si="207">AI102+AN102+AS102</f>
        <v>18865980</v>
      </c>
      <c r="AY102" s="149">
        <f t="shared" si="207"/>
        <v>11449908</v>
      </c>
      <c r="AZ102" s="143">
        <f t="shared" si="18"/>
        <v>0.46756936117283154</v>
      </c>
      <c r="BA102" s="143">
        <f t="shared" si="19"/>
        <v>0.28377143244335534</v>
      </c>
      <c r="BB102" s="143"/>
      <c r="BC102" s="143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 t="s">
        <v>358</v>
      </c>
      <c r="BQ102" s="148" t="s">
        <v>338</v>
      </c>
      <c r="BR102" s="148" t="s">
        <v>340</v>
      </c>
      <c r="BS102" s="148" t="s">
        <v>340</v>
      </c>
    </row>
    <row r="103" spans="1:71" ht="14.5" x14ac:dyDescent="0.25">
      <c r="A103" s="141">
        <v>44357</v>
      </c>
      <c r="B103" s="142">
        <v>112301</v>
      </c>
      <c r="C103" s="145">
        <v>135728</v>
      </c>
      <c r="D103" s="145">
        <v>120833</v>
      </c>
      <c r="E103" s="143">
        <f t="shared" si="0"/>
        <v>1.2086090061531063</v>
      </c>
      <c r="F103" s="143">
        <f t="shared" si="1"/>
        <v>1.0759743902547618</v>
      </c>
      <c r="G103" s="142">
        <v>911631</v>
      </c>
      <c r="H103" s="145">
        <v>595046</v>
      </c>
      <c r="I103" s="145">
        <v>535273</v>
      </c>
      <c r="J103" s="143">
        <f t="shared" si="2"/>
        <v>0.65272681600340487</v>
      </c>
      <c r="K103" s="143">
        <f t="shared" si="3"/>
        <v>0.58715971703463354</v>
      </c>
      <c r="L103" s="142">
        <v>1976757</v>
      </c>
      <c r="M103" s="145">
        <f t="shared" si="200"/>
        <v>2059479</v>
      </c>
      <c r="N103" s="145">
        <f t="shared" ref="N103:N139" si="208">S103-D103-I103</f>
        <v>1202304</v>
      </c>
      <c r="O103" s="143">
        <f t="shared" si="4"/>
        <v>1.0418473287308456</v>
      </c>
      <c r="P103" s="143">
        <f t="shared" si="5"/>
        <v>0.60822043377107049</v>
      </c>
      <c r="Q103" s="142">
        <v>3000689</v>
      </c>
      <c r="R103" s="142">
        <v>2790253</v>
      </c>
      <c r="S103" s="142">
        <v>1858410</v>
      </c>
      <c r="T103" s="144">
        <f t="shared" si="8"/>
        <v>0.92987077301246479</v>
      </c>
      <c r="U103" s="144">
        <f t="shared" si="9"/>
        <v>0.61932776105754384</v>
      </c>
      <c r="V103" s="144"/>
      <c r="W103" s="144"/>
      <c r="X103" s="144"/>
      <c r="Y103" s="144"/>
      <c r="Z103" s="144"/>
      <c r="AA103" s="144"/>
      <c r="AB103" s="144"/>
      <c r="AC103" s="142"/>
      <c r="AD103" s="142"/>
      <c r="AE103" s="142"/>
      <c r="AF103" s="142"/>
      <c r="AG103" s="142"/>
      <c r="AH103" s="142">
        <v>1468764</v>
      </c>
      <c r="AI103" s="145">
        <v>1527967</v>
      </c>
      <c r="AJ103" s="145">
        <v>1395852</v>
      </c>
      <c r="AK103" s="143">
        <f t="shared" si="10"/>
        <v>1.0403080413190955</v>
      </c>
      <c r="AL103" s="143">
        <f t="shared" si="11"/>
        <v>0.95035826041487947</v>
      </c>
      <c r="AM103" s="145">
        <v>21553118</v>
      </c>
      <c r="AN103" s="145">
        <v>3797367</v>
      </c>
      <c r="AO103" s="145">
        <v>2377597</v>
      </c>
      <c r="AP103" s="143">
        <f t="shared" si="12"/>
        <v>0.17618643390714978</v>
      </c>
      <c r="AQ103" s="143">
        <f t="shared" si="13"/>
        <v>0.1103133662609744</v>
      </c>
      <c r="AR103" s="142">
        <v>17327169</v>
      </c>
      <c r="AS103" s="145">
        <v>14042656</v>
      </c>
      <c r="AT103" s="145">
        <v>7721934</v>
      </c>
      <c r="AU103" s="143">
        <f t="shared" si="14"/>
        <v>0.81044145180323457</v>
      </c>
      <c r="AV103" s="143">
        <f t="shared" si="15"/>
        <v>0.44565468253931151</v>
      </c>
      <c r="AW103" s="146">
        <f t="shared" si="16"/>
        <v>40349051</v>
      </c>
      <c r="AX103" s="145">
        <f t="shared" ref="AX103:AY103" si="209">AI103+AN103+AS103</f>
        <v>19367990</v>
      </c>
      <c r="AY103" s="149">
        <f t="shared" si="209"/>
        <v>11495383</v>
      </c>
      <c r="AZ103" s="143">
        <f t="shared" si="18"/>
        <v>0.48001104164754704</v>
      </c>
      <c r="BA103" s="143">
        <f t="shared" si="19"/>
        <v>0.28489847258117668</v>
      </c>
      <c r="BB103" s="143"/>
      <c r="BC103" s="143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 t="s">
        <v>359</v>
      </c>
      <c r="BQ103" s="148" t="s">
        <v>360</v>
      </c>
      <c r="BR103" s="148" t="s">
        <v>340</v>
      </c>
      <c r="BS103" s="148" t="s">
        <v>340</v>
      </c>
    </row>
    <row r="104" spans="1:71" ht="14.5" x14ac:dyDescent="0.25">
      <c r="A104" s="141">
        <v>44358</v>
      </c>
      <c r="B104" s="142">
        <v>112301</v>
      </c>
      <c r="C104" s="145">
        <v>135728</v>
      </c>
      <c r="D104" s="145">
        <v>120932</v>
      </c>
      <c r="E104" s="143">
        <f t="shared" si="0"/>
        <v>1.2086090061531063</v>
      </c>
      <c r="F104" s="143">
        <f t="shared" si="1"/>
        <v>1.0768559496353549</v>
      </c>
      <c r="G104" s="142">
        <v>911631</v>
      </c>
      <c r="H104" s="145">
        <v>595046</v>
      </c>
      <c r="I104" s="145">
        <v>535273</v>
      </c>
      <c r="J104" s="143">
        <f t="shared" si="2"/>
        <v>0.65272681600340487</v>
      </c>
      <c r="K104" s="143">
        <f t="shared" si="3"/>
        <v>0.58715971703463354</v>
      </c>
      <c r="L104" s="142">
        <v>1976757</v>
      </c>
      <c r="M104" s="145">
        <f t="shared" si="200"/>
        <v>2141397</v>
      </c>
      <c r="N104" s="145">
        <f t="shared" si="208"/>
        <v>1205366</v>
      </c>
      <c r="O104" s="143">
        <f t="shared" si="4"/>
        <v>1.0832879306864729</v>
      </c>
      <c r="P104" s="143">
        <f t="shared" si="5"/>
        <v>0.6097694354946005</v>
      </c>
      <c r="Q104" s="142">
        <v>3000689</v>
      </c>
      <c r="R104" s="142">
        <v>2872171</v>
      </c>
      <c r="S104" s="142">
        <v>1861571</v>
      </c>
      <c r="T104" s="144">
        <f t="shared" si="8"/>
        <v>0.95717050317443764</v>
      </c>
      <c r="U104" s="144">
        <f t="shared" si="9"/>
        <v>0.6203811857876641</v>
      </c>
      <c r="V104" s="144"/>
      <c r="W104" s="144"/>
      <c r="X104" s="144"/>
      <c r="Y104" s="144"/>
      <c r="Z104" s="144"/>
      <c r="AA104" s="144"/>
      <c r="AB104" s="144"/>
      <c r="AC104" s="142"/>
      <c r="AD104" s="142"/>
      <c r="AE104" s="142"/>
      <c r="AF104" s="142"/>
      <c r="AG104" s="142"/>
      <c r="AH104" s="142">
        <v>1468764</v>
      </c>
      <c r="AI104" s="145">
        <v>1529037</v>
      </c>
      <c r="AJ104" s="145">
        <v>1396410</v>
      </c>
      <c r="AK104" s="143">
        <f t="shared" si="10"/>
        <v>1.0410365450133581</v>
      </c>
      <c r="AL104" s="143">
        <f t="shared" si="11"/>
        <v>0.95073817168721453</v>
      </c>
      <c r="AM104" s="145">
        <v>21553118</v>
      </c>
      <c r="AN104" s="145">
        <v>3839978</v>
      </c>
      <c r="AO104" s="145">
        <v>2382111</v>
      </c>
      <c r="AP104" s="143">
        <f t="shared" si="12"/>
        <v>0.17816345644282186</v>
      </c>
      <c r="AQ104" s="143">
        <f t="shared" si="13"/>
        <v>0.11052280231565567</v>
      </c>
      <c r="AR104" s="142">
        <v>17327169</v>
      </c>
      <c r="AS104" s="145">
        <v>14390190</v>
      </c>
      <c r="AT104" s="145">
        <v>7745521</v>
      </c>
      <c r="AU104" s="143">
        <f t="shared" si="14"/>
        <v>0.83049862328924018</v>
      </c>
      <c r="AV104" s="143">
        <f t="shared" si="15"/>
        <v>0.44701595511649939</v>
      </c>
      <c r="AW104" s="146">
        <f t="shared" si="16"/>
        <v>40349051</v>
      </c>
      <c r="AX104" s="145">
        <f t="shared" ref="AX104:AY104" si="210">AI104+AN104+AS104</f>
        <v>19759205</v>
      </c>
      <c r="AY104" s="149">
        <f t="shared" si="210"/>
        <v>11524042</v>
      </c>
      <c r="AZ104" s="143">
        <f t="shared" si="18"/>
        <v>0.48970680871775646</v>
      </c>
      <c r="BA104" s="143">
        <f t="shared" si="19"/>
        <v>0.28560874950937509</v>
      </c>
      <c r="BB104" s="143"/>
      <c r="BC104" s="143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 t="s">
        <v>359</v>
      </c>
      <c r="BQ104" s="148" t="s">
        <v>360</v>
      </c>
      <c r="BR104" s="148" t="s">
        <v>340</v>
      </c>
      <c r="BS104" s="148" t="s">
        <v>340</v>
      </c>
    </row>
    <row r="105" spans="1:71" ht="14.5" x14ac:dyDescent="0.25">
      <c r="A105" s="141">
        <v>44359</v>
      </c>
      <c r="B105" s="142">
        <v>112301</v>
      </c>
      <c r="C105" s="145">
        <v>135728</v>
      </c>
      <c r="D105" s="145">
        <v>120935</v>
      </c>
      <c r="E105" s="143">
        <f t="shared" si="0"/>
        <v>1.2086090061531063</v>
      </c>
      <c r="F105" s="143">
        <f t="shared" si="1"/>
        <v>1.0768826635559789</v>
      </c>
      <c r="G105" s="142">
        <v>911631</v>
      </c>
      <c r="H105" s="145">
        <v>595046</v>
      </c>
      <c r="I105" s="145">
        <v>535273</v>
      </c>
      <c r="J105" s="143">
        <f t="shared" si="2"/>
        <v>0.65272681600340487</v>
      </c>
      <c r="K105" s="143">
        <f t="shared" si="3"/>
        <v>0.58715971703463354</v>
      </c>
      <c r="L105" s="142">
        <v>1976757</v>
      </c>
      <c r="M105" s="145">
        <f t="shared" si="200"/>
        <v>2150108</v>
      </c>
      <c r="N105" s="145">
        <f t="shared" si="208"/>
        <v>1205710</v>
      </c>
      <c r="O105" s="143">
        <f t="shared" si="4"/>
        <v>1.0876946432970769</v>
      </c>
      <c r="P105" s="143">
        <f t="shared" si="5"/>
        <v>0.60994345789593762</v>
      </c>
      <c r="Q105" s="142">
        <v>3000689</v>
      </c>
      <c r="R105" s="142">
        <v>2880882</v>
      </c>
      <c r="S105" s="142">
        <v>1861918</v>
      </c>
      <c r="T105" s="144">
        <f t="shared" si="8"/>
        <v>0.9600735031187837</v>
      </c>
      <c r="U105" s="144">
        <f t="shared" si="9"/>
        <v>0.62049682589565258</v>
      </c>
      <c r="V105" s="144"/>
      <c r="W105" s="144"/>
      <c r="X105" s="144"/>
      <c r="Y105" s="144"/>
      <c r="Z105" s="144"/>
      <c r="AA105" s="144"/>
      <c r="AB105" s="144"/>
      <c r="AC105" s="142"/>
      <c r="AD105" s="142"/>
      <c r="AE105" s="142"/>
      <c r="AF105" s="142"/>
      <c r="AG105" s="142"/>
      <c r="AH105" s="142">
        <v>1468764</v>
      </c>
      <c r="AI105" s="145">
        <v>1529719</v>
      </c>
      <c r="AJ105" s="145">
        <v>1396794</v>
      </c>
      <c r="AK105" s="143">
        <f t="shared" si="10"/>
        <v>1.041500881012879</v>
      </c>
      <c r="AL105" s="143">
        <f t="shared" si="11"/>
        <v>0.95099961600366023</v>
      </c>
      <c r="AM105" s="145">
        <v>21553118</v>
      </c>
      <c r="AN105" s="145">
        <v>3888332</v>
      </c>
      <c r="AO105" s="145">
        <v>2388526</v>
      </c>
      <c r="AP105" s="143">
        <f t="shared" si="12"/>
        <v>0.18040693694527168</v>
      </c>
      <c r="AQ105" s="143">
        <f t="shared" si="13"/>
        <v>0.11082043906593932</v>
      </c>
      <c r="AR105" s="142">
        <v>17327169</v>
      </c>
      <c r="AS105" s="145">
        <v>14659974</v>
      </c>
      <c r="AT105" s="145">
        <v>7769404</v>
      </c>
      <c r="AU105" s="143">
        <f t="shared" si="14"/>
        <v>0.84606862205822542</v>
      </c>
      <c r="AV105" s="143">
        <f t="shared" si="15"/>
        <v>0.44839431069206975</v>
      </c>
      <c r="AW105" s="146">
        <f t="shared" si="16"/>
        <v>40349051</v>
      </c>
      <c r="AX105" s="145">
        <f t="shared" ref="AX105:AY105" si="211">AI105+AN105+AS105</f>
        <v>20078025</v>
      </c>
      <c r="AY105" s="149">
        <f t="shared" si="211"/>
        <v>11554724</v>
      </c>
      <c r="AZ105" s="143">
        <f t="shared" si="18"/>
        <v>0.49760835762903072</v>
      </c>
      <c r="BA105" s="143">
        <f t="shared" si="19"/>
        <v>0.28636916392407841</v>
      </c>
      <c r="BB105" s="143"/>
      <c r="BC105" s="143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 t="s">
        <v>361</v>
      </c>
      <c r="BQ105" s="148" t="s">
        <v>362</v>
      </c>
      <c r="BR105" s="148" t="s">
        <v>340</v>
      </c>
      <c r="BS105" s="148" t="s">
        <v>340</v>
      </c>
    </row>
    <row r="106" spans="1:71" ht="14.5" x14ac:dyDescent="0.25">
      <c r="A106" s="141">
        <v>44360</v>
      </c>
      <c r="B106" s="142">
        <v>112301</v>
      </c>
      <c r="C106" s="145">
        <v>135728</v>
      </c>
      <c r="D106" s="145">
        <v>120935</v>
      </c>
      <c r="E106" s="143">
        <f t="shared" si="0"/>
        <v>1.2086090061531063</v>
      </c>
      <c r="F106" s="143">
        <f t="shared" si="1"/>
        <v>1.0768826635559789</v>
      </c>
      <c r="G106" s="142">
        <v>911631</v>
      </c>
      <c r="H106" s="145">
        <v>595046</v>
      </c>
      <c r="I106" s="145">
        <v>535273</v>
      </c>
      <c r="J106" s="143">
        <f t="shared" si="2"/>
        <v>0.65272681600340487</v>
      </c>
      <c r="K106" s="143">
        <f t="shared" si="3"/>
        <v>0.58715971703463354</v>
      </c>
      <c r="L106" s="142">
        <v>1976757</v>
      </c>
      <c r="M106" s="145">
        <f t="shared" si="200"/>
        <v>2150152</v>
      </c>
      <c r="N106" s="145">
        <f t="shared" si="208"/>
        <v>1205747</v>
      </c>
      <c r="O106" s="143">
        <f t="shared" si="4"/>
        <v>1.0877169019763178</v>
      </c>
      <c r="P106" s="143">
        <f t="shared" si="5"/>
        <v>0.60996217542166287</v>
      </c>
      <c r="Q106" s="142">
        <v>3000689</v>
      </c>
      <c r="R106" s="142">
        <v>2880926</v>
      </c>
      <c r="S106" s="142">
        <v>1861955</v>
      </c>
      <c r="T106" s="144">
        <f t="shared" si="8"/>
        <v>0.96008816641777939</v>
      </c>
      <c r="U106" s="144">
        <f t="shared" si="9"/>
        <v>0.62050915639708082</v>
      </c>
      <c r="V106" s="144"/>
      <c r="W106" s="144"/>
      <c r="X106" s="144"/>
      <c r="Y106" s="144"/>
      <c r="Z106" s="144"/>
      <c r="AA106" s="144"/>
      <c r="AB106" s="144"/>
      <c r="AC106" s="142"/>
      <c r="AD106" s="142"/>
      <c r="AE106" s="142"/>
      <c r="AF106" s="142"/>
      <c r="AG106" s="142"/>
      <c r="AH106" s="142">
        <v>1468764</v>
      </c>
      <c r="AI106" s="145">
        <v>1529737</v>
      </c>
      <c r="AJ106" s="145">
        <v>1396801</v>
      </c>
      <c r="AK106" s="143">
        <f t="shared" si="10"/>
        <v>1.0415131362152124</v>
      </c>
      <c r="AL106" s="143">
        <f t="shared" si="11"/>
        <v>0.95100438191567871</v>
      </c>
      <c r="AM106" s="145">
        <v>21553118</v>
      </c>
      <c r="AN106" s="145">
        <v>3889165</v>
      </c>
      <c r="AO106" s="145">
        <v>2388715</v>
      </c>
      <c r="AP106" s="143">
        <f t="shared" si="12"/>
        <v>0.18044558564565924</v>
      </c>
      <c r="AQ106" s="143">
        <f t="shared" si="13"/>
        <v>0.11082920809880037</v>
      </c>
      <c r="AR106" s="142">
        <v>17327169</v>
      </c>
      <c r="AS106" s="145">
        <v>14660882</v>
      </c>
      <c r="AT106" s="145">
        <v>7770026</v>
      </c>
      <c r="AU106" s="143">
        <f t="shared" si="14"/>
        <v>0.84612102531002031</v>
      </c>
      <c r="AV106" s="143">
        <f t="shared" si="15"/>
        <v>0.44843020807380596</v>
      </c>
      <c r="AW106" s="146">
        <f t="shared" si="16"/>
        <v>40349051</v>
      </c>
      <c r="AX106" s="145">
        <f t="shared" ref="AX106:AY106" si="212">AI106+AN106+AS106</f>
        <v>20079784</v>
      </c>
      <c r="AY106" s="149">
        <f t="shared" si="212"/>
        <v>11555542</v>
      </c>
      <c r="AZ106" s="143">
        <f t="shared" si="18"/>
        <v>0.49765195221072239</v>
      </c>
      <c r="BA106" s="143">
        <f t="shared" si="19"/>
        <v>0.28638943701550751</v>
      </c>
      <c r="BB106" s="143"/>
      <c r="BC106" s="143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 t="s">
        <v>363</v>
      </c>
      <c r="BQ106" s="148" t="s">
        <v>364</v>
      </c>
      <c r="BR106" s="148" t="s">
        <v>340</v>
      </c>
      <c r="BS106" s="148" t="s">
        <v>340</v>
      </c>
    </row>
    <row r="107" spans="1:71" ht="14.5" x14ac:dyDescent="0.25">
      <c r="A107" s="141">
        <v>44361</v>
      </c>
      <c r="B107" s="142">
        <v>112301</v>
      </c>
      <c r="C107" s="145">
        <v>135728</v>
      </c>
      <c r="D107" s="145">
        <v>120935</v>
      </c>
      <c r="E107" s="143">
        <f t="shared" si="0"/>
        <v>1.2086090061531063</v>
      </c>
      <c r="F107" s="143">
        <f t="shared" si="1"/>
        <v>1.0768826635559789</v>
      </c>
      <c r="G107" s="142">
        <v>911631</v>
      </c>
      <c r="H107" s="145">
        <v>595046</v>
      </c>
      <c r="I107" s="145">
        <v>535273</v>
      </c>
      <c r="J107" s="143">
        <f t="shared" si="2"/>
        <v>0.65272681600340487</v>
      </c>
      <c r="K107" s="143">
        <f t="shared" si="3"/>
        <v>0.58715971703463354</v>
      </c>
      <c r="L107" s="142">
        <v>1976757</v>
      </c>
      <c r="M107" s="145">
        <f t="shared" si="200"/>
        <v>2235051</v>
      </c>
      <c r="N107" s="145">
        <f t="shared" si="208"/>
        <v>1210934</v>
      </c>
      <c r="O107" s="143">
        <f t="shared" si="4"/>
        <v>1.130665529450509</v>
      </c>
      <c r="P107" s="143">
        <f t="shared" si="5"/>
        <v>0.61258617017670858</v>
      </c>
      <c r="Q107" s="142">
        <v>3000689</v>
      </c>
      <c r="R107" s="142">
        <v>2965825</v>
      </c>
      <c r="S107" s="142">
        <v>1867142</v>
      </c>
      <c r="T107" s="144">
        <f t="shared" si="8"/>
        <v>0.98838133508670845</v>
      </c>
      <c r="U107" s="144">
        <f t="shared" si="9"/>
        <v>0.62223775939459236</v>
      </c>
      <c r="V107" s="142">
        <f t="shared" ref="V107:V139" si="213">R107-R106</f>
        <v>84899</v>
      </c>
      <c r="W107" s="144"/>
      <c r="X107" s="144"/>
      <c r="Y107" s="144"/>
      <c r="Z107" s="144"/>
      <c r="AA107" s="144"/>
      <c r="AB107" s="144"/>
      <c r="AC107" s="142"/>
      <c r="AD107" s="142"/>
      <c r="AE107" s="142"/>
      <c r="AF107" s="142"/>
      <c r="AG107" s="142"/>
      <c r="AH107" s="142">
        <v>1468764</v>
      </c>
      <c r="AI107" s="145">
        <v>1530796</v>
      </c>
      <c r="AJ107" s="145">
        <v>1397698</v>
      </c>
      <c r="AK107" s="143">
        <f t="shared" si="10"/>
        <v>1.0422341506191601</v>
      </c>
      <c r="AL107" s="143">
        <f t="shared" si="11"/>
        <v>0.9516150994986261</v>
      </c>
      <c r="AM107" s="145">
        <v>21553118</v>
      </c>
      <c r="AN107" s="145">
        <v>3951776</v>
      </c>
      <c r="AO107" s="145">
        <v>2401793</v>
      </c>
      <c r="AP107" s="143">
        <f t="shared" si="12"/>
        <v>0.18335054816662721</v>
      </c>
      <c r="AQ107" s="143">
        <f t="shared" si="13"/>
        <v>0.11143598805518533</v>
      </c>
      <c r="AR107" s="142">
        <v>17327169</v>
      </c>
      <c r="AS107" s="145">
        <v>15103687</v>
      </c>
      <c r="AT107" s="145">
        <v>7821054</v>
      </c>
      <c r="AU107" s="143">
        <f t="shared" si="14"/>
        <v>0.87167655604905803</v>
      </c>
      <c r="AV107" s="143">
        <f t="shared" si="15"/>
        <v>0.45137517848414821</v>
      </c>
      <c r="AW107" s="146">
        <f t="shared" si="16"/>
        <v>40349051</v>
      </c>
      <c r="AX107" s="145">
        <f t="shared" ref="AX107:AY107" si="214">AI107+AN107+AS107</f>
        <v>20586259</v>
      </c>
      <c r="AY107" s="149">
        <f t="shared" si="214"/>
        <v>11620545</v>
      </c>
      <c r="AZ107" s="143">
        <f t="shared" si="18"/>
        <v>0.51020429204146589</v>
      </c>
      <c r="BA107" s="143">
        <f t="shared" si="19"/>
        <v>0.28800045383967021</v>
      </c>
      <c r="BB107" s="143"/>
      <c r="BC107" s="143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 t="s">
        <v>365</v>
      </c>
      <c r="BQ107" s="148" t="s">
        <v>366</v>
      </c>
      <c r="BR107" s="148" t="s">
        <v>340</v>
      </c>
      <c r="BS107" s="148" t="s">
        <v>340</v>
      </c>
    </row>
    <row r="108" spans="1:71" ht="14.5" x14ac:dyDescent="0.25">
      <c r="A108" s="141">
        <v>44362</v>
      </c>
      <c r="B108" s="142">
        <v>112301</v>
      </c>
      <c r="C108" s="145">
        <v>135728</v>
      </c>
      <c r="D108" s="145">
        <v>120935</v>
      </c>
      <c r="E108" s="143">
        <f t="shared" si="0"/>
        <v>1.2086090061531063</v>
      </c>
      <c r="F108" s="143">
        <f t="shared" si="1"/>
        <v>1.0768826635559789</v>
      </c>
      <c r="G108" s="142">
        <v>911631</v>
      </c>
      <c r="H108" s="145">
        <v>595046</v>
      </c>
      <c r="I108" s="145">
        <v>535273</v>
      </c>
      <c r="J108" s="143">
        <f t="shared" si="2"/>
        <v>0.65272681600340487</v>
      </c>
      <c r="K108" s="143">
        <f t="shared" si="3"/>
        <v>0.58715971703463354</v>
      </c>
      <c r="L108" s="142">
        <v>1976757</v>
      </c>
      <c r="M108" s="145">
        <f t="shared" si="200"/>
        <v>2310799</v>
      </c>
      <c r="N108" s="145">
        <f t="shared" si="208"/>
        <v>1215119</v>
      </c>
      <c r="O108" s="143">
        <f t="shared" si="4"/>
        <v>1.1689848575216883</v>
      </c>
      <c r="P108" s="143">
        <f t="shared" si="5"/>
        <v>0.61470327409995262</v>
      </c>
      <c r="Q108" s="142">
        <v>3000689</v>
      </c>
      <c r="R108" s="142">
        <v>3041573</v>
      </c>
      <c r="S108" s="142">
        <v>1871327</v>
      </c>
      <c r="T108" s="144">
        <f t="shared" si="8"/>
        <v>1.0136248708213347</v>
      </c>
      <c r="U108" s="144">
        <f t="shared" si="9"/>
        <v>0.62363243908315724</v>
      </c>
      <c r="V108" s="142">
        <f t="shared" si="213"/>
        <v>75748</v>
      </c>
      <c r="W108" s="144"/>
      <c r="X108" s="144"/>
      <c r="Y108" s="144"/>
      <c r="Z108" s="144"/>
      <c r="AA108" s="144"/>
      <c r="AB108" s="144"/>
      <c r="AC108" s="142"/>
      <c r="AD108" s="142"/>
      <c r="AE108" s="142"/>
      <c r="AF108" s="142"/>
      <c r="AG108" s="142"/>
      <c r="AH108" s="142">
        <v>1468764</v>
      </c>
      <c r="AI108" s="145">
        <v>1531421</v>
      </c>
      <c r="AJ108" s="145">
        <v>1398335</v>
      </c>
      <c r="AK108" s="143">
        <f t="shared" si="10"/>
        <v>1.0426596784779583</v>
      </c>
      <c r="AL108" s="143">
        <f t="shared" si="11"/>
        <v>0.9520487974923133</v>
      </c>
      <c r="AM108" s="145">
        <v>21553118</v>
      </c>
      <c r="AN108" s="145">
        <v>3990171</v>
      </c>
      <c r="AO108" s="145">
        <v>2415398</v>
      </c>
      <c r="AP108" s="143">
        <f t="shared" si="12"/>
        <v>0.18513196095339896</v>
      </c>
      <c r="AQ108" s="143">
        <f t="shared" si="13"/>
        <v>0.11206721923018284</v>
      </c>
      <c r="AR108" s="142">
        <v>17327169</v>
      </c>
      <c r="AS108" s="145">
        <v>15299910</v>
      </c>
      <c r="AT108" s="145">
        <v>7867826</v>
      </c>
      <c r="AU108" s="143">
        <f t="shared" si="14"/>
        <v>0.8830011411558345</v>
      </c>
      <c r="AV108" s="143">
        <f t="shared" si="15"/>
        <v>0.45407452307990992</v>
      </c>
      <c r="AW108" s="146">
        <f t="shared" si="16"/>
        <v>40349051</v>
      </c>
      <c r="AX108" s="145">
        <f t="shared" ref="AX108:AY108" si="215">AI108+AN108+AS108</f>
        <v>20821502</v>
      </c>
      <c r="AY108" s="149">
        <f t="shared" si="215"/>
        <v>11681559</v>
      </c>
      <c r="AZ108" s="143">
        <f t="shared" si="18"/>
        <v>0.5160344911209932</v>
      </c>
      <c r="BA108" s="143">
        <f t="shared" si="19"/>
        <v>0.28951260836345322</v>
      </c>
      <c r="BB108" s="143"/>
      <c r="BC108" s="143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 t="s">
        <v>367</v>
      </c>
      <c r="BQ108" s="148" t="s">
        <v>368</v>
      </c>
      <c r="BR108" s="148" t="s">
        <v>340</v>
      </c>
      <c r="BS108" s="148" t="s">
        <v>340</v>
      </c>
    </row>
    <row r="109" spans="1:71" ht="14.5" x14ac:dyDescent="0.25">
      <c r="A109" s="141">
        <v>44363</v>
      </c>
      <c r="B109" s="142">
        <v>112301</v>
      </c>
      <c r="C109" s="145">
        <v>135728</v>
      </c>
      <c r="D109" s="145">
        <v>120935</v>
      </c>
      <c r="E109" s="143">
        <f t="shared" si="0"/>
        <v>1.2086090061531063</v>
      </c>
      <c r="F109" s="143">
        <f t="shared" si="1"/>
        <v>1.0768826635559789</v>
      </c>
      <c r="G109" s="142">
        <v>911631</v>
      </c>
      <c r="H109" s="145">
        <v>595046</v>
      </c>
      <c r="I109" s="145">
        <v>535273</v>
      </c>
      <c r="J109" s="143">
        <f t="shared" si="2"/>
        <v>0.65272681600340487</v>
      </c>
      <c r="K109" s="143">
        <f t="shared" si="3"/>
        <v>0.58715971703463354</v>
      </c>
      <c r="L109" s="142">
        <v>1976757</v>
      </c>
      <c r="M109" s="145">
        <f t="shared" si="200"/>
        <v>2400877</v>
      </c>
      <c r="N109" s="145">
        <f t="shared" si="208"/>
        <v>1218963</v>
      </c>
      <c r="O109" s="143">
        <f t="shared" si="4"/>
        <v>1.214553432718336</v>
      </c>
      <c r="P109" s="143">
        <f t="shared" si="5"/>
        <v>0.61664787325908044</v>
      </c>
      <c r="Q109" s="142">
        <v>3000689</v>
      </c>
      <c r="R109" s="142">
        <v>3131651</v>
      </c>
      <c r="S109" s="142">
        <v>1875171</v>
      </c>
      <c r="T109" s="144">
        <f t="shared" si="8"/>
        <v>1.0436439764334124</v>
      </c>
      <c r="U109" s="144">
        <f t="shared" si="9"/>
        <v>0.62491347820450571</v>
      </c>
      <c r="V109" s="142">
        <f t="shared" si="213"/>
        <v>90078</v>
      </c>
      <c r="W109" s="144"/>
      <c r="X109" s="144"/>
      <c r="Y109" s="144"/>
      <c r="Z109" s="144"/>
      <c r="AA109" s="144"/>
      <c r="AB109" s="144"/>
      <c r="AC109" s="142"/>
      <c r="AD109" s="142"/>
      <c r="AE109" s="142"/>
      <c r="AF109" s="142"/>
      <c r="AG109" s="142"/>
      <c r="AH109" s="142">
        <v>1468764</v>
      </c>
      <c r="AI109" s="145">
        <v>1533279</v>
      </c>
      <c r="AJ109" s="145">
        <v>1400082</v>
      </c>
      <c r="AK109" s="143">
        <f t="shared" si="10"/>
        <v>1.043924687696594</v>
      </c>
      <c r="AL109" s="143">
        <f t="shared" si="11"/>
        <v>0.95323823296322618</v>
      </c>
      <c r="AM109" s="145">
        <v>21553118</v>
      </c>
      <c r="AN109" s="145">
        <v>4096794</v>
      </c>
      <c r="AO109" s="145">
        <v>2450278</v>
      </c>
      <c r="AP109" s="143">
        <f t="shared" si="12"/>
        <v>0.19007894820600899</v>
      </c>
      <c r="AQ109" s="143">
        <f t="shared" si="13"/>
        <v>0.11368554656453883</v>
      </c>
      <c r="AR109" s="142">
        <v>17327169</v>
      </c>
      <c r="AS109" s="145">
        <v>15989147</v>
      </c>
      <c r="AT109" s="145">
        <v>7989034</v>
      </c>
      <c r="AU109" s="143">
        <f t="shared" si="14"/>
        <v>0.92277896060227727</v>
      </c>
      <c r="AV109" s="143">
        <f t="shared" si="15"/>
        <v>0.46106978006620702</v>
      </c>
      <c r="AW109" s="146">
        <f t="shared" si="16"/>
        <v>40349051</v>
      </c>
      <c r="AX109" s="145">
        <f t="shared" ref="AX109:AY109" si="216">AI109+AN109+AS109</f>
        <v>21619220</v>
      </c>
      <c r="AY109" s="149">
        <f t="shared" si="216"/>
        <v>11839394</v>
      </c>
      <c r="AZ109" s="143">
        <f t="shared" si="18"/>
        <v>0.53580491893105486</v>
      </c>
      <c r="BA109" s="143">
        <f t="shared" si="19"/>
        <v>0.29342434844378373</v>
      </c>
      <c r="BB109" s="143"/>
      <c r="BC109" s="143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 t="s">
        <v>369</v>
      </c>
      <c r="BQ109" s="148" t="s">
        <v>370</v>
      </c>
      <c r="BR109" s="148" t="s">
        <v>340</v>
      </c>
      <c r="BS109" s="148" t="s">
        <v>340</v>
      </c>
    </row>
    <row r="110" spans="1:71" ht="14.5" x14ac:dyDescent="0.25">
      <c r="A110" s="141">
        <v>44364</v>
      </c>
      <c r="B110" s="142">
        <v>112301</v>
      </c>
      <c r="C110" s="145">
        <v>135728</v>
      </c>
      <c r="D110" s="145">
        <v>120935</v>
      </c>
      <c r="E110" s="143">
        <f t="shared" si="0"/>
        <v>1.2086090061531063</v>
      </c>
      <c r="F110" s="143">
        <f t="shared" si="1"/>
        <v>1.0768826635559789</v>
      </c>
      <c r="G110" s="142">
        <v>911631</v>
      </c>
      <c r="H110" s="145">
        <v>595046</v>
      </c>
      <c r="I110" s="145">
        <v>535273</v>
      </c>
      <c r="J110" s="143">
        <f t="shared" si="2"/>
        <v>0.65272681600340487</v>
      </c>
      <c r="K110" s="143">
        <f t="shared" si="3"/>
        <v>0.58715971703463354</v>
      </c>
      <c r="L110" s="142">
        <v>1976757</v>
      </c>
      <c r="M110" s="145">
        <f t="shared" si="200"/>
        <v>2400877</v>
      </c>
      <c r="N110" s="145">
        <f t="shared" si="208"/>
        <v>1218963</v>
      </c>
      <c r="O110" s="143">
        <f t="shared" si="4"/>
        <v>1.214553432718336</v>
      </c>
      <c r="P110" s="143">
        <f t="shared" si="5"/>
        <v>0.61664787325908044</v>
      </c>
      <c r="Q110" s="142">
        <v>3000689</v>
      </c>
      <c r="R110" s="142">
        <v>3131651</v>
      </c>
      <c r="S110" s="142">
        <v>1875171</v>
      </c>
      <c r="T110" s="144">
        <f t="shared" si="8"/>
        <v>1.0436439764334124</v>
      </c>
      <c r="U110" s="144">
        <f t="shared" si="9"/>
        <v>0.62491347820450571</v>
      </c>
      <c r="V110" s="142">
        <f t="shared" si="213"/>
        <v>0</v>
      </c>
      <c r="W110" s="144"/>
      <c r="X110" s="144"/>
      <c r="Y110" s="144"/>
      <c r="Z110" s="144"/>
      <c r="AA110" s="144"/>
      <c r="AB110" s="144"/>
      <c r="AC110" s="142"/>
      <c r="AD110" s="142"/>
      <c r="AE110" s="142"/>
      <c r="AF110" s="142"/>
      <c r="AG110" s="142"/>
      <c r="AH110" s="142">
        <v>1468764</v>
      </c>
      <c r="AI110" s="145">
        <v>1533279</v>
      </c>
      <c r="AJ110" s="145">
        <v>1400082</v>
      </c>
      <c r="AK110" s="143">
        <f t="shared" si="10"/>
        <v>1.043924687696594</v>
      </c>
      <c r="AL110" s="143">
        <f t="shared" si="11"/>
        <v>0.95323823296322618</v>
      </c>
      <c r="AM110" s="145">
        <v>21553118</v>
      </c>
      <c r="AN110" s="145">
        <v>4096794</v>
      </c>
      <c r="AO110" s="145">
        <v>2450278</v>
      </c>
      <c r="AP110" s="143">
        <f t="shared" si="12"/>
        <v>0.19007894820600899</v>
      </c>
      <c r="AQ110" s="143">
        <f t="shared" si="13"/>
        <v>0.11368554656453883</v>
      </c>
      <c r="AR110" s="142">
        <v>17327169</v>
      </c>
      <c r="AS110" s="145">
        <v>15989147</v>
      </c>
      <c r="AT110" s="145">
        <v>7989034</v>
      </c>
      <c r="AU110" s="143">
        <f t="shared" si="14"/>
        <v>0.92277896060227727</v>
      </c>
      <c r="AV110" s="143">
        <f t="shared" si="15"/>
        <v>0.46106978006620702</v>
      </c>
      <c r="AW110" s="146">
        <f t="shared" si="16"/>
        <v>40349051</v>
      </c>
      <c r="AX110" s="145">
        <f t="shared" ref="AX110:AY110" si="217">AI110+AN110+AS110</f>
        <v>21619220</v>
      </c>
      <c r="AY110" s="149">
        <f t="shared" si="217"/>
        <v>11839394</v>
      </c>
      <c r="AZ110" s="143">
        <f t="shared" si="18"/>
        <v>0.53580491893105486</v>
      </c>
      <c r="BA110" s="143">
        <f t="shared" si="19"/>
        <v>0.29342434844378373</v>
      </c>
      <c r="BB110" s="143"/>
      <c r="BC110" s="143"/>
      <c r="BD110" s="148"/>
      <c r="BE110" s="148"/>
      <c r="BF110" s="148"/>
      <c r="BG110" s="148"/>
      <c r="BH110" s="148"/>
      <c r="BI110" s="148"/>
      <c r="BJ110" s="148"/>
      <c r="BK110" s="148"/>
      <c r="BL110" s="148"/>
      <c r="BM110" s="148"/>
      <c r="BN110" s="148"/>
      <c r="BO110" s="148"/>
      <c r="BP110" s="148" t="s">
        <v>371</v>
      </c>
      <c r="BQ110" s="148" t="s">
        <v>372</v>
      </c>
      <c r="BR110" s="148" t="s">
        <v>340</v>
      </c>
      <c r="BS110" s="148" t="s">
        <v>340</v>
      </c>
    </row>
    <row r="111" spans="1:71" ht="14.5" x14ac:dyDescent="0.25">
      <c r="A111" s="150">
        <v>44365</v>
      </c>
      <c r="B111" s="142">
        <v>112301</v>
      </c>
      <c r="C111" s="145">
        <v>135728</v>
      </c>
      <c r="D111" s="145">
        <v>120935</v>
      </c>
      <c r="E111" s="143">
        <f t="shared" si="0"/>
        <v>1.2086090061531063</v>
      </c>
      <c r="F111" s="143">
        <f t="shared" si="1"/>
        <v>1.0768826635559789</v>
      </c>
      <c r="G111" s="142">
        <v>911631</v>
      </c>
      <c r="H111" s="145">
        <v>595046</v>
      </c>
      <c r="I111" s="145">
        <v>535273</v>
      </c>
      <c r="J111" s="143">
        <f t="shared" si="2"/>
        <v>0.65272681600340487</v>
      </c>
      <c r="K111" s="143">
        <f t="shared" si="3"/>
        <v>0.58715971703463354</v>
      </c>
      <c r="L111" s="142">
        <v>1976757</v>
      </c>
      <c r="M111" s="145">
        <f t="shared" si="200"/>
        <v>2508477</v>
      </c>
      <c r="N111" s="145">
        <f t="shared" si="208"/>
        <v>1224789</v>
      </c>
      <c r="O111" s="143">
        <f t="shared" si="4"/>
        <v>1.2689860210435577</v>
      </c>
      <c r="P111" s="143">
        <f t="shared" si="5"/>
        <v>0.61959512474219136</v>
      </c>
      <c r="Q111" s="142">
        <v>8815157</v>
      </c>
      <c r="R111" s="142">
        <v>3239251</v>
      </c>
      <c r="S111" s="142">
        <v>1880997</v>
      </c>
      <c r="T111" s="144">
        <f t="shared" si="8"/>
        <v>0.36746378992455836</v>
      </c>
      <c r="U111" s="144">
        <f t="shared" si="9"/>
        <v>0.21338213261544858</v>
      </c>
      <c r="V111" s="142">
        <f t="shared" si="213"/>
        <v>107600</v>
      </c>
      <c r="W111" s="142">
        <f t="shared" ref="W111:W139" si="218">S111-S110</f>
        <v>5826</v>
      </c>
      <c r="X111" s="148">
        <f t="shared" ref="X111:Z111" si="219">Q111-G111</f>
        <v>7903526</v>
      </c>
      <c r="Y111" s="142">
        <f t="shared" si="219"/>
        <v>2644205</v>
      </c>
      <c r="Z111" s="142">
        <f t="shared" si="219"/>
        <v>1345724</v>
      </c>
      <c r="AA111" s="144">
        <f t="shared" ref="AA111:AA139" si="220">Y111/X111</f>
        <v>0.33456016972677766</v>
      </c>
      <c r="AB111" s="144">
        <f t="shared" ref="AB111:AB139" si="221">Z111/X111</f>
        <v>0.17026881419761256</v>
      </c>
      <c r="AC111" s="142"/>
      <c r="AD111" s="142"/>
      <c r="AE111" s="142"/>
      <c r="AF111" s="142"/>
      <c r="AG111" s="142"/>
      <c r="AH111" s="142">
        <v>1468764</v>
      </c>
      <c r="AI111" s="145">
        <v>1534051</v>
      </c>
      <c r="AJ111" s="145">
        <v>1400958</v>
      </c>
      <c r="AK111" s="143">
        <f t="shared" si="10"/>
        <v>1.0444502997077816</v>
      </c>
      <c r="AL111" s="143">
        <f t="shared" si="11"/>
        <v>0.95383465281011792</v>
      </c>
      <c r="AM111" s="145">
        <v>21553118</v>
      </c>
      <c r="AN111" s="145">
        <v>4135697</v>
      </c>
      <c r="AO111" s="145">
        <v>2472797</v>
      </c>
      <c r="AP111" s="143">
        <f t="shared" si="12"/>
        <v>0.19188393066840723</v>
      </c>
      <c r="AQ111" s="143">
        <f t="shared" si="13"/>
        <v>0.11473036059098271</v>
      </c>
      <c r="AR111" s="142">
        <v>17327169</v>
      </c>
      <c r="AS111" s="145">
        <v>16238687</v>
      </c>
      <c r="AT111" s="145">
        <v>8067317</v>
      </c>
      <c r="AU111" s="143">
        <f t="shared" si="14"/>
        <v>0.93718062079269848</v>
      </c>
      <c r="AV111" s="143">
        <f t="shared" si="15"/>
        <v>0.46558771372288227</v>
      </c>
      <c r="AW111" s="142">
        <v>181554465</v>
      </c>
      <c r="AX111" s="145">
        <f t="shared" ref="AX111:AY111" si="222">AI111+AN111+AS111</f>
        <v>21908435</v>
      </c>
      <c r="AY111" s="149">
        <f t="shared" si="222"/>
        <v>11941072</v>
      </c>
      <c r="AZ111" s="143">
        <f t="shared" si="18"/>
        <v>0.12067141945531332</v>
      </c>
      <c r="BA111" s="143">
        <f t="shared" si="19"/>
        <v>6.5771293479342408E-2</v>
      </c>
      <c r="BB111" s="146">
        <f t="shared" ref="BB111:BC111" si="223">AX111-AX110</f>
        <v>289215</v>
      </c>
      <c r="BC111" s="147">
        <f t="shared" si="223"/>
        <v>101678</v>
      </c>
      <c r="BD111" s="148">
        <f t="shared" ref="BD111:BF111" si="224">AW111-AM111</f>
        <v>160001347</v>
      </c>
      <c r="BE111" s="148">
        <f t="shared" si="224"/>
        <v>17772738</v>
      </c>
      <c r="BF111" s="148">
        <f t="shared" si="224"/>
        <v>9468275</v>
      </c>
      <c r="BG111" s="144">
        <f t="shared" ref="BG111:BG139" si="225">BE111/BD111</f>
        <v>0.11107867735638501</v>
      </c>
      <c r="BH111" s="144">
        <f t="shared" ref="BH111:BH139" si="226">BF111/BD111</f>
        <v>5.9176220560193157E-2</v>
      </c>
      <c r="BI111" s="144"/>
      <c r="BJ111" s="144"/>
      <c r="BK111" s="144"/>
      <c r="BL111" s="144"/>
      <c r="BM111" s="144"/>
      <c r="BN111" s="144">
        <f t="shared" ref="BN111:BO111" si="227">V111/BB111</f>
        <v>0.3720415607765849</v>
      </c>
      <c r="BO111" s="144">
        <f t="shared" si="227"/>
        <v>5.7298530655599048E-2</v>
      </c>
      <c r="BP111" s="148" t="s">
        <v>373</v>
      </c>
      <c r="BQ111" s="148" t="s">
        <v>374</v>
      </c>
      <c r="BR111" s="148" t="s">
        <v>340</v>
      </c>
      <c r="BS111" s="148" t="s">
        <v>340</v>
      </c>
    </row>
    <row r="112" spans="1:71" ht="14.5" x14ac:dyDescent="0.25">
      <c r="A112" s="141">
        <v>44366</v>
      </c>
      <c r="B112" s="142">
        <v>112301</v>
      </c>
      <c r="C112" s="145">
        <v>135728</v>
      </c>
      <c r="D112" s="145">
        <v>120935</v>
      </c>
      <c r="E112" s="143">
        <f t="shared" si="0"/>
        <v>1.2086090061531063</v>
      </c>
      <c r="F112" s="143">
        <f t="shared" si="1"/>
        <v>1.0768826635559789</v>
      </c>
      <c r="G112" s="142">
        <v>911631</v>
      </c>
      <c r="H112" s="145">
        <v>595046</v>
      </c>
      <c r="I112" s="145">
        <v>535273</v>
      </c>
      <c r="J112" s="143">
        <f t="shared" si="2"/>
        <v>0.65272681600340487</v>
      </c>
      <c r="K112" s="143">
        <f t="shared" si="3"/>
        <v>0.58715971703463354</v>
      </c>
      <c r="L112" s="142">
        <v>1976757</v>
      </c>
      <c r="M112" s="145">
        <f t="shared" si="200"/>
        <v>2613480</v>
      </c>
      <c r="N112" s="145">
        <f t="shared" si="208"/>
        <v>1230115</v>
      </c>
      <c r="O112" s="143">
        <f t="shared" si="4"/>
        <v>1.3221048414144987</v>
      </c>
      <c r="P112" s="143">
        <f t="shared" si="5"/>
        <v>0.62228943668847514</v>
      </c>
      <c r="Q112" s="142">
        <v>8815157</v>
      </c>
      <c r="R112" s="142">
        <v>3344254</v>
      </c>
      <c r="S112" s="142">
        <v>1886323</v>
      </c>
      <c r="T112" s="144">
        <f t="shared" si="8"/>
        <v>0.3793754325646157</v>
      </c>
      <c r="U112" s="144">
        <f t="shared" si="9"/>
        <v>0.2139863192453634</v>
      </c>
      <c r="V112" s="142">
        <f t="shared" si="213"/>
        <v>105003</v>
      </c>
      <c r="W112" s="142">
        <f t="shared" si="218"/>
        <v>5326</v>
      </c>
      <c r="X112" s="148">
        <f t="shared" ref="X112:Z112" si="228">Q112-G112</f>
        <v>7903526</v>
      </c>
      <c r="Y112" s="142">
        <f t="shared" si="228"/>
        <v>2749208</v>
      </c>
      <c r="Z112" s="142">
        <f t="shared" si="228"/>
        <v>1351050</v>
      </c>
      <c r="AA112" s="144">
        <f t="shared" si="220"/>
        <v>0.34784575896884506</v>
      </c>
      <c r="AB112" s="144">
        <f t="shared" si="221"/>
        <v>0.17094269064212606</v>
      </c>
      <c r="AC112" s="142"/>
      <c r="AD112" s="142"/>
      <c r="AE112" s="142"/>
      <c r="AF112" s="142"/>
      <c r="AG112" s="142"/>
      <c r="AH112" s="142">
        <v>1468764</v>
      </c>
      <c r="AI112" s="145">
        <v>1535289</v>
      </c>
      <c r="AJ112" s="145">
        <v>1402181</v>
      </c>
      <c r="AK112" s="143">
        <f t="shared" si="10"/>
        <v>1.0452931852904892</v>
      </c>
      <c r="AL112" s="143">
        <f t="shared" si="11"/>
        <v>0.95466732572421442</v>
      </c>
      <c r="AM112" s="145">
        <v>21553118</v>
      </c>
      <c r="AN112" s="145">
        <v>4187449</v>
      </c>
      <c r="AO112" s="145">
        <v>2502835</v>
      </c>
      <c r="AP112" s="143">
        <f t="shared" si="12"/>
        <v>0.19428506817435881</v>
      </c>
      <c r="AQ112" s="143">
        <f t="shared" si="13"/>
        <v>0.11612403365489857</v>
      </c>
      <c r="AR112" s="142">
        <v>17327169</v>
      </c>
      <c r="AS112" s="145">
        <v>16638134</v>
      </c>
      <c r="AT112" s="145">
        <v>8165715</v>
      </c>
      <c r="AU112" s="143">
        <f t="shared" si="14"/>
        <v>0.96023383854569666</v>
      </c>
      <c r="AV112" s="143">
        <f t="shared" si="15"/>
        <v>0.47126654100274545</v>
      </c>
      <c r="AW112" s="142">
        <v>181554465</v>
      </c>
      <c r="AX112" s="145">
        <f t="shared" ref="AX112:AY112" si="229">AI112+AN112+AS112</f>
        <v>22360872</v>
      </c>
      <c r="AY112" s="149">
        <f t="shared" si="229"/>
        <v>12070731</v>
      </c>
      <c r="AZ112" s="143">
        <f t="shared" si="18"/>
        <v>0.12316343748417313</v>
      </c>
      <c r="BA112" s="143">
        <f t="shared" si="19"/>
        <v>6.6485453827863722E-2</v>
      </c>
      <c r="BB112" s="146">
        <f t="shared" ref="BB112:BC112" si="230">AX112-AX111</f>
        <v>452437</v>
      </c>
      <c r="BC112" s="147">
        <f t="shared" si="230"/>
        <v>129659</v>
      </c>
      <c r="BD112" s="148">
        <f t="shared" ref="BD112:BF112" si="231">AW112-AM112</f>
        <v>160001347</v>
      </c>
      <c r="BE112" s="148">
        <f t="shared" si="231"/>
        <v>18173423</v>
      </c>
      <c r="BF112" s="148">
        <f t="shared" si="231"/>
        <v>9567896</v>
      </c>
      <c r="BG112" s="144">
        <f t="shared" si="225"/>
        <v>0.11358293752364472</v>
      </c>
      <c r="BH112" s="144">
        <f t="shared" si="226"/>
        <v>5.9798846568460455E-2</v>
      </c>
      <c r="BI112" s="144"/>
      <c r="BJ112" s="144"/>
      <c r="BK112" s="144"/>
      <c r="BL112" s="144"/>
      <c r="BM112" s="144"/>
      <c r="BN112" s="144">
        <f t="shared" ref="BN112:BO112" si="232">V112/BB112</f>
        <v>0.23208314085718013</v>
      </c>
      <c r="BO112" s="144">
        <f t="shared" si="232"/>
        <v>4.1076978844507513E-2</v>
      </c>
      <c r="BP112" s="148" t="s">
        <v>375</v>
      </c>
      <c r="BQ112" s="148" t="s">
        <v>376</v>
      </c>
      <c r="BR112" s="148" t="s">
        <v>340</v>
      </c>
      <c r="BS112" s="148" t="s">
        <v>340</v>
      </c>
    </row>
    <row r="113" spans="1:71" ht="14.5" x14ac:dyDescent="0.25">
      <c r="A113" s="141">
        <v>44367</v>
      </c>
      <c r="B113" s="151">
        <v>112301</v>
      </c>
      <c r="C113" s="152">
        <v>135728</v>
      </c>
      <c r="D113" s="152">
        <v>121377</v>
      </c>
      <c r="E113" s="143">
        <f t="shared" si="0"/>
        <v>1.2086090061531063</v>
      </c>
      <c r="F113" s="143">
        <f t="shared" si="1"/>
        <v>1.0808185145279205</v>
      </c>
      <c r="G113" s="151">
        <v>911631</v>
      </c>
      <c r="H113" s="152">
        <v>595654</v>
      </c>
      <c r="I113" s="152">
        <v>535273</v>
      </c>
      <c r="J113" s="143">
        <f t="shared" si="2"/>
        <v>0.65339375251609477</v>
      </c>
      <c r="K113" s="143">
        <f t="shared" si="3"/>
        <v>0.58715971703463354</v>
      </c>
      <c r="L113" s="151">
        <v>1976757</v>
      </c>
      <c r="M113" s="145">
        <f t="shared" si="200"/>
        <v>2653322</v>
      </c>
      <c r="N113" s="145">
        <f t="shared" si="208"/>
        <v>1230107</v>
      </c>
      <c r="O113" s="143">
        <f t="shared" si="4"/>
        <v>1.3422600754670402</v>
      </c>
      <c r="P113" s="143">
        <f t="shared" si="5"/>
        <v>0.62228538965588587</v>
      </c>
      <c r="Q113" s="151">
        <v>8815157</v>
      </c>
      <c r="R113" s="151">
        <v>3384704</v>
      </c>
      <c r="S113" s="151">
        <v>1886757</v>
      </c>
      <c r="T113" s="144">
        <f t="shared" si="8"/>
        <v>0.38396411998107349</v>
      </c>
      <c r="U113" s="144">
        <f t="shared" si="9"/>
        <v>0.21403555262827423</v>
      </c>
      <c r="V113" s="142">
        <f t="shared" si="213"/>
        <v>40450</v>
      </c>
      <c r="W113" s="142">
        <f t="shared" si="218"/>
        <v>434</v>
      </c>
      <c r="X113" s="148">
        <f t="shared" ref="X113:Z113" si="233">Q113-G113</f>
        <v>7903526</v>
      </c>
      <c r="Y113" s="142">
        <f t="shared" si="233"/>
        <v>2789050</v>
      </c>
      <c r="Z113" s="142">
        <f t="shared" si="233"/>
        <v>1351484</v>
      </c>
      <c r="AA113" s="144">
        <f t="shared" si="220"/>
        <v>0.3528868001446443</v>
      </c>
      <c r="AB113" s="144">
        <f t="shared" si="221"/>
        <v>0.17099760284207327</v>
      </c>
      <c r="AC113" s="151"/>
      <c r="AD113" s="151"/>
      <c r="AE113" s="151"/>
      <c r="AF113" s="151"/>
      <c r="AG113" s="151"/>
      <c r="AH113" s="151">
        <v>1468764</v>
      </c>
      <c r="AI113" s="152">
        <v>1536674</v>
      </c>
      <c r="AJ113" s="152">
        <v>1403648</v>
      </c>
      <c r="AK113" s="151" t="s">
        <v>377</v>
      </c>
      <c r="AL113" s="151" t="s">
        <v>378</v>
      </c>
      <c r="AM113" s="152">
        <v>21553118</v>
      </c>
      <c r="AN113" s="152">
        <v>4241449</v>
      </c>
      <c r="AO113" s="152">
        <v>2535874</v>
      </c>
      <c r="AP113" s="151" t="s">
        <v>379</v>
      </c>
      <c r="AQ113" s="151" t="s">
        <v>182</v>
      </c>
      <c r="AR113" s="151">
        <v>17327169</v>
      </c>
      <c r="AS113" s="152">
        <v>17120152</v>
      </c>
      <c r="AT113" s="152">
        <v>8263216</v>
      </c>
      <c r="AU113" s="151" t="s">
        <v>380</v>
      </c>
      <c r="AV113" s="151" t="s">
        <v>381</v>
      </c>
      <c r="AW113" s="151">
        <v>181554465</v>
      </c>
      <c r="AX113" s="145">
        <f t="shared" ref="AX113:AY113" si="234">AI113+AN113+AS113</f>
        <v>22898275</v>
      </c>
      <c r="AY113" s="149">
        <f t="shared" si="234"/>
        <v>12202738</v>
      </c>
      <c r="AZ113" s="151" t="s">
        <v>225</v>
      </c>
      <c r="BA113" s="151" t="s">
        <v>141</v>
      </c>
      <c r="BB113" s="146">
        <f t="shared" ref="BB113:BC113" si="235">AX113-AX112</f>
        <v>537403</v>
      </c>
      <c r="BC113" s="147">
        <f t="shared" si="235"/>
        <v>132007</v>
      </c>
      <c r="BD113" s="148">
        <f t="shared" ref="BD113:BF113" si="236">AW113-AM113</f>
        <v>160001347</v>
      </c>
      <c r="BE113" s="148">
        <f t="shared" si="236"/>
        <v>18656826</v>
      </c>
      <c r="BF113" s="148">
        <f t="shared" si="236"/>
        <v>9666864</v>
      </c>
      <c r="BG113" s="144">
        <f t="shared" si="225"/>
        <v>0.11660418083855256</v>
      </c>
      <c r="BH113" s="144">
        <f t="shared" si="226"/>
        <v>6.0417391361086481E-2</v>
      </c>
      <c r="BI113" s="144"/>
      <c r="BJ113" s="144"/>
      <c r="BK113" s="144"/>
      <c r="BL113" s="144"/>
      <c r="BM113" s="144"/>
      <c r="BN113" s="144">
        <f t="shared" ref="BN113:BO113" si="237">V113/BB113</f>
        <v>7.5269397454052173E-2</v>
      </c>
      <c r="BO113" s="144">
        <f t="shared" si="237"/>
        <v>3.2877044399160652E-3</v>
      </c>
      <c r="BP113" s="153" t="s">
        <v>382</v>
      </c>
      <c r="BQ113" s="153" t="s">
        <v>383</v>
      </c>
      <c r="BR113" s="153" t="s">
        <v>340</v>
      </c>
      <c r="BS113" s="153" t="s">
        <v>340</v>
      </c>
    </row>
    <row r="114" spans="1:71" ht="14.5" x14ac:dyDescent="0.25">
      <c r="A114" s="141">
        <v>44368</v>
      </c>
      <c r="B114" s="151">
        <v>112301</v>
      </c>
      <c r="C114" s="152">
        <v>135728</v>
      </c>
      <c r="D114" s="152">
        <v>121377</v>
      </c>
      <c r="E114" s="143">
        <f t="shared" si="0"/>
        <v>1.2086090061531063</v>
      </c>
      <c r="F114" s="143">
        <f t="shared" si="1"/>
        <v>1.0808185145279205</v>
      </c>
      <c r="G114" s="151">
        <v>911631</v>
      </c>
      <c r="H114" s="152">
        <v>595654</v>
      </c>
      <c r="I114" s="152">
        <v>535273</v>
      </c>
      <c r="J114" s="143">
        <f t="shared" si="2"/>
        <v>0.65339375251609477</v>
      </c>
      <c r="K114" s="143">
        <f t="shared" si="3"/>
        <v>0.58715971703463354</v>
      </c>
      <c r="L114" s="151">
        <v>1976757</v>
      </c>
      <c r="M114" s="145">
        <f t="shared" si="200"/>
        <v>2668463</v>
      </c>
      <c r="N114" s="145">
        <f t="shared" si="208"/>
        <v>1230605</v>
      </c>
      <c r="O114" s="143">
        <f t="shared" si="4"/>
        <v>1.3499195905212427</v>
      </c>
      <c r="P114" s="143">
        <f t="shared" si="5"/>
        <v>0.62253731743456575</v>
      </c>
      <c r="Q114" s="151">
        <v>8815157</v>
      </c>
      <c r="R114" s="151">
        <v>3399845</v>
      </c>
      <c r="S114" s="151">
        <v>1887255</v>
      </c>
      <c r="T114" s="144">
        <f t="shared" si="8"/>
        <v>0.38568172977520421</v>
      </c>
      <c r="U114" s="144">
        <f t="shared" si="9"/>
        <v>0.21409204623354977</v>
      </c>
      <c r="V114" s="142">
        <f t="shared" si="213"/>
        <v>15141</v>
      </c>
      <c r="W114" s="142">
        <f t="shared" si="218"/>
        <v>498</v>
      </c>
      <c r="X114" s="148">
        <f t="shared" ref="X114:Z114" si="238">Q114-G114</f>
        <v>7903526</v>
      </c>
      <c r="Y114" s="142">
        <f t="shared" si="238"/>
        <v>2804191</v>
      </c>
      <c r="Z114" s="142">
        <f t="shared" si="238"/>
        <v>1351982</v>
      </c>
      <c r="AA114" s="144">
        <f t="shared" si="220"/>
        <v>0.3548025273782866</v>
      </c>
      <c r="AB114" s="144">
        <f t="shared" si="221"/>
        <v>0.1710606126936256</v>
      </c>
      <c r="AC114" s="151"/>
      <c r="AD114" s="151"/>
      <c r="AE114" s="151"/>
      <c r="AF114" s="151"/>
      <c r="AG114" s="151"/>
      <c r="AH114" s="151">
        <v>1468764</v>
      </c>
      <c r="AI114" s="152">
        <v>1536746</v>
      </c>
      <c r="AJ114" s="152">
        <v>1403741</v>
      </c>
      <c r="AK114" s="151" t="s">
        <v>377</v>
      </c>
      <c r="AL114" s="151" t="s">
        <v>378</v>
      </c>
      <c r="AM114" s="152">
        <v>21553118</v>
      </c>
      <c r="AN114" s="152">
        <v>4244166</v>
      </c>
      <c r="AO114" s="152">
        <v>2536966</v>
      </c>
      <c r="AP114" s="151" t="s">
        <v>379</v>
      </c>
      <c r="AQ114" s="151" t="s">
        <v>182</v>
      </c>
      <c r="AR114" s="151">
        <v>17327169</v>
      </c>
      <c r="AS114" s="152">
        <v>17159788</v>
      </c>
      <c r="AT114" s="152">
        <v>8267637</v>
      </c>
      <c r="AU114" s="151" t="s">
        <v>380</v>
      </c>
      <c r="AV114" s="151" t="s">
        <v>381</v>
      </c>
      <c r="AW114" s="151">
        <v>181554465</v>
      </c>
      <c r="AX114" s="145">
        <f t="shared" ref="AX114:AY114" si="239">AI114+AN114+AS114</f>
        <v>22940700</v>
      </c>
      <c r="AY114" s="149">
        <f t="shared" si="239"/>
        <v>12208344</v>
      </c>
      <c r="AZ114" s="151" t="s">
        <v>225</v>
      </c>
      <c r="BA114" s="151" t="s">
        <v>141</v>
      </c>
      <c r="BB114" s="146">
        <f t="shared" ref="BB114:BC114" si="240">AX114-AX113</f>
        <v>42425</v>
      </c>
      <c r="BC114" s="147">
        <f t="shared" si="240"/>
        <v>5606</v>
      </c>
      <c r="BD114" s="148">
        <f t="shared" ref="BD114:BF114" si="241">AW114-AM114</f>
        <v>160001347</v>
      </c>
      <c r="BE114" s="148">
        <f t="shared" si="241"/>
        <v>18696534</v>
      </c>
      <c r="BF114" s="148">
        <f t="shared" si="241"/>
        <v>9671378</v>
      </c>
      <c r="BG114" s="144">
        <f t="shared" si="225"/>
        <v>0.11685235374924688</v>
      </c>
      <c r="BH114" s="144">
        <f t="shared" si="226"/>
        <v>6.0445603623574491E-2</v>
      </c>
      <c r="BI114" s="144"/>
      <c r="BJ114" s="144"/>
      <c r="BK114" s="144"/>
      <c r="BL114" s="144"/>
      <c r="BM114" s="144"/>
      <c r="BN114" s="144">
        <f t="shared" ref="BN114:BO114" si="242">V114/BB114</f>
        <v>0.35688862698880375</v>
      </c>
      <c r="BO114" s="144">
        <f t="shared" si="242"/>
        <v>8.8833392793435606E-2</v>
      </c>
      <c r="BP114" s="153" t="s">
        <v>384</v>
      </c>
      <c r="BQ114" s="153" t="s">
        <v>385</v>
      </c>
      <c r="BR114" s="153" t="s">
        <v>340</v>
      </c>
      <c r="BS114" s="153" t="s">
        <v>340</v>
      </c>
    </row>
    <row r="115" spans="1:71" ht="14.5" x14ac:dyDescent="0.25">
      <c r="A115" s="141">
        <v>44369</v>
      </c>
      <c r="B115" s="151">
        <v>112301</v>
      </c>
      <c r="C115" s="152">
        <v>135728</v>
      </c>
      <c r="D115" s="152">
        <v>121377</v>
      </c>
      <c r="E115" s="143">
        <f t="shared" si="0"/>
        <v>1.2086090061531063</v>
      </c>
      <c r="F115" s="143">
        <f t="shared" si="1"/>
        <v>1.0808185145279205</v>
      </c>
      <c r="G115" s="151">
        <v>911631</v>
      </c>
      <c r="H115" s="152">
        <v>595654</v>
      </c>
      <c r="I115" s="152">
        <v>535273</v>
      </c>
      <c r="J115" s="143">
        <f t="shared" si="2"/>
        <v>0.65339375251609477</v>
      </c>
      <c r="K115" s="143">
        <f t="shared" si="3"/>
        <v>0.58715971703463354</v>
      </c>
      <c r="L115" s="151">
        <v>1976757</v>
      </c>
      <c r="M115" s="145">
        <f t="shared" si="200"/>
        <v>2781630</v>
      </c>
      <c r="N115" s="145">
        <f t="shared" si="208"/>
        <v>1235008</v>
      </c>
      <c r="O115" s="143">
        <f t="shared" si="4"/>
        <v>1.4071684076494986</v>
      </c>
      <c r="P115" s="143">
        <f t="shared" si="5"/>
        <v>0.62476470299586651</v>
      </c>
      <c r="Q115" s="151">
        <v>8815157</v>
      </c>
      <c r="R115" s="151">
        <v>3513012</v>
      </c>
      <c r="S115" s="151">
        <v>1891658</v>
      </c>
      <c r="T115" s="144">
        <f t="shared" si="8"/>
        <v>0.39851950453066237</v>
      </c>
      <c r="U115" s="144">
        <f t="shared" si="9"/>
        <v>0.21459152684404828</v>
      </c>
      <c r="V115" s="142">
        <f t="shared" si="213"/>
        <v>113167</v>
      </c>
      <c r="W115" s="142">
        <f t="shared" si="218"/>
        <v>4403</v>
      </c>
      <c r="X115" s="148">
        <f t="shared" ref="X115:Z115" si="243">Q115-G115</f>
        <v>7903526</v>
      </c>
      <c r="Y115" s="142">
        <f t="shared" si="243"/>
        <v>2917358</v>
      </c>
      <c r="Z115" s="142">
        <f t="shared" si="243"/>
        <v>1356385</v>
      </c>
      <c r="AA115" s="144">
        <f t="shared" si="220"/>
        <v>0.36912107330323202</v>
      </c>
      <c r="AB115" s="144">
        <f t="shared" si="221"/>
        <v>0.17161770581889652</v>
      </c>
      <c r="AC115" s="151"/>
      <c r="AD115" s="151"/>
      <c r="AE115" s="151"/>
      <c r="AF115" s="151"/>
      <c r="AG115" s="151"/>
      <c r="AH115" s="151">
        <v>1468764</v>
      </c>
      <c r="AI115" s="152">
        <v>1537962</v>
      </c>
      <c r="AJ115" s="152">
        <v>1405320</v>
      </c>
      <c r="AK115" s="151" t="s">
        <v>377</v>
      </c>
      <c r="AL115" s="151" t="s">
        <v>378</v>
      </c>
      <c r="AM115" s="152">
        <v>21553118</v>
      </c>
      <c r="AN115" s="152">
        <v>4297454</v>
      </c>
      <c r="AO115" s="152">
        <v>2566748</v>
      </c>
      <c r="AP115" s="151" t="s">
        <v>379</v>
      </c>
      <c r="AQ115" s="151" t="s">
        <v>182</v>
      </c>
      <c r="AR115" s="151">
        <v>17327169</v>
      </c>
      <c r="AS115" s="152">
        <v>17587982</v>
      </c>
      <c r="AT115" s="152">
        <v>8391162</v>
      </c>
      <c r="AU115" s="151" t="s">
        <v>380</v>
      </c>
      <c r="AV115" s="151" t="s">
        <v>381</v>
      </c>
      <c r="AW115" s="151">
        <v>181554465</v>
      </c>
      <c r="AX115" s="145">
        <f t="shared" ref="AX115:AY115" si="244">AI115+AN115+AS115</f>
        <v>23423398</v>
      </c>
      <c r="AY115" s="149">
        <f t="shared" si="244"/>
        <v>12363230</v>
      </c>
      <c r="AZ115" s="151" t="s">
        <v>225</v>
      </c>
      <c r="BA115" s="151" t="s">
        <v>141</v>
      </c>
      <c r="BB115" s="146">
        <f t="shared" ref="BB115:BC115" si="245">AX115-AX114</f>
        <v>482698</v>
      </c>
      <c r="BC115" s="147">
        <f t="shared" si="245"/>
        <v>154886</v>
      </c>
      <c r="BD115" s="148">
        <f t="shared" ref="BD115:BF115" si="246">AW115-AM115</f>
        <v>160001347</v>
      </c>
      <c r="BE115" s="148">
        <f t="shared" si="246"/>
        <v>19125944</v>
      </c>
      <c r="BF115" s="148">
        <f t="shared" si="246"/>
        <v>9796482</v>
      </c>
      <c r="BG115" s="144">
        <f t="shared" si="225"/>
        <v>0.1195361436550906</v>
      </c>
      <c r="BH115" s="144">
        <f t="shared" si="226"/>
        <v>6.1227497041009285E-2</v>
      </c>
      <c r="BI115" s="144"/>
      <c r="BJ115" s="144"/>
      <c r="BK115" s="144"/>
      <c r="BL115" s="144"/>
      <c r="BM115" s="144"/>
      <c r="BN115" s="144">
        <f t="shared" ref="BN115:BO115" si="247">V115/BB115</f>
        <v>0.23444679696207565</v>
      </c>
      <c r="BO115" s="144">
        <f t="shared" si="247"/>
        <v>2.8427359477292975E-2</v>
      </c>
      <c r="BP115" s="153" t="s">
        <v>386</v>
      </c>
      <c r="BQ115" s="153" t="s">
        <v>387</v>
      </c>
      <c r="BR115" s="153" t="s">
        <v>340</v>
      </c>
      <c r="BS115" s="153" t="s">
        <v>340</v>
      </c>
    </row>
    <row r="116" spans="1:71" ht="14.5" x14ac:dyDescent="0.25">
      <c r="A116" s="141">
        <v>44370</v>
      </c>
      <c r="B116" s="151">
        <v>112301</v>
      </c>
      <c r="C116" s="152">
        <v>135728</v>
      </c>
      <c r="D116" s="152">
        <v>121377</v>
      </c>
      <c r="E116" s="143">
        <f t="shared" si="0"/>
        <v>1.2086090061531063</v>
      </c>
      <c r="F116" s="143">
        <f t="shared" si="1"/>
        <v>1.0808185145279205</v>
      </c>
      <c r="G116" s="151">
        <v>911631</v>
      </c>
      <c r="H116" s="152">
        <v>595654</v>
      </c>
      <c r="I116" s="152">
        <v>535273</v>
      </c>
      <c r="J116" s="143">
        <f t="shared" si="2"/>
        <v>0.65339375251609477</v>
      </c>
      <c r="K116" s="143">
        <f t="shared" si="3"/>
        <v>0.58715971703463354</v>
      </c>
      <c r="L116" s="151">
        <v>1976757</v>
      </c>
      <c r="M116" s="145">
        <f t="shared" si="200"/>
        <v>2861777</v>
      </c>
      <c r="N116" s="145">
        <f t="shared" si="208"/>
        <v>1238158</v>
      </c>
      <c r="O116" s="143">
        <f t="shared" si="4"/>
        <v>1.4477130977656838</v>
      </c>
      <c r="P116" s="143">
        <f t="shared" si="5"/>
        <v>0.62635822207787806</v>
      </c>
      <c r="Q116" s="151">
        <v>8815157</v>
      </c>
      <c r="R116" s="151">
        <v>3593159</v>
      </c>
      <c r="S116" s="151">
        <v>1894808</v>
      </c>
      <c r="T116" s="144">
        <f t="shared" si="8"/>
        <v>0.40761145830981799</v>
      </c>
      <c r="U116" s="144">
        <f t="shared" si="9"/>
        <v>0.2149488659135623</v>
      </c>
      <c r="V116" s="142">
        <f t="shared" si="213"/>
        <v>80147</v>
      </c>
      <c r="W116" s="142">
        <f t="shared" si="218"/>
        <v>3150</v>
      </c>
      <c r="X116" s="148">
        <f t="shared" ref="X116:Z116" si="248">Q116-G116</f>
        <v>7903526</v>
      </c>
      <c r="Y116" s="142">
        <f t="shared" si="248"/>
        <v>2997505</v>
      </c>
      <c r="Z116" s="142">
        <f t="shared" si="248"/>
        <v>1359535</v>
      </c>
      <c r="AA116" s="144">
        <f t="shared" si="220"/>
        <v>0.3792617371031613</v>
      </c>
      <c r="AB116" s="144">
        <f t="shared" si="221"/>
        <v>0.17201626210883597</v>
      </c>
      <c r="AC116" s="151"/>
      <c r="AD116" s="151"/>
      <c r="AE116" s="151"/>
      <c r="AF116" s="151"/>
      <c r="AG116" s="151"/>
      <c r="AH116" s="151">
        <v>1468764</v>
      </c>
      <c r="AI116" s="152">
        <v>1539429</v>
      </c>
      <c r="AJ116" s="152">
        <v>1407070</v>
      </c>
      <c r="AK116" s="151" t="s">
        <v>377</v>
      </c>
      <c r="AL116" s="151" t="s">
        <v>378</v>
      </c>
      <c r="AM116" s="152">
        <v>21553118</v>
      </c>
      <c r="AN116" s="152">
        <v>4330129</v>
      </c>
      <c r="AO116" s="152">
        <v>2601206</v>
      </c>
      <c r="AP116" s="151" t="s">
        <v>379</v>
      </c>
      <c r="AQ116" s="151" t="s">
        <v>182</v>
      </c>
      <c r="AR116" s="151">
        <v>17327169</v>
      </c>
      <c r="AS116" s="152">
        <v>18017043</v>
      </c>
      <c r="AT116" s="152">
        <v>8537350</v>
      </c>
      <c r="AU116" s="151" t="s">
        <v>380</v>
      </c>
      <c r="AV116" s="151" t="s">
        <v>381</v>
      </c>
      <c r="AW116" s="151">
        <v>181554465</v>
      </c>
      <c r="AX116" s="145">
        <f t="shared" ref="AX116:AY116" si="249">AI116+AN116+AS116</f>
        <v>23886601</v>
      </c>
      <c r="AY116" s="149">
        <f t="shared" si="249"/>
        <v>12545626</v>
      </c>
      <c r="AZ116" s="151" t="s">
        <v>225</v>
      </c>
      <c r="BA116" s="151" t="s">
        <v>141</v>
      </c>
      <c r="BB116" s="146">
        <f t="shared" ref="BB116:BC116" si="250">AX116-AX115</f>
        <v>463203</v>
      </c>
      <c r="BC116" s="147">
        <f t="shared" si="250"/>
        <v>182396</v>
      </c>
      <c r="BD116" s="148">
        <f t="shared" ref="BD116:BF116" si="251">AW116-AM116</f>
        <v>160001347</v>
      </c>
      <c r="BE116" s="148">
        <f t="shared" si="251"/>
        <v>19556472</v>
      </c>
      <c r="BF116" s="148">
        <f t="shared" si="251"/>
        <v>9944420</v>
      </c>
      <c r="BG116" s="144">
        <f t="shared" si="225"/>
        <v>0.12222692100210882</v>
      </c>
      <c r="BH116" s="144">
        <f t="shared" si="226"/>
        <v>6.215210175699333E-2</v>
      </c>
      <c r="BI116" s="144"/>
      <c r="BJ116" s="144"/>
      <c r="BK116" s="144"/>
      <c r="BL116" s="144"/>
      <c r="BM116" s="144"/>
      <c r="BN116" s="144">
        <f t="shared" ref="BN116:BO116" si="252">V116/BB116</f>
        <v>0.17302780854182723</v>
      </c>
      <c r="BO116" s="144">
        <f t="shared" si="252"/>
        <v>1.7270115572709927E-2</v>
      </c>
      <c r="BP116" s="153" t="s">
        <v>388</v>
      </c>
      <c r="BQ116" s="153" t="s">
        <v>389</v>
      </c>
      <c r="BR116" s="153" t="s">
        <v>340</v>
      </c>
      <c r="BS116" s="153" t="s">
        <v>340</v>
      </c>
    </row>
    <row r="117" spans="1:71" ht="14.5" x14ac:dyDescent="0.25">
      <c r="A117" s="141">
        <v>44371</v>
      </c>
      <c r="B117" s="151">
        <v>112301</v>
      </c>
      <c r="C117" s="152">
        <v>135728</v>
      </c>
      <c r="D117" s="152">
        <v>121377</v>
      </c>
      <c r="E117" s="143">
        <f t="shared" si="0"/>
        <v>1.2086090061531063</v>
      </c>
      <c r="F117" s="143">
        <f t="shared" si="1"/>
        <v>1.0808185145279205</v>
      </c>
      <c r="G117" s="151">
        <v>911631</v>
      </c>
      <c r="H117" s="152">
        <v>595654</v>
      </c>
      <c r="I117" s="152">
        <v>535273</v>
      </c>
      <c r="J117" s="143">
        <f t="shared" si="2"/>
        <v>0.65339375251609477</v>
      </c>
      <c r="K117" s="143">
        <f t="shared" si="3"/>
        <v>0.58715971703463354</v>
      </c>
      <c r="L117" s="151">
        <v>1976757</v>
      </c>
      <c r="M117" s="145">
        <f t="shared" si="200"/>
        <v>3022069</v>
      </c>
      <c r="N117" s="145">
        <f t="shared" si="208"/>
        <v>1241917</v>
      </c>
      <c r="O117" s="143">
        <f t="shared" si="4"/>
        <v>1.528801466239907</v>
      </c>
      <c r="P117" s="143">
        <f t="shared" si="5"/>
        <v>0.62825982151574522</v>
      </c>
      <c r="Q117" s="151">
        <v>8815157</v>
      </c>
      <c r="R117" s="151">
        <v>3753451</v>
      </c>
      <c r="S117" s="151">
        <v>1898567</v>
      </c>
      <c r="T117" s="144">
        <f t="shared" si="8"/>
        <v>0.42579513898618027</v>
      </c>
      <c r="U117" s="144">
        <f t="shared" si="9"/>
        <v>0.21537529053651569</v>
      </c>
      <c r="V117" s="142">
        <f t="shared" si="213"/>
        <v>160292</v>
      </c>
      <c r="W117" s="142">
        <f t="shared" si="218"/>
        <v>3759</v>
      </c>
      <c r="X117" s="148">
        <f t="shared" ref="X117:Z117" si="253">Q117-G117</f>
        <v>7903526</v>
      </c>
      <c r="Y117" s="142">
        <f t="shared" si="253"/>
        <v>3157797</v>
      </c>
      <c r="Z117" s="142">
        <f t="shared" si="253"/>
        <v>1363294</v>
      </c>
      <c r="AA117" s="144">
        <f t="shared" si="220"/>
        <v>0.39954281165140726</v>
      </c>
      <c r="AB117" s="144">
        <f t="shared" si="221"/>
        <v>0.1724918726148304</v>
      </c>
      <c r="AC117" s="151"/>
      <c r="AD117" s="151"/>
      <c r="AE117" s="151"/>
      <c r="AF117" s="151"/>
      <c r="AG117" s="151"/>
      <c r="AH117" s="151">
        <v>1468764</v>
      </c>
      <c r="AI117" s="152">
        <v>1540826</v>
      </c>
      <c r="AJ117" s="152">
        <v>1408028</v>
      </c>
      <c r="AK117" s="151" t="s">
        <v>377</v>
      </c>
      <c r="AL117" s="151" t="s">
        <v>378</v>
      </c>
      <c r="AM117" s="152">
        <v>21553118</v>
      </c>
      <c r="AN117" s="152">
        <v>4416377</v>
      </c>
      <c r="AO117" s="152">
        <v>2613878</v>
      </c>
      <c r="AP117" s="151" t="s">
        <v>379</v>
      </c>
      <c r="AQ117" s="151" t="s">
        <v>182</v>
      </c>
      <c r="AR117" s="151">
        <v>17327169</v>
      </c>
      <c r="AS117" s="152">
        <v>18590105</v>
      </c>
      <c r="AT117" s="152">
        <v>8610802</v>
      </c>
      <c r="AU117" s="151" t="s">
        <v>380</v>
      </c>
      <c r="AV117" s="151" t="s">
        <v>381</v>
      </c>
      <c r="AW117" s="151">
        <v>181554465</v>
      </c>
      <c r="AX117" s="145">
        <f t="shared" ref="AX117:AY117" si="254">AI117+AN117+AS117</f>
        <v>24547308</v>
      </c>
      <c r="AY117" s="149">
        <f t="shared" si="254"/>
        <v>12632708</v>
      </c>
      <c r="AZ117" s="151" t="s">
        <v>225</v>
      </c>
      <c r="BA117" s="151" t="s">
        <v>141</v>
      </c>
      <c r="BB117" s="146">
        <f t="shared" ref="BB117:BC117" si="255">AX117-AX116</f>
        <v>660707</v>
      </c>
      <c r="BC117" s="147">
        <f t="shared" si="255"/>
        <v>87082</v>
      </c>
      <c r="BD117" s="148">
        <f t="shared" ref="BD117:BF117" si="256">AW117-AM117</f>
        <v>160001347</v>
      </c>
      <c r="BE117" s="148">
        <f t="shared" si="256"/>
        <v>20130931</v>
      </c>
      <c r="BF117" s="148">
        <f t="shared" si="256"/>
        <v>10018830</v>
      </c>
      <c r="BG117" s="144">
        <f t="shared" si="225"/>
        <v>0.12581725952594636</v>
      </c>
      <c r="BH117" s="144">
        <f t="shared" si="226"/>
        <v>6.2617160341781372E-2</v>
      </c>
      <c r="BI117" s="144"/>
      <c r="BJ117" s="144"/>
      <c r="BK117" s="144"/>
      <c r="BL117" s="144"/>
      <c r="BM117" s="144"/>
      <c r="BN117" s="144">
        <f t="shared" ref="BN117:BO117" si="257">V117/BB117</f>
        <v>0.24260678333966493</v>
      </c>
      <c r="BO117" s="144">
        <f t="shared" si="257"/>
        <v>4.3166211157300016E-2</v>
      </c>
      <c r="BP117" s="153" t="s">
        <v>390</v>
      </c>
      <c r="BQ117" s="153" t="s">
        <v>391</v>
      </c>
      <c r="BR117" s="153" t="s">
        <v>340</v>
      </c>
      <c r="BS117" s="153" t="s">
        <v>340</v>
      </c>
    </row>
    <row r="118" spans="1:71" ht="14.5" x14ac:dyDescent="0.25">
      <c r="A118" s="141">
        <v>44372</v>
      </c>
      <c r="B118" s="151">
        <v>112301</v>
      </c>
      <c r="C118" s="152">
        <v>135728</v>
      </c>
      <c r="D118" s="152">
        <v>121377</v>
      </c>
      <c r="E118" s="143">
        <f t="shared" si="0"/>
        <v>1.2086090061531063</v>
      </c>
      <c r="F118" s="143">
        <f t="shared" si="1"/>
        <v>1.0808185145279205</v>
      </c>
      <c r="G118" s="151">
        <v>911631</v>
      </c>
      <c r="H118" s="152">
        <v>595654</v>
      </c>
      <c r="I118" s="152">
        <v>535273</v>
      </c>
      <c r="J118" s="143">
        <f t="shared" si="2"/>
        <v>0.65339375251609477</v>
      </c>
      <c r="K118" s="143">
        <f t="shared" si="3"/>
        <v>0.58715971703463354</v>
      </c>
      <c r="L118" s="151">
        <v>1976757</v>
      </c>
      <c r="M118" s="145">
        <f t="shared" si="200"/>
        <v>3152714</v>
      </c>
      <c r="N118" s="145">
        <f t="shared" si="208"/>
        <v>1245683</v>
      </c>
      <c r="O118" s="143">
        <f t="shared" si="4"/>
        <v>1.594892037817496</v>
      </c>
      <c r="P118" s="143">
        <f t="shared" si="5"/>
        <v>0.63016496210712802</v>
      </c>
      <c r="Q118" s="151">
        <v>8815157</v>
      </c>
      <c r="R118" s="151">
        <v>3884096</v>
      </c>
      <c r="S118" s="151">
        <v>1902333</v>
      </c>
      <c r="T118" s="144">
        <f t="shared" si="8"/>
        <v>0.44061563509305618</v>
      </c>
      <c r="U118" s="144">
        <f t="shared" si="9"/>
        <v>0.21580250924629021</v>
      </c>
      <c r="V118" s="142">
        <f t="shared" si="213"/>
        <v>130645</v>
      </c>
      <c r="W118" s="142">
        <f t="shared" si="218"/>
        <v>3766</v>
      </c>
      <c r="X118" s="148">
        <f t="shared" ref="X118:Z118" si="258">Q118-G118</f>
        <v>7903526</v>
      </c>
      <c r="Y118" s="142">
        <f t="shared" si="258"/>
        <v>3288442</v>
      </c>
      <c r="Z118" s="142">
        <f t="shared" si="258"/>
        <v>1367060</v>
      </c>
      <c r="AA118" s="144">
        <f t="shared" si="220"/>
        <v>0.4160727756193881</v>
      </c>
      <c r="AB118" s="144">
        <f t="shared" si="221"/>
        <v>0.17296836880146912</v>
      </c>
      <c r="AC118" s="151"/>
      <c r="AD118" s="151"/>
      <c r="AE118" s="151"/>
      <c r="AF118" s="151"/>
      <c r="AG118" s="151"/>
      <c r="AH118" s="151">
        <v>1468764</v>
      </c>
      <c r="AI118" s="152">
        <v>1543211</v>
      </c>
      <c r="AJ118" s="152">
        <v>1410448</v>
      </c>
      <c r="AK118" s="151" t="s">
        <v>377</v>
      </c>
      <c r="AL118" s="151" t="s">
        <v>378</v>
      </c>
      <c r="AM118" s="152">
        <v>21553118</v>
      </c>
      <c r="AN118" s="152">
        <v>4491314</v>
      </c>
      <c r="AO118" s="152">
        <v>2658959</v>
      </c>
      <c r="AP118" s="151" t="s">
        <v>379</v>
      </c>
      <c r="AQ118" s="151" t="s">
        <v>182</v>
      </c>
      <c r="AR118" s="151">
        <v>17327169</v>
      </c>
      <c r="AS118" s="152">
        <v>19321558</v>
      </c>
      <c r="AT118" s="152">
        <v>8799473</v>
      </c>
      <c r="AU118" s="151" t="s">
        <v>380</v>
      </c>
      <c r="AV118" s="151" t="s">
        <v>381</v>
      </c>
      <c r="AW118" s="151">
        <v>181554465</v>
      </c>
      <c r="AX118" s="145">
        <f t="shared" ref="AX118:AY118" si="259">AI118+AN118+AS118</f>
        <v>25356083</v>
      </c>
      <c r="AY118" s="149">
        <f t="shared" si="259"/>
        <v>12868880</v>
      </c>
      <c r="AZ118" s="151" t="s">
        <v>225</v>
      </c>
      <c r="BA118" s="151" t="s">
        <v>141</v>
      </c>
      <c r="BB118" s="146">
        <f t="shared" ref="BB118:BC118" si="260">AX118-AX117</f>
        <v>808775</v>
      </c>
      <c r="BC118" s="147">
        <f t="shared" si="260"/>
        <v>236172</v>
      </c>
      <c r="BD118" s="148">
        <f t="shared" ref="BD118:BF118" si="261">AW118-AM118</f>
        <v>160001347</v>
      </c>
      <c r="BE118" s="148">
        <f t="shared" si="261"/>
        <v>20864769</v>
      </c>
      <c r="BF118" s="148">
        <f t="shared" si="261"/>
        <v>10209921</v>
      </c>
      <c r="BG118" s="144">
        <f t="shared" si="225"/>
        <v>0.1304037084137798</v>
      </c>
      <c r="BH118" s="144">
        <f t="shared" si="226"/>
        <v>6.3811469037195048E-2</v>
      </c>
      <c r="BI118" s="144"/>
      <c r="BJ118" s="144"/>
      <c r="BK118" s="144"/>
      <c r="BL118" s="144"/>
      <c r="BM118" s="144"/>
      <c r="BN118" s="144">
        <f t="shared" ref="BN118:BO118" si="262">V118/BB118</f>
        <v>0.16153441933788754</v>
      </c>
      <c r="BO118" s="144">
        <f t="shared" si="262"/>
        <v>1.5946005453652424E-2</v>
      </c>
      <c r="BP118" s="153" t="s">
        <v>392</v>
      </c>
      <c r="BQ118" s="153" t="s">
        <v>393</v>
      </c>
      <c r="BR118" s="153" t="s">
        <v>340</v>
      </c>
      <c r="BS118" s="153" t="s">
        <v>340</v>
      </c>
    </row>
    <row r="119" spans="1:71" ht="14.5" x14ac:dyDescent="0.25">
      <c r="A119" s="141">
        <v>44373</v>
      </c>
      <c r="B119" s="151">
        <v>112301</v>
      </c>
      <c r="C119" s="152">
        <v>135728</v>
      </c>
      <c r="D119" s="152">
        <v>121377</v>
      </c>
      <c r="E119" s="143">
        <f t="shared" si="0"/>
        <v>1.2086090061531063</v>
      </c>
      <c r="F119" s="143">
        <f t="shared" si="1"/>
        <v>1.0808185145279205</v>
      </c>
      <c r="G119" s="151">
        <v>911631</v>
      </c>
      <c r="H119" s="152">
        <v>595654</v>
      </c>
      <c r="I119" s="152">
        <v>535273</v>
      </c>
      <c r="J119" s="143">
        <f t="shared" si="2"/>
        <v>0.65339375251609477</v>
      </c>
      <c r="K119" s="143">
        <f t="shared" si="3"/>
        <v>0.58715971703463354</v>
      </c>
      <c r="L119" s="151">
        <v>1976757</v>
      </c>
      <c r="M119" s="145">
        <f t="shared" si="200"/>
        <v>3286874</v>
      </c>
      <c r="N119" s="145">
        <f t="shared" si="208"/>
        <v>1250631</v>
      </c>
      <c r="O119" s="143">
        <f t="shared" si="4"/>
        <v>1.6627607743389805</v>
      </c>
      <c r="P119" s="143">
        <f t="shared" si="5"/>
        <v>0.63266805176357033</v>
      </c>
      <c r="Q119" s="151">
        <v>8815157</v>
      </c>
      <c r="R119" s="151">
        <v>4018256</v>
      </c>
      <c r="S119" s="151">
        <v>1907281</v>
      </c>
      <c r="T119" s="144">
        <f t="shared" si="8"/>
        <v>0.45583487622511998</v>
      </c>
      <c r="U119" s="144">
        <f t="shared" si="9"/>
        <v>0.21636381518786335</v>
      </c>
      <c r="V119" s="142">
        <f t="shared" si="213"/>
        <v>134160</v>
      </c>
      <c r="W119" s="142">
        <f t="shared" si="218"/>
        <v>4948</v>
      </c>
      <c r="X119" s="148">
        <f t="shared" ref="X119:Z119" si="263">Q119-G119</f>
        <v>7903526</v>
      </c>
      <c r="Y119" s="142">
        <f t="shared" si="263"/>
        <v>3422602</v>
      </c>
      <c r="Z119" s="142">
        <f t="shared" si="263"/>
        <v>1372008</v>
      </c>
      <c r="AA119" s="144">
        <f t="shared" si="220"/>
        <v>0.4330474777966189</v>
      </c>
      <c r="AB119" s="144">
        <f t="shared" si="221"/>
        <v>0.17359441849118989</v>
      </c>
      <c r="AC119" s="151"/>
      <c r="AD119" s="151"/>
      <c r="AE119" s="151"/>
      <c r="AF119" s="151"/>
      <c r="AG119" s="151"/>
      <c r="AH119" s="151">
        <v>1468764</v>
      </c>
      <c r="AI119" s="152">
        <v>1543804</v>
      </c>
      <c r="AJ119" s="152">
        <v>1411033</v>
      </c>
      <c r="AK119" s="151" t="s">
        <v>377</v>
      </c>
      <c r="AL119" s="151" t="s">
        <v>378</v>
      </c>
      <c r="AM119" s="152">
        <v>21553118</v>
      </c>
      <c r="AN119" s="152">
        <v>4508011</v>
      </c>
      <c r="AO119" s="152">
        <v>2665030</v>
      </c>
      <c r="AP119" s="151" t="s">
        <v>379</v>
      </c>
      <c r="AQ119" s="151" t="s">
        <v>182</v>
      </c>
      <c r="AR119" s="151">
        <v>17327169</v>
      </c>
      <c r="AS119" s="152">
        <v>19555505</v>
      </c>
      <c r="AT119" s="152">
        <v>8835815</v>
      </c>
      <c r="AU119" s="151" t="s">
        <v>380</v>
      </c>
      <c r="AV119" s="151" t="s">
        <v>381</v>
      </c>
      <c r="AW119" s="151">
        <v>181554465</v>
      </c>
      <c r="AX119" s="145">
        <f t="shared" ref="AX119:AY119" si="264">AI119+AN119+AS119</f>
        <v>25607320</v>
      </c>
      <c r="AY119" s="149">
        <f t="shared" si="264"/>
        <v>12911878</v>
      </c>
      <c r="AZ119" s="151" t="s">
        <v>225</v>
      </c>
      <c r="BA119" s="151" t="s">
        <v>141</v>
      </c>
      <c r="BB119" s="146">
        <f t="shared" ref="BB119:BC119" si="265">AX119-AX118</f>
        <v>251237</v>
      </c>
      <c r="BC119" s="147">
        <f t="shared" si="265"/>
        <v>42998</v>
      </c>
      <c r="BD119" s="148">
        <f t="shared" ref="BD119:BF119" si="266">AW119-AM119</f>
        <v>160001347</v>
      </c>
      <c r="BE119" s="148">
        <f t="shared" si="266"/>
        <v>21099309</v>
      </c>
      <c r="BF119" s="148">
        <f t="shared" si="266"/>
        <v>10246848</v>
      </c>
      <c r="BG119" s="144">
        <f t="shared" si="225"/>
        <v>0.13186957107304853</v>
      </c>
      <c r="BH119" s="144">
        <f t="shared" si="226"/>
        <v>6.404226084421652E-2</v>
      </c>
      <c r="BI119" s="144"/>
      <c r="BJ119" s="144"/>
      <c r="BK119" s="144"/>
      <c r="BL119" s="144"/>
      <c r="BM119" s="144"/>
      <c r="BN119" s="144">
        <f t="shared" ref="BN119:BO119" si="267">V119/BB119</f>
        <v>0.53399777898955969</v>
      </c>
      <c r="BO119" s="144">
        <f t="shared" si="267"/>
        <v>0.1150751197730127</v>
      </c>
      <c r="BP119" s="153" t="s">
        <v>394</v>
      </c>
      <c r="BQ119" s="153" t="s">
        <v>395</v>
      </c>
      <c r="BR119" s="153" t="s">
        <v>340</v>
      </c>
      <c r="BS119" s="153" t="s">
        <v>340</v>
      </c>
    </row>
    <row r="120" spans="1:71" ht="14.5" x14ac:dyDescent="0.25">
      <c r="A120" s="141">
        <v>44374</v>
      </c>
      <c r="B120" s="151">
        <v>112301</v>
      </c>
      <c r="C120" s="152">
        <v>135728</v>
      </c>
      <c r="D120" s="152">
        <v>121377</v>
      </c>
      <c r="E120" s="143">
        <f t="shared" si="0"/>
        <v>1.2086090061531063</v>
      </c>
      <c r="F120" s="143">
        <f t="shared" si="1"/>
        <v>1.0808185145279205</v>
      </c>
      <c r="G120" s="151">
        <v>911631</v>
      </c>
      <c r="H120" s="152">
        <v>595654</v>
      </c>
      <c r="I120" s="152">
        <v>535273</v>
      </c>
      <c r="J120" s="143">
        <f t="shared" si="2"/>
        <v>0.65339375251609477</v>
      </c>
      <c r="K120" s="143">
        <f t="shared" si="3"/>
        <v>0.58715971703463354</v>
      </c>
      <c r="L120" s="151">
        <v>1976757</v>
      </c>
      <c r="M120" s="145">
        <f t="shared" si="200"/>
        <v>3346354</v>
      </c>
      <c r="N120" s="145">
        <f t="shared" si="208"/>
        <v>1254580</v>
      </c>
      <c r="O120" s="143">
        <f t="shared" si="4"/>
        <v>1.6928504616399487</v>
      </c>
      <c r="P120" s="143">
        <f t="shared" si="5"/>
        <v>0.63466576822543186</v>
      </c>
      <c r="Q120" s="151">
        <v>8815157</v>
      </c>
      <c r="R120" s="151">
        <v>4077736</v>
      </c>
      <c r="S120" s="151">
        <v>1911230</v>
      </c>
      <c r="T120" s="144">
        <f t="shared" si="8"/>
        <v>0.46258234538534027</v>
      </c>
      <c r="U120" s="144">
        <f t="shared" si="9"/>
        <v>0.21681179359596203</v>
      </c>
      <c r="V120" s="142">
        <f t="shared" si="213"/>
        <v>59480</v>
      </c>
      <c r="W120" s="142">
        <f t="shared" si="218"/>
        <v>3949</v>
      </c>
      <c r="X120" s="148">
        <f t="shared" ref="X120:Z120" si="268">Q120-G120</f>
        <v>7903526</v>
      </c>
      <c r="Y120" s="142">
        <f t="shared" si="268"/>
        <v>3482082</v>
      </c>
      <c r="Z120" s="142">
        <f t="shared" si="268"/>
        <v>1375957</v>
      </c>
      <c r="AA120" s="144">
        <f t="shared" si="220"/>
        <v>0.4405732327571264</v>
      </c>
      <c r="AB120" s="144">
        <f t="shared" si="221"/>
        <v>0.17409406890038701</v>
      </c>
      <c r="AC120" s="151"/>
      <c r="AD120" s="151"/>
      <c r="AE120" s="151"/>
      <c r="AF120" s="151"/>
      <c r="AG120" s="151"/>
      <c r="AH120" s="151">
        <v>1468764</v>
      </c>
      <c r="AI120" s="152">
        <v>1545890</v>
      </c>
      <c r="AJ120" s="152">
        <v>1411913</v>
      </c>
      <c r="AK120" s="151" t="s">
        <v>377</v>
      </c>
      <c r="AL120" s="151" t="s">
        <v>378</v>
      </c>
      <c r="AM120" s="152">
        <v>21553118</v>
      </c>
      <c r="AN120" s="152">
        <v>4560867</v>
      </c>
      <c r="AO120" s="152">
        <v>2684960</v>
      </c>
      <c r="AP120" s="151" t="s">
        <v>379</v>
      </c>
      <c r="AQ120" s="151" t="s">
        <v>182</v>
      </c>
      <c r="AR120" s="151">
        <v>17327169</v>
      </c>
      <c r="AS120" s="152">
        <v>20218243</v>
      </c>
      <c r="AT120" s="152">
        <v>8923261</v>
      </c>
      <c r="AU120" s="151" t="s">
        <v>380</v>
      </c>
      <c r="AV120" s="151" t="s">
        <v>381</v>
      </c>
      <c r="AW120" s="151">
        <v>181554465</v>
      </c>
      <c r="AX120" s="145">
        <f t="shared" ref="AX120:AY120" si="269">AI120+AN120+AS120</f>
        <v>26325000</v>
      </c>
      <c r="AY120" s="149">
        <f t="shared" si="269"/>
        <v>13020134</v>
      </c>
      <c r="AZ120" s="151" t="s">
        <v>225</v>
      </c>
      <c r="BA120" s="151" t="s">
        <v>141</v>
      </c>
      <c r="BB120" s="146">
        <f t="shared" ref="BB120:BC120" si="270">AX120-AX119</f>
        <v>717680</v>
      </c>
      <c r="BC120" s="147">
        <f t="shared" si="270"/>
        <v>108256</v>
      </c>
      <c r="BD120" s="148">
        <f t="shared" ref="BD120:BF120" si="271">AW120-AM120</f>
        <v>160001347</v>
      </c>
      <c r="BE120" s="148">
        <f t="shared" si="271"/>
        <v>21764133</v>
      </c>
      <c r="BF120" s="148">
        <f t="shared" si="271"/>
        <v>10335174</v>
      </c>
      <c r="BG120" s="144">
        <f t="shared" si="225"/>
        <v>0.13602468609217397</v>
      </c>
      <c r="BH120" s="144">
        <f t="shared" si="226"/>
        <v>6.4594293696789942E-2</v>
      </c>
      <c r="BI120" s="144"/>
      <c r="BJ120" s="144"/>
      <c r="BK120" s="144"/>
      <c r="BL120" s="144"/>
      <c r="BM120" s="144"/>
      <c r="BN120" s="144">
        <f t="shared" ref="BN120:BO120" si="272">V120/BB120</f>
        <v>8.2878162969568611E-2</v>
      </c>
      <c r="BO120" s="144">
        <f t="shared" si="272"/>
        <v>3.6478347620455216E-2</v>
      </c>
      <c r="BP120" s="153" t="s">
        <v>396</v>
      </c>
      <c r="BQ120" s="153" t="s">
        <v>397</v>
      </c>
      <c r="BR120" s="153" t="s">
        <v>340</v>
      </c>
      <c r="BS120" s="153" t="s">
        <v>340</v>
      </c>
    </row>
    <row r="121" spans="1:71" ht="14.5" x14ac:dyDescent="0.25">
      <c r="A121" s="141">
        <v>44375</v>
      </c>
      <c r="B121" s="151">
        <v>112301</v>
      </c>
      <c r="C121" s="152">
        <v>136733</v>
      </c>
      <c r="D121" s="152">
        <v>121794</v>
      </c>
      <c r="E121" s="143">
        <f t="shared" si="0"/>
        <v>1.2175581695621589</v>
      </c>
      <c r="F121" s="143">
        <f t="shared" si="1"/>
        <v>1.0845317494946616</v>
      </c>
      <c r="G121" s="151">
        <v>911631</v>
      </c>
      <c r="H121" s="152">
        <v>599877</v>
      </c>
      <c r="I121" s="152">
        <v>535273</v>
      </c>
      <c r="J121" s="143">
        <f t="shared" si="2"/>
        <v>0.65802610924814975</v>
      </c>
      <c r="K121" s="143">
        <f t="shared" si="3"/>
        <v>0.58715971703463354</v>
      </c>
      <c r="L121" s="151">
        <v>1976757</v>
      </c>
      <c r="M121" s="145">
        <f t="shared" si="200"/>
        <v>3368399</v>
      </c>
      <c r="N121" s="145">
        <f t="shared" si="208"/>
        <v>1255847</v>
      </c>
      <c r="O121" s="143">
        <f t="shared" si="4"/>
        <v>1.7040025658186615</v>
      </c>
      <c r="P121" s="143">
        <f t="shared" si="5"/>
        <v>0.63530671701175212</v>
      </c>
      <c r="Q121" s="151">
        <v>8815157</v>
      </c>
      <c r="R121" s="151">
        <v>4105009</v>
      </c>
      <c r="S121" s="151">
        <v>1912914</v>
      </c>
      <c r="T121" s="144">
        <f t="shared" si="8"/>
        <v>0.46567622108148499</v>
      </c>
      <c r="U121" s="144">
        <f t="shared" si="9"/>
        <v>0.21700282819693398</v>
      </c>
      <c r="V121" s="142">
        <f t="shared" si="213"/>
        <v>27273</v>
      </c>
      <c r="W121" s="142">
        <f t="shared" si="218"/>
        <v>1684</v>
      </c>
      <c r="X121" s="148">
        <f t="shared" ref="X121:Z121" si="273">Q121-G121</f>
        <v>7903526</v>
      </c>
      <c r="Y121" s="142">
        <f t="shared" si="273"/>
        <v>3505132</v>
      </c>
      <c r="Z121" s="142">
        <f t="shared" si="273"/>
        <v>1377641</v>
      </c>
      <c r="AA121" s="144">
        <f t="shared" si="220"/>
        <v>0.44348965259303252</v>
      </c>
      <c r="AB121" s="144">
        <f t="shared" si="221"/>
        <v>0.17430713835824668</v>
      </c>
      <c r="AC121" s="151"/>
      <c r="AD121" s="151"/>
      <c r="AE121" s="151"/>
      <c r="AF121" s="151"/>
      <c r="AG121" s="151"/>
      <c r="AH121" s="151">
        <v>1468764</v>
      </c>
      <c r="AI121" s="152">
        <v>1546838</v>
      </c>
      <c r="AJ121" s="152">
        <v>1412247</v>
      </c>
      <c r="AK121" s="151" t="s">
        <v>377</v>
      </c>
      <c r="AL121" s="151" t="s">
        <v>378</v>
      </c>
      <c r="AM121" s="152">
        <v>21553118</v>
      </c>
      <c r="AN121" s="152">
        <v>4599221</v>
      </c>
      <c r="AO121" s="152">
        <v>2689233</v>
      </c>
      <c r="AP121" s="151" t="s">
        <v>379</v>
      </c>
      <c r="AQ121" s="151" t="s">
        <v>182</v>
      </c>
      <c r="AR121" s="151">
        <v>17327169</v>
      </c>
      <c r="AS121" s="152">
        <v>20915791</v>
      </c>
      <c r="AT121" s="152">
        <v>8961524</v>
      </c>
      <c r="AU121" s="151" t="s">
        <v>380</v>
      </c>
      <c r="AV121" s="151" t="s">
        <v>381</v>
      </c>
      <c r="AW121" s="151">
        <v>181554465</v>
      </c>
      <c r="AX121" s="145">
        <f t="shared" ref="AX121:AY121" si="274">AI121+AN121+AS121</f>
        <v>27061850</v>
      </c>
      <c r="AY121" s="149">
        <f t="shared" si="274"/>
        <v>13063004</v>
      </c>
      <c r="AZ121" s="151" t="s">
        <v>225</v>
      </c>
      <c r="BA121" s="151" t="s">
        <v>141</v>
      </c>
      <c r="BB121" s="146">
        <f t="shared" ref="BB121:BC121" si="275">AX121-AX120</f>
        <v>736850</v>
      </c>
      <c r="BC121" s="147">
        <f t="shared" si="275"/>
        <v>42870</v>
      </c>
      <c r="BD121" s="148">
        <f t="shared" ref="BD121:BF121" si="276">AW121-AM121</f>
        <v>160001347</v>
      </c>
      <c r="BE121" s="148">
        <f t="shared" si="276"/>
        <v>22462629</v>
      </c>
      <c r="BF121" s="148">
        <f t="shared" si="276"/>
        <v>10373771</v>
      </c>
      <c r="BG121" s="144">
        <f t="shared" si="225"/>
        <v>0.14039024933958838</v>
      </c>
      <c r="BH121" s="144">
        <f t="shared" si="226"/>
        <v>6.4835522915941454E-2</v>
      </c>
      <c r="BI121" s="144"/>
      <c r="BJ121" s="144"/>
      <c r="BK121" s="144"/>
      <c r="BL121" s="144"/>
      <c r="BM121" s="144"/>
      <c r="BN121" s="144">
        <f t="shared" ref="BN121:BO121" si="277">V121/BB121</f>
        <v>3.7012960575422409E-2</v>
      </c>
      <c r="BO121" s="144">
        <f t="shared" si="277"/>
        <v>3.928154886867273E-2</v>
      </c>
      <c r="BP121" s="153" t="s">
        <v>398</v>
      </c>
      <c r="BQ121" s="153" t="s">
        <v>399</v>
      </c>
      <c r="BR121" s="153" t="s">
        <v>340</v>
      </c>
      <c r="BS121" s="153" t="s">
        <v>340</v>
      </c>
    </row>
    <row r="122" spans="1:71" ht="14.5" x14ac:dyDescent="0.25">
      <c r="A122" s="141">
        <v>44376</v>
      </c>
      <c r="B122" s="151">
        <v>112301</v>
      </c>
      <c r="C122" s="152">
        <v>136733</v>
      </c>
      <c r="D122" s="152">
        <v>121794</v>
      </c>
      <c r="E122" s="143">
        <f t="shared" si="0"/>
        <v>1.2175581695621589</v>
      </c>
      <c r="F122" s="143">
        <f t="shared" si="1"/>
        <v>1.0845317494946616</v>
      </c>
      <c r="G122" s="151">
        <v>911631</v>
      </c>
      <c r="H122" s="152">
        <v>599877</v>
      </c>
      <c r="I122" s="152">
        <v>535273</v>
      </c>
      <c r="J122" s="143">
        <f t="shared" si="2"/>
        <v>0.65802610924814975</v>
      </c>
      <c r="K122" s="143">
        <f t="shared" si="3"/>
        <v>0.58715971703463354</v>
      </c>
      <c r="L122" s="151">
        <v>1976757</v>
      </c>
      <c r="M122" s="145">
        <f t="shared" si="200"/>
        <v>3496352</v>
      </c>
      <c r="N122" s="145">
        <f t="shared" si="208"/>
        <v>1260595</v>
      </c>
      <c r="O122" s="143">
        <f t="shared" si="4"/>
        <v>1.7687313109299727</v>
      </c>
      <c r="P122" s="143">
        <f t="shared" si="5"/>
        <v>0.63770863085346352</v>
      </c>
      <c r="Q122" s="151">
        <v>8815157</v>
      </c>
      <c r="R122" s="151">
        <v>4232962</v>
      </c>
      <c r="S122" s="151">
        <v>1917662</v>
      </c>
      <c r="T122" s="144">
        <f t="shared" si="8"/>
        <v>0.48019133408514447</v>
      </c>
      <c r="U122" s="144">
        <f t="shared" si="9"/>
        <v>0.21754144594361735</v>
      </c>
      <c r="V122" s="142">
        <f t="shared" si="213"/>
        <v>127953</v>
      </c>
      <c r="W122" s="142">
        <f t="shared" si="218"/>
        <v>4748</v>
      </c>
      <c r="X122" s="148">
        <f t="shared" ref="X122:Z122" si="278">Q122-G122</f>
        <v>7903526</v>
      </c>
      <c r="Y122" s="142">
        <f t="shared" si="278"/>
        <v>3633085</v>
      </c>
      <c r="Z122" s="142">
        <f t="shared" si="278"/>
        <v>1382389</v>
      </c>
      <c r="AA122" s="144">
        <f t="shared" si="220"/>
        <v>0.45967900909037307</v>
      </c>
      <c r="AB122" s="144">
        <f t="shared" si="221"/>
        <v>0.17490788288670145</v>
      </c>
      <c r="AC122" s="151"/>
      <c r="AD122" s="151"/>
      <c r="AE122" s="151"/>
      <c r="AF122" s="151"/>
      <c r="AG122" s="151"/>
      <c r="AH122" s="151">
        <v>1468764</v>
      </c>
      <c r="AI122" s="151">
        <v>1548445</v>
      </c>
      <c r="AJ122" s="152">
        <v>1413333</v>
      </c>
      <c r="AK122" s="151" t="s">
        <v>377</v>
      </c>
      <c r="AL122" s="151" t="s">
        <v>378</v>
      </c>
      <c r="AM122" s="152">
        <v>21553118</v>
      </c>
      <c r="AN122" s="152">
        <v>4645870</v>
      </c>
      <c r="AO122" s="152">
        <v>2713547</v>
      </c>
      <c r="AP122" s="151" t="s">
        <v>379</v>
      </c>
      <c r="AQ122" s="151" t="s">
        <v>182</v>
      </c>
      <c r="AR122" s="151">
        <v>17327169</v>
      </c>
      <c r="AS122" s="152">
        <v>21454479</v>
      </c>
      <c r="AT122" s="152">
        <v>9076828</v>
      </c>
      <c r="AU122" s="151" t="s">
        <v>380</v>
      </c>
      <c r="AV122" s="151" t="s">
        <v>381</v>
      </c>
      <c r="AW122" s="151">
        <v>181554465</v>
      </c>
      <c r="AX122" s="145">
        <f t="shared" ref="AX122:AY122" si="279">AI122+AN122+AS122</f>
        <v>27648794</v>
      </c>
      <c r="AY122" s="149">
        <f t="shared" si="279"/>
        <v>13203708</v>
      </c>
      <c r="AZ122" s="151" t="s">
        <v>225</v>
      </c>
      <c r="BA122" s="151" t="s">
        <v>141</v>
      </c>
      <c r="BB122" s="146">
        <f t="shared" ref="BB122:BC122" si="280">AX122-AX121</f>
        <v>586944</v>
      </c>
      <c r="BC122" s="147">
        <f t="shared" si="280"/>
        <v>140704</v>
      </c>
      <c r="BD122" s="148">
        <f t="shared" ref="BD122:BF122" si="281">AW122-AM122</f>
        <v>160001347</v>
      </c>
      <c r="BE122" s="148">
        <f t="shared" si="281"/>
        <v>23002924</v>
      </c>
      <c r="BF122" s="148">
        <f t="shared" si="281"/>
        <v>10490161</v>
      </c>
      <c r="BG122" s="144">
        <f t="shared" si="225"/>
        <v>0.14376706466102437</v>
      </c>
      <c r="BH122" s="144">
        <f t="shared" si="226"/>
        <v>6.5562954291878556E-2</v>
      </c>
      <c r="BI122" s="144"/>
      <c r="BJ122" s="144"/>
      <c r="BK122" s="144"/>
      <c r="BL122" s="144"/>
      <c r="BM122" s="144"/>
      <c r="BN122" s="144">
        <f t="shared" ref="BN122:BO122" si="282">V122/BB122</f>
        <v>0.21799865063788026</v>
      </c>
      <c r="BO122" s="144">
        <f t="shared" si="282"/>
        <v>3.3744598589947689E-2</v>
      </c>
      <c r="BP122" s="153" t="s">
        <v>400</v>
      </c>
      <c r="BQ122" s="153" t="s">
        <v>401</v>
      </c>
      <c r="BR122" s="153" t="s">
        <v>340</v>
      </c>
      <c r="BS122" s="153" t="s">
        <v>340</v>
      </c>
    </row>
    <row r="123" spans="1:71" ht="14.5" x14ac:dyDescent="0.25">
      <c r="A123" s="141">
        <v>44377</v>
      </c>
      <c r="B123" s="151">
        <v>112301</v>
      </c>
      <c r="C123" s="152">
        <v>136733</v>
      </c>
      <c r="D123" s="152">
        <v>121794</v>
      </c>
      <c r="E123" s="143">
        <f t="shared" si="0"/>
        <v>1.2175581695621589</v>
      </c>
      <c r="F123" s="143">
        <f t="shared" si="1"/>
        <v>1.0845317494946616</v>
      </c>
      <c r="G123" s="151">
        <v>911631</v>
      </c>
      <c r="H123" s="152">
        <v>599877</v>
      </c>
      <c r="I123" s="152">
        <v>535273</v>
      </c>
      <c r="J123" s="143">
        <f t="shared" si="2"/>
        <v>0.65802610924814975</v>
      </c>
      <c r="K123" s="143">
        <f t="shared" si="3"/>
        <v>0.58715971703463354</v>
      </c>
      <c r="L123" s="151">
        <v>1976757</v>
      </c>
      <c r="M123" s="145">
        <f t="shared" si="200"/>
        <v>3629039</v>
      </c>
      <c r="N123" s="145">
        <f t="shared" si="208"/>
        <v>1263178</v>
      </c>
      <c r="O123" s="143">
        <f t="shared" si="4"/>
        <v>1.8358548875759642</v>
      </c>
      <c r="P123" s="143">
        <f t="shared" si="5"/>
        <v>0.63901531650071308</v>
      </c>
      <c r="Q123" s="151">
        <v>8815157</v>
      </c>
      <c r="R123" s="151">
        <v>4365649</v>
      </c>
      <c r="S123" s="151">
        <v>1920245</v>
      </c>
      <c r="T123" s="144">
        <f t="shared" si="8"/>
        <v>0.49524347666184504</v>
      </c>
      <c r="U123" s="144">
        <f t="shared" si="9"/>
        <v>0.21783446398061884</v>
      </c>
      <c r="V123" s="142">
        <f t="shared" si="213"/>
        <v>132687</v>
      </c>
      <c r="W123" s="142">
        <f t="shared" si="218"/>
        <v>2583</v>
      </c>
      <c r="X123" s="148">
        <f t="shared" ref="X123:Z123" si="283">Q123-G123</f>
        <v>7903526</v>
      </c>
      <c r="Y123" s="142">
        <f t="shared" si="283"/>
        <v>3765772</v>
      </c>
      <c r="Z123" s="142">
        <f t="shared" si="283"/>
        <v>1384972</v>
      </c>
      <c r="AA123" s="144">
        <f t="shared" si="220"/>
        <v>0.47646733875487979</v>
      </c>
      <c r="AB123" s="144">
        <f t="shared" si="221"/>
        <v>0.1752346990444518</v>
      </c>
      <c r="AC123" s="151"/>
      <c r="AD123" s="151"/>
      <c r="AE123" s="151"/>
      <c r="AF123" s="151"/>
      <c r="AG123" s="151"/>
      <c r="AH123" s="151">
        <v>1468764</v>
      </c>
      <c r="AI123" s="152">
        <v>1549827</v>
      </c>
      <c r="AJ123" s="152">
        <v>1413880</v>
      </c>
      <c r="AK123" s="151" t="s">
        <v>377</v>
      </c>
      <c r="AL123" s="151" t="s">
        <v>378</v>
      </c>
      <c r="AM123" s="152">
        <v>21553118</v>
      </c>
      <c r="AN123" s="152">
        <v>4681038</v>
      </c>
      <c r="AO123" s="152">
        <v>2725661</v>
      </c>
      <c r="AP123" s="151" t="s">
        <v>379</v>
      </c>
      <c r="AQ123" s="151" t="s">
        <v>182</v>
      </c>
      <c r="AR123" s="151">
        <v>17327169</v>
      </c>
      <c r="AS123" s="152">
        <v>21927884</v>
      </c>
      <c r="AT123" s="152">
        <v>9134165</v>
      </c>
      <c r="AU123" s="151" t="s">
        <v>380</v>
      </c>
      <c r="AV123" s="151" t="s">
        <v>381</v>
      </c>
      <c r="AW123" s="151">
        <v>181554465</v>
      </c>
      <c r="AX123" s="145">
        <f t="shared" ref="AX123:AY123" si="284">AI123+AN123+AS123</f>
        <v>28158749</v>
      </c>
      <c r="AY123" s="149">
        <f t="shared" si="284"/>
        <v>13273706</v>
      </c>
      <c r="AZ123" s="151" t="s">
        <v>225</v>
      </c>
      <c r="BA123" s="151" t="s">
        <v>141</v>
      </c>
      <c r="BB123" s="146">
        <f t="shared" ref="BB123:BC123" si="285">AX123-AX122</f>
        <v>509955</v>
      </c>
      <c r="BC123" s="147">
        <f t="shared" si="285"/>
        <v>69998</v>
      </c>
      <c r="BD123" s="148">
        <f t="shared" ref="BD123:BF123" si="286">AW123-AM123</f>
        <v>160001347</v>
      </c>
      <c r="BE123" s="148">
        <f t="shared" si="286"/>
        <v>23477711</v>
      </c>
      <c r="BF123" s="148">
        <f t="shared" si="286"/>
        <v>10548045</v>
      </c>
      <c r="BG123" s="144">
        <f t="shared" si="225"/>
        <v>0.1467344584292781</v>
      </c>
      <c r="BH123" s="144">
        <f t="shared" si="226"/>
        <v>6.5924726246210916E-2</v>
      </c>
      <c r="BI123" s="144"/>
      <c r="BJ123" s="144"/>
      <c r="BK123" s="144"/>
      <c r="BL123" s="144"/>
      <c r="BM123" s="144"/>
      <c r="BN123" s="144">
        <f t="shared" ref="BN123:BO123" si="287">V123/BB123</f>
        <v>0.26019354648939613</v>
      </c>
      <c r="BO123" s="144">
        <f t="shared" si="287"/>
        <v>3.6901054315837595E-2</v>
      </c>
      <c r="BP123" s="153" t="s">
        <v>402</v>
      </c>
      <c r="BQ123" s="153" t="s">
        <v>403</v>
      </c>
      <c r="BR123" s="153" t="s">
        <v>340</v>
      </c>
      <c r="BS123" s="153" t="s">
        <v>340</v>
      </c>
    </row>
    <row r="124" spans="1:71" ht="14.5" x14ac:dyDescent="0.25">
      <c r="A124" s="141">
        <v>44378</v>
      </c>
      <c r="B124" s="151">
        <v>112301</v>
      </c>
      <c r="C124" s="152">
        <v>136733</v>
      </c>
      <c r="D124" s="152">
        <v>121794</v>
      </c>
      <c r="E124" s="143">
        <f t="shared" si="0"/>
        <v>1.2175581695621589</v>
      </c>
      <c r="F124" s="143">
        <f t="shared" si="1"/>
        <v>1.0845317494946616</v>
      </c>
      <c r="G124" s="151">
        <v>911631</v>
      </c>
      <c r="H124" s="152">
        <v>599877</v>
      </c>
      <c r="I124" s="152">
        <v>535273</v>
      </c>
      <c r="J124" s="143">
        <f t="shared" si="2"/>
        <v>0.65802610924814975</v>
      </c>
      <c r="K124" s="143">
        <f t="shared" si="3"/>
        <v>0.58715971703463354</v>
      </c>
      <c r="L124" s="151">
        <v>1976757</v>
      </c>
      <c r="M124" s="145">
        <f t="shared" si="200"/>
        <v>3761641</v>
      </c>
      <c r="N124" s="145">
        <f t="shared" si="208"/>
        <v>1267783</v>
      </c>
      <c r="O124" s="143">
        <f t="shared" si="4"/>
        <v>1.9029354645006948</v>
      </c>
      <c r="P124" s="143">
        <f t="shared" si="5"/>
        <v>0.64134488963489189</v>
      </c>
      <c r="Q124" s="151">
        <v>8815157</v>
      </c>
      <c r="R124" s="151">
        <v>4498251</v>
      </c>
      <c r="S124" s="151">
        <v>1924850</v>
      </c>
      <c r="T124" s="144">
        <f t="shared" si="8"/>
        <v>0.51028597675571741</v>
      </c>
      <c r="U124" s="144">
        <f t="shared" si="9"/>
        <v>0.21835685966795601</v>
      </c>
      <c r="V124" s="142">
        <f t="shared" si="213"/>
        <v>132602</v>
      </c>
      <c r="W124" s="142">
        <f t="shared" si="218"/>
        <v>4605</v>
      </c>
      <c r="X124" s="148">
        <f t="shared" ref="X124:X139" si="288">Q124-G124</f>
        <v>7903526</v>
      </c>
      <c r="Y124" s="142">
        <f t="shared" ref="Y124:Z124" si="289">R124-H124-AD124</f>
        <v>3897692</v>
      </c>
      <c r="Z124" s="142">
        <f t="shared" si="289"/>
        <v>1389577</v>
      </c>
      <c r="AA124" s="144">
        <f t="shared" si="220"/>
        <v>0.49315862312593139</v>
      </c>
      <c r="AB124" s="144">
        <f t="shared" si="221"/>
        <v>0.17581735038260138</v>
      </c>
      <c r="AC124" s="151">
        <v>984719</v>
      </c>
      <c r="AD124" s="151">
        <v>682</v>
      </c>
      <c r="AE124" s="151">
        <v>0</v>
      </c>
      <c r="AF124" s="154">
        <f t="shared" ref="AF124:AF139" si="290">AD124/AC124</f>
        <v>6.9258336642229917E-4</v>
      </c>
      <c r="AG124" s="154">
        <f t="shared" ref="AG124:AG139" si="291">AE124/AC124</f>
        <v>0</v>
      </c>
      <c r="AH124" s="151">
        <v>1468764</v>
      </c>
      <c r="AI124" s="152">
        <v>1549827</v>
      </c>
      <c r="AJ124" s="152">
        <v>1413880</v>
      </c>
      <c r="AK124" s="151" t="s">
        <v>377</v>
      </c>
      <c r="AL124" s="151" t="s">
        <v>378</v>
      </c>
      <c r="AM124" s="152">
        <v>21553118</v>
      </c>
      <c r="AN124" s="152">
        <v>4681038</v>
      </c>
      <c r="AO124" s="152">
        <v>2725661</v>
      </c>
      <c r="AP124" s="151" t="s">
        <v>379</v>
      </c>
      <c r="AQ124" s="151" t="s">
        <v>182</v>
      </c>
      <c r="AR124" s="151">
        <v>17327169</v>
      </c>
      <c r="AS124" s="152">
        <f t="shared" ref="AS124:AT124" si="292">AX124-AN124-AI124</f>
        <v>23325188</v>
      </c>
      <c r="AT124" s="155">
        <f t="shared" si="292"/>
        <v>9389114</v>
      </c>
      <c r="AU124" s="151" t="s">
        <v>380</v>
      </c>
      <c r="AV124" s="151" t="s">
        <v>381</v>
      </c>
      <c r="AW124" s="151">
        <v>181554465</v>
      </c>
      <c r="AX124" s="145">
        <v>29556053</v>
      </c>
      <c r="AY124" s="156" t="s">
        <v>404</v>
      </c>
      <c r="AZ124" s="151" t="s">
        <v>225</v>
      </c>
      <c r="BA124" s="151" t="s">
        <v>141</v>
      </c>
      <c r="BB124" s="146">
        <f t="shared" ref="BB124:BC124" si="293">AX124-AX123</f>
        <v>1397304</v>
      </c>
      <c r="BC124" s="147">
        <f t="shared" si="293"/>
        <v>254949</v>
      </c>
      <c r="BD124" s="148">
        <f t="shared" ref="BD124:BD139" si="294">AW124-AM124</f>
        <v>160001347</v>
      </c>
      <c r="BE124" s="148">
        <f t="shared" ref="BE124:BF124" si="295">AX124-AN124-BJ124</f>
        <v>24874333</v>
      </c>
      <c r="BF124" s="148">
        <f t="shared" si="295"/>
        <v>10802994</v>
      </c>
      <c r="BG124" s="144">
        <f t="shared" si="225"/>
        <v>0.15546327244357511</v>
      </c>
      <c r="BH124" s="144">
        <f t="shared" si="226"/>
        <v>6.7518144081624515E-2</v>
      </c>
      <c r="BI124" s="148" t="s">
        <v>405</v>
      </c>
      <c r="BJ124" s="148" t="s">
        <v>406</v>
      </c>
      <c r="BK124" s="148" t="s">
        <v>338</v>
      </c>
      <c r="BL124" s="144">
        <f t="shared" ref="BL124:BL139" si="296">BJ124/BI124</f>
        <v>2.1827492398783805E-2</v>
      </c>
      <c r="BM124" s="144">
        <f t="shared" ref="BM124:BM139" si="297">BK124/BI124</f>
        <v>0</v>
      </c>
      <c r="BN124" s="144">
        <f t="shared" ref="BN124:BO124" si="298">V124/BB124</f>
        <v>9.4898461608926898E-2</v>
      </c>
      <c r="BO124" s="144">
        <f t="shared" si="298"/>
        <v>1.8062436016615089E-2</v>
      </c>
      <c r="BP124" s="153" t="s">
        <v>407</v>
      </c>
      <c r="BQ124" s="153" t="s">
        <v>408</v>
      </c>
      <c r="BR124" s="153" t="s">
        <v>340</v>
      </c>
      <c r="BS124" s="153" t="s">
        <v>340</v>
      </c>
    </row>
    <row r="125" spans="1:71" ht="14.5" x14ac:dyDescent="0.25">
      <c r="A125" s="141">
        <v>44379</v>
      </c>
      <c r="B125" s="151">
        <v>112301</v>
      </c>
      <c r="C125" s="152">
        <v>136733</v>
      </c>
      <c r="D125" s="152">
        <v>121794</v>
      </c>
      <c r="E125" s="143">
        <f t="shared" si="0"/>
        <v>1.2175581695621589</v>
      </c>
      <c r="F125" s="143">
        <f t="shared" si="1"/>
        <v>1.0845317494946616</v>
      </c>
      <c r="G125" s="151">
        <v>911631</v>
      </c>
      <c r="H125" s="152">
        <v>599877</v>
      </c>
      <c r="I125" s="152">
        <v>535273</v>
      </c>
      <c r="J125" s="143">
        <f t="shared" si="2"/>
        <v>0.65802610924814975</v>
      </c>
      <c r="K125" s="143">
        <f t="shared" si="3"/>
        <v>0.58715971703463354</v>
      </c>
      <c r="L125" s="151">
        <v>1976757</v>
      </c>
      <c r="M125" s="145">
        <f t="shared" si="200"/>
        <v>3867687</v>
      </c>
      <c r="N125" s="145">
        <f t="shared" si="208"/>
        <v>1272047</v>
      </c>
      <c r="O125" s="143">
        <f t="shared" si="4"/>
        <v>1.9565819167454572</v>
      </c>
      <c r="P125" s="143">
        <f t="shared" si="5"/>
        <v>0.64350195800495458</v>
      </c>
      <c r="Q125" s="151">
        <v>8815157</v>
      </c>
      <c r="R125" s="151">
        <v>4604297</v>
      </c>
      <c r="S125" s="151">
        <v>1929114</v>
      </c>
      <c r="T125" s="144">
        <f t="shared" si="8"/>
        <v>0.52231593833212497</v>
      </c>
      <c r="U125" s="144">
        <f t="shared" si="9"/>
        <v>0.21884057198300608</v>
      </c>
      <c r="V125" s="142">
        <f t="shared" si="213"/>
        <v>106046</v>
      </c>
      <c r="W125" s="142">
        <f t="shared" si="218"/>
        <v>4264</v>
      </c>
      <c r="X125" s="148">
        <f t="shared" si="288"/>
        <v>7903526</v>
      </c>
      <c r="Y125" s="142">
        <f t="shared" ref="Y125:Z125" si="299">R125-H125-AD125</f>
        <v>4003127</v>
      </c>
      <c r="Z125" s="142">
        <f t="shared" si="299"/>
        <v>1393841</v>
      </c>
      <c r="AA125" s="144">
        <f t="shared" si="220"/>
        <v>0.50649887151633333</v>
      </c>
      <c r="AB125" s="144">
        <f t="shared" si="221"/>
        <v>0.17635685642079243</v>
      </c>
      <c r="AC125" s="151">
        <v>984719</v>
      </c>
      <c r="AD125" s="151">
        <v>1293</v>
      </c>
      <c r="AE125" s="151">
        <v>0</v>
      </c>
      <c r="AF125" s="154">
        <f t="shared" si="290"/>
        <v>1.3130649454311332E-3</v>
      </c>
      <c r="AG125" s="154">
        <f t="shared" si="291"/>
        <v>0</v>
      </c>
      <c r="AH125" s="151">
        <v>1468764</v>
      </c>
      <c r="AI125" s="152">
        <v>1549827</v>
      </c>
      <c r="AJ125" s="152">
        <v>1413880</v>
      </c>
      <c r="AK125" s="151" t="s">
        <v>377</v>
      </c>
      <c r="AL125" s="151" t="s">
        <v>378</v>
      </c>
      <c r="AM125" s="152">
        <v>21553118</v>
      </c>
      <c r="AN125" s="152">
        <v>4681038</v>
      </c>
      <c r="AO125" s="152">
        <v>2725661</v>
      </c>
      <c r="AP125" s="151" t="s">
        <v>379</v>
      </c>
      <c r="AQ125" s="151" t="s">
        <v>182</v>
      </c>
      <c r="AR125" s="151">
        <v>17327169</v>
      </c>
      <c r="AS125" s="152">
        <f t="shared" ref="AS125:AT125" si="300">AX125-AN125-AI125</f>
        <v>23953527</v>
      </c>
      <c r="AT125" s="155">
        <f t="shared" si="300"/>
        <v>9484616</v>
      </c>
      <c r="AU125" s="151" t="s">
        <v>380</v>
      </c>
      <c r="AV125" s="151" t="s">
        <v>381</v>
      </c>
      <c r="AW125" s="151">
        <v>181554465</v>
      </c>
      <c r="AX125" s="145">
        <v>30184392</v>
      </c>
      <c r="AY125" s="156" t="s">
        <v>409</v>
      </c>
      <c r="AZ125" s="151" t="s">
        <v>225</v>
      </c>
      <c r="BA125" s="151" t="s">
        <v>141</v>
      </c>
      <c r="BB125" s="146">
        <f t="shared" ref="BB125:BC125" si="301">AX125-AX124</f>
        <v>628339</v>
      </c>
      <c r="BC125" s="147">
        <f t="shared" si="301"/>
        <v>95502</v>
      </c>
      <c r="BD125" s="148">
        <f t="shared" si="294"/>
        <v>160001347</v>
      </c>
      <c r="BE125" s="148">
        <f t="shared" ref="BE125:BF125" si="302">AX125-AN125-BJ125</f>
        <v>25502671</v>
      </c>
      <c r="BF125" s="148">
        <f t="shared" si="302"/>
        <v>10898496</v>
      </c>
      <c r="BG125" s="144">
        <f t="shared" si="225"/>
        <v>0.15939035188247508</v>
      </c>
      <c r="BH125" s="144">
        <f t="shared" si="226"/>
        <v>6.8115026556620176E-2</v>
      </c>
      <c r="BI125" s="148" t="s">
        <v>410</v>
      </c>
      <c r="BJ125" s="148" t="s">
        <v>411</v>
      </c>
      <c r="BK125" s="148" t="s">
        <v>338</v>
      </c>
      <c r="BL125" s="144">
        <f t="shared" si="296"/>
        <v>2.1858797926134547E-2</v>
      </c>
      <c r="BM125" s="144">
        <f t="shared" si="297"/>
        <v>0</v>
      </c>
      <c r="BN125" s="144">
        <f t="shared" ref="BN125:BO125" si="303">V125/BB125</f>
        <v>0.16877195271978979</v>
      </c>
      <c r="BO125" s="144">
        <f t="shared" si="303"/>
        <v>4.4648279617180792E-2</v>
      </c>
      <c r="BP125" s="153" t="s">
        <v>412</v>
      </c>
      <c r="BQ125" s="153" t="s">
        <v>413</v>
      </c>
      <c r="BR125" s="153" t="s">
        <v>340</v>
      </c>
      <c r="BS125" s="153" t="s">
        <v>340</v>
      </c>
    </row>
    <row r="126" spans="1:71" ht="14.5" x14ac:dyDescent="0.25">
      <c r="A126" s="141">
        <v>44380</v>
      </c>
      <c r="B126" s="151">
        <v>112301</v>
      </c>
      <c r="C126" s="152">
        <v>136733</v>
      </c>
      <c r="D126" s="152">
        <v>121794</v>
      </c>
      <c r="E126" s="143">
        <f t="shared" si="0"/>
        <v>1.2175581695621589</v>
      </c>
      <c r="F126" s="143">
        <f t="shared" si="1"/>
        <v>1.0845317494946616</v>
      </c>
      <c r="G126" s="151">
        <v>911631</v>
      </c>
      <c r="H126" s="152">
        <v>599877</v>
      </c>
      <c r="I126" s="152">
        <v>535273</v>
      </c>
      <c r="J126" s="143">
        <f t="shared" si="2"/>
        <v>0.65802610924814975</v>
      </c>
      <c r="K126" s="143">
        <f t="shared" si="3"/>
        <v>0.58715971703463354</v>
      </c>
      <c r="L126" s="151">
        <v>1976757</v>
      </c>
      <c r="M126" s="145">
        <f t="shared" si="200"/>
        <v>3945402</v>
      </c>
      <c r="N126" s="145">
        <f t="shared" si="208"/>
        <v>1274738</v>
      </c>
      <c r="O126" s="143">
        <f t="shared" si="4"/>
        <v>1.995896308954515</v>
      </c>
      <c r="P126" s="143">
        <f t="shared" si="5"/>
        <v>0.64486327859215875</v>
      </c>
      <c r="Q126" s="151">
        <v>8815157</v>
      </c>
      <c r="R126" s="151">
        <v>4682012</v>
      </c>
      <c r="S126" s="151">
        <v>1931805</v>
      </c>
      <c r="T126" s="144">
        <f t="shared" si="8"/>
        <v>0.53113200366142088</v>
      </c>
      <c r="U126" s="144">
        <f t="shared" si="9"/>
        <v>0.21914584164524806</v>
      </c>
      <c r="V126" s="142">
        <f t="shared" si="213"/>
        <v>77715</v>
      </c>
      <c r="W126" s="142">
        <f t="shared" si="218"/>
        <v>2691</v>
      </c>
      <c r="X126" s="148">
        <f t="shared" si="288"/>
        <v>7903526</v>
      </c>
      <c r="Y126" s="142">
        <f t="shared" ref="Y126:Z126" si="304">R126-H126-AD126</f>
        <v>4080842</v>
      </c>
      <c r="Z126" s="142">
        <f t="shared" si="304"/>
        <v>1396532</v>
      </c>
      <c r="AA126" s="144">
        <f t="shared" si="220"/>
        <v>0.51633182455526816</v>
      </c>
      <c r="AB126" s="144">
        <f t="shared" si="221"/>
        <v>0.17669733736562643</v>
      </c>
      <c r="AC126" s="151">
        <v>984719</v>
      </c>
      <c r="AD126" s="151">
        <v>1293</v>
      </c>
      <c r="AE126" s="151">
        <v>0</v>
      </c>
      <c r="AF126" s="154">
        <f t="shared" si="290"/>
        <v>1.3130649454311332E-3</v>
      </c>
      <c r="AG126" s="154">
        <f t="shared" si="291"/>
        <v>0</v>
      </c>
      <c r="AH126" s="151">
        <v>1468764</v>
      </c>
      <c r="AI126" s="152">
        <v>1549827</v>
      </c>
      <c r="AJ126" s="152">
        <v>1413880</v>
      </c>
      <c r="AK126" s="151" t="s">
        <v>377</v>
      </c>
      <c r="AL126" s="151" t="s">
        <v>378</v>
      </c>
      <c r="AM126" s="152">
        <v>21553118</v>
      </c>
      <c r="AN126" s="152">
        <v>4681038</v>
      </c>
      <c r="AO126" s="152">
        <v>2725661</v>
      </c>
      <c r="AP126" s="151" t="s">
        <v>379</v>
      </c>
      <c r="AQ126" s="151" t="s">
        <v>182</v>
      </c>
      <c r="AR126" s="151">
        <v>17327169</v>
      </c>
      <c r="AS126" s="152">
        <f t="shared" ref="AS126:AT126" si="305">AX126-AN126-AI126</f>
        <v>25342375</v>
      </c>
      <c r="AT126" s="155">
        <f t="shared" si="305"/>
        <v>9783191</v>
      </c>
      <c r="AU126" s="151" t="s">
        <v>380</v>
      </c>
      <c r="AV126" s="151" t="s">
        <v>381</v>
      </c>
      <c r="AW126" s="151">
        <v>181554465</v>
      </c>
      <c r="AX126" s="145">
        <v>31573240</v>
      </c>
      <c r="AY126" s="156" t="s">
        <v>414</v>
      </c>
      <c r="AZ126" s="151" t="s">
        <v>225</v>
      </c>
      <c r="BA126" s="151" t="s">
        <v>141</v>
      </c>
      <c r="BB126" s="146">
        <f t="shared" ref="BB126:BC126" si="306">AX126-AX125</f>
        <v>1388848</v>
      </c>
      <c r="BC126" s="147">
        <f t="shared" si="306"/>
        <v>298575</v>
      </c>
      <c r="BD126" s="148">
        <f t="shared" si="294"/>
        <v>160001347</v>
      </c>
      <c r="BE126" s="148">
        <f t="shared" ref="BE126:BF126" si="307">AX126-AN126-BJ126</f>
        <v>26891518</v>
      </c>
      <c r="BF126" s="148">
        <f t="shared" si="307"/>
        <v>11197071</v>
      </c>
      <c r="BG126" s="144">
        <f t="shared" si="225"/>
        <v>0.1680705725558673</v>
      </c>
      <c r="BH126" s="144">
        <f t="shared" si="226"/>
        <v>6.998110459657568E-2</v>
      </c>
      <c r="BI126" s="148" t="s">
        <v>415</v>
      </c>
      <c r="BJ126" s="148" t="s">
        <v>416</v>
      </c>
      <c r="BK126" s="148" t="s">
        <v>338</v>
      </c>
      <c r="BL126" s="144">
        <f t="shared" si="296"/>
        <v>2.1890101449739175E-2</v>
      </c>
      <c r="BM126" s="144">
        <f t="shared" si="297"/>
        <v>0</v>
      </c>
      <c r="BN126" s="144">
        <f t="shared" ref="BN126:BO126" si="308">V126/BB126</f>
        <v>5.5956447357810211E-2</v>
      </c>
      <c r="BO126" s="144">
        <f t="shared" si="308"/>
        <v>9.0128108515448377E-3</v>
      </c>
      <c r="BP126" s="153" t="s">
        <v>417</v>
      </c>
      <c r="BQ126" s="153" t="s">
        <v>418</v>
      </c>
      <c r="BR126" s="153" t="s">
        <v>340</v>
      </c>
      <c r="BS126" s="153" t="s">
        <v>340</v>
      </c>
    </row>
    <row r="127" spans="1:71" ht="14.5" x14ac:dyDescent="0.25">
      <c r="A127" s="141">
        <v>44381</v>
      </c>
      <c r="B127" s="151">
        <v>112301</v>
      </c>
      <c r="C127" s="152">
        <v>136733</v>
      </c>
      <c r="D127" s="152">
        <v>121794</v>
      </c>
      <c r="E127" s="143">
        <f t="shared" si="0"/>
        <v>1.2175581695621589</v>
      </c>
      <c r="F127" s="143">
        <f t="shared" si="1"/>
        <v>1.0845317494946616</v>
      </c>
      <c r="G127" s="151">
        <v>911631</v>
      </c>
      <c r="H127" s="152">
        <v>599877</v>
      </c>
      <c r="I127" s="152">
        <v>535273</v>
      </c>
      <c r="J127" s="143">
        <f t="shared" si="2"/>
        <v>0.65802610924814975</v>
      </c>
      <c r="K127" s="143">
        <f t="shared" si="3"/>
        <v>0.58715971703463354</v>
      </c>
      <c r="L127" s="151">
        <v>1976757</v>
      </c>
      <c r="M127" s="145">
        <f t="shared" si="200"/>
        <v>4064047</v>
      </c>
      <c r="N127" s="145">
        <f t="shared" si="208"/>
        <v>1278202</v>
      </c>
      <c r="O127" s="143">
        <f t="shared" si="4"/>
        <v>2.0559163316482501</v>
      </c>
      <c r="P127" s="143">
        <f t="shared" si="5"/>
        <v>0.64661564370329783</v>
      </c>
      <c r="Q127" s="151">
        <v>8815157</v>
      </c>
      <c r="R127" s="151">
        <v>4800657</v>
      </c>
      <c r="S127" s="151">
        <v>1935269</v>
      </c>
      <c r="T127" s="144">
        <f t="shared" si="8"/>
        <v>0.54459120807491002</v>
      </c>
      <c r="U127" s="144">
        <f t="shared" si="9"/>
        <v>0.21953880118073904</v>
      </c>
      <c r="V127" s="142">
        <f t="shared" si="213"/>
        <v>118645</v>
      </c>
      <c r="W127" s="142">
        <f t="shared" si="218"/>
        <v>3464</v>
      </c>
      <c r="X127" s="148">
        <f t="shared" si="288"/>
        <v>7903526</v>
      </c>
      <c r="Y127" s="142">
        <f t="shared" ref="Y127:Z127" si="309">R127-H127-AD127</f>
        <v>4199487</v>
      </c>
      <c r="Z127" s="142">
        <f t="shared" si="309"/>
        <v>1399996</v>
      </c>
      <c r="AA127" s="144">
        <f t="shared" si="220"/>
        <v>0.53134347884728916</v>
      </c>
      <c r="AB127" s="144">
        <f t="shared" si="221"/>
        <v>0.1771356227587535</v>
      </c>
      <c r="AC127" s="151">
        <v>984719</v>
      </c>
      <c r="AD127" s="151">
        <v>1293</v>
      </c>
      <c r="AE127" s="151">
        <v>0</v>
      </c>
      <c r="AF127" s="154">
        <f t="shared" si="290"/>
        <v>1.3130649454311332E-3</v>
      </c>
      <c r="AG127" s="154">
        <f t="shared" si="291"/>
        <v>0</v>
      </c>
      <c r="AH127" s="151">
        <v>1468764</v>
      </c>
      <c r="AI127" s="152">
        <v>1549827</v>
      </c>
      <c r="AJ127" s="152">
        <v>1413880</v>
      </c>
      <c r="AK127" s="151" t="s">
        <v>377</v>
      </c>
      <c r="AL127" s="151" t="s">
        <v>378</v>
      </c>
      <c r="AM127" s="152">
        <v>21553118</v>
      </c>
      <c r="AN127" s="152">
        <v>4681038</v>
      </c>
      <c r="AO127" s="152">
        <v>2725661</v>
      </c>
      <c r="AP127" s="151" t="s">
        <v>379</v>
      </c>
      <c r="AQ127" s="151" t="s">
        <v>182</v>
      </c>
      <c r="AR127" s="151">
        <v>17327169</v>
      </c>
      <c r="AS127" s="152">
        <f t="shared" ref="AS127:AT127" si="310">AX127-AN127-AI127</f>
        <v>25730199</v>
      </c>
      <c r="AT127" s="155">
        <f t="shared" si="310"/>
        <v>9830997</v>
      </c>
      <c r="AU127" s="151" t="s">
        <v>380</v>
      </c>
      <c r="AV127" s="151" t="s">
        <v>381</v>
      </c>
      <c r="AW127" s="151">
        <v>181554465</v>
      </c>
      <c r="AX127" s="145">
        <v>31961064</v>
      </c>
      <c r="AY127" s="156" t="s">
        <v>419</v>
      </c>
      <c r="AZ127" s="151" t="s">
        <v>225</v>
      </c>
      <c r="BA127" s="151" t="s">
        <v>141</v>
      </c>
      <c r="BB127" s="146">
        <f t="shared" ref="BB127:BC127" si="311">AX127-AX126</f>
        <v>387824</v>
      </c>
      <c r="BC127" s="147">
        <f t="shared" si="311"/>
        <v>47806</v>
      </c>
      <c r="BD127" s="148">
        <f t="shared" si="294"/>
        <v>160001347</v>
      </c>
      <c r="BE127" s="148">
        <f t="shared" ref="BE127:BF127" si="312">AX127-AN127-BJ127</f>
        <v>27279341</v>
      </c>
      <c r="BF127" s="148">
        <f t="shared" si="312"/>
        <v>11244877</v>
      </c>
      <c r="BG127" s="144">
        <f t="shared" si="225"/>
        <v>0.17049444589988358</v>
      </c>
      <c r="BH127" s="144">
        <f t="shared" si="226"/>
        <v>7.0279889581179589E-2</v>
      </c>
      <c r="BI127" s="148" t="s">
        <v>420</v>
      </c>
      <c r="BJ127" s="148" t="s">
        <v>421</v>
      </c>
      <c r="BK127" s="148" t="s">
        <v>338</v>
      </c>
      <c r="BL127" s="144">
        <f t="shared" si="296"/>
        <v>2.1921402969790067E-2</v>
      </c>
      <c r="BM127" s="144">
        <f t="shared" si="297"/>
        <v>0</v>
      </c>
      <c r="BN127" s="144">
        <f t="shared" ref="BN127:BO127" si="313">V127/BB127</f>
        <v>0.30592485251041712</v>
      </c>
      <c r="BO127" s="144">
        <f t="shared" si="313"/>
        <v>7.2459523909132739E-2</v>
      </c>
      <c r="BP127" s="153" t="s">
        <v>422</v>
      </c>
      <c r="BQ127" s="153" t="s">
        <v>423</v>
      </c>
      <c r="BR127" s="153" t="s">
        <v>340</v>
      </c>
      <c r="BS127" s="153" t="s">
        <v>340</v>
      </c>
    </row>
    <row r="128" spans="1:71" ht="14.5" x14ac:dyDescent="0.25">
      <c r="A128" s="141">
        <v>44382</v>
      </c>
      <c r="B128" s="151">
        <v>112301</v>
      </c>
      <c r="C128" s="152">
        <v>136733</v>
      </c>
      <c r="D128" s="152">
        <v>121794</v>
      </c>
      <c r="E128" s="143">
        <f t="shared" si="0"/>
        <v>1.2175581695621589</v>
      </c>
      <c r="F128" s="143">
        <f t="shared" si="1"/>
        <v>1.0845317494946616</v>
      </c>
      <c r="G128" s="151">
        <v>911631</v>
      </c>
      <c r="H128" s="152">
        <v>599877</v>
      </c>
      <c r="I128" s="152">
        <v>535273</v>
      </c>
      <c r="J128" s="143">
        <f t="shared" si="2"/>
        <v>0.65802610924814975</v>
      </c>
      <c r="K128" s="143">
        <f t="shared" si="3"/>
        <v>0.58715971703463354</v>
      </c>
      <c r="L128" s="151">
        <v>1976757</v>
      </c>
      <c r="M128" s="145">
        <f t="shared" si="200"/>
        <v>4091384</v>
      </c>
      <c r="N128" s="145">
        <f t="shared" si="208"/>
        <v>1278790</v>
      </c>
      <c r="O128" s="143">
        <f t="shared" si="4"/>
        <v>2.0697455478847426</v>
      </c>
      <c r="P128" s="143">
        <f t="shared" si="5"/>
        <v>0.64691310059860674</v>
      </c>
      <c r="Q128" s="151">
        <v>8815157</v>
      </c>
      <c r="R128" s="151">
        <v>4827994</v>
      </c>
      <c r="S128" s="151">
        <v>1935857</v>
      </c>
      <c r="T128" s="144">
        <f t="shared" si="8"/>
        <v>0.54769234399341948</v>
      </c>
      <c r="U128" s="144">
        <f t="shared" si="9"/>
        <v>0.21960550447371499</v>
      </c>
      <c r="V128" s="142">
        <f t="shared" si="213"/>
        <v>27337</v>
      </c>
      <c r="W128" s="142">
        <f t="shared" si="218"/>
        <v>588</v>
      </c>
      <c r="X128" s="148">
        <f t="shared" si="288"/>
        <v>7903526</v>
      </c>
      <c r="Y128" s="142">
        <f t="shared" ref="Y128:Z128" si="314">R128-H128-AD128</f>
        <v>4215155</v>
      </c>
      <c r="Z128" s="142">
        <f t="shared" si="314"/>
        <v>1400584</v>
      </c>
      <c r="AA128" s="144">
        <f t="shared" si="220"/>
        <v>0.53332588518086732</v>
      </c>
      <c r="AB128" s="144">
        <f t="shared" si="221"/>
        <v>0.17721001993287552</v>
      </c>
      <c r="AC128" s="151">
        <v>984719</v>
      </c>
      <c r="AD128" s="151">
        <v>12962</v>
      </c>
      <c r="AE128" s="151">
        <v>0</v>
      </c>
      <c r="AF128" s="154">
        <f t="shared" si="290"/>
        <v>1.316314603455402E-2</v>
      </c>
      <c r="AG128" s="154">
        <f t="shared" si="291"/>
        <v>0</v>
      </c>
      <c r="AH128" s="151">
        <v>1468764</v>
      </c>
      <c r="AI128" s="152">
        <v>1549827</v>
      </c>
      <c r="AJ128" s="152">
        <v>1413880</v>
      </c>
      <c r="AK128" s="151" t="s">
        <v>377</v>
      </c>
      <c r="AL128" s="151" t="s">
        <v>378</v>
      </c>
      <c r="AM128" s="152">
        <v>21553118</v>
      </c>
      <c r="AN128" s="152">
        <v>4681038</v>
      </c>
      <c r="AO128" s="152">
        <v>2725661</v>
      </c>
      <c r="AP128" s="151" t="s">
        <v>379</v>
      </c>
      <c r="AQ128" s="151" t="s">
        <v>182</v>
      </c>
      <c r="AR128" s="151">
        <v>17327169</v>
      </c>
      <c r="AS128" s="152">
        <f t="shared" ref="AS128:AT128" si="315">AX128-AN128-AI128</f>
        <v>25832880</v>
      </c>
      <c r="AT128" s="155">
        <f t="shared" si="315"/>
        <v>9840023</v>
      </c>
      <c r="AU128" s="151" t="s">
        <v>380</v>
      </c>
      <c r="AV128" s="151" t="s">
        <v>381</v>
      </c>
      <c r="AW128" s="151">
        <v>181554465</v>
      </c>
      <c r="AX128" s="145">
        <v>32063745</v>
      </c>
      <c r="AY128" s="156" t="s">
        <v>424</v>
      </c>
      <c r="AZ128" s="151" t="s">
        <v>225</v>
      </c>
      <c r="BA128" s="151" t="s">
        <v>141</v>
      </c>
      <c r="BB128" s="146">
        <f t="shared" ref="BB128:BC128" si="316">AX128-AX127</f>
        <v>102681</v>
      </c>
      <c r="BC128" s="147">
        <f t="shared" si="316"/>
        <v>9026</v>
      </c>
      <c r="BD128" s="148">
        <f t="shared" si="294"/>
        <v>160001347</v>
      </c>
      <c r="BE128" s="148">
        <f t="shared" ref="BE128:BF128" si="317">AX128-AN128-BJ128</f>
        <v>27369745</v>
      </c>
      <c r="BF128" s="148">
        <f t="shared" si="317"/>
        <v>11253903</v>
      </c>
      <c r="BG128" s="144">
        <f t="shared" si="225"/>
        <v>0.1710594661431194</v>
      </c>
      <c r="BH128" s="144">
        <f t="shared" si="226"/>
        <v>7.0336301606260851E-2</v>
      </c>
      <c r="BI128" s="148" t="s">
        <v>425</v>
      </c>
      <c r="BJ128" s="151">
        <v>12962</v>
      </c>
      <c r="BK128" s="148" t="s">
        <v>338</v>
      </c>
      <c r="BL128" s="144">
        <f t="shared" si="296"/>
        <v>3.1681603647397779E-4</v>
      </c>
      <c r="BM128" s="144">
        <f t="shared" si="297"/>
        <v>0</v>
      </c>
      <c r="BN128" s="144">
        <f t="shared" ref="BN128:BO128" si="318">V128/BB128</f>
        <v>0.26623231172271405</v>
      </c>
      <c r="BO128" s="144">
        <f t="shared" si="318"/>
        <v>6.5145136272989138E-2</v>
      </c>
      <c r="BP128" s="153" t="s">
        <v>426</v>
      </c>
      <c r="BQ128" s="153" t="s">
        <v>427</v>
      </c>
      <c r="BR128" s="153" t="s">
        <v>340</v>
      </c>
      <c r="BS128" s="153" t="s">
        <v>340</v>
      </c>
    </row>
    <row r="129" spans="1:71" ht="14.5" x14ac:dyDescent="0.25">
      <c r="A129" s="141">
        <v>44383</v>
      </c>
      <c r="B129" s="151">
        <v>112301</v>
      </c>
      <c r="C129" s="152">
        <v>136733</v>
      </c>
      <c r="D129" s="152">
        <v>121794</v>
      </c>
      <c r="E129" s="143">
        <f t="shared" si="0"/>
        <v>1.2175581695621589</v>
      </c>
      <c r="F129" s="143">
        <f t="shared" si="1"/>
        <v>1.0845317494946616</v>
      </c>
      <c r="G129" s="151">
        <v>911631</v>
      </c>
      <c r="H129" s="152">
        <v>599877</v>
      </c>
      <c r="I129" s="152">
        <v>535273</v>
      </c>
      <c r="J129" s="143">
        <f t="shared" si="2"/>
        <v>0.65802610924814975</v>
      </c>
      <c r="K129" s="143">
        <f t="shared" si="3"/>
        <v>0.58715971703463354</v>
      </c>
      <c r="L129" s="151">
        <v>1976757</v>
      </c>
      <c r="M129" s="145">
        <f t="shared" si="200"/>
        <v>4173066</v>
      </c>
      <c r="N129" s="145">
        <f t="shared" si="208"/>
        <v>1281036</v>
      </c>
      <c r="O129" s="143">
        <f t="shared" si="4"/>
        <v>2.1110667623789876</v>
      </c>
      <c r="P129" s="143">
        <f t="shared" si="5"/>
        <v>0.6480493049980347</v>
      </c>
      <c r="Q129" s="151">
        <v>8815157</v>
      </c>
      <c r="R129" s="151">
        <v>4909676</v>
      </c>
      <c r="S129" s="151">
        <v>1938103</v>
      </c>
      <c r="T129" s="144">
        <f t="shared" si="8"/>
        <v>0.55695842966835418</v>
      </c>
      <c r="U129" s="144">
        <f t="shared" si="9"/>
        <v>0.2198602929023272</v>
      </c>
      <c r="V129" s="142">
        <f t="shared" si="213"/>
        <v>81682</v>
      </c>
      <c r="W129" s="142">
        <f t="shared" si="218"/>
        <v>2246</v>
      </c>
      <c r="X129" s="148">
        <f t="shared" si="288"/>
        <v>7903526</v>
      </c>
      <c r="Y129" s="142">
        <f t="shared" ref="Y129:Z129" si="319">R129-H129-AD129</f>
        <v>4290114</v>
      </c>
      <c r="Z129" s="142">
        <f t="shared" si="319"/>
        <v>1402830</v>
      </c>
      <c r="AA129" s="144">
        <f t="shared" si="220"/>
        <v>0.54281013309755666</v>
      </c>
      <c r="AB129" s="144">
        <f t="shared" si="221"/>
        <v>0.17749419689389268</v>
      </c>
      <c r="AC129" s="151">
        <v>984719</v>
      </c>
      <c r="AD129" s="151">
        <v>19685</v>
      </c>
      <c r="AE129" s="151">
        <v>0</v>
      </c>
      <c r="AF129" s="154">
        <f t="shared" si="290"/>
        <v>1.9990474439916361E-2</v>
      </c>
      <c r="AG129" s="154">
        <f t="shared" si="291"/>
        <v>0</v>
      </c>
      <c r="AH129" s="151">
        <v>1468764</v>
      </c>
      <c r="AI129" s="152">
        <v>1560169</v>
      </c>
      <c r="AJ129" s="152">
        <v>1419772</v>
      </c>
      <c r="AK129" s="151" t="s">
        <v>377</v>
      </c>
      <c r="AL129" s="151" t="s">
        <v>378</v>
      </c>
      <c r="AM129" s="152">
        <v>21553118</v>
      </c>
      <c r="AN129" s="152">
        <v>4867425</v>
      </c>
      <c r="AO129" s="152">
        <v>2850222</v>
      </c>
      <c r="AP129" s="151" t="s">
        <v>379</v>
      </c>
      <c r="AQ129" s="151" t="s">
        <v>182</v>
      </c>
      <c r="AR129" s="151">
        <v>17327169</v>
      </c>
      <c r="AS129" s="152">
        <f t="shared" ref="AS129:AT129" si="320">AX129-AN129-AI129</f>
        <v>25874674</v>
      </c>
      <c r="AT129" s="155">
        <f t="shared" si="320"/>
        <v>9765940</v>
      </c>
      <c r="AU129" s="151" t="s">
        <v>380</v>
      </c>
      <c r="AV129" s="151" t="s">
        <v>381</v>
      </c>
      <c r="AW129" s="151">
        <v>181554465</v>
      </c>
      <c r="AX129" s="145">
        <v>32302268</v>
      </c>
      <c r="AY129" s="156" t="s">
        <v>428</v>
      </c>
      <c r="AZ129" s="151" t="s">
        <v>225</v>
      </c>
      <c r="BA129" s="151" t="s">
        <v>141</v>
      </c>
      <c r="BB129" s="146">
        <f t="shared" ref="BB129:BC129" si="321">AX129-AX128</f>
        <v>238523</v>
      </c>
      <c r="BC129" s="147">
        <f t="shared" si="321"/>
        <v>56370</v>
      </c>
      <c r="BD129" s="148">
        <f t="shared" si="294"/>
        <v>160001347</v>
      </c>
      <c r="BE129" s="148">
        <f t="shared" ref="BE129:BF129" si="322">AX129-AN129-BJ129</f>
        <v>27421881</v>
      </c>
      <c r="BF129" s="148">
        <f t="shared" si="322"/>
        <v>11185712</v>
      </c>
      <c r="BG129" s="144">
        <f t="shared" si="225"/>
        <v>0.17138531339989282</v>
      </c>
      <c r="BH129" s="144">
        <f t="shared" si="226"/>
        <v>6.9910111444249273E-2</v>
      </c>
      <c r="BI129" s="148" t="s">
        <v>429</v>
      </c>
      <c r="BJ129" s="151">
        <v>12962</v>
      </c>
      <c r="BK129" s="148" t="s">
        <v>338</v>
      </c>
      <c r="BL129" s="144">
        <f t="shared" si="296"/>
        <v>3.1681602873038898E-4</v>
      </c>
      <c r="BM129" s="144">
        <f t="shared" si="297"/>
        <v>0</v>
      </c>
      <c r="BN129" s="144">
        <f t="shared" ref="BN129:BO129" si="323">V129/BB129</f>
        <v>0.34244915584660601</v>
      </c>
      <c r="BO129" s="144">
        <f t="shared" si="323"/>
        <v>3.9843888593223346E-2</v>
      </c>
      <c r="BP129" s="153" t="s">
        <v>430</v>
      </c>
      <c r="BQ129" s="153" t="s">
        <v>431</v>
      </c>
      <c r="BR129" s="153" t="s">
        <v>340</v>
      </c>
      <c r="BS129" s="153" t="s">
        <v>340</v>
      </c>
    </row>
    <row r="130" spans="1:71" ht="14.5" x14ac:dyDescent="0.25">
      <c r="A130" s="157">
        <v>44384</v>
      </c>
      <c r="B130" s="158">
        <v>112301</v>
      </c>
      <c r="C130" s="159">
        <v>136733</v>
      </c>
      <c r="D130" s="159">
        <v>121794</v>
      </c>
      <c r="E130" s="160">
        <f t="shared" si="0"/>
        <v>1.2175581695621589</v>
      </c>
      <c r="F130" s="160">
        <f t="shared" si="1"/>
        <v>1.0845317494946616</v>
      </c>
      <c r="G130" s="158">
        <v>911631</v>
      </c>
      <c r="H130" s="159">
        <v>599877</v>
      </c>
      <c r="I130" s="159">
        <v>535273</v>
      </c>
      <c r="J130" s="160">
        <f t="shared" si="2"/>
        <v>0.65802610924814975</v>
      </c>
      <c r="K130" s="160">
        <f t="shared" si="3"/>
        <v>0.58715971703463354</v>
      </c>
      <c r="L130" s="158">
        <v>1976757</v>
      </c>
      <c r="M130" s="161">
        <f t="shared" si="200"/>
        <v>4336223</v>
      </c>
      <c r="N130" s="161">
        <f t="shared" si="208"/>
        <v>1286025</v>
      </c>
      <c r="O130" s="160">
        <f t="shared" si="4"/>
        <v>2.1936044743992307</v>
      </c>
      <c r="P130" s="160">
        <f t="shared" si="5"/>
        <v>0.65057313569649688</v>
      </c>
      <c r="Q130" s="158">
        <v>8815157</v>
      </c>
      <c r="R130" s="158">
        <v>5072833</v>
      </c>
      <c r="S130" s="158">
        <v>1943092</v>
      </c>
      <c r="T130" s="162">
        <f t="shared" si="8"/>
        <v>0.57546711873651257</v>
      </c>
      <c r="U130" s="162">
        <f t="shared" si="9"/>
        <v>0.22042624992385274</v>
      </c>
      <c r="V130" s="163">
        <f t="shared" si="213"/>
        <v>163157</v>
      </c>
      <c r="W130" s="163">
        <f t="shared" si="218"/>
        <v>4989</v>
      </c>
      <c r="X130" s="164">
        <f t="shared" si="288"/>
        <v>7903526</v>
      </c>
      <c r="Y130" s="163">
        <f t="shared" ref="Y130:Z130" si="324">R130-H130-AD130</f>
        <v>4436232</v>
      </c>
      <c r="Z130" s="163">
        <f t="shared" si="324"/>
        <v>1407819</v>
      </c>
      <c r="AA130" s="162">
        <f t="shared" si="220"/>
        <v>0.56129783086688145</v>
      </c>
      <c r="AB130" s="162">
        <f t="shared" si="221"/>
        <v>0.17812543414167298</v>
      </c>
      <c r="AC130" s="158">
        <v>984719</v>
      </c>
      <c r="AD130" s="158">
        <v>36724</v>
      </c>
      <c r="AE130" s="158">
        <v>0</v>
      </c>
      <c r="AF130" s="165">
        <f t="shared" si="290"/>
        <v>3.729388790101542E-2</v>
      </c>
      <c r="AG130" s="165">
        <f t="shared" si="291"/>
        <v>0</v>
      </c>
      <c r="AH130" s="158">
        <v>1468764</v>
      </c>
      <c r="AI130" s="159">
        <v>1563961</v>
      </c>
      <c r="AJ130" s="159">
        <v>1422072</v>
      </c>
      <c r="AK130" s="158" t="s">
        <v>377</v>
      </c>
      <c r="AL130" s="158" t="s">
        <v>378</v>
      </c>
      <c r="AM130" s="159">
        <v>21553118</v>
      </c>
      <c r="AN130" s="159">
        <v>4933616</v>
      </c>
      <c r="AO130" s="159">
        <v>2905561</v>
      </c>
      <c r="AP130" s="158" t="s">
        <v>379</v>
      </c>
      <c r="AQ130" s="158" t="s">
        <v>182</v>
      </c>
      <c r="AR130" s="158">
        <v>17327169</v>
      </c>
      <c r="AS130" s="152">
        <f t="shared" ref="AS130:AT130" si="325">AX130-AN130-AI130</f>
        <v>26990676</v>
      </c>
      <c r="AT130" s="155">
        <f t="shared" si="325"/>
        <v>10029480</v>
      </c>
      <c r="AU130" s="158" t="s">
        <v>380</v>
      </c>
      <c r="AV130" s="158" t="s">
        <v>381</v>
      </c>
      <c r="AW130" s="158">
        <v>181554465</v>
      </c>
      <c r="AX130" s="161">
        <v>33488253</v>
      </c>
      <c r="AY130" s="166" t="s">
        <v>432</v>
      </c>
      <c r="AZ130" s="158" t="s">
        <v>225</v>
      </c>
      <c r="BA130" s="158" t="s">
        <v>141</v>
      </c>
      <c r="BB130" s="167">
        <f t="shared" ref="BB130:BC130" si="326">AX130-AX129</f>
        <v>1185985</v>
      </c>
      <c r="BC130" s="168">
        <f t="shared" si="326"/>
        <v>321179</v>
      </c>
      <c r="BD130" s="164">
        <f t="shared" si="294"/>
        <v>160001347</v>
      </c>
      <c r="BE130" s="164">
        <f t="shared" ref="BE130:BF130" si="327">AX130-AN130-BJ130</f>
        <v>28517913</v>
      </c>
      <c r="BF130" s="164">
        <f t="shared" si="327"/>
        <v>11451552</v>
      </c>
      <c r="BG130" s="162">
        <f t="shared" si="225"/>
        <v>0.17823545573025706</v>
      </c>
      <c r="BH130" s="162">
        <f t="shared" si="226"/>
        <v>7.1571597456613914E-2</v>
      </c>
      <c r="BI130" s="164" t="s">
        <v>433</v>
      </c>
      <c r="BJ130" s="158">
        <f t="shared" ref="BJ130:BK130" si="328">AD130</f>
        <v>36724</v>
      </c>
      <c r="BK130" s="164">
        <f t="shared" si="328"/>
        <v>0</v>
      </c>
      <c r="BL130" s="162">
        <f t="shared" si="296"/>
        <v>8.9760465628138111E-4</v>
      </c>
      <c r="BM130" s="162">
        <f t="shared" si="297"/>
        <v>0</v>
      </c>
      <c r="BN130" s="162">
        <f t="shared" ref="BN130:BO130" si="329">V130/BB130</f>
        <v>0.13757087990151645</v>
      </c>
      <c r="BO130" s="162">
        <f t="shared" si="329"/>
        <v>1.5533394150925185E-2</v>
      </c>
      <c r="BP130" s="169" t="s">
        <v>434</v>
      </c>
      <c r="BQ130" s="169" t="s">
        <v>435</v>
      </c>
      <c r="BR130" s="169" t="s">
        <v>340</v>
      </c>
      <c r="BS130" s="169" t="s">
        <v>340</v>
      </c>
    </row>
    <row r="131" spans="1:71" ht="14.5" x14ac:dyDescent="0.25">
      <c r="A131" s="157">
        <v>44385</v>
      </c>
      <c r="B131" s="158">
        <v>112301</v>
      </c>
      <c r="C131" s="159">
        <v>136733</v>
      </c>
      <c r="D131" s="159">
        <v>121794</v>
      </c>
      <c r="E131" s="160">
        <f t="shared" si="0"/>
        <v>1.2175581695621589</v>
      </c>
      <c r="F131" s="160">
        <f t="shared" si="1"/>
        <v>1.0845317494946616</v>
      </c>
      <c r="G131" s="158">
        <v>911631</v>
      </c>
      <c r="H131" s="159">
        <v>599877</v>
      </c>
      <c r="I131" s="159">
        <v>535273</v>
      </c>
      <c r="J131" s="160">
        <f t="shared" si="2"/>
        <v>0.65802610924814975</v>
      </c>
      <c r="K131" s="160">
        <f t="shared" si="3"/>
        <v>0.58715971703463354</v>
      </c>
      <c r="L131" s="158">
        <v>1976757</v>
      </c>
      <c r="M131" s="161">
        <f t="shared" si="200"/>
        <v>4425085</v>
      </c>
      <c r="N131" s="161">
        <f t="shared" si="208"/>
        <v>1288054</v>
      </c>
      <c r="O131" s="160">
        <f t="shared" si="4"/>
        <v>2.2385579006423146</v>
      </c>
      <c r="P131" s="160">
        <f t="shared" si="5"/>
        <v>0.65159956433694177</v>
      </c>
      <c r="Q131" s="158">
        <v>8815157</v>
      </c>
      <c r="R131" s="158">
        <v>5161695</v>
      </c>
      <c r="S131" s="158">
        <v>1945121</v>
      </c>
      <c r="T131" s="162">
        <f t="shared" si="8"/>
        <v>0.58554771060799027</v>
      </c>
      <c r="U131" s="162">
        <f t="shared" si="9"/>
        <v>0.22065642166100954</v>
      </c>
      <c r="V131" s="163">
        <f t="shared" si="213"/>
        <v>88862</v>
      </c>
      <c r="W131" s="163">
        <f t="shared" si="218"/>
        <v>2029</v>
      </c>
      <c r="X131" s="164">
        <f t="shared" si="288"/>
        <v>7903526</v>
      </c>
      <c r="Y131" s="163">
        <f t="shared" ref="Y131:Z131" si="330">R131-H131-AD131</f>
        <v>4516412</v>
      </c>
      <c r="Z131" s="163">
        <f t="shared" si="330"/>
        <v>1409848</v>
      </c>
      <c r="AA131" s="162">
        <f t="shared" si="220"/>
        <v>0.57144267001841964</v>
      </c>
      <c r="AB131" s="162">
        <f t="shared" si="221"/>
        <v>0.17838215500271651</v>
      </c>
      <c r="AC131" s="158">
        <v>984719</v>
      </c>
      <c r="AD131" s="158">
        <v>45406</v>
      </c>
      <c r="AE131" s="158">
        <v>0</v>
      </c>
      <c r="AF131" s="165">
        <f t="shared" si="290"/>
        <v>4.6110616328109845E-2</v>
      </c>
      <c r="AG131" s="165">
        <f t="shared" si="291"/>
        <v>0</v>
      </c>
      <c r="AH131" s="158">
        <v>1468764</v>
      </c>
      <c r="AI131" s="159">
        <v>1566025</v>
      </c>
      <c r="AJ131" s="159">
        <v>1423518</v>
      </c>
      <c r="AK131" s="158" t="s">
        <v>377</v>
      </c>
      <c r="AL131" s="158" t="s">
        <v>378</v>
      </c>
      <c r="AM131" s="159">
        <v>21553118</v>
      </c>
      <c r="AN131" s="159">
        <v>4963358</v>
      </c>
      <c r="AO131" s="159">
        <v>2933529</v>
      </c>
      <c r="AP131" s="158" t="s">
        <v>379</v>
      </c>
      <c r="AQ131" s="158" t="s">
        <v>182</v>
      </c>
      <c r="AR131" s="158">
        <v>17327169</v>
      </c>
      <c r="AS131" s="152">
        <f t="shared" ref="AS131:AT131" si="331">AX131-AN131-AI131</f>
        <v>27720061</v>
      </c>
      <c r="AT131" s="155">
        <f t="shared" si="331"/>
        <v>10159891</v>
      </c>
      <c r="AU131" s="158" t="s">
        <v>380</v>
      </c>
      <c r="AV131" s="158" t="s">
        <v>381</v>
      </c>
      <c r="AW131" s="158">
        <v>181554465</v>
      </c>
      <c r="AX131" s="161">
        <v>34249444</v>
      </c>
      <c r="AY131" s="166" t="s">
        <v>436</v>
      </c>
      <c r="AZ131" s="158" t="s">
        <v>225</v>
      </c>
      <c r="BA131" s="158" t="s">
        <v>141</v>
      </c>
      <c r="BB131" s="167">
        <f t="shared" ref="BB131:BC131" si="332">AX131-AX130</f>
        <v>761191</v>
      </c>
      <c r="BC131" s="168">
        <f t="shared" si="332"/>
        <v>159825</v>
      </c>
      <c r="BD131" s="164">
        <f t="shared" si="294"/>
        <v>160001347</v>
      </c>
      <c r="BE131" s="164">
        <f t="shared" ref="BE131:BF131" si="333">AX131-AN131-BJ131</f>
        <v>29240680</v>
      </c>
      <c r="BF131" s="164">
        <f t="shared" si="333"/>
        <v>11583409</v>
      </c>
      <c r="BG131" s="162">
        <f t="shared" si="225"/>
        <v>0.18275271145061048</v>
      </c>
      <c r="BH131" s="162">
        <f t="shared" si="226"/>
        <v>7.2395696768727827E-2</v>
      </c>
      <c r="BI131" s="164" t="s">
        <v>437</v>
      </c>
      <c r="BJ131" s="158">
        <f t="shared" ref="BJ131:BK131" si="334">AD131</f>
        <v>45406</v>
      </c>
      <c r="BK131" s="164">
        <f t="shared" si="334"/>
        <v>0</v>
      </c>
      <c r="BL131" s="162">
        <f t="shared" si="296"/>
        <v>1.1098092807685005E-3</v>
      </c>
      <c r="BM131" s="162">
        <f t="shared" si="297"/>
        <v>0</v>
      </c>
      <c r="BN131" s="162">
        <f t="shared" ref="BN131:BO131" si="335">V131/BB131</f>
        <v>0.11674073918372656</v>
      </c>
      <c r="BO131" s="162">
        <f t="shared" si="335"/>
        <v>1.2695135304239012E-2</v>
      </c>
      <c r="BP131" s="169" t="s">
        <v>438</v>
      </c>
      <c r="BQ131" s="169" t="s">
        <v>439</v>
      </c>
      <c r="BR131" s="169" t="s">
        <v>340</v>
      </c>
      <c r="BS131" s="169" t="s">
        <v>340</v>
      </c>
    </row>
    <row r="132" spans="1:71" ht="14.5" x14ac:dyDescent="0.25">
      <c r="A132" s="157">
        <v>44386</v>
      </c>
      <c r="B132" s="158">
        <v>112301</v>
      </c>
      <c r="C132" s="159">
        <v>136733</v>
      </c>
      <c r="D132" s="159">
        <v>121794</v>
      </c>
      <c r="E132" s="160">
        <f t="shared" si="0"/>
        <v>1.2175581695621589</v>
      </c>
      <c r="F132" s="160">
        <f t="shared" si="1"/>
        <v>1.0845317494946616</v>
      </c>
      <c r="G132" s="158">
        <v>911631</v>
      </c>
      <c r="H132" s="159">
        <v>599877</v>
      </c>
      <c r="I132" s="159">
        <v>535273</v>
      </c>
      <c r="J132" s="160">
        <f t="shared" si="2"/>
        <v>0.65802610924814975</v>
      </c>
      <c r="K132" s="160">
        <f t="shared" si="3"/>
        <v>0.58715971703463354</v>
      </c>
      <c r="L132" s="158">
        <v>1976757</v>
      </c>
      <c r="M132" s="161">
        <f t="shared" si="200"/>
        <v>4651990</v>
      </c>
      <c r="N132" s="161">
        <f t="shared" si="208"/>
        <v>1293428</v>
      </c>
      <c r="O132" s="160">
        <f t="shared" si="4"/>
        <v>2.3533443918498835</v>
      </c>
      <c r="P132" s="160">
        <f t="shared" si="5"/>
        <v>0.65431815847876096</v>
      </c>
      <c r="Q132" s="158">
        <v>8815157</v>
      </c>
      <c r="R132" s="158">
        <v>5388600</v>
      </c>
      <c r="S132" s="158">
        <v>1950495</v>
      </c>
      <c r="T132" s="162">
        <f t="shared" si="8"/>
        <v>0.61128803491531691</v>
      </c>
      <c r="U132" s="162">
        <f t="shared" si="9"/>
        <v>0.22126605345769793</v>
      </c>
      <c r="V132" s="163">
        <f t="shared" si="213"/>
        <v>226905</v>
      </c>
      <c r="W132" s="163">
        <f t="shared" si="218"/>
        <v>5374</v>
      </c>
      <c r="X132" s="164">
        <f t="shared" si="288"/>
        <v>7903526</v>
      </c>
      <c r="Y132" s="163">
        <f t="shared" ref="Y132:Z132" si="336">R132-H132-AD132</f>
        <v>4705939</v>
      </c>
      <c r="Z132" s="163">
        <f t="shared" si="336"/>
        <v>1415222</v>
      </c>
      <c r="AA132" s="162">
        <f t="shared" si="220"/>
        <v>0.59542272651472272</v>
      </c>
      <c r="AB132" s="162">
        <f t="shared" si="221"/>
        <v>0.17906210468593384</v>
      </c>
      <c r="AC132" s="158">
        <v>984719</v>
      </c>
      <c r="AD132" s="158">
        <v>82784</v>
      </c>
      <c r="AE132" s="158">
        <v>0</v>
      </c>
      <c r="AF132" s="165">
        <f t="shared" si="290"/>
        <v>8.4068653087835205E-2</v>
      </c>
      <c r="AG132" s="165">
        <f t="shared" si="291"/>
        <v>0</v>
      </c>
      <c r="AH132" s="158">
        <v>1468764</v>
      </c>
      <c r="AI132" s="159">
        <v>1567779</v>
      </c>
      <c r="AJ132" s="159">
        <v>1424618</v>
      </c>
      <c r="AK132" s="158" t="s">
        <v>377</v>
      </c>
      <c r="AL132" s="158" t="s">
        <v>378</v>
      </c>
      <c r="AM132" s="159">
        <v>21553118</v>
      </c>
      <c r="AN132" s="159">
        <v>4988881</v>
      </c>
      <c r="AO132" s="159">
        <v>2957938</v>
      </c>
      <c r="AP132" s="158" t="s">
        <v>379</v>
      </c>
      <c r="AQ132" s="158" t="s">
        <v>182</v>
      </c>
      <c r="AR132" s="158">
        <v>17327169</v>
      </c>
      <c r="AS132" s="152">
        <f t="shared" ref="AS132:AT132" si="337">AX132-AN132-AI132</f>
        <v>28402391</v>
      </c>
      <c r="AT132" s="155">
        <f t="shared" si="337"/>
        <v>10276813</v>
      </c>
      <c r="AU132" s="158" t="s">
        <v>380</v>
      </c>
      <c r="AV132" s="158" t="s">
        <v>381</v>
      </c>
      <c r="AW132" s="158">
        <v>181554465</v>
      </c>
      <c r="AX132" s="161">
        <v>34959051</v>
      </c>
      <c r="AY132" s="166" t="s">
        <v>440</v>
      </c>
      <c r="AZ132" s="158" t="s">
        <v>225</v>
      </c>
      <c r="BA132" s="158" t="s">
        <v>141</v>
      </c>
      <c r="BB132" s="167">
        <f t="shared" ref="BB132:BC132" si="338">AX132-AX131</f>
        <v>709607</v>
      </c>
      <c r="BC132" s="168">
        <f t="shared" si="338"/>
        <v>142431</v>
      </c>
      <c r="BD132" s="164">
        <f t="shared" si="294"/>
        <v>160001347</v>
      </c>
      <c r="BE132" s="164">
        <f t="shared" ref="BE132:BF132" si="339">AX132-AN132-BJ132</f>
        <v>29887386</v>
      </c>
      <c r="BF132" s="164">
        <f t="shared" si="339"/>
        <v>11701431</v>
      </c>
      <c r="BG132" s="162">
        <f t="shared" si="225"/>
        <v>0.18679458992304609</v>
      </c>
      <c r="BH132" s="162">
        <f t="shared" si="226"/>
        <v>7.3133328058794411E-2</v>
      </c>
      <c r="BI132" s="164" t="s">
        <v>441</v>
      </c>
      <c r="BJ132" s="158">
        <f t="shared" ref="BJ132:BK132" si="340">AD132</f>
        <v>82784</v>
      </c>
      <c r="BK132" s="164">
        <f t="shared" si="340"/>
        <v>0</v>
      </c>
      <c r="BL132" s="162">
        <f t="shared" si="296"/>
        <v>2.0233988735751376E-3</v>
      </c>
      <c r="BM132" s="162">
        <f t="shared" si="297"/>
        <v>0</v>
      </c>
      <c r="BN132" s="162">
        <f t="shared" ref="BN132:BO132" si="341">V132/BB132</f>
        <v>0.31976150178901841</v>
      </c>
      <c r="BO132" s="162">
        <f t="shared" si="341"/>
        <v>3.7730550231340088E-2</v>
      </c>
      <c r="BP132" s="169" t="s">
        <v>442</v>
      </c>
      <c r="BQ132" s="169" t="s">
        <v>443</v>
      </c>
      <c r="BR132" s="169" t="s">
        <v>340</v>
      </c>
      <c r="BS132" s="169" t="s">
        <v>340</v>
      </c>
    </row>
    <row r="133" spans="1:71" ht="14.5" x14ac:dyDescent="0.25">
      <c r="A133" s="157">
        <v>44387</v>
      </c>
      <c r="B133" s="158">
        <v>112301</v>
      </c>
      <c r="C133" s="159">
        <v>136733</v>
      </c>
      <c r="D133" s="159">
        <v>121794</v>
      </c>
      <c r="E133" s="160">
        <f t="shared" si="0"/>
        <v>1.2175581695621589</v>
      </c>
      <c r="F133" s="160">
        <f t="shared" si="1"/>
        <v>1.0845317494946616</v>
      </c>
      <c r="G133" s="158">
        <v>911631</v>
      </c>
      <c r="H133" s="159">
        <v>599877</v>
      </c>
      <c r="I133" s="159">
        <v>535273</v>
      </c>
      <c r="J133" s="160">
        <f t="shared" si="2"/>
        <v>0.65802610924814975</v>
      </c>
      <c r="K133" s="160">
        <f t="shared" si="3"/>
        <v>0.58715971703463354</v>
      </c>
      <c r="L133" s="158">
        <v>1976757</v>
      </c>
      <c r="M133" s="161">
        <f t="shared" si="200"/>
        <v>4686935</v>
      </c>
      <c r="N133" s="161">
        <f t="shared" si="208"/>
        <v>1293976</v>
      </c>
      <c r="O133" s="160">
        <f t="shared" si="4"/>
        <v>2.371022336078739</v>
      </c>
      <c r="P133" s="160">
        <f t="shared" si="5"/>
        <v>0.65459538021112362</v>
      </c>
      <c r="Q133" s="158">
        <v>8815157</v>
      </c>
      <c r="R133" s="158">
        <v>5423545</v>
      </c>
      <c r="S133" s="158">
        <v>1951043</v>
      </c>
      <c r="T133" s="162">
        <f t="shared" si="8"/>
        <v>0.61525222976743354</v>
      </c>
      <c r="U133" s="162">
        <f t="shared" si="9"/>
        <v>0.22132821911169592</v>
      </c>
      <c r="V133" s="163">
        <f t="shared" si="213"/>
        <v>34945</v>
      </c>
      <c r="W133" s="163">
        <f t="shared" si="218"/>
        <v>548</v>
      </c>
      <c r="X133" s="164">
        <f t="shared" si="288"/>
        <v>7903526</v>
      </c>
      <c r="Y133" s="163">
        <f t="shared" ref="Y133:Z133" si="342">R133-H133-AD133</f>
        <v>4735163</v>
      </c>
      <c r="Z133" s="163">
        <f t="shared" si="342"/>
        <v>1415770</v>
      </c>
      <c r="AA133" s="162">
        <f t="shared" si="220"/>
        <v>0.59912031667891019</v>
      </c>
      <c r="AB133" s="162">
        <f t="shared" si="221"/>
        <v>0.17913144082780269</v>
      </c>
      <c r="AC133" s="158">
        <v>984719</v>
      </c>
      <c r="AD133" s="158">
        <v>88505</v>
      </c>
      <c r="AE133" s="158">
        <v>0</v>
      </c>
      <c r="AF133" s="165">
        <f t="shared" si="290"/>
        <v>8.9878432324348362E-2</v>
      </c>
      <c r="AG133" s="165">
        <f t="shared" si="291"/>
        <v>0</v>
      </c>
      <c r="AH133" s="158">
        <v>1468764</v>
      </c>
      <c r="AI133" s="159">
        <v>1569703</v>
      </c>
      <c r="AJ133" s="159">
        <v>1426387</v>
      </c>
      <c r="AK133" s="158" t="s">
        <v>377</v>
      </c>
      <c r="AL133" s="158" t="s">
        <v>378</v>
      </c>
      <c r="AM133" s="159">
        <v>21553118</v>
      </c>
      <c r="AN133" s="159">
        <v>5026182</v>
      </c>
      <c r="AO133" s="159">
        <v>2999809</v>
      </c>
      <c r="AP133" s="158" t="s">
        <v>379</v>
      </c>
      <c r="AQ133" s="158" t="s">
        <v>182</v>
      </c>
      <c r="AR133" s="158">
        <v>17327169</v>
      </c>
      <c r="AS133" s="152">
        <f t="shared" ref="AS133:AT133" si="343">AX133-AN133-AI133</f>
        <v>29179682</v>
      </c>
      <c r="AT133" s="155">
        <f t="shared" si="343"/>
        <v>10442381</v>
      </c>
      <c r="AU133" s="158" t="s">
        <v>380</v>
      </c>
      <c r="AV133" s="158" t="s">
        <v>381</v>
      </c>
      <c r="AW133" s="158">
        <v>181554465</v>
      </c>
      <c r="AX133" s="161">
        <v>35775567</v>
      </c>
      <c r="AY133" s="166" t="s">
        <v>444</v>
      </c>
      <c r="AZ133" s="158" t="s">
        <v>225</v>
      </c>
      <c r="BA133" s="158" t="s">
        <v>141</v>
      </c>
      <c r="BB133" s="167">
        <f t="shared" ref="BB133:BC133" si="344">AX133-AX132</f>
        <v>816516</v>
      </c>
      <c r="BC133" s="168">
        <f t="shared" si="344"/>
        <v>209208</v>
      </c>
      <c r="BD133" s="164">
        <f t="shared" si="294"/>
        <v>160001347</v>
      </c>
      <c r="BE133" s="164">
        <f t="shared" ref="BE133:BF133" si="345">AX133-AN133-BJ133</f>
        <v>30660880</v>
      </c>
      <c r="BF133" s="164">
        <f t="shared" si="345"/>
        <v>11868768</v>
      </c>
      <c r="BG133" s="162">
        <f t="shared" si="225"/>
        <v>0.19162888672430989</v>
      </c>
      <c r="BH133" s="162">
        <f t="shared" si="226"/>
        <v>7.4179175504066219E-2</v>
      </c>
      <c r="BI133" s="164" t="s">
        <v>445</v>
      </c>
      <c r="BJ133" s="158">
        <f t="shared" ref="BJ133:BK133" si="346">AD133</f>
        <v>88505</v>
      </c>
      <c r="BK133" s="164">
        <f t="shared" si="346"/>
        <v>0</v>
      </c>
      <c r="BL133" s="162">
        <f t="shared" si="296"/>
        <v>2.1632309737230435E-3</v>
      </c>
      <c r="BM133" s="162">
        <f t="shared" si="297"/>
        <v>0</v>
      </c>
      <c r="BN133" s="162">
        <f t="shared" ref="BN133:BO133" si="347">V133/BB133</f>
        <v>4.2797691655766697E-2</v>
      </c>
      <c r="BO133" s="162">
        <f t="shared" si="347"/>
        <v>2.6194026997055564E-3</v>
      </c>
      <c r="BP133" s="169" t="s">
        <v>442</v>
      </c>
      <c r="BQ133" s="169" t="s">
        <v>446</v>
      </c>
      <c r="BR133" s="169" t="s">
        <v>340</v>
      </c>
      <c r="BS133" s="169" t="s">
        <v>340</v>
      </c>
    </row>
    <row r="134" spans="1:71" ht="14.5" x14ac:dyDescent="0.25">
      <c r="A134" s="157">
        <v>44388</v>
      </c>
      <c r="B134" s="158">
        <v>112301</v>
      </c>
      <c r="C134" s="159">
        <v>136733</v>
      </c>
      <c r="D134" s="159">
        <v>121794</v>
      </c>
      <c r="E134" s="160">
        <f t="shared" si="0"/>
        <v>1.2175581695621589</v>
      </c>
      <c r="F134" s="160">
        <f t="shared" si="1"/>
        <v>1.0845317494946616</v>
      </c>
      <c r="G134" s="158">
        <v>911631</v>
      </c>
      <c r="H134" s="159">
        <v>599877</v>
      </c>
      <c r="I134" s="159">
        <v>535273</v>
      </c>
      <c r="J134" s="160">
        <f t="shared" si="2"/>
        <v>0.65802610924814975</v>
      </c>
      <c r="K134" s="160">
        <f t="shared" si="3"/>
        <v>0.58715971703463354</v>
      </c>
      <c r="L134" s="158">
        <v>1976757</v>
      </c>
      <c r="M134" s="161">
        <f t="shared" si="200"/>
        <v>4705083</v>
      </c>
      <c r="N134" s="161">
        <f t="shared" si="208"/>
        <v>1294418</v>
      </c>
      <c r="O134" s="160">
        <f t="shared" si="4"/>
        <v>2.3802030295074204</v>
      </c>
      <c r="P134" s="160">
        <f t="shared" si="5"/>
        <v>0.65481897876167883</v>
      </c>
      <c r="Q134" s="158">
        <v>8815157</v>
      </c>
      <c r="R134" s="158">
        <v>5441693</v>
      </c>
      <c r="S134" s="158">
        <v>1951485</v>
      </c>
      <c r="T134" s="162">
        <f t="shared" si="8"/>
        <v>0.61731095657173207</v>
      </c>
      <c r="U134" s="162">
        <f t="shared" si="9"/>
        <v>0.22137836002240233</v>
      </c>
      <c r="V134" s="163">
        <f t="shared" si="213"/>
        <v>18148</v>
      </c>
      <c r="W134" s="163">
        <f t="shared" si="218"/>
        <v>442</v>
      </c>
      <c r="X134" s="164">
        <f t="shared" si="288"/>
        <v>7903526</v>
      </c>
      <c r="Y134" s="163">
        <f t="shared" ref="Y134:Z134" si="348">R134-H134-AD134</f>
        <v>4750013</v>
      </c>
      <c r="Z134" s="163">
        <f t="shared" si="348"/>
        <v>1416212</v>
      </c>
      <c r="AA134" s="162">
        <f t="shared" si="220"/>
        <v>0.60099922490291047</v>
      </c>
      <c r="AB134" s="162">
        <f t="shared" si="221"/>
        <v>0.17918736523420054</v>
      </c>
      <c r="AC134" s="158">
        <v>984719</v>
      </c>
      <c r="AD134" s="158">
        <v>91803</v>
      </c>
      <c r="AE134" s="158">
        <v>0</v>
      </c>
      <c r="AF134" s="165">
        <f t="shared" si="290"/>
        <v>9.3227611125610454E-2</v>
      </c>
      <c r="AG134" s="165">
        <f t="shared" si="291"/>
        <v>0</v>
      </c>
      <c r="AH134" s="158">
        <v>1468764</v>
      </c>
      <c r="AI134" s="159">
        <v>1570936</v>
      </c>
      <c r="AJ134" s="159">
        <v>1427454</v>
      </c>
      <c r="AK134" s="158" t="s">
        <v>377</v>
      </c>
      <c r="AL134" s="158" t="s">
        <v>378</v>
      </c>
      <c r="AM134" s="159">
        <v>21553118</v>
      </c>
      <c r="AN134" s="159">
        <v>5044159</v>
      </c>
      <c r="AO134" s="159">
        <v>3015499</v>
      </c>
      <c r="AP134" s="158" t="s">
        <v>379</v>
      </c>
      <c r="AQ134" s="158" t="s">
        <v>182</v>
      </c>
      <c r="AR134" s="158">
        <v>17327169</v>
      </c>
      <c r="AS134" s="152">
        <f t="shared" ref="AS134:AT134" si="349">AX134-AN134-AI134</f>
        <v>29577981</v>
      </c>
      <c r="AT134" s="155">
        <f t="shared" si="349"/>
        <v>10526377</v>
      </c>
      <c r="AU134" s="158" t="s">
        <v>380</v>
      </c>
      <c r="AV134" s="158" t="s">
        <v>381</v>
      </c>
      <c r="AW134" s="158">
        <v>181554465</v>
      </c>
      <c r="AX134" s="161">
        <v>36193076</v>
      </c>
      <c r="AY134" s="166" t="s">
        <v>447</v>
      </c>
      <c r="AZ134" s="158" t="s">
        <v>225</v>
      </c>
      <c r="BA134" s="158" t="s">
        <v>141</v>
      </c>
      <c r="BB134" s="167">
        <f t="shared" ref="BB134:BC134" si="350">AX134-AX133</f>
        <v>417509</v>
      </c>
      <c r="BC134" s="168">
        <f t="shared" si="350"/>
        <v>100753</v>
      </c>
      <c r="BD134" s="164">
        <f t="shared" si="294"/>
        <v>160001347</v>
      </c>
      <c r="BE134" s="164">
        <f t="shared" ref="BE134:BF134" si="351">AX134-AN134-BJ134</f>
        <v>31057114</v>
      </c>
      <c r="BF134" s="164">
        <f t="shared" si="351"/>
        <v>11953831</v>
      </c>
      <c r="BG134" s="162">
        <f t="shared" si="225"/>
        <v>0.19410532837576674</v>
      </c>
      <c r="BH134" s="162">
        <f t="shared" si="226"/>
        <v>7.4710814778328083E-2</v>
      </c>
      <c r="BI134" s="164" t="s">
        <v>448</v>
      </c>
      <c r="BJ134" s="158">
        <f t="shared" ref="BJ134:BK134" si="352">AD134</f>
        <v>91803</v>
      </c>
      <c r="BK134" s="164">
        <f t="shared" si="352"/>
        <v>0</v>
      </c>
      <c r="BL134" s="162">
        <f t="shared" si="296"/>
        <v>2.2438403279673655E-3</v>
      </c>
      <c r="BM134" s="162">
        <f t="shared" si="297"/>
        <v>0</v>
      </c>
      <c r="BN134" s="162">
        <f t="shared" ref="BN134:BO134" si="353">V134/BB134</f>
        <v>4.346732645284293E-2</v>
      </c>
      <c r="BO134" s="162">
        <f t="shared" si="353"/>
        <v>4.3869661449286871E-3</v>
      </c>
      <c r="BP134" s="169" t="s">
        <v>449</v>
      </c>
      <c r="BQ134" s="169" t="s">
        <v>450</v>
      </c>
      <c r="BR134" s="169" t="s">
        <v>340</v>
      </c>
      <c r="BS134" s="169" t="s">
        <v>340</v>
      </c>
    </row>
    <row r="135" spans="1:71" ht="14.5" x14ac:dyDescent="0.25">
      <c r="A135" s="157">
        <v>44389</v>
      </c>
      <c r="B135" s="158">
        <v>112301</v>
      </c>
      <c r="C135" s="159">
        <v>136733</v>
      </c>
      <c r="D135" s="159">
        <v>121794</v>
      </c>
      <c r="E135" s="160">
        <f t="shared" si="0"/>
        <v>1.2175581695621589</v>
      </c>
      <c r="F135" s="160">
        <f t="shared" si="1"/>
        <v>1.0845317494946616</v>
      </c>
      <c r="G135" s="158">
        <v>911631</v>
      </c>
      <c r="H135" s="159">
        <v>599877</v>
      </c>
      <c r="I135" s="159">
        <v>535273</v>
      </c>
      <c r="J135" s="160">
        <f t="shared" si="2"/>
        <v>0.65802610924814975</v>
      </c>
      <c r="K135" s="160">
        <f t="shared" si="3"/>
        <v>0.58715971703463354</v>
      </c>
      <c r="L135" s="158">
        <v>1976757</v>
      </c>
      <c r="M135" s="161">
        <f t="shared" si="200"/>
        <v>4729394</v>
      </c>
      <c r="N135" s="161">
        <f t="shared" si="208"/>
        <v>1294628</v>
      </c>
      <c r="O135" s="160">
        <f t="shared" si="4"/>
        <v>2.3925014556670345</v>
      </c>
      <c r="P135" s="160">
        <f t="shared" si="5"/>
        <v>0.65492521336714626</v>
      </c>
      <c r="Q135" s="158">
        <v>8815157</v>
      </c>
      <c r="R135" s="158">
        <v>5466004</v>
      </c>
      <c r="S135" s="158">
        <v>1951695</v>
      </c>
      <c r="T135" s="162">
        <f t="shared" si="8"/>
        <v>0.62006882010155917</v>
      </c>
      <c r="U135" s="162">
        <f t="shared" si="9"/>
        <v>0.22140218262703659</v>
      </c>
      <c r="V135" s="163">
        <f t="shared" si="213"/>
        <v>24311</v>
      </c>
      <c r="W135" s="163">
        <f t="shared" si="218"/>
        <v>210</v>
      </c>
      <c r="X135" s="164">
        <f t="shared" si="288"/>
        <v>7903526</v>
      </c>
      <c r="Y135" s="163">
        <f t="shared" ref="Y135:Z135" si="354">R135-H135-AD135</f>
        <v>4773966</v>
      </c>
      <c r="Z135" s="163">
        <f t="shared" si="354"/>
        <v>1416422</v>
      </c>
      <c r="AA135" s="162">
        <f t="shared" si="220"/>
        <v>0.60402989754193259</v>
      </c>
      <c r="AB135" s="162">
        <f t="shared" si="221"/>
        <v>0.17921393565352983</v>
      </c>
      <c r="AC135" s="158">
        <v>984719</v>
      </c>
      <c r="AD135" s="158">
        <v>92161</v>
      </c>
      <c r="AE135" s="158">
        <v>0</v>
      </c>
      <c r="AF135" s="165">
        <f t="shared" si="290"/>
        <v>9.3591166617075533E-2</v>
      </c>
      <c r="AG135" s="165">
        <f t="shared" si="291"/>
        <v>0</v>
      </c>
      <c r="AH135" s="158">
        <v>1468764</v>
      </c>
      <c r="AI135" s="159">
        <v>1571536</v>
      </c>
      <c r="AJ135" s="159">
        <v>1427885</v>
      </c>
      <c r="AK135" s="158" t="s">
        <v>377</v>
      </c>
      <c r="AL135" s="158" t="s">
        <v>378</v>
      </c>
      <c r="AM135" s="159">
        <v>21553118</v>
      </c>
      <c r="AN135" s="159">
        <v>5050408</v>
      </c>
      <c r="AO135" s="159">
        <v>3020278</v>
      </c>
      <c r="AP135" s="158" t="s">
        <v>379</v>
      </c>
      <c r="AQ135" s="158" t="s">
        <v>182</v>
      </c>
      <c r="AR135" s="158">
        <v>17327169</v>
      </c>
      <c r="AS135" s="152">
        <f t="shared" ref="AS135:AT135" si="355">AX135-AN135-AI135</f>
        <v>29656662</v>
      </c>
      <c r="AT135" s="155">
        <f t="shared" si="355"/>
        <v>10568239</v>
      </c>
      <c r="AU135" s="158" t="s">
        <v>380</v>
      </c>
      <c r="AV135" s="158" t="s">
        <v>381</v>
      </c>
      <c r="AW135" s="158">
        <v>181554465</v>
      </c>
      <c r="AX135" s="161">
        <v>36278606</v>
      </c>
      <c r="AY135" s="166" t="s">
        <v>451</v>
      </c>
      <c r="AZ135" s="158" t="s">
        <v>225</v>
      </c>
      <c r="BA135" s="158" t="s">
        <v>141</v>
      </c>
      <c r="BB135" s="167">
        <f t="shared" ref="BB135:BC135" si="356">AX135-AX134</f>
        <v>85530</v>
      </c>
      <c r="BC135" s="168">
        <f t="shared" si="356"/>
        <v>47072</v>
      </c>
      <c r="BD135" s="164">
        <f t="shared" si="294"/>
        <v>160001347</v>
      </c>
      <c r="BE135" s="164">
        <f t="shared" ref="BE135:BF135" si="357">AX135-AN135-BJ135</f>
        <v>31136037</v>
      </c>
      <c r="BF135" s="164">
        <f t="shared" si="357"/>
        <v>11996124</v>
      </c>
      <c r="BG135" s="162">
        <f t="shared" si="225"/>
        <v>0.1945985929730954</v>
      </c>
      <c r="BH135" s="162">
        <f t="shared" si="226"/>
        <v>7.4975143803008112E-2</v>
      </c>
      <c r="BI135" s="164" t="s">
        <v>452</v>
      </c>
      <c r="BJ135" s="158">
        <f t="shared" ref="BJ135:BK135" si="358">AD135</f>
        <v>92161</v>
      </c>
      <c r="BK135" s="164">
        <f t="shared" si="358"/>
        <v>0</v>
      </c>
      <c r="BL135" s="162">
        <f t="shared" si="296"/>
        <v>2.2525904753804018E-3</v>
      </c>
      <c r="BM135" s="162">
        <f t="shared" si="297"/>
        <v>0</v>
      </c>
      <c r="BN135" s="162">
        <f t="shared" ref="BN135:BO135" si="359">V135/BB135</f>
        <v>0.28423944814684904</v>
      </c>
      <c r="BO135" s="162">
        <f t="shared" si="359"/>
        <v>4.4612508497620662E-3</v>
      </c>
      <c r="BP135" s="169" t="s">
        <v>453</v>
      </c>
      <c r="BQ135" s="169" t="s">
        <v>454</v>
      </c>
      <c r="BR135" s="169" t="s">
        <v>340</v>
      </c>
      <c r="BS135" s="169" t="s">
        <v>340</v>
      </c>
    </row>
    <row r="136" spans="1:71" ht="14.5" x14ac:dyDescent="0.25">
      <c r="A136" s="157">
        <v>44390</v>
      </c>
      <c r="B136" s="158">
        <v>112301</v>
      </c>
      <c r="C136" s="159">
        <v>136733</v>
      </c>
      <c r="D136" s="159">
        <v>121794</v>
      </c>
      <c r="E136" s="160">
        <f t="shared" si="0"/>
        <v>1.2175581695621589</v>
      </c>
      <c r="F136" s="160">
        <f t="shared" si="1"/>
        <v>1.0845317494946616</v>
      </c>
      <c r="G136" s="158">
        <v>911631</v>
      </c>
      <c r="H136" s="159">
        <v>599877</v>
      </c>
      <c r="I136" s="159">
        <v>535273</v>
      </c>
      <c r="J136" s="160">
        <f t="shared" si="2"/>
        <v>0.65802610924814975</v>
      </c>
      <c r="K136" s="160">
        <f t="shared" si="3"/>
        <v>0.58715971703463354</v>
      </c>
      <c r="L136" s="158">
        <v>1976757</v>
      </c>
      <c r="M136" s="161">
        <f t="shared" si="200"/>
        <v>4807725</v>
      </c>
      <c r="N136" s="161">
        <f t="shared" si="208"/>
        <v>1295799</v>
      </c>
      <c r="O136" s="160">
        <f t="shared" si="4"/>
        <v>2.4321274693854633</v>
      </c>
      <c r="P136" s="160">
        <f t="shared" si="5"/>
        <v>0.65551759776239571</v>
      </c>
      <c r="Q136" s="158">
        <v>8815157</v>
      </c>
      <c r="R136" s="158">
        <v>5544335</v>
      </c>
      <c r="S136" s="158">
        <v>1952866</v>
      </c>
      <c r="T136" s="162">
        <f t="shared" si="8"/>
        <v>0.62895476507111558</v>
      </c>
      <c r="U136" s="162">
        <f t="shared" si="9"/>
        <v>0.22153502200811626</v>
      </c>
      <c r="V136" s="163">
        <f t="shared" si="213"/>
        <v>78331</v>
      </c>
      <c r="W136" s="163">
        <f t="shared" si="218"/>
        <v>1171</v>
      </c>
      <c r="X136" s="164">
        <f t="shared" si="288"/>
        <v>7903526</v>
      </c>
      <c r="Y136" s="163">
        <f t="shared" ref="Y136:Z136" si="360">R136-H136-AD136</f>
        <v>4839141</v>
      </c>
      <c r="Z136" s="163">
        <f t="shared" si="360"/>
        <v>1417593</v>
      </c>
      <c r="AA136" s="162">
        <f t="shared" si="220"/>
        <v>0.61227621696948931</v>
      </c>
      <c r="AB136" s="162">
        <f t="shared" si="221"/>
        <v>0.17936209737274225</v>
      </c>
      <c r="AC136" s="158">
        <v>984719</v>
      </c>
      <c r="AD136" s="158">
        <v>105317</v>
      </c>
      <c r="AE136" s="158">
        <v>0</v>
      </c>
      <c r="AF136" s="165">
        <f t="shared" si="290"/>
        <v>0.10695132316935085</v>
      </c>
      <c r="AG136" s="165">
        <f t="shared" si="291"/>
        <v>0</v>
      </c>
      <c r="AH136" s="158">
        <v>1468764</v>
      </c>
      <c r="AI136" s="159">
        <v>1571983</v>
      </c>
      <c r="AJ136" s="159">
        <v>1428202</v>
      </c>
      <c r="AK136" s="158" t="s">
        <v>377</v>
      </c>
      <c r="AL136" s="158" t="s">
        <v>378</v>
      </c>
      <c r="AM136" s="159">
        <v>21553118</v>
      </c>
      <c r="AN136" s="159">
        <v>5055120</v>
      </c>
      <c r="AO136" s="159">
        <v>3023237</v>
      </c>
      <c r="AP136" s="158" t="s">
        <v>379</v>
      </c>
      <c r="AQ136" s="158" t="s">
        <v>182</v>
      </c>
      <c r="AR136" s="158">
        <v>17327169</v>
      </c>
      <c r="AS136" s="152">
        <f t="shared" ref="AS136:AT136" si="361">AX136-AN136-AI136</f>
        <v>29767916</v>
      </c>
      <c r="AT136" s="155">
        <f t="shared" si="361"/>
        <v>10587109</v>
      </c>
      <c r="AU136" s="158" t="s">
        <v>380</v>
      </c>
      <c r="AV136" s="158" t="s">
        <v>381</v>
      </c>
      <c r="AW136" s="158">
        <v>181554465</v>
      </c>
      <c r="AX136" s="161">
        <v>36395019</v>
      </c>
      <c r="AY136" s="166" t="s">
        <v>455</v>
      </c>
      <c r="AZ136" s="158" t="s">
        <v>225</v>
      </c>
      <c r="BA136" s="158" t="s">
        <v>141</v>
      </c>
      <c r="BB136" s="167">
        <f t="shared" ref="BB136:BC136" si="362">AX136-AX135</f>
        <v>116413</v>
      </c>
      <c r="BC136" s="168">
        <f t="shared" si="362"/>
        <v>22146</v>
      </c>
      <c r="BD136" s="164">
        <f t="shared" si="294"/>
        <v>160001347</v>
      </c>
      <c r="BE136" s="164">
        <f t="shared" ref="BE136:BF136" si="363">AX136-AN136-BJ136</f>
        <v>31234582</v>
      </c>
      <c r="BF136" s="164">
        <f t="shared" si="363"/>
        <v>12015311</v>
      </c>
      <c r="BG136" s="162">
        <f t="shared" si="225"/>
        <v>0.19521449403797833</v>
      </c>
      <c r="BH136" s="162">
        <f t="shared" si="226"/>
        <v>7.5095061543450636E-2</v>
      </c>
      <c r="BI136" s="164" t="s">
        <v>456</v>
      </c>
      <c r="BJ136" s="158">
        <f t="shared" ref="BJ136:BK136" si="364">AD136</f>
        <v>105317</v>
      </c>
      <c r="BK136" s="164">
        <f t="shared" si="364"/>
        <v>0</v>
      </c>
      <c r="BL136" s="162">
        <f t="shared" si="296"/>
        <v>2.574148124446742E-3</v>
      </c>
      <c r="BM136" s="162">
        <f t="shared" si="297"/>
        <v>0</v>
      </c>
      <c r="BN136" s="162">
        <f t="shared" ref="BN136:BO136" si="365">V136/BB136</f>
        <v>0.67287158650666168</v>
      </c>
      <c r="BO136" s="162">
        <f t="shared" si="365"/>
        <v>5.2876365935157592E-2</v>
      </c>
      <c r="BP136" s="169" t="s">
        <v>457</v>
      </c>
      <c r="BQ136" s="169" t="s">
        <v>458</v>
      </c>
      <c r="BR136" s="169" t="s">
        <v>340</v>
      </c>
      <c r="BS136" s="169" t="s">
        <v>340</v>
      </c>
    </row>
    <row r="137" spans="1:71" ht="14.5" x14ac:dyDescent="0.25">
      <c r="A137" s="157">
        <v>44391</v>
      </c>
      <c r="B137" s="158">
        <v>112301</v>
      </c>
      <c r="C137" s="159">
        <v>136733</v>
      </c>
      <c r="D137" s="159">
        <v>121794</v>
      </c>
      <c r="E137" s="160">
        <f t="shared" si="0"/>
        <v>1.2175581695621589</v>
      </c>
      <c r="F137" s="160">
        <f t="shared" si="1"/>
        <v>1.0845317494946616</v>
      </c>
      <c r="G137" s="158">
        <v>911631</v>
      </c>
      <c r="H137" s="159">
        <v>623508</v>
      </c>
      <c r="I137" s="159">
        <v>539719</v>
      </c>
      <c r="J137" s="160">
        <f t="shared" si="2"/>
        <v>0.6839477815037005</v>
      </c>
      <c r="K137" s="160">
        <f t="shared" si="3"/>
        <v>0.59203669028367834</v>
      </c>
      <c r="L137" s="158">
        <v>1976757</v>
      </c>
      <c r="M137" s="161">
        <f t="shared" si="200"/>
        <v>5165244</v>
      </c>
      <c r="N137" s="161">
        <f t="shared" si="208"/>
        <v>1304367</v>
      </c>
      <c r="O137" s="160">
        <f t="shared" si="4"/>
        <v>2.6129888499193377</v>
      </c>
      <c r="P137" s="160">
        <f t="shared" si="5"/>
        <v>0.65985196966546722</v>
      </c>
      <c r="Q137" s="158">
        <v>8815157</v>
      </c>
      <c r="R137" s="158">
        <v>5925485</v>
      </c>
      <c r="S137" s="158">
        <v>1965880</v>
      </c>
      <c r="T137" s="162">
        <f t="shared" si="8"/>
        <v>0.67219279248231201</v>
      </c>
      <c r="U137" s="162">
        <f t="shared" si="9"/>
        <v>0.22301134284959417</v>
      </c>
      <c r="V137" s="163">
        <f t="shared" si="213"/>
        <v>381150</v>
      </c>
      <c r="W137" s="163">
        <f t="shared" si="218"/>
        <v>13014</v>
      </c>
      <c r="X137" s="164">
        <f t="shared" si="288"/>
        <v>7903526</v>
      </c>
      <c r="Y137" s="163">
        <f t="shared" ref="Y137:Z137" si="366">R137-H137-AD137</f>
        <v>5123691</v>
      </c>
      <c r="Z137" s="163">
        <f t="shared" si="366"/>
        <v>1426161</v>
      </c>
      <c r="AA137" s="162">
        <f t="shared" si="220"/>
        <v>0.64827913516068647</v>
      </c>
      <c r="AB137" s="162">
        <f t="shared" si="221"/>
        <v>0.18044617048137757</v>
      </c>
      <c r="AC137" s="158">
        <v>984719</v>
      </c>
      <c r="AD137" s="158">
        <v>178286</v>
      </c>
      <c r="AE137" s="158">
        <v>0</v>
      </c>
      <c r="AF137" s="165">
        <f t="shared" si="290"/>
        <v>0.18105266578587395</v>
      </c>
      <c r="AG137" s="165">
        <f t="shared" si="291"/>
        <v>0</v>
      </c>
      <c r="AH137" s="158">
        <v>1468764</v>
      </c>
      <c r="AI137" s="159">
        <v>1575406</v>
      </c>
      <c r="AJ137" s="159">
        <v>1430768</v>
      </c>
      <c r="AK137" s="158" t="s">
        <v>377</v>
      </c>
      <c r="AL137" s="158" t="s">
        <v>378</v>
      </c>
      <c r="AM137" s="159">
        <v>21553118</v>
      </c>
      <c r="AN137" s="159">
        <v>5101997</v>
      </c>
      <c r="AO137" s="159">
        <v>3069958</v>
      </c>
      <c r="AP137" s="158" t="s">
        <v>379</v>
      </c>
      <c r="AQ137" s="158" t="s">
        <v>182</v>
      </c>
      <c r="AR137" s="158">
        <v>17327169</v>
      </c>
      <c r="AS137" s="152">
        <f t="shared" ref="AS137:AT137" si="367">AX137-AN137-AI137</f>
        <v>30354423</v>
      </c>
      <c r="AT137" s="155">
        <f t="shared" si="367"/>
        <v>10753495</v>
      </c>
      <c r="AU137" s="158" t="s">
        <v>380</v>
      </c>
      <c r="AV137" s="158" t="s">
        <v>381</v>
      </c>
      <c r="AW137" s="158">
        <v>181554465</v>
      </c>
      <c r="AX137" s="161">
        <v>37031826</v>
      </c>
      <c r="AY137" s="166" t="s">
        <v>459</v>
      </c>
      <c r="AZ137" s="158" t="s">
        <v>225</v>
      </c>
      <c r="BA137" s="158" t="s">
        <v>141</v>
      </c>
      <c r="BB137" s="167">
        <f t="shared" ref="BB137:BC137" si="368">AX137-AX136</f>
        <v>636807</v>
      </c>
      <c r="BC137" s="168">
        <f t="shared" si="368"/>
        <v>215673</v>
      </c>
      <c r="BD137" s="164">
        <f t="shared" si="294"/>
        <v>160001347</v>
      </c>
      <c r="BE137" s="164">
        <f t="shared" ref="BE137:BF137" si="369">AX137-AN137-BJ137</f>
        <v>31780830</v>
      </c>
      <c r="BF137" s="164">
        <f t="shared" si="369"/>
        <v>12184263</v>
      </c>
      <c r="BG137" s="162">
        <f t="shared" si="225"/>
        <v>0.19862851529618686</v>
      </c>
      <c r="BH137" s="162">
        <f t="shared" si="226"/>
        <v>7.6151002653746414E-2</v>
      </c>
      <c r="BI137" s="164" t="s">
        <v>460</v>
      </c>
      <c r="BJ137" s="158">
        <v>148999</v>
      </c>
      <c r="BK137" s="164">
        <f t="shared" ref="BK137:BK138" si="370">AE137</f>
        <v>0</v>
      </c>
      <c r="BL137" s="162">
        <f t="shared" si="296"/>
        <v>3.641819336098234E-3</v>
      </c>
      <c r="BM137" s="162">
        <f t="shared" si="297"/>
        <v>0</v>
      </c>
      <c r="BN137" s="162">
        <f t="shared" ref="BN137:BO137" si="371">V137/BB137</f>
        <v>0.5985329935129482</v>
      </c>
      <c r="BO137" s="162">
        <f t="shared" si="371"/>
        <v>6.0341350099456119E-2</v>
      </c>
      <c r="BP137" s="169" t="s">
        <v>461</v>
      </c>
      <c r="BQ137" s="169" t="s">
        <v>462</v>
      </c>
      <c r="BR137" s="169" t="s">
        <v>340</v>
      </c>
      <c r="BS137" s="169" t="s">
        <v>340</v>
      </c>
    </row>
    <row r="138" spans="1:71" ht="14.5" x14ac:dyDescent="0.25">
      <c r="A138" s="157">
        <v>44392</v>
      </c>
      <c r="B138" s="158">
        <v>112301</v>
      </c>
      <c r="C138" s="159">
        <v>136733</v>
      </c>
      <c r="D138" s="159">
        <v>121794</v>
      </c>
      <c r="E138" s="160">
        <f t="shared" si="0"/>
        <v>1.2175581695621589</v>
      </c>
      <c r="F138" s="160">
        <f t="shared" si="1"/>
        <v>1.0845317494946616</v>
      </c>
      <c r="G138" s="158">
        <v>911631</v>
      </c>
      <c r="H138" s="159">
        <v>625214</v>
      </c>
      <c r="I138" s="159">
        <v>539900</v>
      </c>
      <c r="J138" s="160">
        <f t="shared" si="2"/>
        <v>0.68581915270542582</v>
      </c>
      <c r="K138" s="160">
        <f t="shared" si="3"/>
        <v>0.59223523552841006</v>
      </c>
      <c r="L138" s="158">
        <v>1976757</v>
      </c>
      <c r="M138" s="161">
        <f t="shared" si="200"/>
        <v>5308046</v>
      </c>
      <c r="N138" s="161">
        <f t="shared" si="208"/>
        <v>1308614</v>
      </c>
      <c r="O138" s="160">
        <f t="shared" si="4"/>
        <v>2.6852293933953439</v>
      </c>
      <c r="P138" s="160">
        <f t="shared" si="5"/>
        <v>0.66200043809127773</v>
      </c>
      <c r="Q138" s="158">
        <v>8815157</v>
      </c>
      <c r="R138" s="158">
        <v>6069993</v>
      </c>
      <c r="S138" s="158">
        <v>1970308</v>
      </c>
      <c r="T138" s="162">
        <f t="shared" si="8"/>
        <v>0.68858592081797299</v>
      </c>
      <c r="U138" s="162">
        <f t="shared" si="9"/>
        <v>0.22351365948445387</v>
      </c>
      <c r="V138" s="163">
        <f t="shared" si="213"/>
        <v>144508</v>
      </c>
      <c r="W138" s="163">
        <f t="shared" si="218"/>
        <v>4428</v>
      </c>
      <c r="X138" s="164">
        <f t="shared" si="288"/>
        <v>7903526</v>
      </c>
      <c r="Y138" s="163">
        <f t="shared" ref="Y138:Z138" si="372">R138-H138-AD138</f>
        <v>5236799</v>
      </c>
      <c r="Z138" s="163">
        <f t="shared" si="372"/>
        <v>1430408</v>
      </c>
      <c r="AA138" s="162">
        <f t="shared" si="220"/>
        <v>0.66259021606305846</v>
      </c>
      <c r="AB138" s="162">
        <f t="shared" si="221"/>
        <v>0.180983525580861</v>
      </c>
      <c r="AC138" s="158">
        <v>984719</v>
      </c>
      <c r="AD138" s="158">
        <v>207980</v>
      </c>
      <c r="AE138" s="158">
        <v>0</v>
      </c>
      <c r="AF138" s="165">
        <f t="shared" si="290"/>
        <v>0.21120746121482373</v>
      </c>
      <c r="AG138" s="165">
        <f t="shared" si="291"/>
        <v>0</v>
      </c>
      <c r="AH138" s="158">
        <v>1468764</v>
      </c>
      <c r="AI138" s="159">
        <v>1579142</v>
      </c>
      <c r="AJ138" s="159">
        <v>1433358</v>
      </c>
      <c r="AK138" s="158" t="s">
        <v>377</v>
      </c>
      <c r="AL138" s="158" t="s">
        <v>378</v>
      </c>
      <c r="AM138" s="159">
        <v>21553118</v>
      </c>
      <c r="AN138" s="159">
        <v>5157397</v>
      </c>
      <c r="AO138" s="159">
        <v>3140897</v>
      </c>
      <c r="AP138" s="158" t="s">
        <v>379</v>
      </c>
      <c r="AQ138" s="158" t="s">
        <v>182</v>
      </c>
      <c r="AR138" s="158">
        <v>17327169</v>
      </c>
      <c r="AS138" s="152">
        <f t="shared" ref="AS138:AT138" si="373">AX138-AN138-AI138</f>
        <v>32541614</v>
      </c>
      <c r="AT138" s="155">
        <f t="shared" si="373"/>
        <v>11111279</v>
      </c>
      <c r="AU138" s="158" t="s">
        <v>380</v>
      </c>
      <c r="AV138" s="158" t="s">
        <v>381</v>
      </c>
      <c r="AW138" s="158">
        <v>181554465</v>
      </c>
      <c r="AX138" s="161">
        <v>39278153</v>
      </c>
      <c r="AY138" s="166" t="s">
        <v>463</v>
      </c>
      <c r="AZ138" s="158" t="s">
        <v>225</v>
      </c>
      <c r="BA138" s="158" t="s">
        <v>141</v>
      </c>
      <c r="BB138" s="167">
        <f t="shared" ref="BB138:BC138" si="374">AX138-AX137</f>
        <v>2246327</v>
      </c>
      <c r="BC138" s="168">
        <f t="shared" si="374"/>
        <v>431313</v>
      </c>
      <c r="BD138" s="164">
        <f t="shared" si="294"/>
        <v>160001347</v>
      </c>
      <c r="BE138" s="164">
        <f t="shared" ref="BE138:BF138" si="375">AX138-AN138-BJ138</f>
        <v>33843470</v>
      </c>
      <c r="BF138" s="164">
        <f t="shared" si="375"/>
        <v>12544637</v>
      </c>
      <c r="BG138" s="162">
        <f t="shared" si="225"/>
        <v>0.21151990676678492</v>
      </c>
      <c r="BH138" s="162">
        <f t="shared" si="226"/>
        <v>7.8403321192039716E-2</v>
      </c>
      <c r="BI138" s="164" t="s">
        <v>464</v>
      </c>
      <c r="BJ138" s="158">
        <v>277286</v>
      </c>
      <c r="BK138" s="164">
        <f t="shared" si="370"/>
        <v>0</v>
      </c>
      <c r="BL138" s="162">
        <f t="shared" si="296"/>
        <v>6.7773977794970217E-3</v>
      </c>
      <c r="BM138" s="162">
        <f t="shared" si="297"/>
        <v>0</v>
      </c>
      <c r="BN138" s="162">
        <f t="shared" ref="BN138:BO138" si="376">V138/BB138</f>
        <v>6.4330794225417764E-2</v>
      </c>
      <c r="BO138" s="162">
        <f t="shared" si="376"/>
        <v>1.0266326310591149E-2</v>
      </c>
      <c r="BP138" s="169" t="s">
        <v>465</v>
      </c>
      <c r="BQ138" s="169" t="s">
        <v>466</v>
      </c>
      <c r="BR138" s="169" t="s">
        <v>340</v>
      </c>
      <c r="BS138" s="169" t="s">
        <v>340</v>
      </c>
    </row>
    <row r="139" spans="1:71" ht="14.5" x14ac:dyDescent="0.25">
      <c r="A139" s="157">
        <v>44393</v>
      </c>
      <c r="B139" s="158">
        <v>112301</v>
      </c>
      <c r="C139" s="159">
        <v>136733</v>
      </c>
      <c r="D139" s="159">
        <v>121794</v>
      </c>
      <c r="E139" s="160">
        <f t="shared" si="0"/>
        <v>1.2175581695621589</v>
      </c>
      <c r="F139" s="160">
        <f t="shared" si="1"/>
        <v>1.0845317494946616</v>
      </c>
      <c r="G139" s="158">
        <v>911631</v>
      </c>
      <c r="H139" s="159">
        <v>627222</v>
      </c>
      <c r="I139" s="159">
        <v>540127</v>
      </c>
      <c r="J139" s="160">
        <f t="shared" si="2"/>
        <v>0.6880217982933885</v>
      </c>
      <c r="K139" s="160">
        <f t="shared" si="3"/>
        <v>0.59248423978561504</v>
      </c>
      <c r="L139" s="158">
        <v>1976757</v>
      </c>
      <c r="M139" s="161">
        <f t="shared" si="200"/>
        <v>5473787</v>
      </c>
      <c r="N139" s="161">
        <f t="shared" si="208"/>
        <v>1314975</v>
      </c>
      <c r="O139" s="160">
        <f t="shared" si="4"/>
        <v>2.7690742969419104</v>
      </c>
      <c r="P139" s="160">
        <f t="shared" si="5"/>
        <v>0.66521833487879389</v>
      </c>
      <c r="Q139" s="158">
        <v>8815157</v>
      </c>
      <c r="R139" s="158">
        <v>6237742</v>
      </c>
      <c r="S139" s="158">
        <v>1976896</v>
      </c>
      <c r="T139" s="162">
        <f t="shared" si="8"/>
        <v>0.70761553084080064</v>
      </c>
      <c r="U139" s="162">
        <f t="shared" si="9"/>
        <v>0.22426100862412321</v>
      </c>
      <c r="V139" s="163">
        <f t="shared" si="213"/>
        <v>167749</v>
      </c>
      <c r="W139" s="163">
        <f t="shared" si="218"/>
        <v>6588</v>
      </c>
      <c r="X139" s="164">
        <f t="shared" si="288"/>
        <v>7903526</v>
      </c>
      <c r="Y139" s="163">
        <f t="shared" ref="Y139:Z139" si="377">R139-H139-AD139</f>
        <v>5363627</v>
      </c>
      <c r="Z139" s="163">
        <f t="shared" si="377"/>
        <v>1436764</v>
      </c>
      <c r="AA139" s="162">
        <f t="shared" si="220"/>
        <v>0.67863723102827778</v>
      </c>
      <c r="AB139" s="162">
        <f t="shared" si="221"/>
        <v>0.18178772360589437</v>
      </c>
      <c r="AC139" s="158">
        <v>984719</v>
      </c>
      <c r="AD139" s="158">
        <v>246893</v>
      </c>
      <c r="AE139" s="158">
        <v>5</v>
      </c>
      <c r="AF139" s="165">
        <f t="shared" si="290"/>
        <v>0.25072431830806557</v>
      </c>
      <c r="AG139" s="165">
        <f t="shared" si="291"/>
        <v>5.0775906629200816E-6</v>
      </c>
      <c r="AH139" s="158">
        <v>1468764</v>
      </c>
      <c r="AI139" s="159">
        <v>1580740</v>
      </c>
      <c r="AJ139" s="159">
        <v>1434660</v>
      </c>
      <c r="AK139" s="158" t="s">
        <v>377</v>
      </c>
      <c r="AL139" s="158" t="s">
        <v>378</v>
      </c>
      <c r="AM139" s="159">
        <v>21553118</v>
      </c>
      <c r="AN139" s="159">
        <v>5179165</v>
      </c>
      <c r="AO139" s="159">
        <v>3170849</v>
      </c>
      <c r="AP139" s="158" t="s">
        <v>379</v>
      </c>
      <c r="AQ139" s="158" t="s">
        <v>182</v>
      </c>
      <c r="AR139" s="158">
        <v>17327169</v>
      </c>
      <c r="AS139" s="152">
        <f t="shared" ref="AS139:AT139" si="378">AX139-AN139-AI139</f>
        <v>33183099</v>
      </c>
      <c r="AT139" s="155">
        <f t="shared" si="378"/>
        <v>11271268</v>
      </c>
      <c r="AU139" s="158" t="s">
        <v>380</v>
      </c>
      <c r="AV139" s="158" t="s">
        <v>381</v>
      </c>
      <c r="AW139" s="158">
        <v>181554465</v>
      </c>
      <c r="AX139" s="161">
        <v>39943004</v>
      </c>
      <c r="AY139" s="166" t="s">
        <v>467</v>
      </c>
      <c r="AZ139" s="158" t="s">
        <v>225</v>
      </c>
      <c r="BA139" s="158" t="s">
        <v>141</v>
      </c>
      <c r="BB139" s="167">
        <f t="shared" ref="BB139:BC139" si="379">AX139-AX138</f>
        <v>664851</v>
      </c>
      <c r="BC139" s="168">
        <f t="shared" si="379"/>
        <v>191243</v>
      </c>
      <c r="BD139" s="164">
        <f t="shared" si="294"/>
        <v>160001347</v>
      </c>
      <c r="BE139" s="164">
        <f t="shared" ref="BE139:BF139" si="380">AX139-AN139-BJ139</f>
        <v>34432744</v>
      </c>
      <c r="BF139" s="164">
        <f t="shared" si="380"/>
        <v>12705907</v>
      </c>
      <c r="BG139" s="162">
        <f t="shared" si="225"/>
        <v>0.21520283826110539</v>
      </c>
      <c r="BH139" s="162">
        <f t="shared" si="226"/>
        <v>7.9411250206537318E-2</v>
      </c>
      <c r="BI139" s="164" t="s">
        <v>468</v>
      </c>
      <c r="BJ139" s="158">
        <v>331095</v>
      </c>
      <c r="BK139" s="164" t="s">
        <v>469</v>
      </c>
      <c r="BL139" s="162">
        <f t="shared" si="296"/>
        <v>8.0925919915028205E-3</v>
      </c>
      <c r="BM139" s="162">
        <f t="shared" si="297"/>
        <v>5.1327997046635929E-7</v>
      </c>
      <c r="BN139" s="162">
        <f t="shared" ref="BN139:BO139" si="381">V139/BB139</f>
        <v>0.25231066810458286</v>
      </c>
      <c r="BO139" s="162">
        <f t="shared" si="381"/>
        <v>3.4448319677060073E-2</v>
      </c>
      <c r="BP139" s="169" t="s">
        <v>470</v>
      </c>
      <c r="BQ139" s="169" t="s">
        <v>471</v>
      </c>
      <c r="BR139" s="169" t="s">
        <v>340</v>
      </c>
      <c r="BS139" s="169" t="s">
        <v>340</v>
      </c>
    </row>
    <row r="140" spans="1:71" ht="12.5" x14ac:dyDescent="0.25">
      <c r="A140" s="170"/>
      <c r="B140" s="170"/>
      <c r="C140" s="170"/>
      <c r="D140" s="170"/>
      <c r="E140" s="171"/>
      <c r="F140" s="171"/>
      <c r="G140" s="170"/>
      <c r="H140" s="170"/>
      <c r="I140" s="170"/>
      <c r="J140" s="171"/>
      <c r="K140" s="171"/>
      <c r="L140" s="170"/>
      <c r="M140" s="170"/>
      <c r="N140" s="170"/>
      <c r="O140" s="171"/>
      <c r="P140" s="171"/>
      <c r="Q140" s="170"/>
      <c r="R140" s="170"/>
      <c r="S140" s="170"/>
      <c r="T140" s="171"/>
      <c r="U140" s="171"/>
      <c r="V140" s="171"/>
      <c r="W140" s="171"/>
      <c r="X140" s="171"/>
      <c r="Y140" s="171"/>
      <c r="Z140" s="171"/>
      <c r="AA140" s="171"/>
      <c r="AB140" s="171"/>
      <c r="AC140" s="170"/>
      <c r="AD140" s="170"/>
      <c r="AE140" s="170"/>
      <c r="AF140" s="170"/>
      <c r="AG140" s="170"/>
      <c r="AH140" s="170"/>
      <c r="AI140" s="170"/>
      <c r="AJ140" s="170"/>
      <c r="AK140" s="171"/>
      <c r="AL140" s="171"/>
      <c r="AM140" s="170"/>
      <c r="AN140" s="170"/>
      <c r="AO140" s="170"/>
      <c r="AP140" s="171"/>
      <c r="AQ140" s="171"/>
      <c r="AR140" s="170"/>
      <c r="AS140" s="170"/>
      <c r="AT140" s="170"/>
      <c r="AU140" s="171"/>
      <c r="AV140" s="171"/>
      <c r="AW140" s="171"/>
      <c r="AX140" s="171"/>
      <c r="AY140" s="171"/>
      <c r="AZ140" s="171"/>
      <c r="BA140" s="171"/>
      <c r="BB140" s="171"/>
      <c r="BC140" s="171"/>
      <c r="BD140" s="172"/>
      <c r="BE140" s="172"/>
      <c r="BF140" s="172"/>
      <c r="BG140" s="172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72"/>
      <c r="BR140" s="172"/>
      <c r="BS140" s="172"/>
    </row>
    <row r="141" spans="1:71" ht="14.5" x14ac:dyDescent="0.25">
      <c r="A141" s="170"/>
      <c r="B141" s="170"/>
      <c r="C141" s="170"/>
      <c r="D141" s="170"/>
      <c r="E141" s="171"/>
      <c r="F141" s="171"/>
      <c r="G141" s="170"/>
      <c r="H141" s="10">
        <v>5702</v>
      </c>
      <c r="I141" s="146">
        <v>91078</v>
      </c>
      <c r="J141" s="10">
        <v>5702</v>
      </c>
      <c r="K141" s="171"/>
      <c r="L141" s="170"/>
      <c r="M141" s="170"/>
      <c r="N141" s="170"/>
      <c r="O141" s="171"/>
      <c r="P141" s="171"/>
      <c r="Q141" s="170"/>
      <c r="R141" s="170"/>
      <c r="S141" s="170"/>
      <c r="T141" s="171"/>
      <c r="U141" s="171"/>
      <c r="V141" s="171"/>
      <c r="W141" s="171"/>
      <c r="X141" s="171"/>
      <c r="Y141" s="171"/>
      <c r="Z141" s="171"/>
      <c r="AA141" s="171"/>
      <c r="AB141" s="171"/>
      <c r="AC141" s="170"/>
      <c r="AD141" s="170"/>
      <c r="AE141" s="170"/>
      <c r="AF141" s="170"/>
      <c r="AG141" s="170"/>
      <c r="AH141" s="170"/>
      <c r="AI141" s="170"/>
      <c r="AJ141" s="170"/>
      <c r="AK141" s="171"/>
      <c r="AL141" s="171"/>
      <c r="AM141" s="170"/>
      <c r="AN141" s="170"/>
      <c r="AO141" s="170"/>
      <c r="AP141" s="171"/>
      <c r="AQ141" s="171"/>
      <c r="AR141" s="170"/>
      <c r="AS141" s="170"/>
      <c r="AT141" s="170"/>
      <c r="AU141" s="171"/>
      <c r="AV141" s="171"/>
      <c r="AW141" s="171"/>
      <c r="AX141" s="171"/>
      <c r="AY141" s="171"/>
      <c r="AZ141" s="171"/>
      <c r="BA141" s="171"/>
      <c r="BB141" s="171"/>
      <c r="BC141" s="171"/>
      <c r="BD141" s="172"/>
      <c r="BE141" s="172"/>
      <c r="BF141" s="172"/>
      <c r="BG141" s="172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72"/>
      <c r="BR141" s="172"/>
      <c r="BS141" s="172"/>
    </row>
    <row r="142" spans="1:71" ht="14.5" x14ac:dyDescent="0.35">
      <c r="A142" s="170"/>
      <c r="B142" s="170"/>
      <c r="C142" s="170"/>
      <c r="D142" s="170"/>
      <c r="E142" s="171"/>
      <c r="F142" s="171"/>
      <c r="G142" s="170"/>
      <c r="H142" s="32">
        <v>5748</v>
      </c>
      <c r="I142" s="145">
        <v>91379</v>
      </c>
      <c r="J142" s="32">
        <v>5748</v>
      </c>
      <c r="K142" s="171"/>
      <c r="L142" s="170"/>
      <c r="M142" s="170"/>
      <c r="N142" s="170"/>
      <c r="O142" s="171"/>
      <c r="P142" s="171"/>
      <c r="Q142" s="170"/>
      <c r="R142" s="170"/>
      <c r="S142" s="170"/>
      <c r="T142" s="171"/>
      <c r="U142" s="171"/>
      <c r="V142" s="171"/>
      <c r="W142" s="171"/>
      <c r="X142" s="171"/>
      <c r="Y142" s="171"/>
      <c r="Z142" s="171"/>
      <c r="AA142" s="171"/>
      <c r="AB142" s="171"/>
      <c r="AC142" s="170"/>
      <c r="AD142" s="170"/>
      <c r="AE142" s="170"/>
      <c r="AF142" s="170"/>
      <c r="AG142" s="170"/>
      <c r="AH142" s="170"/>
      <c r="AI142" s="170"/>
      <c r="AJ142" s="170"/>
      <c r="AK142" s="171"/>
      <c r="AL142" s="171"/>
      <c r="AM142" s="170"/>
      <c r="AN142" s="170"/>
      <c r="AO142" s="170"/>
      <c r="AP142" s="171"/>
      <c r="AQ142" s="171"/>
      <c r="AR142" s="170"/>
      <c r="AS142" s="170"/>
      <c r="AT142" s="170"/>
      <c r="AU142" s="171"/>
      <c r="AV142" s="171"/>
      <c r="AW142" s="171"/>
      <c r="AX142" s="171"/>
      <c r="AY142" s="171"/>
      <c r="AZ142" s="171"/>
      <c r="BA142" s="171"/>
      <c r="BB142" s="171"/>
      <c r="BC142" s="171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</row>
    <row r="143" spans="1:71" ht="12.5" x14ac:dyDescent="0.25">
      <c r="A143" s="170"/>
      <c r="B143" s="170"/>
      <c r="C143" s="170"/>
      <c r="D143" s="170"/>
      <c r="E143" s="171"/>
      <c r="F143" s="171"/>
      <c r="G143" s="170"/>
      <c r="H143" s="10">
        <v>5790</v>
      </c>
      <c r="I143" s="145">
        <v>93974</v>
      </c>
      <c r="J143" s="10">
        <v>5790</v>
      </c>
      <c r="K143" s="171"/>
      <c r="L143" s="170"/>
      <c r="M143" s="170"/>
      <c r="N143" s="170"/>
      <c r="O143" s="171"/>
      <c r="P143" s="171"/>
      <c r="Q143" s="170"/>
      <c r="R143" s="170"/>
      <c r="S143" s="170"/>
      <c r="T143" s="171"/>
      <c r="U143" s="171"/>
      <c r="V143" s="171"/>
      <c r="W143" s="171"/>
      <c r="X143" s="171"/>
      <c r="Y143" s="171"/>
      <c r="Z143" s="171"/>
      <c r="AA143" s="171"/>
      <c r="AB143" s="171"/>
      <c r="AC143" s="170"/>
      <c r="AD143" s="170"/>
      <c r="AE143" s="170"/>
      <c r="AF143" s="170"/>
      <c r="AG143" s="170"/>
      <c r="AH143" s="170"/>
      <c r="AI143" s="170"/>
      <c r="AJ143" s="170"/>
      <c r="AK143" s="171"/>
      <c r="AL143" s="171"/>
      <c r="AM143" s="170"/>
      <c r="AN143" s="170"/>
      <c r="AO143" s="170"/>
      <c r="AP143" s="171"/>
      <c r="AQ143" s="171"/>
      <c r="AR143" s="170"/>
      <c r="AS143" s="170"/>
      <c r="AT143" s="170"/>
      <c r="AU143" s="171"/>
      <c r="AV143" s="171"/>
      <c r="AW143" s="171"/>
      <c r="AX143" s="171"/>
      <c r="AY143" s="171"/>
      <c r="AZ143" s="171"/>
      <c r="BA143" s="171"/>
      <c r="BB143" s="171"/>
      <c r="BC143" s="171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</row>
    <row r="144" spans="1:71" ht="14.5" x14ac:dyDescent="0.35">
      <c r="A144" s="170"/>
      <c r="B144" s="170"/>
      <c r="C144" s="170"/>
      <c r="D144" s="170"/>
      <c r="E144" s="171"/>
      <c r="F144" s="171"/>
      <c r="G144" s="170"/>
      <c r="H144" s="32">
        <v>5838</v>
      </c>
      <c r="I144" s="145">
        <v>96978</v>
      </c>
      <c r="J144" s="32">
        <v>5838</v>
      </c>
      <c r="K144" s="171"/>
      <c r="L144" s="170"/>
      <c r="M144" s="170"/>
      <c r="N144" s="170"/>
      <c r="O144" s="171"/>
      <c r="P144" s="171"/>
      <c r="Q144" s="170"/>
      <c r="R144" s="170"/>
      <c r="S144" s="170"/>
      <c r="T144" s="171"/>
      <c r="U144" s="171"/>
      <c r="V144" s="171"/>
      <c r="W144" s="171"/>
      <c r="X144" s="171"/>
      <c r="Y144" s="171"/>
      <c r="Z144" s="171"/>
      <c r="AA144" s="171"/>
      <c r="AB144" s="171"/>
      <c r="AC144" s="170"/>
      <c r="AD144" s="170"/>
      <c r="AE144" s="170"/>
      <c r="AF144" s="170"/>
      <c r="AG144" s="170"/>
      <c r="AH144" s="170"/>
      <c r="AI144" s="170"/>
      <c r="AJ144" s="170"/>
      <c r="AK144" s="171"/>
      <c r="AL144" s="171"/>
      <c r="AM144" s="170"/>
      <c r="AN144" s="170"/>
      <c r="AO144" s="170"/>
      <c r="AP144" s="171"/>
      <c r="AQ144" s="171"/>
      <c r="AR144" s="170"/>
      <c r="AS144" s="170"/>
      <c r="AT144" s="170"/>
      <c r="AU144" s="171"/>
      <c r="AV144" s="171"/>
      <c r="AW144" s="171"/>
      <c r="AX144" s="171"/>
      <c r="AY144" s="171"/>
      <c r="AZ144" s="171"/>
      <c r="BA144" s="171"/>
      <c r="BB144" s="171"/>
      <c r="BC144" s="171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</row>
    <row r="145" spans="1:71" ht="12.5" x14ac:dyDescent="0.25">
      <c r="A145" s="170"/>
      <c r="B145" s="170"/>
      <c r="C145" s="170"/>
      <c r="D145" s="170"/>
      <c r="E145" s="171"/>
      <c r="F145" s="171"/>
      <c r="G145" s="170"/>
      <c r="H145" s="10">
        <v>5883</v>
      </c>
      <c r="I145" s="145">
        <v>119854</v>
      </c>
      <c r="J145" s="10">
        <v>5883</v>
      </c>
      <c r="K145" s="171"/>
      <c r="L145" s="170"/>
      <c r="M145" s="170"/>
      <c r="N145" s="170"/>
      <c r="O145" s="171"/>
      <c r="P145" s="171"/>
      <c r="Q145" s="170"/>
      <c r="R145" s="170"/>
      <c r="S145" s="170"/>
      <c r="T145" s="171"/>
      <c r="U145" s="171"/>
      <c r="V145" s="171"/>
      <c r="W145" s="171"/>
      <c r="X145" s="171"/>
      <c r="Y145" s="171"/>
      <c r="Z145" s="171"/>
      <c r="AA145" s="171"/>
      <c r="AB145" s="171"/>
      <c r="AC145" s="170"/>
      <c r="AD145" s="170"/>
      <c r="AE145" s="170"/>
      <c r="AF145" s="170"/>
      <c r="AG145" s="170"/>
      <c r="AH145" s="170"/>
      <c r="AI145" s="170"/>
      <c r="AJ145" s="170"/>
      <c r="AK145" s="171"/>
      <c r="AL145" s="171"/>
      <c r="AM145" s="170"/>
      <c r="AN145" s="170"/>
      <c r="AO145" s="170"/>
      <c r="AP145" s="171"/>
      <c r="AQ145" s="171"/>
      <c r="AR145" s="170"/>
      <c r="AS145" s="170"/>
      <c r="AT145" s="170"/>
      <c r="AU145" s="171"/>
      <c r="AV145" s="171"/>
      <c r="AW145" s="171"/>
      <c r="AX145" s="171"/>
      <c r="AY145" s="171"/>
      <c r="AZ145" s="171"/>
      <c r="BA145" s="171"/>
      <c r="BB145" s="171"/>
      <c r="BC145" s="171"/>
      <c r="BD145" s="172"/>
      <c r="BE145" s="172"/>
      <c r="BF145" s="172"/>
      <c r="BG145" s="172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72"/>
      <c r="BR145" s="172"/>
      <c r="BS145" s="172"/>
    </row>
    <row r="146" spans="1:71" ht="14.5" x14ac:dyDescent="0.35">
      <c r="A146" s="170"/>
      <c r="B146" s="170"/>
      <c r="C146" s="170"/>
      <c r="D146" s="170"/>
      <c r="E146" s="171"/>
      <c r="F146" s="171"/>
      <c r="G146" s="170"/>
      <c r="H146" s="32">
        <v>5923</v>
      </c>
      <c r="I146" s="145">
        <v>109554</v>
      </c>
      <c r="J146" s="32">
        <v>5923</v>
      </c>
      <c r="K146" s="171"/>
      <c r="L146" s="170"/>
      <c r="M146" s="170"/>
      <c r="N146" s="170"/>
      <c r="O146" s="171"/>
      <c r="P146" s="171"/>
      <c r="Q146" s="170"/>
      <c r="R146" s="170"/>
      <c r="S146" s="170"/>
      <c r="T146" s="171"/>
      <c r="U146" s="171"/>
      <c r="V146" s="171"/>
      <c r="W146" s="171"/>
      <c r="X146" s="171"/>
      <c r="Y146" s="171"/>
      <c r="Z146" s="171"/>
      <c r="AA146" s="171"/>
      <c r="AB146" s="171"/>
      <c r="AC146" s="170"/>
      <c r="AD146" s="170"/>
      <c r="AE146" s="170"/>
      <c r="AF146" s="170"/>
      <c r="AG146" s="170"/>
      <c r="AH146" s="170"/>
      <c r="AI146" s="170"/>
      <c r="AJ146" s="170"/>
      <c r="AK146" s="171"/>
      <c r="AL146" s="171"/>
      <c r="AM146" s="170"/>
      <c r="AN146" s="170"/>
      <c r="AO146" s="170"/>
      <c r="AP146" s="171"/>
      <c r="AQ146" s="171"/>
      <c r="AR146" s="170"/>
      <c r="AS146" s="170"/>
      <c r="AT146" s="170"/>
      <c r="AU146" s="171"/>
      <c r="AV146" s="171"/>
      <c r="AW146" s="171"/>
      <c r="AX146" s="171"/>
      <c r="AY146" s="171"/>
      <c r="AZ146" s="171"/>
      <c r="BA146" s="171"/>
      <c r="BB146" s="171"/>
      <c r="BC146" s="171"/>
      <c r="BD146" s="172"/>
      <c r="BE146" s="172"/>
      <c r="BF146" s="172"/>
      <c r="BG146" s="172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72"/>
      <c r="BR146" s="172"/>
      <c r="BS146" s="172"/>
    </row>
    <row r="147" spans="1:71" ht="14.5" x14ac:dyDescent="0.35">
      <c r="A147" s="170"/>
      <c r="B147" s="170"/>
      <c r="C147" s="170"/>
      <c r="D147" s="170"/>
      <c r="E147" s="171"/>
      <c r="F147" s="171"/>
      <c r="G147" s="170"/>
      <c r="H147" s="32">
        <v>5943</v>
      </c>
      <c r="I147" s="145">
        <v>109699</v>
      </c>
      <c r="J147" s="32">
        <v>5943</v>
      </c>
      <c r="K147" s="171"/>
      <c r="L147" s="170"/>
      <c r="M147" s="170"/>
      <c r="N147" s="170"/>
      <c r="O147" s="171"/>
      <c r="P147" s="171"/>
      <c r="Q147" s="170"/>
      <c r="R147" s="170"/>
      <c r="S147" s="170"/>
      <c r="T147" s="171"/>
      <c r="U147" s="171"/>
      <c r="V147" s="171"/>
      <c r="W147" s="171"/>
      <c r="X147" s="171"/>
      <c r="Y147" s="171"/>
      <c r="Z147" s="171"/>
      <c r="AA147" s="171"/>
      <c r="AB147" s="171"/>
      <c r="AC147" s="170"/>
      <c r="AD147" s="170"/>
      <c r="AE147" s="170"/>
      <c r="AF147" s="170"/>
      <c r="AG147" s="170"/>
      <c r="AH147" s="170"/>
      <c r="AI147" s="170"/>
      <c r="AJ147" s="170"/>
      <c r="AK147" s="171"/>
      <c r="AL147" s="171"/>
      <c r="AM147" s="170"/>
      <c r="AN147" s="170"/>
      <c r="AO147" s="170"/>
      <c r="AP147" s="171"/>
      <c r="AQ147" s="171"/>
      <c r="AR147" s="170"/>
      <c r="AS147" s="170"/>
      <c r="AT147" s="170"/>
      <c r="AU147" s="171"/>
      <c r="AV147" s="171"/>
      <c r="AW147" s="171"/>
      <c r="AX147" s="171"/>
      <c r="AY147" s="171"/>
      <c r="AZ147" s="171"/>
      <c r="BA147" s="171"/>
      <c r="BB147" s="171"/>
      <c r="BC147" s="171"/>
      <c r="BD147" s="172"/>
      <c r="BE147" s="172"/>
      <c r="BF147" s="172"/>
      <c r="BG147" s="172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72"/>
      <c r="BR147" s="172"/>
      <c r="BS147" s="172"/>
    </row>
    <row r="148" spans="1:71" ht="12.5" x14ac:dyDescent="0.25">
      <c r="A148" s="170"/>
      <c r="B148" s="170"/>
      <c r="C148" s="170"/>
      <c r="D148" s="170"/>
      <c r="E148" s="171"/>
      <c r="F148" s="171"/>
      <c r="G148" s="170"/>
      <c r="H148" s="10">
        <v>5969</v>
      </c>
      <c r="I148" s="145">
        <v>113038</v>
      </c>
      <c r="J148" s="10">
        <v>5969</v>
      </c>
      <c r="K148" s="171"/>
      <c r="L148" s="170"/>
      <c r="M148" s="170"/>
      <c r="N148" s="170"/>
      <c r="O148" s="171"/>
      <c r="P148" s="171"/>
      <c r="Q148" s="170"/>
      <c r="R148" s="170"/>
      <c r="S148" s="170"/>
      <c r="T148" s="171"/>
      <c r="U148" s="171"/>
      <c r="V148" s="171"/>
      <c r="W148" s="171"/>
      <c r="X148" s="171"/>
      <c r="Y148" s="171"/>
      <c r="Z148" s="171"/>
      <c r="AA148" s="171"/>
      <c r="AB148" s="171"/>
      <c r="AC148" s="170"/>
      <c r="AD148" s="170"/>
      <c r="AE148" s="170"/>
      <c r="AF148" s="170"/>
      <c r="AG148" s="170"/>
      <c r="AH148" s="170"/>
      <c r="AI148" s="170"/>
      <c r="AJ148" s="170"/>
      <c r="AK148" s="171"/>
      <c r="AL148" s="171"/>
      <c r="AM148" s="170"/>
      <c r="AN148" s="170"/>
      <c r="AO148" s="170"/>
      <c r="AP148" s="171"/>
      <c r="AQ148" s="171"/>
      <c r="AR148" s="170"/>
      <c r="AS148" s="170"/>
      <c r="AT148" s="170"/>
      <c r="AU148" s="171"/>
      <c r="AV148" s="171"/>
      <c r="AW148" s="171"/>
      <c r="AX148" s="171"/>
      <c r="AY148" s="171"/>
      <c r="AZ148" s="171"/>
      <c r="BA148" s="171"/>
      <c r="BB148" s="171"/>
      <c r="BC148" s="171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</row>
    <row r="149" spans="1:71" ht="14.5" x14ac:dyDescent="0.35">
      <c r="A149" s="170"/>
      <c r="B149" s="170"/>
      <c r="C149" s="170"/>
      <c r="D149" s="170"/>
      <c r="E149" s="171"/>
      <c r="F149" s="171"/>
      <c r="G149" s="170"/>
      <c r="H149" s="32">
        <v>5991</v>
      </c>
      <c r="I149" s="145">
        <v>114464</v>
      </c>
      <c r="J149" s="32">
        <v>5991</v>
      </c>
      <c r="K149" s="171"/>
      <c r="L149" s="170"/>
      <c r="M149" s="170"/>
      <c r="N149" s="170"/>
      <c r="O149" s="171"/>
      <c r="P149" s="171"/>
      <c r="Q149" s="170"/>
      <c r="R149" s="170"/>
      <c r="S149" s="170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0"/>
      <c r="AD149" s="170"/>
      <c r="AE149" s="170"/>
      <c r="AF149" s="170"/>
      <c r="AG149" s="170"/>
      <c r="AH149" s="170"/>
      <c r="AI149" s="170"/>
      <c r="AJ149" s="170"/>
      <c r="AK149" s="171"/>
      <c r="AL149" s="171"/>
      <c r="AM149" s="170"/>
      <c r="AN149" s="170"/>
      <c r="AO149" s="170"/>
      <c r="AP149" s="171"/>
      <c r="AQ149" s="171"/>
      <c r="AR149" s="170"/>
      <c r="AS149" s="170"/>
      <c r="AT149" s="170"/>
      <c r="AU149" s="171"/>
      <c r="AV149" s="171"/>
      <c r="AW149" s="171"/>
      <c r="AX149" s="171"/>
      <c r="AY149" s="171"/>
      <c r="AZ149" s="171"/>
      <c r="BA149" s="171"/>
      <c r="BB149" s="171"/>
      <c r="BC149" s="171"/>
      <c r="BD149" s="172"/>
      <c r="BE149" s="172"/>
      <c r="BF149" s="172"/>
      <c r="BG149" s="172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</row>
    <row r="150" spans="1:71" ht="14.5" x14ac:dyDescent="0.35">
      <c r="A150" s="170"/>
      <c r="B150" s="170"/>
      <c r="C150" s="170"/>
      <c r="D150" s="170"/>
      <c r="E150" s="171"/>
      <c r="F150" s="171"/>
      <c r="G150" s="170"/>
      <c r="H150" s="32">
        <v>6026</v>
      </c>
      <c r="I150" s="145">
        <v>114621</v>
      </c>
      <c r="J150" s="32">
        <v>6026</v>
      </c>
      <c r="K150" s="171"/>
      <c r="L150" s="170"/>
      <c r="M150" s="170"/>
      <c r="N150" s="170"/>
      <c r="O150" s="171"/>
      <c r="P150" s="171"/>
      <c r="Q150" s="170"/>
      <c r="R150" s="170"/>
      <c r="S150" s="170"/>
      <c r="T150" s="171"/>
      <c r="U150" s="171"/>
      <c r="V150" s="171"/>
      <c r="W150" s="171"/>
      <c r="X150" s="171"/>
      <c r="Y150" s="171"/>
      <c r="Z150" s="171"/>
      <c r="AA150" s="171"/>
      <c r="AB150" s="171"/>
      <c r="AC150" s="170"/>
      <c r="AD150" s="170"/>
      <c r="AE150" s="170"/>
      <c r="AF150" s="170"/>
      <c r="AG150" s="170"/>
      <c r="AH150" s="170"/>
      <c r="AI150" s="170"/>
      <c r="AJ150" s="170"/>
      <c r="AK150" s="171"/>
      <c r="AL150" s="171"/>
      <c r="AM150" s="170"/>
      <c r="AN150" s="170"/>
      <c r="AO150" s="170"/>
      <c r="AP150" s="171"/>
      <c r="AQ150" s="171"/>
      <c r="AR150" s="170"/>
      <c r="AS150" s="170"/>
      <c r="AT150" s="170"/>
      <c r="AU150" s="171"/>
      <c r="AV150" s="171"/>
      <c r="AW150" s="171"/>
      <c r="AX150" s="171"/>
      <c r="AY150" s="171"/>
      <c r="AZ150" s="171"/>
      <c r="BA150" s="171"/>
      <c r="BB150" s="171"/>
      <c r="BC150" s="171"/>
      <c r="BD150" s="172"/>
      <c r="BE150" s="172"/>
      <c r="BF150" s="172"/>
      <c r="BG150" s="172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</row>
    <row r="151" spans="1:71" ht="12.5" x14ac:dyDescent="0.25">
      <c r="A151" s="170"/>
      <c r="B151" s="170"/>
      <c r="C151" s="170"/>
      <c r="D151" s="170"/>
      <c r="E151" s="171"/>
      <c r="F151" s="171"/>
      <c r="G151" s="170"/>
      <c r="H151" s="10">
        <v>6038</v>
      </c>
      <c r="I151" s="145">
        <v>124070</v>
      </c>
      <c r="J151" s="10">
        <v>6038</v>
      </c>
      <c r="K151" s="171"/>
      <c r="L151" s="170"/>
      <c r="M151" s="170"/>
      <c r="N151" s="170"/>
      <c r="O151" s="171"/>
      <c r="P151" s="171"/>
      <c r="Q151" s="170"/>
      <c r="R151" s="170"/>
      <c r="S151" s="170"/>
      <c r="T151" s="171"/>
      <c r="U151" s="171"/>
      <c r="V151" s="171"/>
      <c r="W151" s="171"/>
      <c r="X151" s="171"/>
      <c r="Y151" s="171"/>
      <c r="Z151" s="171"/>
      <c r="AA151" s="171"/>
      <c r="AB151" s="171"/>
      <c r="AC151" s="170"/>
      <c r="AD151" s="170"/>
      <c r="AE151" s="170"/>
      <c r="AF151" s="170"/>
      <c r="AG151" s="170"/>
      <c r="AH151" s="170"/>
      <c r="AI151" s="170"/>
      <c r="AJ151" s="170"/>
      <c r="AK151" s="171"/>
      <c r="AL151" s="171"/>
      <c r="AM151" s="170"/>
      <c r="AN151" s="170"/>
      <c r="AO151" s="170"/>
      <c r="AP151" s="171"/>
      <c r="AQ151" s="171"/>
      <c r="AR151" s="170"/>
      <c r="AS151" s="170"/>
      <c r="AT151" s="170"/>
      <c r="AU151" s="171"/>
      <c r="AV151" s="171"/>
      <c r="AW151" s="171"/>
      <c r="AX151" s="171"/>
      <c r="AY151" s="171"/>
      <c r="AZ151" s="171"/>
      <c r="BA151" s="171"/>
      <c r="BB151" s="171"/>
      <c r="BC151" s="171"/>
      <c r="BD151" s="172"/>
      <c r="BE151" s="172"/>
      <c r="BF151" s="172"/>
      <c r="BG151" s="172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72"/>
      <c r="BR151" s="172"/>
      <c r="BS151" s="172"/>
    </row>
    <row r="152" spans="1:71" ht="12.5" x14ac:dyDescent="0.25">
      <c r="A152" s="170"/>
      <c r="B152" s="170"/>
      <c r="C152" s="170"/>
      <c r="D152" s="170"/>
      <c r="E152" s="171"/>
      <c r="F152" s="171"/>
      <c r="G152" s="170"/>
      <c r="H152" s="10">
        <v>6062</v>
      </c>
      <c r="I152" s="145">
        <v>139204</v>
      </c>
      <c r="J152" s="10">
        <v>6062</v>
      </c>
      <c r="K152" s="171"/>
      <c r="L152" s="170"/>
      <c r="M152" s="170"/>
      <c r="N152" s="170"/>
      <c r="O152" s="171"/>
      <c r="P152" s="171"/>
      <c r="Q152" s="170"/>
      <c r="R152" s="170"/>
      <c r="S152" s="170"/>
      <c r="T152" s="171"/>
      <c r="U152" s="171"/>
      <c r="V152" s="171"/>
      <c r="W152" s="171"/>
      <c r="X152" s="171"/>
      <c r="Y152" s="171"/>
      <c r="Z152" s="171"/>
      <c r="AA152" s="171"/>
      <c r="AB152" s="171"/>
      <c r="AC152" s="170"/>
      <c r="AD152" s="170"/>
      <c r="AE152" s="170"/>
      <c r="AF152" s="170"/>
      <c r="AG152" s="170"/>
      <c r="AH152" s="170"/>
      <c r="AI152" s="170"/>
      <c r="AJ152" s="170"/>
      <c r="AK152" s="171"/>
      <c r="AL152" s="171"/>
      <c r="AM152" s="170"/>
      <c r="AN152" s="170"/>
      <c r="AO152" s="170"/>
      <c r="AP152" s="171"/>
      <c r="AQ152" s="171"/>
      <c r="AR152" s="170"/>
      <c r="AS152" s="170"/>
      <c r="AT152" s="170"/>
      <c r="AU152" s="171"/>
      <c r="AV152" s="171"/>
      <c r="AW152" s="171"/>
      <c r="AX152" s="171"/>
      <c r="AY152" s="171"/>
      <c r="AZ152" s="171"/>
      <c r="BA152" s="171"/>
      <c r="BB152" s="171"/>
      <c r="BC152" s="171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</row>
    <row r="153" spans="1:71" ht="14.5" x14ac:dyDescent="0.35">
      <c r="A153" s="170"/>
      <c r="B153" s="170"/>
      <c r="C153" s="170"/>
      <c r="D153" s="170"/>
      <c r="E153" s="171"/>
      <c r="F153" s="171"/>
      <c r="G153" s="170"/>
      <c r="H153" s="32">
        <v>6077</v>
      </c>
      <c r="I153" s="145">
        <v>159736</v>
      </c>
      <c r="J153" s="32">
        <v>6077</v>
      </c>
      <c r="K153" s="171"/>
      <c r="L153" s="170"/>
      <c r="M153" s="170"/>
      <c r="N153" s="170"/>
      <c r="O153" s="171"/>
      <c r="P153" s="171"/>
      <c r="Q153" s="170"/>
      <c r="R153" s="170"/>
      <c r="S153" s="170"/>
      <c r="T153" s="171"/>
      <c r="U153" s="171"/>
      <c r="V153" s="171"/>
      <c r="W153" s="171"/>
      <c r="X153" s="171"/>
      <c r="Y153" s="171"/>
      <c r="Z153" s="171"/>
      <c r="AA153" s="171"/>
      <c r="AB153" s="171"/>
      <c r="AC153" s="170"/>
      <c r="AD153" s="170"/>
      <c r="AE153" s="170"/>
      <c r="AF153" s="170"/>
      <c r="AG153" s="170"/>
      <c r="AH153" s="170"/>
      <c r="AI153" s="170"/>
      <c r="AJ153" s="170"/>
      <c r="AK153" s="171"/>
      <c r="AL153" s="171"/>
      <c r="AM153" s="170"/>
      <c r="AN153" s="170"/>
      <c r="AO153" s="170"/>
      <c r="AP153" s="171"/>
      <c r="AQ153" s="171"/>
      <c r="AR153" s="170"/>
      <c r="AS153" s="170"/>
      <c r="AT153" s="170"/>
      <c r="AU153" s="171"/>
      <c r="AV153" s="171"/>
      <c r="AW153" s="171"/>
      <c r="AX153" s="171"/>
      <c r="AY153" s="171"/>
      <c r="AZ153" s="171"/>
      <c r="BA153" s="171"/>
      <c r="BB153" s="171"/>
      <c r="BC153" s="171"/>
      <c r="BD153" s="172"/>
      <c r="BE153" s="172"/>
      <c r="BF153" s="172"/>
      <c r="BG153" s="172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72"/>
      <c r="BR153" s="172"/>
      <c r="BS153" s="172"/>
    </row>
    <row r="154" spans="1:71" ht="14.5" x14ac:dyDescent="0.35">
      <c r="A154" s="170"/>
      <c r="B154" s="170"/>
      <c r="C154" s="170"/>
      <c r="D154" s="170"/>
      <c r="E154" s="171"/>
      <c r="F154" s="171"/>
      <c r="G154" s="170"/>
      <c r="H154" s="32">
        <v>6100</v>
      </c>
      <c r="I154" s="145">
        <v>184432</v>
      </c>
      <c r="J154" s="32">
        <v>6100</v>
      </c>
      <c r="K154" s="171"/>
      <c r="L154" s="170"/>
      <c r="M154" s="170"/>
      <c r="N154" s="170"/>
      <c r="O154" s="171"/>
      <c r="P154" s="171"/>
      <c r="Q154" s="170"/>
      <c r="R154" s="170"/>
      <c r="S154" s="170"/>
      <c r="T154" s="171"/>
      <c r="U154" s="171"/>
      <c r="V154" s="171"/>
      <c r="W154" s="171"/>
      <c r="X154" s="171"/>
      <c r="Y154" s="171"/>
      <c r="Z154" s="171"/>
      <c r="AA154" s="171"/>
      <c r="AB154" s="171"/>
      <c r="AC154" s="170"/>
      <c r="AD154" s="170"/>
      <c r="AE154" s="170"/>
      <c r="AF154" s="170"/>
      <c r="AG154" s="170"/>
      <c r="AH154" s="170"/>
      <c r="AI154" s="170"/>
      <c r="AJ154" s="170"/>
      <c r="AK154" s="171"/>
      <c r="AL154" s="171"/>
      <c r="AM154" s="170"/>
      <c r="AN154" s="170"/>
      <c r="AO154" s="170"/>
      <c r="AP154" s="171"/>
      <c r="AQ154" s="171"/>
      <c r="AR154" s="170"/>
      <c r="AS154" s="170"/>
      <c r="AT154" s="170"/>
      <c r="AU154" s="171"/>
      <c r="AV154" s="171"/>
      <c r="AW154" s="171"/>
      <c r="AX154" s="171"/>
      <c r="AY154" s="171"/>
      <c r="AZ154" s="171"/>
      <c r="BA154" s="171"/>
      <c r="BB154" s="171"/>
      <c r="BC154" s="171"/>
      <c r="BD154" s="172"/>
      <c r="BE154" s="172"/>
      <c r="BF154" s="172"/>
      <c r="BG154" s="172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72"/>
      <c r="BR154" s="172"/>
      <c r="BS154" s="172"/>
    </row>
    <row r="155" spans="1:71" ht="12.5" x14ac:dyDescent="0.25">
      <c r="A155" s="170"/>
      <c r="B155" s="170"/>
      <c r="C155" s="170"/>
      <c r="D155" s="170"/>
      <c r="E155" s="171"/>
      <c r="F155" s="171"/>
      <c r="G155" s="170"/>
      <c r="H155" s="10">
        <v>6120</v>
      </c>
      <c r="I155" s="145">
        <v>199342</v>
      </c>
      <c r="J155" s="10">
        <v>6120</v>
      </c>
      <c r="K155" s="171"/>
      <c r="L155" s="170"/>
      <c r="M155" s="170"/>
      <c r="N155" s="170"/>
      <c r="O155" s="171"/>
      <c r="P155" s="171"/>
      <c r="Q155" s="170"/>
      <c r="R155" s="170"/>
      <c r="S155" s="170"/>
      <c r="T155" s="171"/>
      <c r="U155" s="171"/>
      <c r="V155" s="171"/>
      <c r="W155" s="171"/>
      <c r="X155" s="171"/>
      <c r="Y155" s="171"/>
      <c r="Z155" s="171"/>
      <c r="AA155" s="171"/>
      <c r="AB155" s="171"/>
      <c r="AC155" s="170"/>
      <c r="AD155" s="170"/>
      <c r="AE155" s="170"/>
      <c r="AF155" s="170"/>
      <c r="AG155" s="170"/>
      <c r="AH155" s="170"/>
      <c r="AI155" s="170"/>
      <c r="AJ155" s="170"/>
      <c r="AK155" s="171"/>
      <c r="AL155" s="171"/>
      <c r="AM155" s="170"/>
      <c r="AN155" s="170"/>
      <c r="AO155" s="170"/>
      <c r="AP155" s="171"/>
      <c r="AQ155" s="171"/>
      <c r="AR155" s="170"/>
      <c r="AS155" s="170"/>
      <c r="AT155" s="170"/>
      <c r="AU155" s="171"/>
      <c r="AV155" s="171"/>
      <c r="AW155" s="171"/>
      <c r="AX155" s="171"/>
      <c r="AY155" s="171"/>
      <c r="AZ155" s="171"/>
      <c r="BA155" s="171"/>
      <c r="BB155" s="171"/>
      <c r="BC155" s="171"/>
      <c r="BD155" s="172"/>
      <c r="BE155" s="172"/>
      <c r="BF155" s="172"/>
      <c r="BG155" s="172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72"/>
      <c r="BR155" s="172"/>
      <c r="BS155" s="172"/>
    </row>
    <row r="156" spans="1:71" ht="14.5" x14ac:dyDescent="0.35">
      <c r="A156" s="170"/>
      <c r="B156" s="170"/>
      <c r="C156" s="170"/>
      <c r="D156" s="170"/>
      <c r="E156" s="171"/>
      <c r="F156" s="171"/>
      <c r="G156" s="170"/>
      <c r="H156" s="32">
        <v>6143</v>
      </c>
      <c r="I156" s="145">
        <v>203266</v>
      </c>
      <c r="J156" s="32">
        <v>6143</v>
      </c>
      <c r="K156" s="171"/>
      <c r="L156" s="170"/>
      <c r="M156" s="170"/>
      <c r="N156" s="170"/>
      <c r="O156" s="171"/>
      <c r="P156" s="171"/>
      <c r="Q156" s="170"/>
      <c r="R156" s="170"/>
      <c r="S156" s="170"/>
      <c r="T156" s="171"/>
      <c r="U156" s="171"/>
      <c r="V156" s="171"/>
      <c r="W156" s="171"/>
      <c r="X156" s="171"/>
      <c r="Y156" s="171"/>
      <c r="Z156" s="171"/>
      <c r="AA156" s="171"/>
      <c r="AB156" s="171"/>
      <c r="AC156" s="170"/>
      <c r="AD156" s="170"/>
      <c r="AE156" s="170"/>
      <c r="AF156" s="170"/>
      <c r="AG156" s="170"/>
      <c r="AH156" s="170"/>
      <c r="AI156" s="170"/>
      <c r="AJ156" s="170"/>
      <c r="AK156" s="171"/>
      <c r="AL156" s="171"/>
      <c r="AM156" s="170"/>
      <c r="AN156" s="170"/>
      <c r="AO156" s="170"/>
      <c r="AP156" s="171"/>
      <c r="AQ156" s="171"/>
      <c r="AR156" s="170"/>
      <c r="AS156" s="170"/>
      <c r="AT156" s="170"/>
      <c r="AU156" s="171"/>
      <c r="AV156" s="171"/>
      <c r="AW156" s="171"/>
      <c r="AX156" s="171"/>
      <c r="AY156" s="171"/>
      <c r="AZ156" s="171"/>
      <c r="BA156" s="171"/>
      <c r="BB156" s="171"/>
      <c r="BC156" s="171"/>
      <c r="BD156" s="172"/>
      <c r="BE156" s="172"/>
      <c r="BF156" s="172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72"/>
      <c r="BR156" s="172"/>
      <c r="BS156" s="172"/>
    </row>
    <row r="157" spans="1:71" ht="12.5" x14ac:dyDescent="0.25">
      <c r="A157" s="170"/>
      <c r="B157" s="170"/>
      <c r="C157" s="170"/>
      <c r="D157" s="170"/>
      <c r="E157" s="171"/>
      <c r="F157" s="171"/>
      <c r="G157" s="170"/>
      <c r="H157" s="10">
        <v>6160</v>
      </c>
      <c r="I157" s="145">
        <v>204295</v>
      </c>
      <c r="J157" s="10">
        <v>6160</v>
      </c>
      <c r="K157" s="171"/>
      <c r="L157" s="170"/>
      <c r="M157" s="170"/>
      <c r="N157" s="170"/>
      <c r="O157" s="171"/>
      <c r="P157" s="171"/>
      <c r="Q157" s="170"/>
      <c r="R157" s="170"/>
      <c r="S157" s="170"/>
      <c r="T157" s="171"/>
      <c r="U157" s="171"/>
      <c r="V157" s="171"/>
      <c r="W157" s="171"/>
      <c r="X157" s="171"/>
      <c r="Y157" s="171"/>
      <c r="Z157" s="171"/>
      <c r="AA157" s="171"/>
      <c r="AB157" s="171"/>
      <c r="AC157" s="170"/>
      <c r="AD157" s="170"/>
      <c r="AE157" s="170"/>
      <c r="AF157" s="170"/>
      <c r="AG157" s="170"/>
      <c r="AH157" s="170"/>
      <c r="AI157" s="170"/>
      <c r="AJ157" s="170"/>
      <c r="AK157" s="171"/>
      <c r="AL157" s="171"/>
      <c r="AM157" s="170"/>
      <c r="AN157" s="170"/>
      <c r="AO157" s="170"/>
      <c r="AP157" s="171"/>
      <c r="AQ157" s="171"/>
      <c r="AR157" s="170"/>
      <c r="AS157" s="170"/>
      <c r="AT157" s="170"/>
      <c r="AU157" s="171"/>
      <c r="AV157" s="171"/>
      <c r="AW157" s="171"/>
      <c r="AX157" s="171"/>
      <c r="AY157" s="171"/>
      <c r="AZ157" s="171"/>
      <c r="BA157" s="171"/>
      <c r="BB157" s="171"/>
      <c r="BC157" s="171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72"/>
      <c r="BR157" s="172"/>
      <c r="BS157" s="172"/>
    </row>
    <row r="158" spans="1:71" ht="14.5" x14ac:dyDescent="0.35">
      <c r="A158" s="170"/>
      <c r="B158" s="170"/>
      <c r="C158" s="170"/>
      <c r="D158" s="170"/>
      <c r="E158" s="171"/>
      <c r="F158" s="171"/>
      <c r="G158" s="170"/>
      <c r="H158" s="32">
        <v>6179</v>
      </c>
      <c r="I158" s="145">
        <v>228255</v>
      </c>
      <c r="J158" s="32">
        <v>6179</v>
      </c>
      <c r="K158" s="171"/>
      <c r="L158" s="170"/>
      <c r="M158" s="170"/>
      <c r="N158" s="170"/>
      <c r="O158" s="171"/>
      <c r="P158" s="171"/>
      <c r="Q158" s="170"/>
      <c r="R158" s="170"/>
      <c r="S158" s="170"/>
      <c r="T158" s="171"/>
      <c r="U158" s="171"/>
      <c r="V158" s="171"/>
      <c r="W158" s="171"/>
      <c r="X158" s="171"/>
      <c r="Y158" s="171"/>
      <c r="Z158" s="171"/>
      <c r="AA158" s="171"/>
      <c r="AB158" s="171"/>
      <c r="AC158" s="170"/>
      <c r="AD158" s="170"/>
      <c r="AE158" s="170"/>
      <c r="AF158" s="170"/>
      <c r="AG158" s="170"/>
      <c r="AH158" s="170"/>
      <c r="AI158" s="170"/>
      <c r="AJ158" s="170"/>
      <c r="AK158" s="171"/>
      <c r="AL158" s="171"/>
      <c r="AM158" s="170"/>
      <c r="AN158" s="170"/>
      <c r="AO158" s="170"/>
      <c r="AP158" s="171"/>
      <c r="AQ158" s="171"/>
      <c r="AR158" s="170"/>
      <c r="AS158" s="170"/>
      <c r="AT158" s="170"/>
      <c r="AU158" s="171"/>
      <c r="AV158" s="171"/>
      <c r="AW158" s="171"/>
      <c r="AX158" s="171"/>
      <c r="AY158" s="171"/>
      <c r="AZ158" s="171"/>
      <c r="BA158" s="171"/>
      <c r="BB158" s="171"/>
      <c r="BC158" s="171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</row>
    <row r="159" spans="1:71" ht="12.5" x14ac:dyDescent="0.25">
      <c r="A159" s="170"/>
      <c r="B159" s="170"/>
      <c r="C159" s="170"/>
      <c r="D159" s="170"/>
      <c r="E159" s="171"/>
      <c r="F159" s="171"/>
      <c r="G159" s="170"/>
      <c r="H159" s="10">
        <v>6206</v>
      </c>
      <c r="I159" s="145">
        <v>258405</v>
      </c>
      <c r="J159" s="10">
        <v>6206</v>
      </c>
      <c r="K159" s="171"/>
      <c r="L159" s="170"/>
      <c r="M159" s="170"/>
      <c r="N159" s="170"/>
      <c r="O159" s="171"/>
      <c r="P159" s="171"/>
      <c r="Q159" s="170"/>
      <c r="R159" s="170"/>
      <c r="S159" s="170"/>
      <c r="T159" s="171"/>
      <c r="U159" s="171"/>
      <c r="V159" s="171"/>
      <c r="W159" s="171"/>
      <c r="X159" s="171"/>
      <c r="Y159" s="171"/>
      <c r="Z159" s="171"/>
      <c r="AA159" s="171"/>
      <c r="AB159" s="171"/>
      <c r="AC159" s="170"/>
      <c r="AD159" s="170"/>
      <c r="AE159" s="170"/>
      <c r="AF159" s="170"/>
      <c r="AG159" s="170"/>
      <c r="AH159" s="170"/>
      <c r="AI159" s="170"/>
      <c r="AJ159" s="170"/>
      <c r="AK159" s="171"/>
      <c r="AL159" s="171"/>
      <c r="AM159" s="170"/>
      <c r="AN159" s="170"/>
      <c r="AO159" s="170"/>
      <c r="AP159" s="171"/>
      <c r="AQ159" s="171"/>
      <c r="AR159" s="170"/>
      <c r="AS159" s="170"/>
      <c r="AT159" s="170"/>
      <c r="AU159" s="171"/>
      <c r="AV159" s="171"/>
      <c r="AW159" s="171"/>
      <c r="AX159" s="171"/>
      <c r="AY159" s="171"/>
      <c r="AZ159" s="171"/>
      <c r="BA159" s="171"/>
      <c r="BB159" s="171"/>
      <c r="BC159" s="171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</row>
    <row r="160" spans="1:71" ht="12.5" x14ac:dyDescent="0.25">
      <c r="A160" s="170"/>
      <c r="B160" s="170"/>
      <c r="C160" s="170"/>
      <c r="D160" s="170"/>
      <c r="E160" s="171"/>
      <c r="F160" s="171"/>
      <c r="G160" s="170"/>
      <c r="H160" s="10">
        <v>6224</v>
      </c>
      <c r="I160" s="145">
        <v>294083</v>
      </c>
      <c r="J160" s="10">
        <v>6224</v>
      </c>
      <c r="K160" s="171"/>
      <c r="L160" s="170"/>
      <c r="M160" s="170"/>
      <c r="N160" s="170"/>
      <c r="O160" s="171"/>
      <c r="P160" s="171"/>
      <c r="Q160" s="170"/>
      <c r="R160" s="170"/>
      <c r="S160" s="170"/>
      <c r="T160" s="171"/>
      <c r="U160" s="171"/>
      <c r="V160" s="171"/>
      <c r="W160" s="171"/>
      <c r="X160" s="171"/>
      <c r="Y160" s="171"/>
      <c r="Z160" s="171"/>
      <c r="AA160" s="171"/>
      <c r="AB160" s="171"/>
      <c r="AC160" s="170"/>
      <c r="AD160" s="170"/>
      <c r="AE160" s="170"/>
      <c r="AF160" s="170"/>
      <c r="AG160" s="170"/>
      <c r="AH160" s="170"/>
      <c r="AI160" s="170"/>
      <c r="AJ160" s="170"/>
      <c r="AK160" s="171"/>
      <c r="AL160" s="171"/>
      <c r="AM160" s="170"/>
      <c r="AN160" s="170"/>
      <c r="AO160" s="170"/>
      <c r="AP160" s="171"/>
      <c r="AQ160" s="171"/>
      <c r="AR160" s="170"/>
      <c r="AS160" s="170"/>
      <c r="AT160" s="170"/>
      <c r="AU160" s="171"/>
      <c r="AV160" s="171"/>
      <c r="AW160" s="171"/>
      <c r="AX160" s="171"/>
      <c r="AY160" s="171"/>
      <c r="AZ160" s="171"/>
      <c r="BA160" s="171"/>
      <c r="BB160" s="171"/>
      <c r="BC160" s="171"/>
      <c r="BD160" s="172"/>
      <c r="BE160" s="172"/>
      <c r="BF160" s="172"/>
      <c r="BG160" s="172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72"/>
      <c r="BR160" s="172"/>
      <c r="BS160" s="172"/>
    </row>
    <row r="161" spans="1:71" ht="12.5" x14ac:dyDescent="0.25">
      <c r="A161" s="170"/>
      <c r="B161" s="170"/>
      <c r="C161" s="170"/>
      <c r="D161" s="170"/>
      <c r="E161" s="171"/>
      <c r="F161" s="171"/>
      <c r="G161" s="170"/>
      <c r="H161" s="10">
        <v>6241</v>
      </c>
      <c r="I161" s="145">
        <v>311135</v>
      </c>
      <c r="J161" s="10">
        <v>6241</v>
      </c>
      <c r="K161" s="171"/>
      <c r="L161" s="170"/>
      <c r="M161" s="170"/>
      <c r="N161" s="170"/>
      <c r="O161" s="171"/>
      <c r="P161" s="171"/>
      <c r="Q161" s="170"/>
      <c r="R161" s="170"/>
      <c r="S161" s="170"/>
      <c r="T161" s="171"/>
      <c r="U161" s="171"/>
      <c r="V161" s="171"/>
      <c r="W161" s="171"/>
      <c r="X161" s="171"/>
      <c r="Y161" s="171"/>
      <c r="Z161" s="171"/>
      <c r="AA161" s="171"/>
      <c r="AB161" s="171"/>
      <c r="AC161" s="170"/>
      <c r="AD161" s="170"/>
      <c r="AE161" s="170"/>
      <c r="AF161" s="170"/>
      <c r="AG161" s="170"/>
      <c r="AH161" s="170"/>
      <c r="AI161" s="170"/>
      <c r="AJ161" s="170"/>
      <c r="AK161" s="171"/>
      <c r="AL161" s="171"/>
      <c r="AM161" s="170"/>
      <c r="AN161" s="170"/>
      <c r="AO161" s="170"/>
      <c r="AP161" s="171"/>
      <c r="AQ161" s="171"/>
      <c r="AR161" s="170"/>
      <c r="AS161" s="170"/>
      <c r="AT161" s="170"/>
      <c r="AU161" s="171"/>
      <c r="AV161" s="171"/>
      <c r="AW161" s="171"/>
      <c r="AX161" s="171"/>
      <c r="AY161" s="171"/>
      <c r="AZ161" s="171"/>
      <c r="BA161" s="171"/>
      <c r="BB161" s="171"/>
      <c r="BC161" s="171"/>
      <c r="BD161" s="172"/>
      <c r="BE161" s="172"/>
      <c r="BF161" s="172"/>
      <c r="BG161" s="172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72"/>
      <c r="BR161" s="172"/>
      <c r="BS161" s="172"/>
    </row>
    <row r="162" spans="1:71" ht="12.5" x14ac:dyDescent="0.25">
      <c r="A162" s="170"/>
      <c r="B162" s="170"/>
      <c r="C162" s="170"/>
      <c r="D162" s="170"/>
      <c r="E162" s="171"/>
      <c r="F162" s="171"/>
      <c r="G162" s="170"/>
      <c r="H162" s="10">
        <v>6260</v>
      </c>
      <c r="I162" s="145">
        <v>343272</v>
      </c>
      <c r="J162" s="10">
        <v>6260</v>
      </c>
      <c r="K162" s="171"/>
      <c r="L162" s="170"/>
      <c r="M162" s="170"/>
      <c r="N162" s="170"/>
      <c r="O162" s="171"/>
      <c r="P162" s="171"/>
      <c r="Q162" s="170"/>
      <c r="R162" s="170"/>
      <c r="S162" s="170"/>
      <c r="T162" s="171"/>
      <c r="U162" s="171"/>
      <c r="V162" s="171"/>
      <c r="W162" s="171"/>
      <c r="X162" s="171"/>
      <c r="Y162" s="171"/>
      <c r="Z162" s="171"/>
      <c r="AA162" s="171"/>
      <c r="AB162" s="171"/>
      <c r="AC162" s="170"/>
      <c r="AD162" s="170"/>
      <c r="AE162" s="170"/>
      <c r="AF162" s="170"/>
      <c r="AG162" s="170"/>
      <c r="AH162" s="170"/>
      <c r="AI162" s="170"/>
      <c r="AJ162" s="170"/>
      <c r="AK162" s="171"/>
      <c r="AL162" s="171"/>
      <c r="AM162" s="170"/>
      <c r="AN162" s="170"/>
      <c r="AO162" s="170"/>
      <c r="AP162" s="171"/>
      <c r="AQ162" s="171"/>
      <c r="AR162" s="170"/>
      <c r="AS162" s="170"/>
      <c r="AT162" s="170"/>
      <c r="AU162" s="171"/>
      <c r="AV162" s="171"/>
      <c r="AW162" s="171"/>
      <c r="AX162" s="171"/>
      <c r="AY162" s="171"/>
      <c r="AZ162" s="171"/>
      <c r="BA162" s="171"/>
      <c r="BB162" s="171"/>
      <c r="BC162" s="171"/>
      <c r="BD162" s="172"/>
      <c r="BE162" s="172"/>
      <c r="BF162" s="172"/>
      <c r="BG162" s="172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72"/>
      <c r="BR162" s="172"/>
      <c r="BS162" s="172"/>
    </row>
    <row r="163" spans="1:71" ht="14.5" x14ac:dyDescent="0.35">
      <c r="A163" s="170"/>
      <c r="B163" s="170"/>
      <c r="C163" s="170"/>
      <c r="D163" s="170"/>
      <c r="E163" s="171"/>
      <c r="F163" s="171"/>
      <c r="G163" s="170"/>
      <c r="H163" s="32">
        <v>6281</v>
      </c>
      <c r="I163" s="145">
        <v>351121</v>
      </c>
      <c r="J163" s="32">
        <v>6281</v>
      </c>
      <c r="K163" s="171"/>
      <c r="L163" s="170"/>
      <c r="M163" s="170"/>
      <c r="N163" s="170"/>
      <c r="O163" s="171"/>
      <c r="P163" s="171"/>
      <c r="Q163" s="170"/>
      <c r="R163" s="170"/>
      <c r="S163" s="170"/>
      <c r="T163" s="171"/>
      <c r="U163" s="171"/>
      <c r="V163" s="171"/>
      <c r="W163" s="171"/>
      <c r="X163" s="171"/>
      <c r="Y163" s="171"/>
      <c r="Z163" s="171"/>
      <c r="AA163" s="171"/>
      <c r="AB163" s="171"/>
      <c r="AC163" s="170"/>
      <c r="AD163" s="170"/>
      <c r="AE163" s="170"/>
      <c r="AF163" s="170"/>
      <c r="AG163" s="170"/>
      <c r="AH163" s="170"/>
      <c r="AI163" s="170"/>
      <c r="AJ163" s="170"/>
      <c r="AK163" s="171"/>
      <c r="AL163" s="171"/>
      <c r="AM163" s="170"/>
      <c r="AN163" s="170"/>
      <c r="AO163" s="170"/>
      <c r="AP163" s="171"/>
      <c r="AQ163" s="171"/>
      <c r="AR163" s="170"/>
      <c r="AS163" s="170"/>
      <c r="AT163" s="170"/>
      <c r="AU163" s="171"/>
      <c r="AV163" s="171"/>
      <c r="AW163" s="171"/>
      <c r="AX163" s="171"/>
      <c r="AY163" s="171"/>
      <c r="AZ163" s="171"/>
      <c r="BA163" s="171"/>
      <c r="BB163" s="171"/>
      <c r="BC163" s="171"/>
      <c r="BD163" s="172"/>
      <c r="BE163" s="172"/>
      <c r="BF163" s="172"/>
      <c r="BG163" s="172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72"/>
      <c r="BR163" s="172"/>
      <c r="BS163" s="172"/>
    </row>
    <row r="164" spans="1:71" ht="14.5" x14ac:dyDescent="0.35">
      <c r="A164" s="170"/>
      <c r="B164" s="170"/>
      <c r="C164" s="170"/>
      <c r="D164" s="170"/>
      <c r="E164" s="171"/>
      <c r="F164" s="171"/>
      <c r="G164" s="170"/>
      <c r="H164" s="32">
        <v>6304</v>
      </c>
      <c r="I164" s="145">
        <v>353105</v>
      </c>
      <c r="J164" s="32">
        <v>6304</v>
      </c>
      <c r="K164" s="171"/>
      <c r="L164" s="170"/>
      <c r="M164" s="170"/>
      <c r="N164" s="170"/>
      <c r="O164" s="171"/>
      <c r="P164" s="171"/>
      <c r="Q164" s="170"/>
      <c r="R164" s="170"/>
      <c r="S164" s="170"/>
      <c r="T164" s="171"/>
      <c r="U164" s="171"/>
      <c r="V164" s="171"/>
      <c r="W164" s="171"/>
      <c r="X164" s="171"/>
      <c r="Y164" s="171"/>
      <c r="Z164" s="171"/>
      <c r="AA164" s="171"/>
      <c r="AB164" s="171"/>
      <c r="AC164" s="170"/>
      <c r="AD164" s="170"/>
      <c r="AE164" s="170"/>
      <c r="AF164" s="170"/>
      <c r="AG164" s="170"/>
      <c r="AH164" s="170"/>
      <c r="AI164" s="170"/>
      <c r="AJ164" s="170"/>
      <c r="AK164" s="171"/>
      <c r="AL164" s="171"/>
      <c r="AM164" s="170"/>
      <c r="AN164" s="170"/>
      <c r="AO164" s="170"/>
      <c r="AP164" s="171"/>
      <c r="AQ164" s="171"/>
      <c r="AR164" s="170"/>
      <c r="AS164" s="170"/>
      <c r="AT164" s="170"/>
      <c r="AU164" s="171"/>
      <c r="AV164" s="171"/>
      <c r="AW164" s="171"/>
      <c r="AX164" s="171"/>
      <c r="AY164" s="171"/>
      <c r="AZ164" s="171"/>
      <c r="BA164" s="171"/>
      <c r="BB164" s="171"/>
      <c r="BC164" s="171"/>
      <c r="BD164" s="172"/>
      <c r="BE164" s="172"/>
      <c r="BF164" s="172"/>
      <c r="BG164" s="172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72"/>
      <c r="BR164" s="172"/>
      <c r="BS164" s="172"/>
    </row>
    <row r="165" spans="1:71" ht="12.5" x14ac:dyDescent="0.25">
      <c r="A165" s="170"/>
      <c r="B165" s="170"/>
      <c r="C165" s="170"/>
      <c r="D165" s="170"/>
      <c r="E165" s="171"/>
      <c r="F165" s="171"/>
      <c r="G165" s="170"/>
      <c r="H165" s="10">
        <v>6324</v>
      </c>
      <c r="I165" s="145">
        <v>388065</v>
      </c>
      <c r="J165" s="10">
        <v>6324</v>
      </c>
      <c r="K165" s="171"/>
      <c r="L165" s="170"/>
      <c r="M165" s="170"/>
      <c r="N165" s="170"/>
      <c r="O165" s="171"/>
      <c r="P165" s="171"/>
      <c r="Q165" s="170"/>
      <c r="R165" s="170"/>
      <c r="S165" s="170"/>
      <c r="T165" s="171"/>
      <c r="U165" s="171"/>
      <c r="V165" s="171"/>
      <c r="W165" s="171"/>
      <c r="X165" s="171"/>
      <c r="Y165" s="171"/>
      <c r="Z165" s="171"/>
      <c r="AA165" s="171"/>
      <c r="AB165" s="171"/>
      <c r="AC165" s="170"/>
      <c r="AD165" s="170"/>
      <c r="AE165" s="170"/>
      <c r="AF165" s="170"/>
      <c r="AG165" s="170"/>
      <c r="AH165" s="170"/>
      <c r="AI165" s="170"/>
      <c r="AJ165" s="170"/>
      <c r="AK165" s="171"/>
      <c r="AL165" s="171"/>
      <c r="AM165" s="170"/>
      <c r="AN165" s="170"/>
      <c r="AO165" s="170"/>
      <c r="AP165" s="171"/>
      <c r="AQ165" s="171"/>
      <c r="AR165" s="170"/>
      <c r="AS165" s="170"/>
      <c r="AT165" s="170"/>
      <c r="AU165" s="171"/>
      <c r="AV165" s="171"/>
      <c r="AW165" s="171"/>
      <c r="AX165" s="171"/>
      <c r="AY165" s="171"/>
      <c r="AZ165" s="171"/>
      <c r="BA165" s="171"/>
      <c r="BB165" s="171"/>
      <c r="BC165" s="171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</row>
    <row r="166" spans="1:71" ht="12.5" x14ac:dyDescent="0.25">
      <c r="A166" s="170"/>
      <c r="B166" s="170"/>
      <c r="C166" s="170"/>
      <c r="D166" s="170"/>
      <c r="E166" s="171"/>
      <c r="F166" s="171"/>
      <c r="G166" s="170"/>
      <c r="H166" s="10">
        <v>6327</v>
      </c>
      <c r="I166" s="145">
        <v>425325</v>
      </c>
      <c r="J166" s="10">
        <v>6327</v>
      </c>
      <c r="K166" s="171"/>
      <c r="L166" s="170"/>
      <c r="M166" s="170"/>
      <c r="N166" s="170"/>
      <c r="O166" s="171"/>
      <c r="P166" s="171"/>
      <c r="Q166" s="170"/>
      <c r="R166" s="170"/>
      <c r="S166" s="170"/>
      <c r="T166" s="171"/>
      <c r="U166" s="171"/>
      <c r="V166" s="171"/>
      <c r="W166" s="171"/>
      <c r="X166" s="171"/>
      <c r="Y166" s="171"/>
      <c r="Z166" s="171"/>
      <c r="AA166" s="171"/>
      <c r="AB166" s="171"/>
      <c r="AC166" s="170"/>
      <c r="AD166" s="170"/>
      <c r="AE166" s="170"/>
      <c r="AF166" s="170"/>
      <c r="AG166" s="170"/>
      <c r="AH166" s="170"/>
      <c r="AI166" s="170"/>
      <c r="AJ166" s="170"/>
      <c r="AK166" s="171"/>
      <c r="AL166" s="171"/>
      <c r="AM166" s="170"/>
      <c r="AN166" s="170"/>
      <c r="AO166" s="170"/>
      <c r="AP166" s="171"/>
      <c r="AQ166" s="171"/>
      <c r="AR166" s="170"/>
      <c r="AS166" s="170"/>
      <c r="AT166" s="170"/>
      <c r="AU166" s="171"/>
      <c r="AV166" s="171"/>
      <c r="AW166" s="171"/>
      <c r="AX166" s="171"/>
      <c r="AY166" s="171"/>
      <c r="AZ166" s="171"/>
      <c r="BA166" s="171"/>
      <c r="BB166" s="171"/>
      <c r="BC166" s="171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</row>
    <row r="167" spans="1:71" ht="12.5" x14ac:dyDescent="0.25">
      <c r="A167" s="170"/>
      <c r="B167" s="170"/>
      <c r="C167" s="170"/>
      <c r="D167" s="170"/>
      <c r="E167" s="171"/>
      <c r="F167" s="171"/>
      <c r="G167" s="170"/>
      <c r="H167" s="10">
        <v>6341</v>
      </c>
      <c r="I167" s="145">
        <v>458982</v>
      </c>
      <c r="J167" s="10">
        <v>6341</v>
      </c>
      <c r="K167" s="171"/>
      <c r="L167" s="170"/>
      <c r="M167" s="170"/>
      <c r="N167" s="170"/>
      <c r="O167" s="171"/>
      <c r="P167" s="171"/>
      <c r="Q167" s="170"/>
      <c r="R167" s="170"/>
      <c r="S167" s="170"/>
      <c r="T167" s="171"/>
      <c r="U167" s="171"/>
      <c r="V167" s="171"/>
      <c r="W167" s="171"/>
      <c r="X167" s="171"/>
      <c r="Y167" s="171"/>
      <c r="Z167" s="171"/>
      <c r="AA167" s="171"/>
      <c r="AB167" s="171"/>
      <c r="AC167" s="170"/>
      <c r="AD167" s="170"/>
      <c r="AE167" s="170"/>
      <c r="AF167" s="170"/>
      <c r="AG167" s="170"/>
      <c r="AH167" s="170"/>
      <c r="AI167" s="170"/>
      <c r="AJ167" s="170"/>
      <c r="AK167" s="171"/>
      <c r="AL167" s="171"/>
      <c r="AM167" s="170"/>
      <c r="AN167" s="170"/>
      <c r="AO167" s="170"/>
      <c r="AP167" s="171"/>
      <c r="AQ167" s="171"/>
      <c r="AR167" s="170"/>
      <c r="AS167" s="170"/>
      <c r="AT167" s="170"/>
      <c r="AU167" s="171"/>
      <c r="AV167" s="171"/>
      <c r="AW167" s="171"/>
      <c r="AX167" s="171"/>
      <c r="AY167" s="171"/>
      <c r="AZ167" s="171"/>
      <c r="BA167" s="171"/>
      <c r="BB167" s="171"/>
      <c r="BC167" s="171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</row>
    <row r="168" spans="1:71" ht="14.5" x14ac:dyDescent="0.35">
      <c r="A168" s="170"/>
      <c r="B168" s="170"/>
      <c r="C168" s="170"/>
      <c r="D168" s="170"/>
      <c r="E168" s="171"/>
      <c r="F168" s="171"/>
      <c r="G168" s="170"/>
      <c r="H168" s="32">
        <v>6344</v>
      </c>
      <c r="I168" s="145">
        <v>485734</v>
      </c>
      <c r="J168" s="32">
        <v>6344</v>
      </c>
      <c r="K168" s="171"/>
      <c r="L168" s="170"/>
      <c r="M168" s="170"/>
      <c r="N168" s="170"/>
      <c r="O168" s="171"/>
      <c r="P168" s="171"/>
      <c r="Q168" s="170"/>
      <c r="R168" s="170"/>
      <c r="S168" s="170"/>
      <c r="T168" s="171"/>
      <c r="U168" s="171"/>
      <c r="V168" s="171"/>
      <c r="W168" s="171"/>
      <c r="X168" s="171"/>
      <c r="Y168" s="171"/>
      <c r="Z168" s="171"/>
      <c r="AA168" s="171"/>
      <c r="AB168" s="171"/>
      <c r="AC168" s="170"/>
      <c r="AD168" s="170"/>
      <c r="AE168" s="170"/>
      <c r="AF168" s="170"/>
      <c r="AG168" s="170"/>
      <c r="AH168" s="170"/>
      <c r="AI168" s="170"/>
      <c r="AJ168" s="170"/>
      <c r="AK168" s="171"/>
      <c r="AL168" s="171"/>
      <c r="AM168" s="170"/>
      <c r="AN168" s="170"/>
      <c r="AO168" s="170"/>
      <c r="AP168" s="171"/>
      <c r="AQ168" s="171"/>
      <c r="AR168" s="170"/>
      <c r="AS168" s="170"/>
      <c r="AT168" s="170"/>
      <c r="AU168" s="171"/>
      <c r="AV168" s="171"/>
      <c r="AW168" s="171"/>
      <c r="AX168" s="171"/>
      <c r="AY168" s="171"/>
      <c r="AZ168" s="171"/>
      <c r="BA168" s="171"/>
      <c r="BB168" s="171"/>
      <c r="BC168" s="171"/>
      <c r="BD168" s="172"/>
      <c r="BE168" s="172"/>
      <c r="BF168" s="172"/>
      <c r="BG168" s="172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72"/>
      <c r="BR168" s="172"/>
      <c r="BS168" s="172"/>
    </row>
    <row r="169" spans="1:71" ht="14.5" x14ac:dyDescent="0.35">
      <c r="A169" s="170"/>
      <c r="B169" s="170"/>
      <c r="C169" s="170"/>
      <c r="D169" s="170"/>
      <c r="E169" s="171"/>
      <c r="F169" s="171"/>
      <c r="G169" s="170"/>
      <c r="H169" s="32">
        <v>6351</v>
      </c>
      <c r="I169" s="145">
        <v>490215</v>
      </c>
      <c r="J169" s="32">
        <v>6351</v>
      </c>
      <c r="K169" s="171"/>
      <c r="L169" s="170"/>
      <c r="M169" s="170"/>
      <c r="N169" s="170"/>
      <c r="O169" s="171"/>
      <c r="P169" s="171"/>
      <c r="Q169" s="170"/>
      <c r="R169" s="170"/>
      <c r="S169" s="170"/>
      <c r="T169" s="171"/>
      <c r="U169" s="171"/>
      <c r="V169" s="171"/>
      <c r="W169" s="171"/>
      <c r="X169" s="171"/>
      <c r="Y169" s="171"/>
      <c r="Z169" s="171"/>
      <c r="AA169" s="171"/>
      <c r="AB169" s="171"/>
      <c r="AC169" s="170"/>
      <c r="AD169" s="170"/>
      <c r="AE169" s="170"/>
      <c r="AF169" s="170"/>
      <c r="AG169" s="170"/>
      <c r="AH169" s="170"/>
      <c r="AI169" s="170"/>
      <c r="AJ169" s="170"/>
      <c r="AK169" s="171"/>
      <c r="AL169" s="171"/>
      <c r="AM169" s="170"/>
      <c r="AN169" s="170"/>
      <c r="AO169" s="170"/>
      <c r="AP169" s="171"/>
      <c r="AQ169" s="171"/>
      <c r="AR169" s="170"/>
      <c r="AS169" s="170"/>
      <c r="AT169" s="170"/>
      <c r="AU169" s="171"/>
      <c r="AV169" s="171"/>
      <c r="AW169" s="171"/>
      <c r="AX169" s="171"/>
      <c r="AY169" s="171"/>
      <c r="AZ169" s="171"/>
      <c r="BA169" s="171"/>
      <c r="BB169" s="171"/>
      <c r="BC169" s="171"/>
      <c r="BD169" s="172"/>
      <c r="BE169" s="172"/>
      <c r="BF169" s="172"/>
      <c r="BG169" s="172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72"/>
      <c r="BR169" s="172"/>
      <c r="BS169" s="172"/>
    </row>
    <row r="170" spans="1:71" ht="12.5" x14ac:dyDescent="0.25">
      <c r="A170" s="170"/>
      <c r="B170" s="170"/>
      <c r="C170" s="170"/>
      <c r="D170" s="170"/>
      <c r="E170" s="171"/>
      <c r="F170" s="171"/>
      <c r="G170" s="170"/>
      <c r="H170" s="10">
        <v>6356</v>
      </c>
      <c r="I170" s="145">
        <v>494227</v>
      </c>
      <c r="J170" s="10">
        <v>6356</v>
      </c>
      <c r="K170" s="171"/>
      <c r="L170" s="170"/>
      <c r="M170" s="170"/>
      <c r="N170" s="170"/>
      <c r="O170" s="171"/>
      <c r="P170" s="171"/>
      <c r="Q170" s="170"/>
      <c r="R170" s="170"/>
      <c r="S170" s="170"/>
      <c r="T170" s="171"/>
      <c r="U170" s="171"/>
      <c r="V170" s="171"/>
      <c r="W170" s="171"/>
      <c r="X170" s="171"/>
      <c r="Y170" s="171"/>
      <c r="Z170" s="171"/>
      <c r="AA170" s="171"/>
      <c r="AB170" s="171"/>
      <c r="AC170" s="170"/>
      <c r="AD170" s="170"/>
      <c r="AE170" s="170"/>
      <c r="AF170" s="170"/>
      <c r="AG170" s="170"/>
      <c r="AH170" s="170"/>
      <c r="AI170" s="170"/>
      <c r="AJ170" s="170"/>
      <c r="AK170" s="171"/>
      <c r="AL170" s="171"/>
      <c r="AM170" s="170"/>
      <c r="AN170" s="170"/>
      <c r="AO170" s="170"/>
      <c r="AP170" s="171"/>
      <c r="AQ170" s="171"/>
      <c r="AR170" s="170"/>
      <c r="AS170" s="170"/>
      <c r="AT170" s="170"/>
      <c r="AU170" s="171"/>
      <c r="AV170" s="171"/>
      <c r="AW170" s="171"/>
      <c r="AX170" s="171"/>
      <c r="AY170" s="171"/>
      <c r="AZ170" s="171"/>
      <c r="BA170" s="171"/>
      <c r="BB170" s="171"/>
      <c r="BC170" s="171"/>
      <c r="BD170" s="172"/>
      <c r="BE170" s="172"/>
      <c r="BF170" s="172"/>
      <c r="BG170" s="172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72"/>
      <c r="BR170" s="172"/>
      <c r="BS170" s="172"/>
    </row>
    <row r="171" spans="1:71" ht="14.5" x14ac:dyDescent="0.35">
      <c r="A171" s="170"/>
      <c r="B171" s="170"/>
      <c r="C171" s="170"/>
      <c r="D171" s="170"/>
      <c r="E171" s="171"/>
      <c r="F171" s="171"/>
      <c r="G171" s="170"/>
      <c r="H171" s="32">
        <v>6360</v>
      </c>
      <c r="I171" s="145">
        <v>498076</v>
      </c>
      <c r="J171" s="32">
        <v>6360</v>
      </c>
      <c r="K171" s="171"/>
      <c r="L171" s="170"/>
      <c r="M171" s="170"/>
      <c r="N171" s="170"/>
      <c r="O171" s="171"/>
      <c r="P171" s="171"/>
      <c r="Q171" s="170"/>
      <c r="R171" s="170"/>
      <c r="S171" s="170"/>
      <c r="T171" s="171"/>
      <c r="U171" s="171"/>
      <c r="V171" s="171"/>
      <c r="W171" s="171"/>
      <c r="X171" s="171"/>
      <c r="Y171" s="171"/>
      <c r="Z171" s="171"/>
      <c r="AA171" s="171"/>
      <c r="AB171" s="171"/>
      <c r="AC171" s="170"/>
      <c r="AD171" s="170"/>
      <c r="AE171" s="170"/>
      <c r="AF171" s="170"/>
      <c r="AG171" s="170"/>
      <c r="AH171" s="170"/>
      <c r="AI171" s="170"/>
      <c r="AJ171" s="170"/>
      <c r="AK171" s="171"/>
      <c r="AL171" s="171"/>
      <c r="AM171" s="170"/>
      <c r="AN171" s="170"/>
      <c r="AO171" s="170"/>
      <c r="AP171" s="171"/>
      <c r="AQ171" s="171"/>
      <c r="AR171" s="170"/>
      <c r="AS171" s="170"/>
      <c r="AT171" s="170"/>
      <c r="AU171" s="171"/>
      <c r="AV171" s="171"/>
      <c r="AW171" s="171"/>
      <c r="AX171" s="171"/>
      <c r="AY171" s="171"/>
      <c r="AZ171" s="171"/>
      <c r="BA171" s="171"/>
      <c r="BB171" s="171"/>
      <c r="BC171" s="171"/>
      <c r="BD171" s="172"/>
      <c r="BE171" s="172"/>
      <c r="BF171" s="172"/>
      <c r="BG171" s="172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72"/>
      <c r="BR171" s="172"/>
      <c r="BS171" s="172"/>
    </row>
    <row r="172" spans="1:71" ht="12.5" x14ac:dyDescent="0.25">
      <c r="A172" s="170"/>
      <c r="B172" s="170"/>
      <c r="C172" s="170"/>
      <c r="D172" s="170"/>
      <c r="E172" s="171"/>
      <c r="F172" s="171"/>
      <c r="G172" s="170"/>
      <c r="H172" s="10">
        <v>6372</v>
      </c>
      <c r="I172" s="145">
        <v>546103</v>
      </c>
      <c r="J172" s="10">
        <v>6372</v>
      </c>
      <c r="K172" s="171"/>
      <c r="L172" s="170"/>
      <c r="M172" s="170"/>
      <c r="N172" s="170"/>
      <c r="O172" s="171"/>
      <c r="P172" s="171"/>
      <c r="Q172" s="170"/>
      <c r="R172" s="170"/>
      <c r="S172" s="170"/>
      <c r="T172" s="171"/>
      <c r="U172" s="171"/>
      <c r="V172" s="171"/>
      <c r="W172" s="171"/>
      <c r="X172" s="171"/>
      <c r="Y172" s="171"/>
      <c r="Z172" s="171"/>
      <c r="AA172" s="171"/>
      <c r="AB172" s="171"/>
      <c r="AC172" s="170"/>
      <c r="AD172" s="170"/>
      <c r="AE172" s="170"/>
      <c r="AF172" s="170"/>
      <c r="AG172" s="170"/>
      <c r="AH172" s="170"/>
      <c r="AI172" s="170"/>
      <c r="AJ172" s="170"/>
      <c r="AK172" s="171"/>
      <c r="AL172" s="171"/>
      <c r="AM172" s="170"/>
      <c r="AN172" s="170"/>
      <c r="AO172" s="170"/>
      <c r="AP172" s="171"/>
      <c r="AQ172" s="171"/>
      <c r="AR172" s="170"/>
      <c r="AS172" s="170"/>
      <c r="AT172" s="170"/>
      <c r="AU172" s="171"/>
      <c r="AV172" s="171"/>
      <c r="AW172" s="171"/>
      <c r="AX172" s="171"/>
      <c r="AY172" s="171"/>
      <c r="AZ172" s="171"/>
      <c r="BA172" s="171"/>
      <c r="BB172" s="171"/>
      <c r="BC172" s="171"/>
      <c r="BD172" s="172"/>
      <c r="BE172" s="172"/>
      <c r="BF172" s="172"/>
      <c r="BG172" s="172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72"/>
      <c r="BR172" s="172"/>
      <c r="BS172" s="172"/>
    </row>
    <row r="173" spans="1:71" ht="12.5" x14ac:dyDescent="0.25">
      <c r="A173" s="170"/>
      <c r="B173" s="170"/>
      <c r="C173" s="170"/>
      <c r="D173" s="170"/>
      <c r="E173" s="171"/>
      <c r="F173" s="171"/>
      <c r="G173" s="170"/>
      <c r="H173" s="10">
        <v>6379</v>
      </c>
      <c r="I173" s="145">
        <v>580965</v>
      </c>
      <c r="J173" s="10">
        <v>6379</v>
      </c>
      <c r="K173" s="171"/>
      <c r="L173" s="170"/>
      <c r="M173" s="170"/>
      <c r="N173" s="170"/>
      <c r="O173" s="171"/>
      <c r="P173" s="171"/>
      <c r="Q173" s="170"/>
      <c r="R173" s="170"/>
      <c r="S173" s="170"/>
      <c r="T173" s="171"/>
      <c r="U173" s="171"/>
      <c r="V173" s="171"/>
      <c r="W173" s="171"/>
      <c r="X173" s="171"/>
      <c r="Y173" s="171"/>
      <c r="Z173" s="171"/>
      <c r="AA173" s="171"/>
      <c r="AB173" s="171"/>
      <c r="AC173" s="170"/>
      <c r="AD173" s="170"/>
      <c r="AE173" s="170"/>
      <c r="AF173" s="170"/>
      <c r="AG173" s="170"/>
      <c r="AH173" s="170"/>
      <c r="AI173" s="170"/>
      <c r="AJ173" s="170"/>
      <c r="AK173" s="171"/>
      <c r="AL173" s="171"/>
      <c r="AM173" s="170"/>
      <c r="AN173" s="170"/>
      <c r="AO173" s="170"/>
      <c r="AP173" s="171"/>
      <c r="AQ173" s="171"/>
      <c r="AR173" s="170"/>
      <c r="AS173" s="170"/>
      <c r="AT173" s="170"/>
      <c r="AU173" s="171"/>
      <c r="AV173" s="171"/>
      <c r="AW173" s="171"/>
      <c r="AX173" s="171"/>
      <c r="AY173" s="171"/>
      <c r="AZ173" s="171"/>
      <c r="BA173" s="171"/>
      <c r="BB173" s="171"/>
      <c r="BC173" s="171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72"/>
      <c r="BR173" s="172"/>
      <c r="BS173" s="172"/>
    </row>
    <row r="174" spans="1:71" ht="14.5" x14ac:dyDescent="0.35">
      <c r="A174" s="170"/>
      <c r="B174" s="170"/>
      <c r="C174" s="170"/>
      <c r="D174" s="170"/>
      <c r="E174" s="171"/>
      <c r="F174" s="171"/>
      <c r="G174" s="170"/>
      <c r="H174" s="32">
        <v>6391</v>
      </c>
      <c r="I174" s="145">
        <v>619311</v>
      </c>
      <c r="J174" s="32">
        <v>6391</v>
      </c>
      <c r="K174" s="171"/>
      <c r="L174" s="170"/>
      <c r="M174" s="170"/>
      <c r="N174" s="170"/>
      <c r="O174" s="171"/>
      <c r="P174" s="171"/>
      <c r="Q174" s="170"/>
      <c r="R174" s="170"/>
      <c r="S174" s="170"/>
      <c r="T174" s="171"/>
      <c r="U174" s="171"/>
      <c r="V174" s="171"/>
      <c r="W174" s="171"/>
      <c r="X174" s="171"/>
      <c r="Y174" s="171"/>
      <c r="Z174" s="171"/>
      <c r="AA174" s="171"/>
      <c r="AB174" s="171"/>
      <c r="AC174" s="170"/>
      <c r="AD174" s="170"/>
      <c r="AE174" s="170"/>
      <c r="AF174" s="170"/>
      <c r="AG174" s="170"/>
      <c r="AH174" s="170"/>
      <c r="AI174" s="170"/>
      <c r="AJ174" s="170"/>
      <c r="AK174" s="171"/>
      <c r="AL174" s="171"/>
      <c r="AM174" s="170"/>
      <c r="AN174" s="170"/>
      <c r="AO174" s="170"/>
      <c r="AP174" s="171"/>
      <c r="AQ174" s="171"/>
      <c r="AR174" s="170"/>
      <c r="AS174" s="170"/>
      <c r="AT174" s="170"/>
      <c r="AU174" s="171"/>
      <c r="AV174" s="171"/>
      <c r="AW174" s="171"/>
      <c r="AX174" s="171"/>
      <c r="AY174" s="171"/>
      <c r="AZ174" s="171"/>
      <c r="BA174" s="171"/>
      <c r="BB174" s="171"/>
      <c r="BC174" s="171"/>
      <c r="BD174" s="172"/>
      <c r="BE174" s="172"/>
      <c r="BF174" s="172"/>
      <c r="BG174" s="172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72"/>
      <c r="BR174" s="172"/>
      <c r="BS174" s="172"/>
    </row>
    <row r="175" spans="1:71" ht="12.5" x14ac:dyDescent="0.25">
      <c r="A175" s="170"/>
      <c r="B175" s="170"/>
      <c r="C175" s="170"/>
      <c r="D175" s="170"/>
      <c r="E175" s="171"/>
      <c r="F175" s="171"/>
      <c r="G175" s="170"/>
      <c r="H175" s="10">
        <v>6410</v>
      </c>
      <c r="I175" s="145">
        <v>644297</v>
      </c>
      <c r="J175" s="10">
        <v>6410</v>
      </c>
      <c r="K175" s="171"/>
      <c r="L175" s="170"/>
      <c r="M175" s="170"/>
      <c r="N175" s="170"/>
      <c r="O175" s="171"/>
      <c r="P175" s="171"/>
      <c r="Q175" s="170"/>
      <c r="R175" s="170"/>
      <c r="S175" s="170"/>
      <c r="T175" s="171"/>
      <c r="U175" s="171"/>
      <c r="V175" s="171"/>
      <c r="W175" s="171"/>
      <c r="X175" s="171"/>
      <c r="Y175" s="171"/>
      <c r="Z175" s="171"/>
      <c r="AA175" s="171"/>
      <c r="AB175" s="171"/>
      <c r="AC175" s="170"/>
      <c r="AD175" s="170"/>
      <c r="AE175" s="170"/>
      <c r="AF175" s="170"/>
      <c r="AG175" s="170"/>
      <c r="AH175" s="170"/>
      <c r="AI175" s="170"/>
      <c r="AJ175" s="170"/>
      <c r="AK175" s="171"/>
      <c r="AL175" s="171"/>
      <c r="AM175" s="170"/>
      <c r="AN175" s="170"/>
      <c r="AO175" s="170"/>
      <c r="AP175" s="171"/>
      <c r="AQ175" s="171"/>
      <c r="AR175" s="170"/>
      <c r="AS175" s="170"/>
      <c r="AT175" s="170"/>
      <c r="AU175" s="171"/>
      <c r="AV175" s="171"/>
      <c r="AW175" s="171"/>
      <c r="AX175" s="171"/>
      <c r="AY175" s="171"/>
      <c r="AZ175" s="171"/>
      <c r="BA175" s="171"/>
      <c r="BB175" s="171"/>
      <c r="BC175" s="171"/>
      <c r="BD175" s="172"/>
      <c r="BE175" s="172"/>
      <c r="BF175" s="172"/>
      <c r="BG175" s="172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72"/>
      <c r="BR175" s="172"/>
      <c r="BS175" s="172"/>
    </row>
    <row r="176" spans="1:71" ht="12.5" x14ac:dyDescent="0.25">
      <c r="A176" s="170"/>
      <c r="B176" s="170"/>
      <c r="C176" s="170"/>
      <c r="D176" s="170"/>
      <c r="E176" s="171"/>
      <c r="F176" s="171"/>
      <c r="G176" s="170"/>
      <c r="H176" s="10">
        <v>6424</v>
      </c>
      <c r="I176" s="145">
        <v>677132</v>
      </c>
      <c r="J176" s="10">
        <v>6424</v>
      </c>
      <c r="K176" s="171"/>
      <c r="L176" s="170"/>
      <c r="M176" s="170"/>
      <c r="N176" s="170"/>
      <c r="O176" s="171"/>
      <c r="P176" s="171"/>
      <c r="Q176" s="170"/>
      <c r="R176" s="170"/>
      <c r="S176" s="170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0"/>
      <c r="AD176" s="170"/>
      <c r="AE176" s="170"/>
      <c r="AF176" s="170"/>
      <c r="AG176" s="170"/>
      <c r="AH176" s="170"/>
      <c r="AI176" s="170"/>
      <c r="AJ176" s="170"/>
      <c r="AK176" s="171"/>
      <c r="AL176" s="171"/>
      <c r="AM176" s="170"/>
      <c r="AN176" s="170"/>
      <c r="AO176" s="170"/>
      <c r="AP176" s="171"/>
      <c r="AQ176" s="171"/>
      <c r="AR176" s="170"/>
      <c r="AS176" s="170"/>
      <c r="AT176" s="170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2"/>
      <c r="BE176" s="172"/>
      <c r="BF176" s="172"/>
      <c r="BG176" s="172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72"/>
      <c r="BR176" s="172"/>
      <c r="BS176" s="172"/>
    </row>
    <row r="177" spans="1:71" ht="12.5" x14ac:dyDescent="0.25">
      <c r="A177" s="170"/>
      <c r="B177" s="170"/>
      <c r="C177" s="170"/>
      <c r="D177" s="170"/>
      <c r="E177" s="171"/>
      <c r="F177" s="171"/>
      <c r="G177" s="170"/>
      <c r="H177" s="10">
        <v>6435</v>
      </c>
      <c r="I177" s="145">
        <v>687612</v>
      </c>
      <c r="J177" s="10">
        <v>6435</v>
      </c>
      <c r="K177" s="171"/>
      <c r="L177" s="170"/>
      <c r="M177" s="170"/>
      <c r="N177" s="170"/>
      <c r="O177" s="171"/>
      <c r="P177" s="171"/>
      <c r="Q177" s="170"/>
      <c r="R177" s="170"/>
      <c r="S177" s="170"/>
      <c r="T177" s="171"/>
      <c r="U177" s="171"/>
      <c r="V177" s="171"/>
      <c r="W177" s="171"/>
      <c r="X177" s="171"/>
      <c r="Y177" s="171"/>
      <c r="Z177" s="171"/>
      <c r="AA177" s="171"/>
      <c r="AB177" s="171"/>
      <c r="AC177" s="170"/>
      <c r="AD177" s="170"/>
      <c r="AE177" s="170"/>
      <c r="AF177" s="170"/>
      <c r="AG177" s="170"/>
      <c r="AH177" s="170"/>
      <c r="AI177" s="170"/>
      <c r="AJ177" s="170"/>
      <c r="AK177" s="171"/>
      <c r="AL177" s="171"/>
      <c r="AM177" s="170"/>
      <c r="AN177" s="170"/>
      <c r="AO177" s="170"/>
      <c r="AP177" s="171"/>
      <c r="AQ177" s="171"/>
      <c r="AR177" s="170"/>
      <c r="AS177" s="170"/>
      <c r="AT177" s="170"/>
      <c r="AU177" s="171"/>
      <c r="AV177" s="171"/>
      <c r="AW177" s="171"/>
      <c r="AX177" s="171"/>
      <c r="AY177" s="171"/>
      <c r="AZ177" s="171"/>
      <c r="BA177" s="171"/>
      <c r="BB177" s="171"/>
      <c r="BC177" s="171"/>
      <c r="BD177" s="172"/>
      <c r="BE177" s="172"/>
      <c r="BF177" s="172"/>
      <c r="BG177" s="172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72"/>
      <c r="BR177" s="172"/>
      <c r="BS177" s="172"/>
    </row>
    <row r="178" spans="1:71" ht="14.5" x14ac:dyDescent="0.35">
      <c r="A178" s="170"/>
      <c r="B178" s="170"/>
      <c r="C178" s="170"/>
      <c r="D178" s="170"/>
      <c r="E178" s="171"/>
      <c r="F178" s="171"/>
      <c r="G178" s="170"/>
      <c r="H178" s="32">
        <v>6450</v>
      </c>
      <c r="I178" s="145">
        <v>697480</v>
      </c>
      <c r="J178" s="32">
        <v>6450</v>
      </c>
      <c r="K178" s="171"/>
      <c r="L178" s="170"/>
      <c r="M178" s="170"/>
      <c r="N178" s="170"/>
      <c r="O178" s="171"/>
      <c r="P178" s="171"/>
      <c r="Q178" s="170"/>
      <c r="R178" s="170"/>
      <c r="S178" s="170"/>
      <c r="T178" s="171"/>
      <c r="U178" s="171"/>
      <c r="V178" s="171"/>
      <c r="W178" s="171"/>
      <c r="X178" s="171"/>
      <c r="Y178" s="171"/>
      <c r="Z178" s="171"/>
      <c r="AA178" s="171"/>
      <c r="AB178" s="171"/>
      <c r="AC178" s="170"/>
      <c r="AD178" s="170"/>
      <c r="AE178" s="170"/>
      <c r="AF178" s="170"/>
      <c r="AG178" s="170"/>
      <c r="AH178" s="170"/>
      <c r="AI178" s="170"/>
      <c r="AJ178" s="170"/>
      <c r="AK178" s="171"/>
      <c r="AL178" s="171"/>
      <c r="AM178" s="170"/>
      <c r="AN178" s="170"/>
      <c r="AO178" s="170"/>
      <c r="AP178" s="171"/>
      <c r="AQ178" s="171"/>
      <c r="AR178" s="170"/>
      <c r="AS178" s="170"/>
      <c r="AT178" s="170"/>
      <c r="AU178" s="171"/>
      <c r="AV178" s="171"/>
      <c r="AW178" s="171"/>
      <c r="AX178" s="171"/>
      <c r="AY178" s="171"/>
      <c r="AZ178" s="171"/>
      <c r="BA178" s="171"/>
      <c r="BB178" s="171"/>
      <c r="BC178" s="171"/>
      <c r="BD178" s="172"/>
      <c r="BE178" s="172"/>
      <c r="BF178" s="172"/>
      <c r="BG178" s="172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72"/>
      <c r="BR178" s="172"/>
      <c r="BS178" s="172"/>
    </row>
    <row r="179" spans="1:71" ht="12.5" x14ac:dyDescent="0.25">
      <c r="A179" s="170"/>
      <c r="B179" s="170"/>
      <c r="C179" s="170"/>
      <c r="D179" s="170"/>
      <c r="E179" s="171"/>
      <c r="F179" s="171"/>
      <c r="G179" s="170"/>
      <c r="H179" s="10">
        <v>6459</v>
      </c>
      <c r="I179" s="145">
        <v>728994</v>
      </c>
      <c r="J179" s="10">
        <v>6459</v>
      </c>
      <c r="K179" s="171"/>
      <c r="L179" s="170"/>
      <c r="M179" s="170"/>
      <c r="N179" s="170"/>
      <c r="O179" s="171"/>
      <c r="P179" s="171"/>
      <c r="Q179" s="170"/>
      <c r="R179" s="170"/>
      <c r="S179" s="170"/>
      <c r="T179" s="171"/>
      <c r="U179" s="171"/>
      <c r="V179" s="171"/>
      <c r="W179" s="171"/>
      <c r="X179" s="171"/>
      <c r="Y179" s="171"/>
      <c r="Z179" s="171"/>
      <c r="AA179" s="171"/>
      <c r="AB179" s="171"/>
      <c r="AC179" s="170"/>
      <c r="AD179" s="170"/>
      <c r="AE179" s="170"/>
      <c r="AF179" s="170"/>
      <c r="AG179" s="170"/>
      <c r="AH179" s="170"/>
      <c r="AI179" s="170"/>
      <c r="AJ179" s="170"/>
      <c r="AK179" s="171"/>
      <c r="AL179" s="171"/>
      <c r="AM179" s="170"/>
      <c r="AN179" s="170"/>
      <c r="AO179" s="170"/>
      <c r="AP179" s="171"/>
      <c r="AQ179" s="171"/>
      <c r="AR179" s="170"/>
      <c r="AS179" s="170"/>
      <c r="AT179" s="170"/>
      <c r="AU179" s="171"/>
      <c r="AV179" s="171"/>
      <c r="AW179" s="171"/>
      <c r="AX179" s="171"/>
      <c r="AY179" s="171"/>
      <c r="AZ179" s="171"/>
      <c r="BA179" s="171"/>
      <c r="BB179" s="171"/>
      <c r="BC179" s="171"/>
      <c r="BD179" s="172"/>
      <c r="BE179" s="172"/>
      <c r="BF179" s="172"/>
      <c r="BG179" s="172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72"/>
      <c r="BR179" s="172"/>
      <c r="BS179" s="172"/>
    </row>
    <row r="180" spans="1:71" ht="14.5" x14ac:dyDescent="0.35">
      <c r="A180" s="170"/>
      <c r="B180" s="170"/>
      <c r="C180" s="170"/>
      <c r="D180" s="170"/>
      <c r="E180" s="171"/>
      <c r="F180" s="171"/>
      <c r="G180" s="170"/>
      <c r="H180" s="32">
        <v>6482</v>
      </c>
      <c r="I180" s="145">
        <v>749172</v>
      </c>
      <c r="J180" s="32">
        <v>6482</v>
      </c>
      <c r="K180" s="171"/>
      <c r="L180" s="170"/>
      <c r="M180" s="170"/>
      <c r="N180" s="170"/>
      <c r="O180" s="171"/>
      <c r="P180" s="171"/>
      <c r="Q180" s="170"/>
      <c r="R180" s="170"/>
      <c r="S180" s="170"/>
      <c r="T180" s="171"/>
      <c r="U180" s="171"/>
      <c r="V180" s="171"/>
      <c r="W180" s="171"/>
      <c r="X180" s="171"/>
      <c r="Y180" s="171"/>
      <c r="Z180" s="171"/>
      <c r="AA180" s="171"/>
      <c r="AB180" s="171"/>
      <c r="AC180" s="170"/>
      <c r="AD180" s="170"/>
      <c r="AE180" s="170"/>
      <c r="AF180" s="170"/>
      <c r="AG180" s="170"/>
      <c r="AH180" s="170"/>
      <c r="AI180" s="170"/>
      <c r="AJ180" s="170"/>
      <c r="AK180" s="171"/>
      <c r="AL180" s="171"/>
      <c r="AM180" s="170"/>
      <c r="AN180" s="170"/>
      <c r="AO180" s="170"/>
      <c r="AP180" s="171"/>
      <c r="AQ180" s="171"/>
      <c r="AR180" s="170"/>
      <c r="AS180" s="170"/>
      <c r="AT180" s="170"/>
      <c r="AU180" s="171"/>
      <c r="AV180" s="171"/>
      <c r="AW180" s="171"/>
      <c r="AX180" s="171"/>
      <c r="AY180" s="171"/>
      <c r="AZ180" s="171"/>
      <c r="BA180" s="171"/>
      <c r="BB180" s="171"/>
      <c r="BC180" s="171"/>
      <c r="BD180" s="172"/>
      <c r="BE180" s="172"/>
      <c r="BF180" s="172"/>
      <c r="BG180" s="172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72"/>
      <c r="BR180" s="172"/>
      <c r="BS180" s="172"/>
    </row>
    <row r="181" spans="1:71" ht="12.5" x14ac:dyDescent="0.25">
      <c r="A181" s="170"/>
      <c r="B181" s="170"/>
      <c r="C181" s="170"/>
      <c r="D181" s="170"/>
      <c r="E181" s="171"/>
      <c r="F181" s="171"/>
      <c r="G181" s="170"/>
      <c r="H181" s="10">
        <v>6489</v>
      </c>
      <c r="I181" s="145">
        <v>783181</v>
      </c>
      <c r="J181" s="10">
        <v>6489</v>
      </c>
      <c r="K181" s="171"/>
      <c r="L181" s="170"/>
      <c r="M181" s="170"/>
      <c r="N181" s="170"/>
      <c r="O181" s="171"/>
      <c r="P181" s="171"/>
      <c r="Q181" s="170"/>
      <c r="R181" s="170"/>
      <c r="S181" s="170"/>
      <c r="T181" s="171"/>
      <c r="U181" s="171"/>
      <c r="V181" s="171"/>
      <c r="W181" s="171"/>
      <c r="X181" s="171"/>
      <c r="Y181" s="171"/>
      <c r="Z181" s="171"/>
      <c r="AA181" s="171"/>
      <c r="AB181" s="171"/>
      <c r="AC181" s="170"/>
      <c r="AD181" s="170"/>
      <c r="AE181" s="170"/>
      <c r="AF181" s="170"/>
      <c r="AG181" s="170"/>
      <c r="AH181" s="170"/>
      <c r="AI181" s="170"/>
      <c r="AJ181" s="170"/>
      <c r="AK181" s="171"/>
      <c r="AL181" s="171"/>
      <c r="AM181" s="170"/>
      <c r="AN181" s="170"/>
      <c r="AO181" s="170"/>
      <c r="AP181" s="171"/>
      <c r="AQ181" s="171"/>
      <c r="AR181" s="170"/>
      <c r="AS181" s="170"/>
      <c r="AT181" s="170"/>
      <c r="AU181" s="171"/>
      <c r="AV181" s="171"/>
      <c r="AW181" s="171"/>
      <c r="AX181" s="171"/>
      <c r="AY181" s="171"/>
      <c r="AZ181" s="171"/>
      <c r="BA181" s="171"/>
      <c r="BB181" s="171"/>
      <c r="BC181" s="171"/>
      <c r="BD181" s="172"/>
      <c r="BE181" s="172"/>
      <c r="BF181" s="172"/>
      <c r="BG181" s="172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72"/>
      <c r="BR181" s="172"/>
      <c r="BS181" s="172"/>
    </row>
    <row r="182" spans="1:71" ht="12.5" x14ac:dyDescent="0.25">
      <c r="A182" s="170"/>
      <c r="B182" s="170"/>
      <c r="C182" s="170"/>
      <c r="D182" s="170"/>
      <c r="E182" s="171"/>
      <c r="F182" s="171"/>
      <c r="G182" s="170"/>
      <c r="H182" s="10">
        <v>6504</v>
      </c>
      <c r="I182" s="145">
        <v>813687</v>
      </c>
      <c r="J182" s="10">
        <v>6504</v>
      </c>
      <c r="K182" s="171"/>
      <c r="L182" s="170"/>
      <c r="M182" s="170"/>
      <c r="N182" s="170"/>
      <c r="O182" s="171"/>
      <c r="P182" s="171"/>
      <c r="Q182" s="170"/>
      <c r="R182" s="170"/>
      <c r="S182" s="170"/>
      <c r="T182" s="171"/>
      <c r="U182" s="171"/>
      <c r="V182" s="171"/>
      <c r="W182" s="171"/>
      <c r="X182" s="171"/>
      <c r="Y182" s="171"/>
      <c r="Z182" s="171"/>
      <c r="AA182" s="171"/>
      <c r="AB182" s="171"/>
      <c r="AC182" s="170"/>
      <c r="AD182" s="170"/>
      <c r="AE182" s="170"/>
      <c r="AF182" s="170"/>
      <c r="AG182" s="170"/>
      <c r="AH182" s="170"/>
      <c r="AI182" s="170"/>
      <c r="AJ182" s="170"/>
      <c r="AK182" s="171"/>
      <c r="AL182" s="171"/>
      <c r="AM182" s="170"/>
      <c r="AN182" s="170"/>
      <c r="AO182" s="170"/>
      <c r="AP182" s="171"/>
      <c r="AQ182" s="171"/>
      <c r="AR182" s="170"/>
      <c r="AS182" s="170"/>
      <c r="AT182" s="170"/>
      <c r="AU182" s="171"/>
      <c r="AV182" s="171"/>
      <c r="AW182" s="171"/>
      <c r="AX182" s="171"/>
      <c r="AY182" s="171"/>
      <c r="AZ182" s="171"/>
      <c r="BA182" s="171"/>
      <c r="BB182" s="171"/>
      <c r="BC182" s="171"/>
      <c r="BD182" s="172"/>
      <c r="BE182" s="172"/>
      <c r="BF182" s="172"/>
      <c r="BG182" s="172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72"/>
      <c r="BR182" s="172"/>
      <c r="BS182" s="172"/>
    </row>
    <row r="183" spans="1:71" ht="12.5" x14ac:dyDescent="0.25">
      <c r="A183" s="170"/>
      <c r="B183" s="170"/>
      <c r="C183" s="170"/>
      <c r="D183" s="170"/>
      <c r="E183" s="171"/>
      <c r="F183" s="171"/>
      <c r="G183" s="170"/>
      <c r="H183" s="10">
        <v>6513</v>
      </c>
      <c r="I183" s="145">
        <v>840544</v>
      </c>
      <c r="J183" s="10">
        <v>6513</v>
      </c>
      <c r="K183" s="171"/>
      <c r="L183" s="170"/>
      <c r="M183" s="170"/>
      <c r="N183" s="170"/>
      <c r="O183" s="171"/>
      <c r="P183" s="171"/>
      <c r="Q183" s="170"/>
      <c r="R183" s="170"/>
      <c r="S183" s="170"/>
      <c r="T183" s="171"/>
      <c r="U183" s="171"/>
      <c r="V183" s="171"/>
      <c r="W183" s="171"/>
      <c r="X183" s="171"/>
      <c r="Y183" s="171"/>
      <c r="Z183" s="171"/>
      <c r="AA183" s="171"/>
      <c r="AB183" s="171"/>
      <c r="AC183" s="170"/>
      <c r="AD183" s="170"/>
      <c r="AE183" s="170"/>
      <c r="AF183" s="170"/>
      <c r="AG183" s="170"/>
      <c r="AH183" s="170"/>
      <c r="AI183" s="170"/>
      <c r="AJ183" s="170"/>
      <c r="AK183" s="171"/>
      <c r="AL183" s="171"/>
      <c r="AM183" s="170"/>
      <c r="AN183" s="170"/>
      <c r="AO183" s="170"/>
      <c r="AP183" s="171"/>
      <c r="AQ183" s="171"/>
      <c r="AR183" s="170"/>
      <c r="AS183" s="170"/>
      <c r="AT183" s="170"/>
      <c r="AU183" s="171"/>
      <c r="AV183" s="171"/>
      <c r="AW183" s="171"/>
      <c r="AX183" s="171"/>
      <c r="AY183" s="171"/>
      <c r="AZ183" s="171"/>
      <c r="BA183" s="171"/>
      <c r="BB183" s="171"/>
      <c r="BC183" s="171"/>
      <c r="BD183" s="172"/>
      <c r="BE183" s="172"/>
      <c r="BF183" s="172"/>
      <c r="BG183" s="172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72"/>
      <c r="BR183" s="172"/>
      <c r="BS183" s="172"/>
    </row>
    <row r="184" spans="1:71" ht="12.5" x14ac:dyDescent="0.25">
      <c r="A184" s="170"/>
      <c r="B184" s="170"/>
      <c r="C184" s="170"/>
      <c r="D184" s="170"/>
      <c r="E184" s="171"/>
      <c r="F184" s="171"/>
      <c r="G184" s="170"/>
      <c r="H184" s="10">
        <v>6520</v>
      </c>
      <c r="I184" s="145">
        <v>849048</v>
      </c>
      <c r="J184" s="10">
        <v>6520</v>
      </c>
      <c r="K184" s="171"/>
      <c r="L184" s="170"/>
      <c r="M184" s="170"/>
      <c r="N184" s="170"/>
      <c r="O184" s="171"/>
      <c r="P184" s="171"/>
      <c r="Q184" s="170"/>
      <c r="R184" s="170"/>
      <c r="S184" s="170"/>
      <c r="T184" s="171"/>
      <c r="U184" s="171"/>
      <c r="V184" s="171"/>
      <c r="W184" s="171"/>
      <c r="X184" s="171"/>
      <c r="Y184" s="171"/>
      <c r="Z184" s="171"/>
      <c r="AA184" s="171"/>
      <c r="AB184" s="171"/>
      <c r="AC184" s="170"/>
      <c r="AD184" s="170"/>
      <c r="AE184" s="170"/>
      <c r="AF184" s="170"/>
      <c r="AG184" s="170"/>
      <c r="AH184" s="170"/>
      <c r="AI184" s="170"/>
      <c r="AJ184" s="170"/>
      <c r="AK184" s="171"/>
      <c r="AL184" s="171"/>
      <c r="AM184" s="170"/>
      <c r="AN184" s="170"/>
      <c r="AO184" s="170"/>
      <c r="AP184" s="171"/>
      <c r="AQ184" s="171"/>
      <c r="AR184" s="170"/>
      <c r="AS184" s="170"/>
      <c r="AT184" s="170"/>
      <c r="AU184" s="171"/>
      <c r="AV184" s="171"/>
      <c r="AW184" s="171"/>
      <c r="AX184" s="171"/>
      <c r="AY184" s="171"/>
      <c r="AZ184" s="171"/>
      <c r="BA184" s="171"/>
      <c r="BB184" s="171"/>
      <c r="BC184" s="171"/>
      <c r="BD184" s="172"/>
      <c r="BE184" s="172"/>
      <c r="BF184" s="172"/>
      <c r="BG184" s="172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72"/>
      <c r="BR184" s="172"/>
      <c r="BS184" s="172"/>
    </row>
    <row r="185" spans="1:71" ht="14.5" x14ac:dyDescent="0.35">
      <c r="A185" s="170"/>
      <c r="B185" s="170"/>
      <c r="C185" s="170"/>
      <c r="D185" s="170"/>
      <c r="E185" s="171"/>
      <c r="F185" s="171"/>
      <c r="G185" s="170"/>
      <c r="H185" s="32">
        <v>6536</v>
      </c>
      <c r="I185" s="145">
        <v>857137</v>
      </c>
      <c r="J185" s="32">
        <v>6536</v>
      </c>
      <c r="K185" s="171"/>
      <c r="L185" s="170"/>
      <c r="M185" s="170"/>
      <c r="N185" s="170"/>
      <c r="O185" s="171"/>
      <c r="P185" s="171"/>
      <c r="Q185" s="170"/>
      <c r="R185" s="170"/>
      <c r="S185" s="170"/>
      <c r="T185" s="171"/>
      <c r="U185" s="171"/>
      <c r="V185" s="171"/>
      <c r="W185" s="171"/>
      <c r="X185" s="171"/>
      <c r="Y185" s="171"/>
      <c r="Z185" s="171"/>
      <c r="AA185" s="171"/>
      <c r="AB185" s="171"/>
      <c r="AC185" s="170"/>
      <c r="AD185" s="170"/>
      <c r="AE185" s="170"/>
      <c r="AF185" s="170"/>
      <c r="AG185" s="170"/>
      <c r="AH185" s="170"/>
      <c r="AI185" s="170"/>
      <c r="AJ185" s="170"/>
      <c r="AK185" s="171"/>
      <c r="AL185" s="171"/>
      <c r="AM185" s="170"/>
      <c r="AN185" s="170"/>
      <c r="AO185" s="170"/>
      <c r="AP185" s="171"/>
      <c r="AQ185" s="171"/>
      <c r="AR185" s="170"/>
      <c r="AS185" s="170"/>
      <c r="AT185" s="170"/>
      <c r="AU185" s="171"/>
      <c r="AV185" s="171"/>
      <c r="AW185" s="171"/>
      <c r="AX185" s="171"/>
      <c r="AY185" s="171"/>
      <c r="AZ185" s="171"/>
      <c r="BA185" s="171"/>
      <c r="BB185" s="171"/>
      <c r="BC185" s="171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72"/>
      <c r="BR185" s="172"/>
      <c r="BS185" s="172"/>
    </row>
    <row r="186" spans="1:71" ht="12.5" x14ac:dyDescent="0.25">
      <c r="A186" s="170"/>
      <c r="B186" s="170"/>
      <c r="C186" s="170"/>
      <c r="D186" s="170"/>
      <c r="E186" s="171"/>
      <c r="F186" s="171"/>
      <c r="G186" s="170"/>
      <c r="H186" s="10">
        <v>6558</v>
      </c>
      <c r="I186" s="145">
        <v>894069</v>
      </c>
      <c r="J186" s="10">
        <v>6558</v>
      </c>
      <c r="K186" s="171"/>
      <c r="L186" s="170"/>
      <c r="M186" s="170"/>
      <c r="N186" s="170"/>
      <c r="O186" s="171"/>
      <c r="P186" s="171"/>
      <c r="Q186" s="170"/>
      <c r="R186" s="170"/>
      <c r="S186" s="170"/>
      <c r="T186" s="171"/>
      <c r="U186" s="171"/>
      <c r="V186" s="171"/>
      <c r="W186" s="171"/>
      <c r="X186" s="171"/>
      <c r="Y186" s="171"/>
      <c r="Z186" s="171"/>
      <c r="AA186" s="171"/>
      <c r="AB186" s="171"/>
      <c r="AC186" s="170"/>
      <c r="AD186" s="170"/>
      <c r="AE186" s="170"/>
      <c r="AF186" s="170"/>
      <c r="AG186" s="170"/>
      <c r="AH186" s="170"/>
      <c r="AI186" s="170"/>
      <c r="AJ186" s="170"/>
      <c r="AK186" s="171"/>
      <c r="AL186" s="171"/>
      <c r="AM186" s="170"/>
      <c r="AN186" s="170"/>
      <c r="AO186" s="170"/>
      <c r="AP186" s="171"/>
      <c r="AQ186" s="171"/>
      <c r="AR186" s="170"/>
      <c r="AS186" s="170"/>
      <c r="AT186" s="170"/>
      <c r="AU186" s="171"/>
      <c r="AV186" s="171"/>
      <c r="AW186" s="171"/>
      <c r="AX186" s="171"/>
      <c r="AY186" s="171"/>
      <c r="AZ186" s="171"/>
      <c r="BA186" s="171"/>
      <c r="BB186" s="171"/>
      <c r="BC186" s="171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72"/>
      <c r="BR186" s="172"/>
      <c r="BS186" s="172"/>
    </row>
    <row r="187" spans="1:71" ht="12.5" x14ac:dyDescent="0.25">
      <c r="A187" s="170"/>
      <c r="B187" s="170"/>
      <c r="C187" s="170"/>
      <c r="D187" s="170"/>
      <c r="E187" s="171"/>
      <c r="F187" s="171"/>
      <c r="G187" s="170"/>
      <c r="H187" s="10">
        <v>6569</v>
      </c>
      <c r="I187" s="145">
        <v>911103</v>
      </c>
      <c r="J187" s="10">
        <v>6569</v>
      </c>
      <c r="K187" s="171"/>
      <c r="L187" s="170"/>
      <c r="M187" s="170"/>
      <c r="N187" s="170"/>
      <c r="O187" s="171"/>
      <c r="P187" s="171"/>
      <c r="Q187" s="170"/>
      <c r="R187" s="170"/>
      <c r="S187" s="170"/>
      <c r="T187" s="171"/>
      <c r="U187" s="171"/>
      <c r="V187" s="171"/>
      <c r="W187" s="171"/>
      <c r="X187" s="171"/>
      <c r="Y187" s="171"/>
      <c r="Z187" s="171"/>
      <c r="AA187" s="171"/>
      <c r="AB187" s="171"/>
      <c r="AC187" s="170"/>
      <c r="AD187" s="170"/>
      <c r="AE187" s="170"/>
      <c r="AF187" s="170"/>
      <c r="AG187" s="170"/>
      <c r="AH187" s="170"/>
      <c r="AI187" s="170"/>
      <c r="AJ187" s="170"/>
      <c r="AK187" s="171"/>
      <c r="AL187" s="171"/>
      <c r="AM187" s="170"/>
      <c r="AN187" s="170"/>
      <c r="AO187" s="170"/>
      <c r="AP187" s="171"/>
      <c r="AQ187" s="171"/>
      <c r="AR187" s="170"/>
      <c r="AS187" s="170"/>
      <c r="AT187" s="170"/>
      <c r="AU187" s="171"/>
      <c r="AV187" s="171"/>
      <c r="AW187" s="171"/>
      <c r="AX187" s="171"/>
      <c r="AY187" s="171"/>
      <c r="AZ187" s="171"/>
      <c r="BA187" s="171"/>
      <c r="BB187" s="171"/>
      <c r="BC187" s="171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72"/>
      <c r="BR187" s="172"/>
      <c r="BS187" s="172"/>
    </row>
    <row r="188" spans="1:71" ht="12.5" x14ac:dyDescent="0.25">
      <c r="A188" s="170"/>
      <c r="B188" s="170"/>
      <c r="C188" s="170"/>
      <c r="D188" s="170"/>
      <c r="E188" s="171"/>
      <c r="F188" s="171"/>
      <c r="G188" s="170"/>
      <c r="H188" s="10">
        <v>6587</v>
      </c>
      <c r="I188" s="145">
        <v>943905</v>
      </c>
      <c r="J188" s="10">
        <v>6587</v>
      </c>
      <c r="K188" s="171"/>
      <c r="L188" s="170"/>
      <c r="M188" s="170"/>
      <c r="N188" s="170"/>
      <c r="O188" s="171"/>
      <c r="P188" s="171"/>
      <c r="Q188" s="170"/>
      <c r="R188" s="170"/>
      <c r="S188" s="170"/>
      <c r="T188" s="171"/>
      <c r="U188" s="171"/>
      <c r="V188" s="171"/>
      <c r="W188" s="171"/>
      <c r="X188" s="171"/>
      <c r="Y188" s="171"/>
      <c r="Z188" s="171"/>
      <c r="AA188" s="171"/>
      <c r="AB188" s="171"/>
      <c r="AC188" s="170"/>
      <c r="AD188" s="170"/>
      <c r="AE188" s="170"/>
      <c r="AF188" s="170"/>
      <c r="AG188" s="170"/>
      <c r="AH188" s="170"/>
      <c r="AI188" s="170"/>
      <c r="AJ188" s="170"/>
      <c r="AK188" s="171"/>
      <c r="AL188" s="171"/>
      <c r="AM188" s="170"/>
      <c r="AN188" s="170"/>
      <c r="AO188" s="170"/>
      <c r="AP188" s="171"/>
      <c r="AQ188" s="171"/>
      <c r="AR188" s="170"/>
      <c r="AS188" s="170"/>
      <c r="AT188" s="170"/>
      <c r="AU188" s="171"/>
      <c r="AV188" s="171"/>
      <c r="AW188" s="171"/>
      <c r="AX188" s="171"/>
      <c r="AY188" s="171"/>
      <c r="AZ188" s="171"/>
      <c r="BA188" s="171"/>
      <c r="BB188" s="171"/>
      <c r="BC188" s="171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</row>
    <row r="189" spans="1:71" ht="12.5" x14ac:dyDescent="0.25">
      <c r="A189" s="170"/>
      <c r="B189" s="170"/>
      <c r="C189" s="170"/>
      <c r="D189" s="170"/>
      <c r="E189" s="171"/>
      <c r="F189" s="171"/>
      <c r="G189" s="170"/>
      <c r="H189" s="10">
        <v>6596</v>
      </c>
      <c r="I189" s="145">
        <v>995717</v>
      </c>
      <c r="J189" s="10">
        <v>6596</v>
      </c>
      <c r="K189" s="171"/>
      <c r="L189" s="170"/>
      <c r="M189" s="170"/>
      <c r="N189" s="170"/>
      <c r="O189" s="171"/>
      <c r="P189" s="171"/>
      <c r="Q189" s="170"/>
      <c r="R189" s="170"/>
      <c r="S189" s="170"/>
      <c r="T189" s="171"/>
      <c r="U189" s="171"/>
      <c r="V189" s="171"/>
      <c r="W189" s="171"/>
      <c r="X189" s="171"/>
      <c r="Y189" s="171"/>
      <c r="Z189" s="171"/>
      <c r="AA189" s="171"/>
      <c r="AB189" s="171"/>
      <c r="AC189" s="170"/>
      <c r="AD189" s="170"/>
      <c r="AE189" s="170"/>
      <c r="AF189" s="170"/>
      <c r="AG189" s="170"/>
      <c r="AH189" s="170"/>
      <c r="AI189" s="170"/>
      <c r="AJ189" s="170"/>
      <c r="AK189" s="171"/>
      <c r="AL189" s="171"/>
      <c r="AM189" s="170"/>
      <c r="AN189" s="170"/>
      <c r="AO189" s="170"/>
      <c r="AP189" s="171"/>
      <c r="AQ189" s="171"/>
      <c r="AR189" s="170"/>
      <c r="AS189" s="170"/>
      <c r="AT189" s="170"/>
      <c r="AU189" s="171"/>
      <c r="AV189" s="171"/>
      <c r="AW189" s="171"/>
      <c r="AX189" s="171"/>
      <c r="AY189" s="171"/>
      <c r="AZ189" s="171"/>
      <c r="BA189" s="171"/>
      <c r="BB189" s="171"/>
      <c r="BC189" s="171"/>
      <c r="BD189" s="172"/>
      <c r="BE189" s="172"/>
      <c r="BF189" s="172"/>
      <c r="BG189" s="172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72"/>
      <c r="BR189" s="172"/>
      <c r="BS189" s="172"/>
    </row>
    <row r="190" spans="1:71" ht="12.5" x14ac:dyDescent="0.25">
      <c r="A190" s="170"/>
      <c r="B190" s="170"/>
      <c r="C190" s="170"/>
      <c r="D190" s="170"/>
      <c r="E190" s="171"/>
      <c r="F190" s="171"/>
      <c r="G190" s="170"/>
      <c r="H190" s="10">
        <v>6612</v>
      </c>
      <c r="I190" s="145">
        <v>1028239</v>
      </c>
      <c r="J190" s="10">
        <v>6612</v>
      </c>
      <c r="K190" s="171"/>
      <c r="L190" s="170"/>
      <c r="M190" s="170"/>
      <c r="N190" s="170"/>
      <c r="O190" s="171"/>
      <c r="P190" s="171"/>
      <c r="Q190" s="170"/>
      <c r="R190" s="170"/>
      <c r="S190" s="170"/>
      <c r="T190" s="171"/>
      <c r="U190" s="171"/>
      <c r="V190" s="171"/>
      <c r="W190" s="171"/>
      <c r="X190" s="171"/>
      <c r="Y190" s="171"/>
      <c r="Z190" s="171"/>
      <c r="AA190" s="171"/>
      <c r="AB190" s="171"/>
      <c r="AC190" s="170"/>
      <c r="AD190" s="170"/>
      <c r="AE190" s="170"/>
      <c r="AF190" s="170"/>
      <c r="AG190" s="170"/>
      <c r="AH190" s="170"/>
      <c r="AI190" s="170"/>
      <c r="AJ190" s="170"/>
      <c r="AK190" s="171"/>
      <c r="AL190" s="171"/>
      <c r="AM190" s="170"/>
      <c r="AN190" s="170"/>
      <c r="AO190" s="170"/>
      <c r="AP190" s="171"/>
      <c r="AQ190" s="171"/>
      <c r="AR190" s="170"/>
      <c r="AS190" s="170"/>
      <c r="AT190" s="170"/>
      <c r="AU190" s="171"/>
      <c r="AV190" s="171"/>
      <c r="AW190" s="171"/>
      <c r="AX190" s="171"/>
      <c r="AY190" s="171"/>
      <c r="AZ190" s="171"/>
      <c r="BA190" s="171"/>
      <c r="BB190" s="171"/>
      <c r="BC190" s="171"/>
      <c r="BD190" s="172"/>
      <c r="BE190" s="172"/>
      <c r="BF190" s="172"/>
      <c r="BG190" s="172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72"/>
      <c r="BR190" s="172"/>
      <c r="BS190" s="172"/>
    </row>
    <row r="191" spans="1:71" ht="12.5" x14ac:dyDescent="0.25">
      <c r="A191" s="170"/>
      <c r="B191" s="170"/>
      <c r="C191" s="170"/>
      <c r="D191" s="170"/>
      <c r="E191" s="171"/>
      <c r="F191" s="171"/>
      <c r="G191" s="170"/>
      <c r="H191" s="10">
        <v>6623</v>
      </c>
      <c r="I191" s="145">
        <v>1046274</v>
      </c>
      <c r="J191" s="10">
        <v>6623</v>
      </c>
      <c r="K191" s="171"/>
      <c r="L191" s="170"/>
      <c r="M191" s="170"/>
      <c r="N191" s="170"/>
      <c r="O191" s="171"/>
      <c r="P191" s="171"/>
      <c r="Q191" s="170"/>
      <c r="R191" s="170"/>
      <c r="S191" s="170"/>
      <c r="T191" s="171"/>
      <c r="U191" s="171"/>
      <c r="V191" s="171"/>
      <c r="W191" s="171"/>
      <c r="X191" s="171"/>
      <c r="Y191" s="171"/>
      <c r="Z191" s="171"/>
      <c r="AA191" s="171"/>
      <c r="AB191" s="171"/>
      <c r="AC191" s="170"/>
      <c r="AD191" s="170"/>
      <c r="AE191" s="170"/>
      <c r="AF191" s="170"/>
      <c r="AG191" s="170"/>
      <c r="AH191" s="170"/>
      <c r="AI191" s="170"/>
      <c r="AJ191" s="170"/>
      <c r="AK191" s="171"/>
      <c r="AL191" s="171"/>
      <c r="AM191" s="170"/>
      <c r="AN191" s="170"/>
      <c r="AO191" s="170"/>
      <c r="AP191" s="171"/>
      <c r="AQ191" s="171"/>
      <c r="AR191" s="170"/>
      <c r="AS191" s="170"/>
      <c r="AT191" s="170"/>
      <c r="AU191" s="171"/>
      <c r="AV191" s="171"/>
      <c r="AW191" s="171"/>
      <c r="AX191" s="171"/>
      <c r="AY191" s="171"/>
      <c r="AZ191" s="171"/>
      <c r="BA191" s="171"/>
      <c r="BB191" s="171"/>
      <c r="BC191" s="171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72"/>
      <c r="BR191" s="172"/>
      <c r="BS191" s="172"/>
    </row>
    <row r="192" spans="1:71" ht="14.5" x14ac:dyDescent="0.35">
      <c r="A192" s="170"/>
      <c r="B192" s="170"/>
      <c r="C192" s="170"/>
      <c r="D192" s="170"/>
      <c r="E192" s="171"/>
      <c r="F192" s="171"/>
      <c r="G192" s="170"/>
      <c r="H192" s="32">
        <v>6645</v>
      </c>
      <c r="I192" s="145">
        <v>1059589</v>
      </c>
      <c r="J192" s="32">
        <v>6645</v>
      </c>
      <c r="K192" s="171"/>
      <c r="L192" s="170"/>
      <c r="M192" s="170"/>
      <c r="N192" s="170"/>
      <c r="O192" s="171"/>
      <c r="P192" s="171"/>
      <c r="Q192" s="170"/>
      <c r="R192" s="170"/>
      <c r="S192" s="170"/>
      <c r="T192" s="171"/>
      <c r="U192" s="171"/>
      <c r="V192" s="171"/>
      <c r="W192" s="171"/>
      <c r="X192" s="171"/>
      <c r="Y192" s="171"/>
      <c r="Z192" s="171"/>
      <c r="AA192" s="171"/>
      <c r="AB192" s="171"/>
      <c r="AC192" s="170"/>
      <c r="AD192" s="170"/>
      <c r="AE192" s="170"/>
      <c r="AF192" s="170"/>
      <c r="AG192" s="170"/>
      <c r="AH192" s="170"/>
      <c r="AI192" s="170"/>
      <c r="AJ192" s="170"/>
      <c r="AK192" s="171"/>
      <c r="AL192" s="171"/>
      <c r="AM192" s="170"/>
      <c r="AN192" s="170"/>
      <c r="AO192" s="170"/>
      <c r="AP192" s="171"/>
      <c r="AQ192" s="171"/>
      <c r="AR192" s="170"/>
      <c r="AS192" s="170"/>
      <c r="AT192" s="170"/>
      <c r="AU192" s="171"/>
      <c r="AV192" s="171"/>
      <c r="AW192" s="171"/>
      <c r="AX192" s="171"/>
      <c r="AY192" s="171"/>
      <c r="AZ192" s="171"/>
      <c r="BA192" s="171"/>
      <c r="BB192" s="171"/>
      <c r="BC192" s="171"/>
      <c r="BD192" s="172"/>
      <c r="BE192" s="172"/>
      <c r="BF192" s="172"/>
      <c r="BG192" s="172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72"/>
      <c r="BR192" s="172"/>
      <c r="BS192" s="172"/>
    </row>
    <row r="193" spans="1:71" ht="12.5" x14ac:dyDescent="0.25">
      <c r="A193" s="170"/>
      <c r="B193" s="170"/>
      <c r="C193" s="170"/>
      <c r="D193" s="170"/>
      <c r="E193" s="171"/>
      <c r="F193" s="171"/>
      <c r="G193" s="170"/>
      <c r="H193" s="10">
        <v>6660</v>
      </c>
      <c r="I193" s="145">
        <v>1104607</v>
      </c>
      <c r="J193" s="10">
        <v>6660</v>
      </c>
      <c r="K193" s="171"/>
      <c r="L193" s="170"/>
      <c r="M193" s="170"/>
      <c r="N193" s="170"/>
      <c r="O193" s="171"/>
      <c r="P193" s="171"/>
      <c r="Q193" s="170"/>
      <c r="R193" s="170"/>
      <c r="S193" s="170"/>
      <c r="T193" s="171"/>
      <c r="U193" s="171"/>
      <c r="V193" s="171"/>
      <c r="W193" s="171"/>
      <c r="X193" s="171"/>
      <c r="Y193" s="171"/>
      <c r="Z193" s="171"/>
      <c r="AA193" s="171"/>
      <c r="AB193" s="171"/>
      <c r="AC193" s="170"/>
      <c r="AD193" s="170"/>
      <c r="AE193" s="170"/>
      <c r="AF193" s="170"/>
      <c r="AG193" s="170"/>
      <c r="AH193" s="170"/>
      <c r="AI193" s="170"/>
      <c r="AJ193" s="170"/>
      <c r="AK193" s="171"/>
      <c r="AL193" s="171"/>
      <c r="AM193" s="170"/>
      <c r="AN193" s="170"/>
      <c r="AO193" s="170"/>
      <c r="AP193" s="171"/>
      <c r="AQ193" s="171"/>
      <c r="AR193" s="170"/>
      <c r="AS193" s="170"/>
      <c r="AT193" s="170"/>
      <c r="AU193" s="171"/>
      <c r="AV193" s="171"/>
      <c r="AW193" s="171"/>
      <c r="AX193" s="171"/>
      <c r="AY193" s="171"/>
      <c r="AZ193" s="171"/>
      <c r="BA193" s="171"/>
      <c r="BB193" s="171"/>
      <c r="BC193" s="171"/>
      <c r="BD193" s="172"/>
      <c r="BE193" s="172"/>
      <c r="BF193" s="172"/>
      <c r="BG193" s="172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72"/>
      <c r="BR193" s="172"/>
      <c r="BS193" s="172"/>
    </row>
    <row r="194" spans="1:71" ht="12.5" x14ac:dyDescent="0.25">
      <c r="A194" s="170"/>
      <c r="B194" s="170"/>
      <c r="C194" s="170"/>
      <c r="D194" s="170"/>
      <c r="E194" s="171"/>
      <c r="F194" s="171"/>
      <c r="G194" s="170"/>
      <c r="H194" s="10">
        <v>6679</v>
      </c>
      <c r="I194" s="145">
        <v>1242486</v>
      </c>
      <c r="J194" s="10">
        <v>6679</v>
      </c>
      <c r="K194" s="171"/>
      <c r="L194" s="170"/>
      <c r="M194" s="170"/>
      <c r="N194" s="170"/>
      <c r="O194" s="171"/>
      <c r="P194" s="171"/>
      <c r="Q194" s="170"/>
      <c r="R194" s="170"/>
      <c r="S194" s="170"/>
      <c r="T194" s="171"/>
      <c r="U194" s="171"/>
      <c r="V194" s="171"/>
      <c r="W194" s="171"/>
      <c r="X194" s="171"/>
      <c r="Y194" s="171"/>
      <c r="Z194" s="171"/>
      <c r="AA194" s="171"/>
      <c r="AB194" s="171"/>
      <c r="AC194" s="170"/>
      <c r="AD194" s="170"/>
      <c r="AE194" s="170"/>
      <c r="AF194" s="170"/>
      <c r="AG194" s="170"/>
      <c r="AH194" s="170"/>
      <c r="AI194" s="170"/>
      <c r="AJ194" s="170"/>
      <c r="AK194" s="171"/>
      <c r="AL194" s="171"/>
      <c r="AM194" s="170"/>
      <c r="AN194" s="170"/>
      <c r="AO194" s="170"/>
      <c r="AP194" s="171"/>
      <c r="AQ194" s="171"/>
      <c r="AR194" s="170"/>
      <c r="AS194" s="170"/>
      <c r="AT194" s="170"/>
      <c r="AU194" s="171"/>
      <c r="AV194" s="171"/>
      <c r="AW194" s="171"/>
      <c r="AX194" s="171"/>
      <c r="AY194" s="171"/>
      <c r="AZ194" s="171"/>
      <c r="BA194" s="171"/>
      <c r="BB194" s="171"/>
      <c r="BC194" s="171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</row>
    <row r="195" spans="1:71" ht="12.5" x14ac:dyDescent="0.25">
      <c r="A195" s="170"/>
      <c r="B195" s="170"/>
      <c r="C195" s="170"/>
      <c r="D195" s="170"/>
      <c r="E195" s="171"/>
      <c r="F195" s="171"/>
      <c r="G195" s="170"/>
      <c r="H195" s="10">
        <v>6690</v>
      </c>
      <c r="I195" s="145">
        <v>1182862</v>
      </c>
      <c r="J195" s="10">
        <v>6690</v>
      </c>
      <c r="K195" s="171"/>
      <c r="L195" s="170"/>
      <c r="M195" s="170"/>
      <c r="N195" s="170"/>
      <c r="O195" s="171"/>
      <c r="P195" s="171"/>
      <c r="Q195" s="170"/>
      <c r="R195" s="170"/>
      <c r="S195" s="170"/>
      <c r="T195" s="171"/>
      <c r="U195" s="171"/>
      <c r="V195" s="171"/>
      <c r="W195" s="171"/>
      <c r="X195" s="171"/>
      <c r="Y195" s="171"/>
      <c r="Z195" s="171"/>
      <c r="AA195" s="171"/>
      <c r="AB195" s="171"/>
      <c r="AC195" s="170"/>
      <c r="AD195" s="170"/>
      <c r="AE195" s="170"/>
      <c r="AF195" s="170"/>
      <c r="AG195" s="170"/>
      <c r="AH195" s="170"/>
      <c r="AI195" s="170"/>
      <c r="AJ195" s="170"/>
      <c r="AK195" s="171"/>
      <c r="AL195" s="171"/>
      <c r="AM195" s="170"/>
      <c r="AN195" s="170"/>
      <c r="AO195" s="170"/>
      <c r="AP195" s="171"/>
      <c r="AQ195" s="171"/>
      <c r="AR195" s="170"/>
      <c r="AS195" s="170"/>
      <c r="AT195" s="170"/>
      <c r="AU195" s="171"/>
      <c r="AV195" s="171"/>
      <c r="AW195" s="171"/>
      <c r="AX195" s="171"/>
      <c r="AY195" s="171"/>
      <c r="AZ195" s="171"/>
      <c r="BA195" s="171"/>
      <c r="BB195" s="171"/>
      <c r="BC195" s="171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</row>
    <row r="196" spans="1:71" ht="12.5" x14ac:dyDescent="0.25">
      <c r="A196" s="170"/>
      <c r="B196" s="170"/>
      <c r="C196" s="170"/>
      <c r="D196" s="170"/>
      <c r="E196" s="171"/>
      <c r="F196" s="171"/>
      <c r="G196" s="170"/>
      <c r="H196" s="10">
        <v>6710</v>
      </c>
      <c r="I196" s="145">
        <v>1214492</v>
      </c>
      <c r="J196" s="10">
        <v>6710</v>
      </c>
      <c r="K196" s="171"/>
      <c r="L196" s="170"/>
      <c r="M196" s="170"/>
      <c r="N196" s="170"/>
      <c r="O196" s="171"/>
      <c r="P196" s="171"/>
      <c r="Q196" s="170"/>
      <c r="R196" s="170"/>
      <c r="S196" s="170"/>
      <c r="T196" s="171"/>
      <c r="U196" s="171"/>
      <c r="V196" s="171"/>
      <c r="W196" s="171"/>
      <c r="X196" s="171"/>
      <c r="Y196" s="171"/>
      <c r="Z196" s="171"/>
      <c r="AA196" s="171"/>
      <c r="AB196" s="171"/>
      <c r="AC196" s="170"/>
      <c r="AD196" s="170"/>
      <c r="AE196" s="170"/>
      <c r="AF196" s="170"/>
      <c r="AG196" s="170"/>
      <c r="AH196" s="170"/>
      <c r="AI196" s="170"/>
      <c r="AJ196" s="170"/>
      <c r="AK196" s="171"/>
      <c r="AL196" s="171"/>
      <c r="AM196" s="170"/>
      <c r="AN196" s="170"/>
      <c r="AO196" s="170"/>
      <c r="AP196" s="171"/>
      <c r="AQ196" s="171"/>
      <c r="AR196" s="170"/>
      <c r="AS196" s="170"/>
      <c r="AT196" s="170"/>
      <c r="AU196" s="171"/>
      <c r="AV196" s="171"/>
      <c r="AW196" s="171"/>
      <c r="AX196" s="171"/>
      <c r="AY196" s="171"/>
      <c r="AZ196" s="171"/>
      <c r="BA196" s="171"/>
      <c r="BB196" s="171"/>
      <c r="BC196" s="171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72"/>
      <c r="BR196" s="172"/>
      <c r="BS196" s="172"/>
    </row>
    <row r="197" spans="1:71" ht="12.5" x14ac:dyDescent="0.25">
      <c r="A197" s="170"/>
      <c r="B197" s="170"/>
      <c r="C197" s="170"/>
      <c r="D197" s="170"/>
      <c r="E197" s="171"/>
      <c r="F197" s="171"/>
      <c r="G197" s="170"/>
      <c r="H197" s="10">
        <v>6733</v>
      </c>
      <c r="I197" s="145">
        <v>1231269</v>
      </c>
      <c r="J197" s="10">
        <v>6733</v>
      </c>
      <c r="K197" s="171"/>
      <c r="L197" s="170"/>
      <c r="M197" s="170"/>
      <c r="N197" s="170"/>
      <c r="O197" s="171"/>
      <c r="P197" s="171"/>
      <c r="Q197" s="170"/>
      <c r="R197" s="170"/>
      <c r="S197" s="170"/>
      <c r="T197" s="171"/>
      <c r="U197" s="171"/>
      <c r="V197" s="171"/>
      <c r="W197" s="171"/>
      <c r="X197" s="171"/>
      <c r="Y197" s="171"/>
      <c r="Z197" s="171"/>
      <c r="AA197" s="171"/>
      <c r="AB197" s="171"/>
      <c r="AC197" s="170"/>
      <c r="AD197" s="170"/>
      <c r="AE197" s="170"/>
      <c r="AF197" s="170"/>
      <c r="AG197" s="170"/>
      <c r="AH197" s="170"/>
      <c r="AI197" s="170"/>
      <c r="AJ197" s="170"/>
      <c r="AK197" s="171"/>
      <c r="AL197" s="171"/>
      <c r="AM197" s="170"/>
      <c r="AN197" s="170"/>
      <c r="AO197" s="170"/>
      <c r="AP197" s="171"/>
      <c r="AQ197" s="171"/>
      <c r="AR197" s="170"/>
      <c r="AS197" s="170"/>
      <c r="AT197" s="170"/>
      <c r="AU197" s="171"/>
      <c r="AV197" s="171"/>
      <c r="AW197" s="171"/>
      <c r="AX197" s="171"/>
      <c r="AY197" s="171"/>
      <c r="AZ197" s="171"/>
      <c r="BA197" s="171"/>
      <c r="BB197" s="171"/>
      <c r="BC197" s="171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72"/>
      <c r="BR197" s="172"/>
      <c r="BS197" s="172"/>
    </row>
    <row r="198" spans="1:71" ht="12.5" x14ac:dyDescent="0.25">
      <c r="A198" s="170"/>
      <c r="B198" s="170"/>
      <c r="C198" s="170"/>
      <c r="D198" s="170"/>
      <c r="E198" s="171"/>
      <c r="F198" s="171"/>
      <c r="G198" s="170"/>
      <c r="H198" s="10">
        <v>6747</v>
      </c>
      <c r="I198" s="145">
        <v>1245192</v>
      </c>
      <c r="J198" s="10">
        <v>6747</v>
      </c>
      <c r="K198" s="171"/>
      <c r="L198" s="170"/>
      <c r="M198" s="170"/>
      <c r="N198" s="170"/>
      <c r="O198" s="171"/>
      <c r="P198" s="171"/>
      <c r="Q198" s="170"/>
      <c r="R198" s="170"/>
      <c r="S198" s="170"/>
      <c r="T198" s="171"/>
      <c r="U198" s="171"/>
      <c r="V198" s="171"/>
      <c r="W198" s="171"/>
      <c r="X198" s="171"/>
      <c r="Y198" s="171"/>
      <c r="Z198" s="171"/>
      <c r="AA198" s="171"/>
      <c r="AB198" s="171"/>
      <c r="AC198" s="170"/>
      <c r="AD198" s="170"/>
      <c r="AE198" s="170"/>
      <c r="AF198" s="170"/>
      <c r="AG198" s="170"/>
      <c r="AH198" s="170"/>
      <c r="AI198" s="170"/>
      <c r="AJ198" s="170"/>
      <c r="AK198" s="171"/>
      <c r="AL198" s="171"/>
      <c r="AM198" s="170"/>
      <c r="AN198" s="170"/>
      <c r="AO198" s="170"/>
      <c r="AP198" s="171"/>
      <c r="AQ198" s="171"/>
      <c r="AR198" s="170"/>
      <c r="AS198" s="170"/>
      <c r="AT198" s="170"/>
      <c r="AU198" s="171"/>
      <c r="AV198" s="171"/>
      <c r="AW198" s="171"/>
      <c r="AX198" s="171"/>
      <c r="AY198" s="171"/>
      <c r="AZ198" s="171"/>
      <c r="BA198" s="171"/>
      <c r="BB198" s="171"/>
      <c r="BC198" s="171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72"/>
      <c r="BR198" s="172"/>
      <c r="BS198" s="172"/>
    </row>
    <row r="199" spans="1:71" ht="14.5" x14ac:dyDescent="0.35">
      <c r="A199" s="170"/>
      <c r="B199" s="170"/>
      <c r="C199" s="170"/>
      <c r="D199" s="170"/>
      <c r="E199" s="171"/>
      <c r="F199" s="171"/>
      <c r="G199" s="170"/>
      <c r="H199" s="32">
        <v>6767</v>
      </c>
      <c r="I199" s="145">
        <v>1256966</v>
      </c>
      <c r="J199" s="32">
        <v>6767</v>
      </c>
      <c r="K199" s="171"/>
      <c r="L199" s="170"/>
      <c r="M199" s="170"/>
      <c r="N199" s="170"/>
      <c r="O199" s="171"/>
      <c r="P199" s="171"/>
      <c r="Q199" s="170"/>
      <c r="R199" s="170"/>
      <c r="S199" s="170"/>
      <c r="T199" s="171"/>
      <c r="U199" s="171"/>
      <c r="V199" s="171"/>
      <c r="W199" s="171"/>
      <c r="X199" s="171"/>
      <c r="Y199" s="171"/>
      <c r="Z199" s="171"/>
      <c r="AA199" s="171"/>
      <c r="AB199" s="171"/>
      <c r="AC199" s="170"/>
      <c r="AD199" s="170"/>
      <c r="AE199" s="170"/>
      <c r="AF199" s="170"/>
      <c r="AG199" s="170"/>
      <c r="AH199" s="170"/>
      <c r="AI199" s="170"/>
      <c r="AJ199" s="170"/>
      <c r="AK199" s="171"/>
      <c r="AL199" s="171"/>
      <c r="AM199" s="170"/>
      <c r="AN199" s="170"/>
      <c r="AO199" s="170"/>
      <c r="AP199" s="171"/>
      <c r="AQ199" s="171"/>
      <c r="AR199" s="170"/>
      <c r="AS199" s="170"/>
      <c r="AT199" s="170"/>
      <c r="AU199" s="171"/>
      <c r="AV199" s="171"/>
      <c r="AW199" s="171"/>
      <c r="AX199" s="171"/>
      <c r="AY199" s="171"/>
      <c r="AZ199" s="171"/>
      <c r="BA199" s="171"/>
      <c r="BB199" s="171"/>
      <c r="BC199" s="171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72"/>
      <c r="BP199" s="172"/>
      <c r="BQ199" s="172"/>
      <c r="BR199" s="172"/>
      <c r="BS199" s="172"/>
    </row>
    <row r="200" spans="1:71" ht="12.5" x14ac:dyDescent="0.25">
      <c r="A200" s="170"/>
      <c r="B200" s="170"/>
      <c r="C200" s="170"/>
      <c r="D200" s="170"/>
      <c r="E200" s="171"/>
      <c r="F200" s="171"/>
      <c r="G200" s="170"/>
      <c r="H200" s="10">
        <v>6788</v>
      </c>
      <c r="I200" s="145">
        <v>1287033</v>
      </c>
      <c r="J200" s="10">
        <v>6788</v>
      </c>
      <c r="K200" s="171"/>
      <c r="L200" s="170"/>
      <c r="M200" s="170"/>
      <c r="N200" s="170"/>
      <c r="O200" s="171"/>
      <c r="P200" s="171"/>
      <c r="Q200" s="170"/>
      <c r="R200" s="170"/>
      <c r="S200" s="170"/>
      <c r="T200" s="171"/>
      <c r="U200" s="171"/>
      <c r="V200" s="171"/>
      <c r="W200" s="171"/>
      <c r="X200" s="171"/>
      <c r="Y200" s="171"/>
      <c r="Z200" s="171"/>
      <c r="AA200" s="171"/>
      <c r="AB200" s="171"/>
      <c r="AC200" s="170"/>
      <c r="AD200" s="170"/>
      <c r="AE200" s="170"/>
      <c r="AF200" s="170"/>
      <c r="AG200" s="170"/>
      <c r="AH200" s="170"/>
      <c r="AI200" s="170"/>
      <c r="AJ200" s="170"/>
      <c r="AK200" s="171"/>
      <c r="AL200" s="171"/>
      <c r="AM200" s="170"/>
      <c r="AN200" s="170"/>
      <c r="AO200" s="170"/>
      <c r="AP200" s="171"/>
      <c r="AQ200" s="171"/>
      <c r="AR200" s="170"/>
      <c r="AS200" s="170"/>
      <c r="AT200" s="170"/>
      <c r="AU200" s="171"/>
      <c r="AV200" s="171"/>
      <c r="AW200" s="171"/>
      <c r="AX200" s="171"/>
      <c r="AY200" s="171"/>
      <c r="AZ200" s="171"/>
      <c r="BA200" s="171"/>
      <c r="BB200" s="171"/>
      <c r="BC200" s="171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72"/>
      <c r="BP200" s="172"/>
      <c r="BQ200" s="172"/>
      <c r="BR200" s="172"/>
      <c r="BS200" s="172"/>
    </row>
    <row r="201" spans="1:71" ht="12.5" x14ac:dyDescent="0.25">
      <c r="A201" s="170"/>
      <c r="B201" s="170"/>
      <c r="C201" s="170"/>
      <c r="D201" s="170"/>
      <c r="E201" s="171"/>
      <c r="F201" s="171"/>
      <c r="G201" s="170"/>
      <c r="H201" s="10">
        <v>6807</v>
      </c>
      <c r="I201" s="145">
        <v>1313679</v>
      </c>
      <c r="J201" s="10">
        <v>6807</v>
      </c>
      <c r="K201" s="171"/>
      <c r="L201" s="170"/>
      <c r="M201" s="170"/>
      <c r="N201" s="170"/>
      <c r="O201" s="171"/>
      <c r="P201" s="171"/>
      <c r="Q201" s="170"/>
      <c r="R201" s="170"/>
      <c r="S201" s="170"/>
      <c r="T201" s="171"/>
      <c r="U201" s="171"/>
      <c r="V201" s="171"/>
      <c r="W201" s="171"/>
      <c r="X201" s="171"/>
      <c r="Y201" s="171"/>
      <c r="Z201" s="171"/>
      <c r="AA201" s="171"/>
      <c r="AB201" s="171"/>
      <c r="AC201" s="170"/>
      <c r="AD201" s="170"/>
      <c r="AE201" s="170"/>
      <c r="AF201" s="170"/>
      <c r="AG201" s="170"/>
      <c r="AH201" s="170"/>
      <c r="AI201" s="170"/>
      <c r="AJ201" s="170"/>
      <c r="AK201" s="171"/>
      <c r="AL201" s="171"/>
      <c r="AM201" s="170"/>
      <c r="AN201" s="170"/>
      <c r="AO201" s="170"/>
      <c r="AP201" s="171"/>
      <c r="AQ201" s="171"/>
      <c r="AR201" s="170"/>
      <c r="AS201" s="170"/>
      <c r="AT201" s="170"/>
      <c r="AU201" s="171"/>
      <c r="AV201" s="171"/>
      <c r="AW201" s="171"/>
      <c r="AX201" s="171"/>
      <c r="AY201" s="171"/>
      <c r="AZ201" s="171"/>
      <c r="BA201" s="171"/>
      <c r="BB201" s="171"/>
      <c r="BC201" s="171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72"/>
      <c r="BR201" s="172"/>
      <c r="BS201" s="172"/>
    </row>
    <row r="202" spans="1:71" ht="12.5" x14ac:dyDescent="0.25">
      <c r="A202" s="170"/>
      <c r="B202" s="170"/>
      <c r="C202" s="170"/>
      <c r="D202" s="170"/>
      <c r="E202" s="171"/>
      <c r="F202" s="171"/>
      <c r="G202" s="170"/>
      <c r="H202" s="10">
        <v>6830</v>
      </c>
      <c r="I202" s="145">
        <v>1339261</v>
      </c>
      <c r="J202" s="10">
        <v>6830</v>
      </c>
      <c r="K202" s="171"/>
      <c r="L202" s="170"/>
      <c r="M202" s="170"/>
      <c r="N202" s="170"/>
      <c r="O202" s="171"/>
      <c r="P202" s="171"/>
      <c r="Q202" s="170"/>
      <c r="R202" s="170"/>
      <c r="S202" s="170"/>
      <c r="T202" s="171"/>
      <c r="U202" s="171"/>
      <c r="V202" s="171"/>
      <c r="W202" s="171"/>
      <c r="X202" s="171"/>
      <c r="Y202" s="171"/>
      <c r="Z202" s="171"/>
      <c r="AA202" s="171"/>
      <c r="AB202" s="171"/>
      <c r="AC202" s="170"/>
      <c r="AD202" s="170"/>
      <c r="AE202" s="170"/>
      <c r="AF202" s="170"/>
      <c r="AG202" s="170"/>
      <c r="AH202" s="170"/>
      <c r="AI202" s="170"/>
      <c r="AJ202" s="170"/>
      <c r="AK202" s="171"/>
      <c r="AL202" s="171"/>
      <c r="AM202" s="170"/>
      <c r="AN202" s="170"/>
      <c r="AO202" s="170"/>
      <c r="AP202" s="171"/>
      <c r="AQ202" s="171"/>
      <c r="AR202" s="170"/>
      <c r="AS202" s="170"/>
      <c r="AT202" s="170"/>
      <c r="AU202" s="171"/>
      <c r="AV202" s="171"/>
      <c r="AW202" s="171"/>
      <c r="AX202" s="171"/>
      <c r="AY202" s="171"/>
      <c r="AZ202" s="171"/>
      <c r="BA202" s="171"/>
      <c r="BB202" s="171"/>
      <c r="BC202" s="171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72"/>
      <c r="BR202" s="172"/>
      <c r="BS202" s="172"/>
    </row>
    <row r="203" spans="1:71" ht="12.5" x14ac:dyDescent="0.25">
      <c r="A203" s="170"/>
      <c r="B203" s="170"/>
      <c r="C203" s="170"/>
      <c r="D203" s="170"/>
      <c r="E203" s="171"/>
      <c r="F203" s="171"/>
      <c r="G203" s="170"/>
      <c r="H203" s="10">
        <v>6850</v>
      </c>
      <c r="I203" s="145">
        <v>1366690</v>
      </c>
      <c r="J203" s="10">
        <v>6850</v>
      </c>
      <c r="K203" s="171"/>
      <c r="L203" s="170"/>
      <c r="M203" s="170"/>
      <c r="N203" s="170"/>
      <c r="O203" s="171"/>
      <c r="P203" s="171"/>
      <c r="Q203" s="170"/>
      <c r="R203" s="170"/>
      <c r="S203" s="170"/>
      <c r="T203" s="171"/>
      <c r="U203" s="171"/>
      <c r="V203" s="171"/>
      <c r="W203" s="171"/>
      <c r="X203" s="171"/>
      <c r="Y203" s="171"/>
      <c r="Z203" s="171"/>
      <c r="AA203" s="171"/>
      <c r="AB203" s="171"/>
      <c r="AC203" s="170"/>
      <c r="AD203" s="170"/>
      <c r="AE203" s="170"/>
      <c r="AF203" s="170"/>
      <c r="AG203" s="170"/>
      <c r="AH203" s="170"/>
      <c r="AI203" s="170"/>
      <c r="AJ203" s="170"/>
      <c r="AK203" s="171"/>
      <c r="AL203" s="171"/>
      <c r="AM203" s="170"/>
      <c r="AN203" s="170"/>
      <c r="AO203" s="170"/>
      <c r="AP203" s="171"/>
      <c r="AQ203" s="171"/>
      <c r="AR203" s="170"/>
      <c r="AS203" s="170"/>
      <c r="AT203" s="170"/>
      <c r="AU203" s="171"/>
      <c r="AV203" s="171"/>
      <c r="AW203" s="171"/>
      <c r="AX203" s="171"/>
      <c r="AY203" s="171"/>
      <c r="AZ203" s="171"/>
      <c r="BA203" s="171"/>
      <c r="BB203" s="171"/>
      <c r="BC203" s="171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</row>
    <row r="204" spans="1:71" ht="12.5" x14ac:dyDescent="0.25">
      <c r="A204" s="170"/>
      <c r="B204" s="170"/>
      <c r="C204" s="170"/>
      <c r="D204" s="170"/>
      <c r="E204" s="171"/>
      <c r="F204" s="171"/>
      <c r="G204" s="170"/>
      <c r="H204" s="10">
        <v>6872</v>
      </c>
      <c r="I204" s="145">
        <v>1395186</v>
      </c>
      <c r="J204" s="10">
        <v>6872</v>
      </c>
      <c r="K204" s="171"/>
      <c r="L204" s="170"/>
      <c r="M204" s="170"/>
      <c r="N204" s="170"/>
      <c r="O204" s="171"/>
      <c r="P204" s="171"/>
      <c r="Q204" s="170"/>
      <c r="R204" s="170"/>
      <c r="S204" s="170"/>
      <c r="T204" s="171"/>
      <c r="U204" s="171"/>
      <c r="V204" s="171"/>
      <c r="W204" s="171"/>
      <c r="X204" s="171"/>
      <c r="Y204" s="171"/>
      <c r="Z204" s="171"/>
      <c r="AA204" s="171"/>
      <c r="AB204" s="171"/>
      <c r="AC204" s="170"/>
      <c r="AD204" s="170"/>
      <c r="AE204" s="170"/>
      <c r="AF204" s="170"/>
      <c r="AG204" s="170"/>
      <c r="AH204" s="170"/>
      <c r="AI204" s="170"/>
      <c r="AJ204" s="170"/>
      <c r="AK204" s="171"/>
      <c r="AL204" s="171"/>
      <c r="AM204" s="170"/>
      <c r="AN204" s="170"/>
      <c r="AO204" s="170"/>
      <c r="AP204" s="171"/>
      <c r="AQ204" s="171"/>
      <c r="AR204" s="170"/>
      <c r="AS204" s="170"/>
      <c r="AT204" s="170"/>
      <c r="AU204" s="171"/>
      <c r="AV204" s="171"/>
      <c r="AW204" s="171"/>
      <c r="AX204" s="171"/>
      <c r="AY204" s="171"/>
      <c r="AZ204" s="171"/>
      <c r="BA204" s="171"/>
      <c r="BB204" s="171"/>
      <c r="BC204" s="171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</row>
    <row r="205" spans="1:71" ht="12.5" x14ac:dyDescent="0.25">
      <c r="A205" s="170"/>
      <c r="B205" s="170"/>
      <c r="C205" s="170"/>
      <c r="D205" s="170"/>
      <c r="E205" s="171"/>
      <c r="F205" s="171"/>
      <c r="G205" s="170"/>
      <c r="H205" s="10">
        <v>6896</v>
      </c>
      <c r="I205" s="145">
        <v>1405753</v>
      </c>
      <c r="J205" s="10">
        <v>6896</v>
      </c>
      <c r="K205" s="171"/>
      <c r="L205" s="170"/>
      <c r="M205" s="170"/>
      <c r="N205" s="170"/>
      <c r="O205" s="171"/>
      <c r="P205" s="171"/>
      <c r="Q205" s="170"/>
      <c r="R205" s="170"/>
      <c r="S205" s="170"/>
      <c r="T205" s="171"/>
      <c r="U205" s="171"/>
      <c r="V205" s="171"/>
      <c r="W205" s="171"/>
      <c r="X205" s="171"/>
      <c r="Y205" s="171"/>
      <c r="Z205" s="171"/>
      <c r="AA205" s="171"/>
      <c r="AB205" s="171"/>
      <c r="AC205" s="170"/>
      <c r="AD205" s="170"/>
      <c r="AE205" s="170"/>
      <c r="AF205" s="170"/>
      <c r="AG205" s="170"/>
      <c r="AH205" s="170"/>
      <c r="AI205" s="170"/>
      <c r="AJ205" s="170"/>
      <c r="AK205" s="171"/>
      <c r="AL205" s="171"/>
      <c r="AM205" s="170"/>
      <c r="AN205" s="170"/>
      <c r="AO205" s="170"/>
      <c r="AP205" s="171"/>
      <c r="AQ205" s="171"/>
      <c r="AR205" s="170"/>
      <c r="AS205" s="170"/>
      <c r="AT205" s="170"/>
      <c r="AU205" s="171"/>
      <c r="AV205" s="171"/>
      <c r="AW205" s="171"/>
      <c r="AX205" s="171"/>
      <c r="AY205" s="171"/>
      <c r="AZ205" s="171"/>
      <c r="BA205" s="171"/>
      <c r="BB205" s="171"/>
      <c r="BC205" s="171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72"/>
      <c r="BR205" s="172"/>
      <c r="BS205" s="172"/>
    </row>
    <row r="206" spans="1:71" ht="14.5" x14ac:dyDescent="0.35">
      <c r="A206" s="170"/>
      <c r="B206" s="170"/>
      <c r="C206" s="170"/>
      <c r="D206" s="170"/>
      <c r="E206" s="171"/>
      <c r="F206" s="171"/>
      <c r="G206" s="170"/>
      <c r="H206" s="32">
        <v>6911</v>
      </c>
      <c r="I206" s="145">
        <v>1415570</v>
      </c>
      <c r="J206" s="32">
        <v>6911</v>
      </c>
      <c r="K206" s="171"/>
      <c r="L206" s="170"/>
      <c r="M206" s="170"/>
      <c r="N206" s="170"/>
      <c r="O206" s="171"/>
      <c r="P206" s="171"/>
      <c r="Q206" s="170"/>
      <c r="R206" s="170"/>
      <c r="S206" s="170"/>
      <c r="T206" s="171"/>
      <c r="U206" s="171"/>
      <c r="V206" s="171"/>
      <c r="W206" s="171"/>
      <c r="X206" s="171"/>
      <c r="Y206" s="171"/>
      <c r="Z206" s="171"/>
      <c r="AA206" s="171"/>
      <c r="AB206" s="171"/>
      <c r="AC206" s="170"/>
      <c r="AD206" s="170"/>
      <c r="AE206" s="170"/>
      <c r="AF206" s="170"/>
      <c r="AG206" s="170"/>
      <c r="AH206" s="170"/>
      <c r="AI206" s="170"/>
      <c r="AJ206" s="170"/>
      <c r="AK206" s="171"/>
      <c r="AL206" s="171"/>
      <c r="AM206" s="170"/>
      <c r="AN206" s="170"/>
      <c r="AO206" s="170"/>
      <c r="AP206" s="171"/>
      <c r="AQ206" s="171"/>
      <c r="AR206" s="170"/>
      <c r="AS206" s="170"/>
      <c r="AT206" s="170"/>
      <c r="AU206" s="171"/>
      <c r="AV206" s="171"/>
      <c r="AW206" s="171"/>
      <c r="AX206" s="171"/>
      <c r="AY206" s="171"/>
      <c r="AZ206" s="171"/>
      <c r="BA206" s="171"/>
      <c r="BB206" s="171"/>
      <c r="BC206" s="171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72"/>
      <c r="BR206" s="172"/>
      <c r="BS206" s="172"/>
    </row>
    <row r="207" spans="1:71" ht="12.5" x14ac:dyDescent="0.25">
      <c r="A207" s="170"/>
      <c r="B207" s="170"/>
      <c r="C207" s="170"/>
      <c r="D207" s="170"/>
      <c r="E207" s="171"/>
      <c r="F207" s="171"/>
      <c r="G207" s="170"/>
      <c r="H207" s="10">
        <v>6933</v>
      </c>
      <c r="I207" s="145">
        <v>1445880</v>
      </c>
      <c r="J207" s="10">
        <v>6933</v>
      </c>
      <c r="K207" s="171"/>
      <c r="L207" s="170"/>
      <c r="M207" s="170"/>
      <c r="N207" s="170"/>
      <c r="O207" s="171"/>
      <c r="P207" s="171"/>
      <c r="Q207" s="170"/>
      <c r="R207" s="170"/>
      <c r="S207" s="170"/>
      <c r="T207" s="171"/>
      <c r="U207" s="171"/>
      <c r="V207" s="171"/>
      <c r="W207" s="171"/>
      <c r="X207" s="171"/>
      <c r="Y207" s="171"/>
      <c r="Z207" s="171"/>
      <c r="AA207" s="171"/>
      <c r="AB207" s="171"/>
      <c r="AC207" s="170"/>
      <c r="AD207" s="170"/>
      <c r="AE207" s="170"/>
      <c r="AF207" s="170"/>
      <c r="AG207" s="170"/>
      <c r="AH207" s="170"/>
      <c r="AI207" s="170"/>
      <c r="AJ207" s="170"/>
      <c r="AK207" s="171"/>
      <c r="AL207" s="171"/>
      <c r="AM207" s="170"/>
      <c r="AN207" s="170"/>
      <c r="AO207" s="170"/>
      <c r="AP207" s="171"/>
      <c r="AQ207" s="171"/>
      <c r="AR207" s="170"/>
      <c r="AS207" s="170"/>
      <c r="AT207" s="170"/>
      <c r="AU207" s="171"/>
      <c r="AV207" s="171"/>
      <c r="AW207" s="171"/>
      <c r="AX207" s="171"/>
      <c r="AY207" s="171"/>
      <c r="AZ207" s="171"/>
      <c r="BA207" s="171"/>
      <c r="BB207" s="171"/>
      <c r="BC207" s="171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72"/>
      <c r="BR207" s="172"/>
      <c r="BS207" s="172"/>
    </row>
    <row r="208" spans="1:71" ht="12.5" x14ac:dyDescent="0.25">
      <c r="A208" s="170"/>
      <c r="B208" s="170"/>
      <c r="C208" s="170"/>
      <c r="D208" s="170"/>
      <c r="E208" s="171"/>
      <c r="F208" s="171"/>
      <c r="G208" s="170"/>
      <c r="H208" s="10">
        <v>6952</v>
      </c>
      <c r="I208" s="145">
        <v>1461820</v>
      </c>
      <c r="J208" s="10">
        <v>6952</v>
      </c>
      <c r="K208" s="171"/>
      <c r="L208" s="170"/>
      <c r="M208" s="170"/>
      <c r="N208" s="170"/>
      <c r="O208" s="171"/>
      <c r="P208" s="171"/>
      <c r="Q208" s="170"/>
      <c r="R208" s="170"/>
      <c r="S208" s="170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0"/>
      <c r="AD208" s="170"/>
      <c r="AE208" s="170"/>
      <c r="AF208" s="170"/>
      <c r="AG208" s="170"/>
      <c r="AH208" s="170"/>
      <c r="AI208" s="170"/>
      <c r="AJ208" s="170"/>
      <c r="AK208" s="171"/>
      <c r="AL208" s="171"/>
      <c r="AM208" s="170"/>
      <c r="AN208" s="170"/>
      <c r="AO208" s="170"/>
      <c r="AP208" s="171"/>
      <c r="AQ208" s="171"/>
      <c r="AR208" s="170"/>
      <c r="AS208" s="170"/>
      <c r="AT208" s="170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72"/>
      <c r="BR208" s="172"/>
      <c r="BS208" s="172"/>
    </row>
    <row r="209" spans="1:71" ht="12.5" x14ac:dyDescent="0.25">
      <c r="A209" s="170"/>
      <c r="B209" s="170"/>
      <c r="C209" s="170"/>
      <c r="D209" s="170"/>
      <c r="E209" s="171"/>
      <c r="F209" s="171"/>
      <c r="G209" s="170"/>
      <c r="H209" s="10">
        <v>6973</v>
      </c>
      <c r="I209" s="145">
        <v>1469582</v>
      </c>
      <c r="J209" s="10">
        <v>6973</v>
      </c>
      <c r="K209" s="171"/>
      <c r="L209" s="170"/>
      <c r="M209" s="170"/>
      <c r="N209" s="170"/>
      <c r="O209" s="171"/>
      <c r="P209" s="171"/>
      <c r="Q209" s="170"/>
      <c r="R209" s="170"/>
      <c r="S209" s="170"/>
      <c r="T209" s="171"/>
      <c r="U209" s="171"/>
      <c r="V209" s="171"/>
      <c r="W209" s="171"/>
      <c r="X209" s="171"/>
      <c r="Y209" s="171"/>
      <c r="Z209" s="171"/>
      <c r="AA209" s="171"/>
      <c r="AB209" s="171"/>
      <c r="AC209" s="170"/>
      <c r="AD209" s="170"/>
      <c r="AE209" s="170"/>
      <c r="AF209" s="170"/>
      <c r="AG209" s="170"/>
      <c r="AH209" s="170"/>
      <c r="AI209" s="170"/>
      <c r="AJ209" s="170"/>
      <c r="AK209" s="171"/>
      <c r="AL209" s="171"/>
      <c r="AM209" s="170"/>
      <c r="AN209" s="170"/>
      <c r="AO209" s="170"/>
      <c r="AP209" s="171"/>
      <c r="AQ209" s="171"/>
      <c r="AR209" s="170"/>
      <c r="AS209" s="170"/>
      <c r="AT209" s="170"/>
      <c r="AU209" s="171"/>
      <c r="AV209" s="171"/>
      <c r="AW209" s="171"/>
      <c r="AX209" s="171"/>
      <c r="AY209" s="171"/>
      <c r="AZ209" s="171"/>
      <c r="BA209" s="171"/>
      <c r="BB209" s="171"/>
      <c r="BC209" s="171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</row>
    <row r="210" spans="1:71" ht="14.5" x14ac:dyDescent="0.35">
      <c r="A210" s="170"/>
      <c r="B210" s="170"/>
      <c r="C210" s="170"/>
      <c r="D210" s="170"/>
      <c r="E210" s="171"/>
      <c r="F210" s="171"/>
      <c r="G210" s="170"/>
      <c r="H210" s="32">
        <v>6973</v>
      </c>
      <c r="I210" s="145">
        <v>1469783</v>
      </c>
      <c r="J210" s="32">
        <v>6973</v>
      </c>
      <c r="K210" s="171"/>
      <c r="L210" s="170"/>
      <c r="M210" s="170"/>
      <c r="N210" s="170"/>
      <c r="O210" s="171"/>
      <c r="P210" s="171"/>
      <c r="Q210" s="170"/>
      <c r="R210" s="170"/>
      <c r="S210" s="170"/>
      <c r="T210" s="171"/>
      <c r="U210" s="171"/>
      <c r="V210" s="171"/>
      <c r="W210" s="171"/>
      <c r="X210" s="171"/>
      <c r="Y210" s="171"/>
      <c r="Z210" s="171"/>
      <c r="AA210" s="171"/>
      <c r="AB210" s="171"/>
      <c r="AC210" s="170"/>
      <c r="AD210" s="170"/>
      <c r="AE210" s="170"/>
      <c r="AF210" s="170"/>
      <c r="AG210" s="170"/>
      <c r="AH210" s="170"/>
      <c r="AI210" s="170"/>
      <c r="AJ210" s="170"/>
      <c r="AK210" s="171"/>
      <c r="AL210" s="171"/>
      <c r="AM210" s="170"/>
      <c r="AN210" s="170"/>
      <c r="AO210" s="170"/>
      <c r="AP210" s="171"/>
      <c r="AQ210" s="171"/>
      <c r="AR210" s="170"/>
      <c r="AS210" s="170"/>
      <c r="AT210" s="170"/>
      <c r="AU210" s="171"/>
      <c r="AV210" s="171"/>
      <c r="AW210" s="171"/>
      <c r="AX210" s="171"/>
      <c r="AY210" s="171"/>
      <c r="AZ210" s="171"/>
      <c r="BA210" s="171"/>
      <c r="BB210" s="171"/>
      <c r="BC210" s="171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</row>
    <row r="211" spans="1:71" ht="14.5" x14ac:dyDescent="0.35">
      <c r="A211" s="170"/>
      <c r="B211" s="170"/>
      <c r="C211" s="170"/>
      <c r="D211" s="170"/>
      <c r="E211" s="171"/>
      <c r="F211" s="171"/>
      <c r="G211" s="170"/>
      <c r="H211" s="32">
        <v>7003</v>
      </c>
      <c r="I211" s="145">
        <v>1470037</v>
      </c>
      <c r="J211" s="32">
        <v>7003</v>
      </c>
      <c r="K211" s="171"/>
      <c r="L211" s="170"/>
      <c r="M211" s="170"/>
      <c r="N211" s="170"/>
      <c r="O211" s="171"/>
      <c r="P211" s="171"/>
      <c r="Q211" s="170"/>
      <c r="R211" s="170"/>
      <c r="S211" s="170"/>
      <c r="T211" s="171"/>
      <c r="U211" s="171"/>
      <c r="V211" s="171"/>
      <c r="W211" s="171"/>
      <c r="X211" s="171"/>
      <c r="Y211" s="171"/>
      <c r="Z211" s="171"/>
      <c r="AA211" s="171"/>
      <c r="AB211" s="171"/>
      <c r="AC211" s="170"/>
      <c r="AD211" s="170"/>
      <c r="AE211" s="170"/>
      <c r="AF211" s="170"/>
      <c r="AG211" s="170"/>
      <c r="AH211" s="170"/>
      <c r="AI211" s="170"/>
      <c r="AJ211" s="170"/>
      <c r="AK211" s="171"/>
      <c r="AL211" s="171"/>
      <c r="AM211" s="170"/>
      <c r="AN211" s="170"/>
      <c r="AO211" s="170"/>
      <c r="AP211" s="171"/>
      <c r="AQ211" s="171"/>
      <c r="AR211" s="170"/>
      <c r="AS211" s="170"/>
      <c r="AT211" s="170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</row>
    <row r="212" spans="1:71" ht="12.5" x14ac:dyDescent="0.25">
      <c r="A212" s="170"/>
      <c r="B212" s="170"/>
      <c r="C212" s="170"/>
      <c r="D212" s="170"/>
      <c r="E212" s="171"/>
      <c r="F212" s="171"/>
      <c r="G212" s="170"/>
      <c r="H212" s="10">
        <v>7066</v>
      </c>
      <c r="I212" s="145">
        <v>1477896</v>
      </c>
      <c r="J212" s="10">
        <v>7066</v>
      </c>
      <c r="K212" s="171"/>
      <c r="L212" s="170"/>
      <c r="M212" s="170"/>
      <c r="N212" s="170"/>
      <c r="O212" s="171"/>
      <c r="P212" s="171"/>
      <c r="Q212" s="170"/>
      <c r="R212" s="170"/>
      <c r="S212" s="170"/>
      <c r="T212" s="171"/>
      <c r="U212" s="171"/>
      <c r="V212" s="171"/>
      <c r="W212" s="171"/>
      <c r="X212" s="171"/>
      <c r="Y212" s="171"/>
      <c r="Z212" s="171"/>
      <c r="AA212" s="171"/>
      <c r="AB212" s="171"/>
      <c r="AC212" s="170"/>
      <c r="AD212" s="170"/>
      <c r="AE212" s="170"/>
      <c r="AF212" s="170"/>
      <c r="AG212" s="170"/>
      <c r="AH212" s="170"/>
      <c r="AI212" s="170"/>
      <c r="AJ212" s="170"/>
      <c r="AK212" s="171"/>
      <c r="AL212" s="171"/>
      <c r="AM212" s="170"/>
      <c r="AN212" s="170"/>
      <c r="AO212" s="170"/>
      <c r="AP212" s="171"/>
      <c r="AQ212" s="171"/>
      <c r="AR212" s="170"/>
      <c r="AS212" s="170"/>
      <c r="AT212" s="170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</row>
    <row r="213" spans="1:71" ht="12.5" x14ac:dyDescent="0.25">
      <c r="A213" s="170"/>
      <c r="B213" s="170"/>
      <c r="C213" s="170"/>
      <c r="D213" s="170"/>
      <c r="E213" s="171"/>
      <c r="F213" s="171"/>
      <c r="G213" s="170"/>
      <c r="H213" s="10">
        <v>7082</v>
      </c>
      <c r="I213" s="145">
        <v>1483715</v>
      </c>
      <c r="J213" s="10">
        <v>7082</v>
      </c>
      <c r="K213" s="171"/>
      <c r="L213" s="170"/>
      <c r="M213" s="170"/>
      <c r="N213" s="170"/>
      <c r="O213" s="171"/>
      <c r="P213" s="171"/>
      <c r="Q213" s="170"/>
      <c r="R213" s="170"/>
      <c r="S213" s="170"/>
      <c r="T213" s="171"/>
      <c r="U213" s="171"/>
      <c r="V213" s="171"/>
      <c r="W213" s="171"/>
      <c r="X213" s="171"/>
      <c r="Y213" s="171"/>
      <c r="Z213" s="171"/>
      <c r="AA213" s="171"/>
      <c r="AB213" s="171"/>
      <c r="AC213" s="170"/>
      <c r="AD213" s="170"/>
      <c r="AE213" s="170"/>
      <c r="AF213" s="170"/>
      <c r="AG213" s="170"/>
      <c r="AH213" s="170"/>
      <c r="AI213" s="170"/>
      <c r="AJ213" s="170"/>
      <c r="AK213" s="171"/>
      <c r="AL213" s="171"/>
      <c r="AM213" s="170"/>
      <c r="AN213" s="170"/>
      <c r="AO213" s="170"/>
      <c r="AP213" s="171"/>
      <c r="AQ213" s="171"/>
      <c r="AR213" s="170"/>
      <c r="AS213" s="170"/>
      <c r="AT213" s="170"/>
      <c r="AU213" s="171"/>
      <c r="AV213" s="171"/>
      <c r="AW213" s="171"/>
      <c r="AX213" s="171"/>
      <c r="AY213" s="171"/>
      <c r="AZ213" s="171"/>
      <c r="BA213" s="171"/>
      <c r="BB213" s="171"/>
      <c r="BC213" s="171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</row>
    <row r="214" spans="1:71" ht="12.5" x14ac:dyDescent="0.25">
      <c r="A214" s="170"/>
      <c r="B214" s="170"/>
      <c r="C214" s="170"/>
      <c r="D214" s="170"/>
      <c r="E214" s="171"/>
      <c r="F214" s="171"/>
      <c r="G214" s="170"/>
      <c r="H214" s="10">
        <v>7107</v>
      </c>
      <c r="I214" s="145">
        <v>1510084</v>
      </c>
      <c r="J214" s="10">
        <v>7107</v>
      </c>
      <c r="K214" s="171"/>
      <c r="L214" s="170"/>
      <c r="M214" s="170"/>
      <c r="N214" s="170"/>
      <c r="O214" s="171"/>
      <c r="P214" s="171"/>
      <c r="Q214" s="170"/>
      <c r="R214" s="170"/>
      <c r="S214" s="170"/>
      <c r="T214" s="171"/>
      <c r="U214" s="171"/>
      <c r="V214" s="171"/>
      <c r="W214" s="171"/>
      <c r="X214" s="171"/>
      <c r="Y214" s="171"/>
      <c r="Z214" s="171"/>
      <c r="AA214" s="171"/>
      <c r="AB214" s="171"/>
      <c r="AC214" s="170"/>
      <c r="AD214" s="170"/>
      <c r="AE214" s="170"/>
      <c r="AF214" s="170"/>
      <c r="AG214" s="170"/>
      <c r="AH214" s="170"/>
      <c r="AI214" s="170"/>
      <c r="AJ214" s="170"/>
      <c r="AK214" s="171"/>
      <c r="AL214" s="171"/>
      <c r="AM214" s="170"/>
      <c r="AN214" s="170"/>
      <c r="AO214" s="170"/>
      <c r="AP214" s="171"/>
      <c r="AQ214" s="171"/>
      <c r="AR214" s="170"/>
      <c r="AS214" s="170"/>
      <c r="AT214" s="170"/>
      <c r="AU214" s="171"/>
      <c r="AV214" s="171"/>
      <c r="AW214" s="171"/>
      <c r="AX214" s="171"/>
      <c r="AY214" s="171"/>
      <c r="AZ214" s="171"/>
      <c r="BA214" s="171"/>
      <c r="BB214" s="171"/>
      <c r="BC214" s="171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</row>
    <row r="215" spans="1:71" ht="12.5" x14ac:dyDescent="0.25">
      <c r="A215" s="170"/>
      <c r="B215" s="170"/>
      <c r="C215" s="170"/>
      <c r="D215" s="170"/>
      <c r="E215" s="171"/>
      <c r="F215" s="171"/>
      <c r="G215" s="170"/>
      <c r="H215" s="10">
        <v>7130</v>
      </c>
      <c r="I215" s="145">
        <v>1540685</v>
      </c>
      <c r="J215" s="10">
        <v>7130</v>
      </c>
      <c r="K215" s="171"/>
      <c r="L215" s="170"/>
      <c r="M215" s="170"/>
      <c r="N215" s="170"/>
      <c r="O215" s="171"/>
      <c r="P215" s="171"/>
      <c r="Q215" s="170"/>
      <c r="R215" s="170"/>
      <c r="S215" s="170"/>
      <c r="T215" s="171"/>
      <c r="U215" s="171"/>
      <c r="V215" s="171"/>
      <c r="W215" s="171"/>
      <c r="X215" s="171"/>
      <c r="Y215" s="171"/>
      <c r="Z215" s="171"/>
      <c r="AA215" s="171"/>
      <c r="AB215" s="171"/>
      <c r="AC215" s="170"/>
      <c r="AD215" s="170"/>
      <c r="AE215" s="170"/>
      <c r="AF215" s="170"/>
      <c r="AG215" s="170"/>
      <c r="AH215" s="170"/>
      <c r="AI215" s="170"/>
      <c r="AJ215" s="170"/>
      <c r="AK215" s="171"/>
      <c r="AL215" s="171"/>
      <c r="AM215" s="170"/>
      <c r="AN215" s="170"/>
      <c r="AO215" s="170"/>
      <c r="AP215" s="171"/>
      <c r="AQ215" s="171"/>
      <c r="AR215" s="170"/>
      <c r="AS215" s="170"/>
      <c r="AT215" s="170"/>
      <c r="AU215" s="171"/>
      <c r="AV215" s="171"/>
      <c r="AW215" s="171"/>
      <c r="AX215" s="171"/>
      <c r="AY215" s="171"/>
      <c r="AZ215" s="171"/>
      <c r="BA215" s="171"/>
      <c r="BB215" s="171"/>
      <c r="BC215" s="171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</row>
    <row r="216" spans="1:71" ht="12.5" x14ac:dyDescent="0.25">
      <c r="A216" s="170"/>
      <c r="B216" s="170"/>
      <c r="C216" s="170"/>
      <c r="D216" s="170"/>
      <c r="E216" s="171"/>
      <c r="F216" s="171"/>
      <c r="G216" s="170"/>
      <c r="H216" s="10">
        <v>7149</v>
      </c>
      <c r="I216" s="145">
        <v>1566783</v>
      </c>
      <c r="J216" s="10">
        <v>7149</v>
      </c>
      <c r="K216" s="171"/>
      <c r="L216" s="170"/>
      <c r="M216" s="170"/>
      <c r="N216" s="170"/>
      <c r="O216" s="171"/>
      <c r="P216" s="171"/>
      <c r="Q216" s="170"/>
      <c r="R216" s="170"/>
      <c r="S216" s="170"/>
      <c r="T216" s="171"/>
      <c r="U216" s="171"/>
      <c r="V216" s="171"/>
      <c r="W216" s="171"/>
      <c r="X216" s="171"/>
      <c r="Y216" s="171"/>
      <c r="Z216" s="171"/>
      <c r="AA216" s="171"/>
      <c r="AB216" s="171"/>
      <c r="AC216" s="170"/>
      <c r="AD216" s="170"/>
      <c r="AE216" s="170"/>
      <c r="AF216" s="170"/>
      <c r="AG216" s="170"/>
      <c r="AH216" s="170"/>
      <c r="AI216" s="170"/>
      <c r="AJ216" s="170"/>
      <c r="AK216" s="171"/>
      <c r="AL216" s="171"/>
      <c r="AM216" s="170"/>
      <c r="AN216" s="170"/>
      <c r="AO216" s="170"/>
      <c r="AP216" s="171"/>
      <c r="AQ216" s="171"/>
      <c r="AR216" s="170"/>
      <c r="AS216" s="170"/>
      <c r="AT216" s="170"/>
      <c r="AU216" s="171"/>
      <c r="AV216" s="171"/>
      <c r="AW216" s="171"/>
      <c r="AX216" s="171"/>
      <c r="AY216" s="171"/>
      <c r="AZ216" s="171"/>
      <c r="BA216" s="171"/>
      <c r="BB216" s="171"/>
      <c r="BC216" s="171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</row>
    <row r="217" spans="1:71" ht="12.5" x14ac:dyDescent="0.25">
      <c r="A217" s="170"/>
      <c r="B217" s="170"/>
      <c r="C217" s="170"/>
      <c r="D217" s="170"/>
      <c r="E217" s="171"/>
      <c r="F217" s="171"/>
      <c r="G217" s="170"/>
      <c r="H217" s="10">
        <v>7169</v>
      </c>
      <c r="I217" s="145">
        <v>1599233</v>
      </c>
      <c r="J217" s="10">
        <v>7169</v>
      </c>
      <c r="K217" s="171"/>
      <c r="L217" s="170"/>
      <c r="M217" s="170"/>
      <c r="N217" s="170"/>
      <c r="O217" s="171"/>
      <c r="P217" s="171"/>
      <c r="Q217" s="170"/>
      <c r="R217" s="170"/>
      <c r="S217" s="170"/>
      <c r="T217" s="171"/>
      <c r="U217" s="171"/>
      <c r="V217" s="171"/>
      <c r="W217" s="171"/>
      <c r="X217" s="171"/>
      <c r="Y217" s="171"/>
      <c r="Z217" s="171"/>
      <c r="AA217" s="171"/>
      <c r="AB217" s="171"/>
      <c r="AC217" s="170"/>
      <c r="AD217" s="170"/>
      <c r="AE217" s="170"/>
      <c r="AF217" s="170"/>
      <c r="AG217" s="170"/>
      <c r="AH217" s="170"/>
      <c r="AI217" s="170"/>
      <c r="AJ217" s="170"/>
      <c r="AK217" s="171"/>
      <c r="AL217" s="171"/>
      <c r="AM217" s="170"/>
      <c r="AN217" s="170"/>
      <c r="AO217" s="170"/>
      <c r="AP217" s="171"/>
      <c r="AQ217" s="171"/>
      <c r="AR217" s="170"/>
      <c r="AS217" s="170"/>
      <c r="AT217" s="170"/>
      <c r="AU217" s="171"/>
      <c r="AV217" s="171"/>
      <c r="AW217" s="171"/>
      <c r="AX217" s="171"/>
      <c r="AY217" s="171"/>
      <c r="AZ217" s="171"/>
      <c r="BA217" s="171"/>
      <c r="BB217" s="171"/>
      <c r="BC217" s="171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</row>
    <row r="218" spans="1:71" ht="12.5" x14ac:dyDescent="0.25">
      <c r="A218" s="170"/>
      <c r="B218" s="170"/>
      <c r="C218" s="170"/>
      <c r="D218" s="170"/>
      <c r="E218" s="171"/>
      <c r="F218" s="171"/>
      <c r="G218" s="170"/>
      <c r="H218" s="10">
        <v>7184</v>
      </c>
      <c r="I218" s="145">
        <v>1627315</v>
      </c>
      <c r="J218" s="10">
        <v>7184</v>
      </c>
      <c r="K218" s="171"/>
      <c r="L218" s="170"/>
      <c r="M218" s="170"/>
      <c r="N218" s="170"/>
      <c r="O218" s="171"/>
      <c r="P218" s="171"/>
      <c r="Q218" s="170"/>
      <c r="R218" s="170"/>
      <c r="S218" s="170"/>
      <c r="T218" s="171"/>
      <c r="U218" s="171"/>
      <c r="V218" s="171"/>
      <c r="W218" s="171"/>
      <c r="X218" s="171"/>
      <c r="Y218" s="171"/>
      <c r="Z218" s="171"/>
      <c r="AA218" s="171"/>
      <c r="AB218" s="171"/>
      <c r="AC218" s="170"/>
      <c r="AD218" s="170"/>
      <c r="AE218" s="170"/>
      <c r="AF218" s="170"/>
      <c r="AG218" s="170"/>
      <c r="AH218" s="170"/>
      <c r="AI218" s="170"/>
      <c r="AJ218" s="170"/>
      <c r="AK218" s="171"/>
      <c r="AL218" s="171"/>
      <c r="AM218" s="170"/>
      <c r="AN218" s="170"/>
      <c r="AO218" s="170"/>
      <c r="AP218" s="171"/>
      <c r="AQ218" s="171"/>
      <c r="AR218" s="170"/>
      <c r="AS218" s="170"/>
      <c r="AT218" s="170"/>
      <c r="AU218" s="171"/>
      <c r="AV218" s="171"/>
      <c r="AW218" s="171"/>
      <c r="AX218" s="171"/>
      <c r="AY218" s="171"/>
      <c r="AZ218" s="171"/>
      <c r="BA218" s="171"/>
      <c r="BB218" s="171"/>
      <c r="BC218" s="171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</row>
    <row r="219" spans="1:71" ht="14.5" x14ac:dyDescent="0.35">
      <c r="A219" s="170"/>
      <c r="B219" s="170"/>
      <c r="C219" s="170"/>
      <c r="D219" s="170"/>
      <c r="E219" s="171"/>
      <c r="F219" s="171"/>
      <c r="G219" s="170"/>
      <c r="H219" s="32">
        <v>7196</v>
      </c>
      <c r="I219" s="145">
        <v>1644686</v>
      </c>
      <c r="J219" s="32">
        <v>7196</v>
      </c>
      <c r="K219" s="171"/>
      <c r="L219" s="170"/>
      <c r="M219" s="170"/>
      <c r="N219" s="170"/>
      <c r="O219" s="171"/>
      <c r="P219" s="171"/>
      <c r="Q219" s="170"/>
      <c r="R219" s="170"/>
      <c r="S219" s="170"/>
      <c r="T219" s="171"/>
      <c r="U219" s="171"/>
      <c r="V219" s="171"/>
      <c r="W219" s="171"/>
      <c r="X219" s="171"/>
      <c r="Y219" s="171"/>
      <c r="Z219" s="171"/>
      <c r="AA219" s="171"/>
      <c r="AB219" s="171"/>
      <c r="AC219" s="170"/>
      <c r="AD219" s="170"/>
      <c r="AE219" s="170"/>
      <c r="AF219" s="170"/>
      <c r="AG219" s="170"/>
      <c r="AH219" s="170"/>
      <c r="AI219" s="170"/>
      <c r="AJ219" s="170"/>
      <c r="AK219" s="171"/>
      <c r="AL219" s="171"/>
      <c r="AM219" s="170"/>
      <c r="AN219" s="170"/>
      <c r="AO219" s="170"/>
      <c r="AP219" s="171"/>
      <c r="AQ219" s="171"/>
      <c r="AR219" s="170"/>
      <c r="AS219" s="170"/>
      <c r="AT219" s="170"/>
      <c r="AU219" s="171"/>
      <c r="AV219" s="171"/>
      <c r="AW219" s="171"/>
      <c r="AX219" s="171"/>
      <c r="AY219" s="171"/>
      <c r="AZ219" s="171"/>
      <c r="BA219" s="171"/>
      <c r="BB219" s="171"/>
      <c r="BC219" s="171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</row>
    <row r="220" spans="1:71" ht="14.5" x14ac:dyDescent="0.35">
      <c r="A220" s="170"/>
      <c r="B220" s="170"/>
      <c r="C220" s="170"/>
      <c r="D220" s="170"/>
      <c r="E220" s="171"/>
      <c r="F220" s="171"/>
      <c r="G220" s="170"/>
      <c r="H220" s="32">
        <v>7207</v>
      </c>
      <c r="I220" s="145">
        <v>1656848</v>
      </c>
      <c r="J220" s="32">
        <v>7207</v>
      </c>
      <c r="K220" s="171"/>
      <c r="L220" s="170"/>
      <c r="M220" s="170"/>
      <c r="N220" s="170"/>
      <c r="O220" s="171"/>
      <c r="P220" s="171"/>
      <c r="Q220" s="170"/>
      <c r="R220" s="170"/>
      <c r="S220" s="170"/>
      <c r="T220" s="171"/>
      <c r="U220" s="171"/>
      <c r="V220" s="171"/>
      <c r="W220" s="171"/>
      <c r="X220" s="171"/>
      <c r="Y220" s="171"/>
      <c r="Z220" s="171"/>
      <c r="AA220" s="171"/>
      <c r="AB220" s="171"/>
      <c r="AC220" s="170"/>
      <c r="AD220" s="170"/>
      <c r="AE220" s="170"/>
      <c r="AF220" s="170"/>
      <c r="AG220" s="170"/>
      <c r="AH220" s="170"/>
      <c r="AI220" s="170"/>
      <c r="AJ220" s="170"/>
      <c r="AK220" s="171"/>
      <c r="AL220" s="171"/>
      <c r="AM220" s="170"/>
      <c r="AN220" s="170"/>
      <c r="AO220" s="170"/>
      <c r="AP220" s="171"/>
      <c r="AQ220" s="171"/>
      <c r="AR220" s="170"/>
      <c r="AS220" s="170"/>
      <c r="AT220" s="170"/>
      <c r="AU220" s="171"/>
      <c r="AV220" s="171"/>
      <c r="AW220" s="171"/>
      <c r="AX220" s="171"/>
      <c r="AY220" s="171"/>
      <c r="AZ220" s="171"/>
      <c r="BA220" s="171"/>
      <c r="BB220" s="171"/>
      <c r="BC220" s="171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</row>
    <row r="221" spans="1:71" ht="12.5" x14ac:dyDescent="0.25">
      <c r="A221" s="170"/>
      <c r="B221" s="170"/>
      <c r="C221" s="170"/>
      <c r="D221" s="170"/>
      <c r="E221" s="171"/>
      <c r="F221" s="171"/>
      <c r="G221" s="170"/>
      <c r="H221" s="10">
        <v>7225</v>
      </c>
      <c r="I221" s="145">
        <v>1663767</v>
      </c>
      <c r="J221" s="10">
        <v>7225</v>
      </c>
      <c r="K221" s="171"/>
      <c r="L221" s="170"/>
      <c r="M221" s="170"/>
      <c r="N221" s="170"/>
      <c r="O221" s="171"/>
      <c r="P221" s="171"/>
      <c r="Q221" s="170"/>
      <c r="R221" s="170"/>
      <c r="S221" s="170"/>
      <c r="T221" s="171"/>
      <c r="U221" s="171"/>
      <c r="V221" s="171"/>
      <c r="W221" s="171"/>
      <c r="X221" s="171"/>
      <c r="Y221" s="171"/>
      <c r="Z221" s="171"/>
      <c r="AA221" s="171"/>
      <c r="AB221" s="171"/>
      <c r="AC221" s="170"/>
      <c r="AD221" s="170"/>
      <c r="AE221" s="170"/>
      <c r="AF221" s="170"/>
      <c r="AG221" s="170"/>
      <c r="AH221" s="170"/>
      <c r="AI221" s="170"/>
      <c r="AJ221" s="170"/>
      <c r="AK221" s="171"/>
      <c r="AL221" s="171"/>
      <c r="AM221" s="170"/>
      <c r="AN221" s="170"/>
      <c r="AO221" s="170"/>
      <c r="AP221" s="171"/>
      <c r="AQ221" s="171"/>
      <c r="AR221" s="170"/>
      <c r="AS221" s="170"/>
      <c r="AT221" s="170"/>
      <c r="AU221" s="171"/>
      <c r="AV221" s="171"/>
      <c r="AW221" s="171"/>
      <c r="AX221" s="171"/>
      <c r="AY221" s="171"/>
      <c r="AZ221" s="171"/>
      <c r="BA221" s="171"/>
      <c r="BB221" s="171"/>
      <c r="BC221" s="171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</row>
    <row r="222" spans="1:71" ht="12.5" x14ac:dyDescent="0.25">
      <c r="A222" s="170"/>
      <c r="B222" s="170"/>
      <c r="C222" s="170"/>
      <c r="D222" s="170"/>
      <c r="E222" s="171"/>
      <c r="F222" s="171"/>
      <c r="G222" s="170"/>
      <c r="H222" s="10">
        <v>7239</v>
      </c>
      <c r="I222" s="145">
        <v>1704615</v>
      </c>
      <c r="J222" s="10">
        <v>7239</v>
      </c>
      <c r="K222" s="171"/>
      <c r="L222" s="170"/>
      <c r="M222" s="170"/>
      <c r="N222" s="170"/>
      <c r="O222" s="171"/>
      <c r="P222" s="171"/>
      <c r="Q222" s="170"/>
      <c r="R222" s="170"/>
      <c r="S222" s="170"/>
      <c r="T222" s="171"/>
      <c r="U222" s="171"/>
      <c r="V222" s="171"/>
      <c r="W222" s="171"/>
      <c r="X222" s="171"/>
      <c r="Y222" s="171"/>
      <c r="Z222" s="171"/>
      <c r="AA222" s="171"/>
      <c r="AB222" s="171"/>
      <c r="AC222" s="170"/>
      <c r="AD222" s="170"/>
      <c r="AE222" s="170"/>
      <c r="AF222" s="170"/>
      <c r="AG222" s="170"/>
      <c r="AH222" s="170"/>
      <c r="AI222" s="170"/>
      <c r="AJ222" s="170"/>
      <c r="AK222" s="171"/>
      <c r="AL222" s="171"/>
      <c r="AM222" s="170"/>
      <c r="AN222" s="170"/>
      <c r="AO222" s="170"/>
      <c r="AP222" s="171"/>
      <c r="AQ222" s="171"/>
      <c r="AR222" s="170"/>
      <c r="AS222" s="170"/>
      <c r="AT222" s="170"/>
      <c r="AU222" s="171"/>
      <c r="AV222" s="171"/>
      <c r="AW222" s="171"/>
      <c r="AX222" s="171"/>
      <c r="AY222" s="171"/>
      <c r="AZ222" s="171"/>
      <c r="BA222" s="171"/>
      <c r="BB222" s="171"/>
      <c r="BC222" s="171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</row>
    <row r="223" spans="1:71" ht="12.5" x14ac:dyDescent="0.25">
      <c r="A223" s="170"/>
      <c r="B223" s="170"/>
      <c r="C223" s="170"/>
      <c r="D223" s="170"/>
      <c r="E223" s="171"/>
      <c r="F223" s="171"/>
      <c r="G223" s="170"/>
      <c r="H223" s="10">
        <v>7250</v>
      </c>
      <c r="I223" s="145">
        <v>1732164</v>
      </c>
      <c r="J223" s="10">
        <v>7250</v>
      </c>
      <c r="K223" s="171"/>
      <c r="L223" s="170"/>
      <c r="M223" s="170"/>
      <c r="N223" s="170"/>
      <c r="O223" s="171"/>
      <c r="P223" s="171"/>
      <c r="Q223" s="170"/>
      <c r="R223" s="170"/>
      <c r="S223" s="170"/>
      <c r="T223" s="171"/>
      <c r="U223" s="171"/>
      <c r="V223" s="171"/>
      <c r="W223" s="171"/>
      <c r="X223" s="171"/>
      <c r="Y223" s="171"/>
      <c r="Z223" s="171"/>
      <c r="AA223" s="171"/>
      <c r="AB223" s="171"/>
      <c r="AC223" s="170"/>
      <c r="AD223" s="170"/>
      <c r="AE223" s="170"/>
      <c r="AF223" s="170"/>
      <c r="AG223" s="170"/>
      <c r="AH223" s="170"/>
      <c r="AI223" s="170"/>
      <c r="AJ223" s="170"/>
      <c r="AK223" s="171"/>
      <c r="AL223" s="171"/>
      <c r="AM223" s="170"/>
      <c r="AN223" s="170"/>
      <c r="AO223" s="170"/>
      <c r="AP223" s="171"/>
      <c r="AQ223" s="171"/>
      <c r="AR223" s="170"/>
      <c r="AS223" s="170"/>
      <c r="AT223" s="170"/>
      <c r="AU223" s="171"/>
      <c r="AV223" s="171"/>
      <c r="AW223" s="171"/>
      <c r="AX223" s="171"/>
      <c r="AY223" s="171"/>
      <c r="AZ223" s="171"/>
      <c r="BA223" s="171"/>
      <c r="BB223" s="171"/>
      <c r="BC223" s="171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</row>
    <row r="224" spans="1:71" ht="12.5" x14ac:dyDescent="0.25">
      <c r="A224" s="170"/>
      <c r="B224" s="170"/>
      <c r="C224" s="170"/>
      <c r="D224" s="170"/>
      <c r="E224" s="171"/>
      <c r="F224" s="171"/>
      <c r="G224" s="170"/>
      <c r="H224" s="10">
        <v>7271</v>
      </c>
      <c r="I224" s="145">
        <v>1770292</v>
      </c>
      <c r="J224" s="10">
        <v>7271</v>
      </c>
      <c r="K224" s="171"/>
      <c r="L224" s="170"/>
      <c r="M224" s="170"/>
      <c r="N224" s="170"/>
      <c r="O224" s="171"/>
      <c r="P224" s="171"/>
      <c r="Q224" s="170"/>
      <c r="R224" s="170"/>
      <c r="S224" s="170"/>
      <c r="T224" s="171"/>
      <c r="U224" s="171"/>
      <c r="V224" s="171"/>
      <c r="W224" s="171"/>
      <c r="X224" s="171"/>
      <c r="Y224" s="171"/>
      <c r="Z224" s="171"/>
      <c r="AA224" s="171"/>
      <c r="AB224" s="171"/>
      <c r="AC224" s="170"/>
      <c r="AD224" s="170"/>
      <c r="AE224" s="170"/>
      <c r="AF224" s="170"/>
      <c r="AG224" s="170"/>
      <c r="AH224" s="170"/>
      <c r="AI224" s="170"/>
      <c r="AJ224" s="170"/>
      <c r="AK224" s="171"/>
      <c r="AL224" s="171"/>
      <c r="AM224" s="170"/>
      <c r="AN224" s="170"/>
      <c r="AO224" s="170"/>
      <c r="AP224" s="171"/>
      <c r="AQ224" s="171"/>
      <c r="AR224" s="170"/>
      <c r="AS224" s="170"/>
      <c r="AT224" s="170"/>
      <c r="AU224" s="171"/>
      <c r="AV224" s="171"/>
      <c r="AW224" s="171"/>
      <c r="AX224" s="171"/>
      <c r="AY224" s="171"/>
      <c r="AZ224" s="171"/>
      <c r="BA224" s="171"/>
      <c r="BB224" s="171"/>
      <c r="BC224" s="171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</row>
    <row r="225" spans="1:71" ht="12.5" x14ac:dyDescent="0.25">
      <c r="A225" s="170"/>
      <c r="B225" s="170"/>
      <c r="C225" s="170"/>
      <c r="D225" s="170"/>
      <c r="E225" s="171"/>
      <c r="F225" s="171"/>
      <c r="G225" s="170"/>
      <c r="H225" s="10">
        <v>7288</v>
      </c>
      <c r="I225" s="145">
        <v>1773251</v>
      </c>
      <c r="J225" s="10">
        <v>7288</v>
      </c>
      <c r="K225" s="171"/>
      <c r="L225" s="170"/>
      <c r="M225" s="170"/>
      <c r="N225" s="170"/>
      <c r="O225" s="171"/>
      <c r="P225" s="171"/>
      <c r="Q225" s="170"/>
      <c r="R225" s="170"/>
      <c r="S225" s="170"/>
      <c r="T225" s="171"/>
      <c r="U225" s="171"/>
      <c r="V225" s="171"/>
      <c r="W225" s="171"/>
      <c r="X225" s="171"/>
      <c r="Y225" s="171"/>
      <c r="Z225" s="171"/>
      <c r="AA225" s="171"/>
      <c r="AB225" s="171"/>
      <c r="AC225" s="170"/>
      <c r="AD225" s="170"/>
      <c r="AE225" s="170"/>
      <c r="AF225" s="170"/>
      <c r="AG225" s="170"/>
      <c r="AH225" s="170"/>
      <c r="AI225" s="170"/>
      <c r="AJ225" s="170"/>
      <c r="AK225" s="171"/>
      <c r="AL225" s="171"/>
      <c r="AM225" s="170"/>
      <c r="AN225" s="170"/>
      <c r="AO225" s="170"/>
      <c r="AP225" s="171"/>
      <c r="AQ225" s="171"/>
      <c r="AR225" s="170"/>
      <c r="AS225" s="170"/>
      <c r="AT225" s="170"/>
      <c r="AU225" s="171"/>
      <c r="AV225" s="171"/>
      <c r="AW225" s="171"/>
      <c r="AX225" s="171"/>
      <c r="AY225" s="171"/>
      <c r="AZ225" s="171"/>
      <c r="BA225" s="171"/>
      <c r="BB225" s="171"/>
      <c r="BC225" s="171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</row>
    <row r="226" spans="1:71" ht="12.5" x14ac:dyDescent="0.25">
      <c r="A226" s="170"/>
      <c r="B226" s="170"/>
      <c r="C226" s="170"/>
      <c r="D226" s="170"/>
      <c r="E226" s="171"/>
      <c r="F226" s="171"/>
      <c r="G226" s="170"/>
      <c r="H226" s="10">
        <v>7296</v>
      </c>
      <c r="I226" s="145">
        <v>1773251</v>
      </c>
      <c r="J226" s="10">
        <v>7296</v>
      </c>
      <c r="K226" s="171"/>
      <c r="L226" s="170"/>
      <c r="M226" s="170"/>
      <c r="N226" s="170"/>
      <c r="O226" s="171"/>
      <c r="P226" s="171"/>
      <c r="Q226" s="170"/>
      <c r="R226" s="170"/>
      <c r="S226" s="170"/>
      <c r="T226" s="171"/>
      <c r="U226" s="171"/>
      <c r="V226" s="171"/>
      <c r="W226" s="171"/>
      <c r="X226" s="171"/>
      <c r="Y226" s="171"/>
      <c r="Z226" s="171"/>
      <c r="AA226" s="171"/>
      <c r="AB226" s="171"/>
      <c r="AC226" s="170"/>
      <c r="AD226" s="170"/>
      <c r="AE226" s="170"/>
      <c r="AF226" s="170"/>
      <c r="AG226" s="170"/>
      <c r="AH226" s="170"/>
      <c r="AI226" s="170"/>
      <c r="AJ226" s="170"/>
      <c r="AK226" s="171"/>
      <c r="AL226" s="171"/>
      <c r="AM226" s="170"/>
      <c r="AN226" s="170"/>
      <c r="AO226" s="170"/>
      <c r="AP226" s="171"/>
      <c r="AQ226" s="171"/>
      <c r="AR226" s="170"/>
      <c r="AS226" s="170"/>
      <c r="AT226" s="170"/>
      <c r="AU226" s="171"/>
      <c r="AV226" s="171"/>
      <c r="AW226" s="171"/>
      <c r="AX226" s="171"/>
      <c r="AY226" s="171"/>
      <c r="AZ226" s="171"/>
      <c r="BA226" s="171"/>
      <c r="BB226" s="171"/>
      <c r="BC226" s="171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</row>
    <row r="227" spans="1:71" ht="14.5" x14ac:dyDescent="0.35">
      <c r="A227" s="170"/>
      <c r="B227" s="170"/>
      <c r="C227" s="170"/>
      <c r="D227" s="170"/>
      <c r="E227" s="171"/>
      <c r="F227" s="171"/>
      <c r="G227" s="170"/>
      <c r="H227" s="32">
        <v>7309</v>
      </c>
      <c r="I227" s="145">
        <v>1775331</v>
      </c>
      <c r="J227" s="32">
        <v>7309</v>
      </c>
      <c r="K227" s="171"/>
      <c r="L227" s="170"/>
      <c r="M227" s="170"/>
      <c r="N227" s="170"/>
      <c r="O227" s="171"/>
      <c r="P227" s="171"/>
      <c r="Q227" s="170"/>
      <c r="R227" s="170"/>
      <c r="S227" s="170"/>
      <c r="T227" s="171"/>
      <c r="U227" s="171"/>
      <c r="V227" s="171"/>
      <c r="W227" s="171"/>
      <c r="X227" s="171"/>
      <c r="Y227" s="171"/>
      <c r="Z227" s="171"/>
      <c r="AA227" s="171"/>
      <c r="AB227" s="171"/>
      <c r="AC227" s="170"/>
      <c r="AD227" s="170"/>
      <c r="AE227" s="170"/>
      <c r="AF227" s="170"/>
      <c r="AG227" s="170"/>
      <c r="AH227" s="170"/>
      <c r="AI227" s="170"/>
      <c r="AJ227" s="170"/>
      <c r="AK227" s="171"/>
      <c r="AL227" s="171"/>
      <c r="AM227" s="170"/>
      <c r="AN227" s="170"/>
      <c r="AO227" s="170"/>
      <c r="AP227" s="171"/>
      <c r="AQ227" s="171"/>
      <c r="AR227" s="170"/>
      <c r="AS227" s="170"/>
      <c r="AT227" s="170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</row>
    <row r="228" spans="1:71" ht="12.5" x14ac:dyDescent="0.25">
      <c r="A228" s="170"/>
      <c r="B228" s="170"/>
      <c r="C228" s="170"/>
      <c r="D228" s="170"/>
      <c r="E228" s="171"/>
      <c r="F228" s="171"/>
      <c r="G228" s="170"/>
      <c r="H228" s="10">
        <v>7327</v>
      </c>
      <c r="I228" s="145">
        <v>1797154</v>
      </c>
      <c r="J228" s="10">
        <v>7327</v>
      </c>
      <c r="K228" s="171"/>
      <c r="L228" s="170"/>
      <c r="M228" s="170"/>
      <c r="N228" s="170"/>
      <c r="O228" s="171"/>
      <c r="P228" s="171"/>
      <c r="Q228" s="170"/>
      <c r="R228" s="170"/>
      <c r="S228" s="170"/>
      <c r="T228" s="171"/>
      <c r="U228" s="171"/>
      <c r="V228" s="171"/>
      <c r="W228" s="171"/>
      <c r="X228" s="171"/>
      <c r="Y228" s="171"/>
      <c r="Z228" s="171"/>
      <c r="AA228" s="171"/>
      <c r="AB228" s="171"/>
      <c r="AC228" s="170"/>
      <c r="AD228" s="170"/>
      <c r="AE228" s="170"/>
      <c r="AF228" s="170"/>
      <c r="AG228" s="170"/>
      <c r="AH228" s="170"/>
      <c r="AI228" s="170"/>
      <c r="AJ228" s="170"/>
      <c r="AK228" s="171"/>
      <c r="AL228" s="171"/>
      <c r="AM228" s="170"/>
      <c r="AN228" s="170"/>
      <c r="AO228" s="170"/>
      <c r="AP228" s="171"/>
      <c r="AQ228" s="171"/>
      <c r="AR228" s="170"/>
      <c r="AS228" s="170"/>
      <c r="AT228" s="170"/>
      <c r="AU228" s="171"/>
      <c r="AV228" s="171"/>
      <c r="AW228" s="171"/>
      <c r="AX228" s="171"/>
      <c r="AY228" s="171"/>
      <c r="AZ228" s="171"/>
      <c r="BA228" s="171"/>
      <c r="BB228" s="171"/>
      <c r="BC228" s="171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72"/>
      <c r="BR228" s="172"/>
      <c r="BS228" s="172"/>
    </row>
    <row r="229" spans="1:71" ht="12.5" x14ac:dyDescent="0.25">
      <c r="A229" s="170"/>
      <c r="B229" s="170"/>
      <c r="C229" s="170"/>
      <c r="D229" s="170"/>
      <c r="E229" s="171"/>
      <c r="F229" s="171"/>
      <c r="G229" s="170"/>
      <c r="H229" s="10">
        <v>7349</v>
      </c>
      <c r="I229" s="145">
        <v>1804342</v>
      </c>
      <c r="J229" s="10">
        <v>7349</v>
      </c>
      <c r="K229" s="171"/>
      <c r="L229" s="170"/>
      <c r="M229" s="170"/>
      <c r="N229" s="170"/>
      <c r="O229" s="171"/>
      <c r="P229" s="171"/>
      <c r="Q229" s="170"/>
      <c r="R229" s="170"/>
      <c r="S229" s="170"/>
      <c r="T229" s="171"/>
      <c r="U229" s="171"/>
      <c r="V229" s="171"/>
      <c r="W229" s="171"/>
      <c r="X229" s="171"/>
      <c r="Y229" s="171"/>
      <c r="Z229" s="171"/>
      <c r="AA229" s="171"/>
      <c r="AB229" s="171"/>
      <c r="AC229" s="170"/>
      <c r="AD229" s="170"/>
      <c r="AE229" s="170"/>
      <c r="AF229" s="170"/>
      <c r="AG229" s="170"/>
      <c r="AH229" s="170"/>
      <c r="AI229" s="170"/>
      <c r="AJ229" s="170"/>
      <c r="AK229" s="171"/>
      <c r="AL229" s="171"/>
      <c r="AM229" s="170"/>
      <c r="AN229" s="170"/>
      <c r="AO229" s="170"/>
      <c r="AP229" s="171"/>
      <c r="AQ229" s="171"/>
      <c r="AR229" s="170"/>
      <c r="AS229" s="170"/>
      <c r="AT229" s="170"/>
      <c r="AU229" s="171"/>
      <c r="AV229" s="171"/>
      <c r="AW229" s="171"/>
      <c r="AX229" s="171"/>
      <c r="AY229" s="171"/>
      <c r="AZ229" s="171"/>
      <c r="BA229" s="171"/>
      <c r="BB229" s="171"/>
      <c r="BC229" s="171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</row>
    <row r="230" spans="1:71" ht="12.5" x14ac:dyDescent="0.25">
      <c r="A230" s="170"/>
      <c r="B230" s="170"/>
      <c r="C230" s="170"/>
      <c r="D230" s="170"/>
      <c r="E230" s="171"/>
      <c r="F230" s="171"/>
      <c r="G230" s="170"/>
      <c r="H230" s="10">
        <v>7361</v>
      </c>
      <c r="I230" s="145">
        <v>1829911</v>
      </c>
      <c r="J230" s="10">
        <v>7361</v>
      </c>
      <c r="K230" s="171"/>
      <c r="L230" s="170"/>
      <c r="M230" s="170"/>
      <c r="N230" s="170"/>
      <c r="O230" s="171"/>
      <c r="P230" s="171"/>
      <c r="Q230" s="170"/>
      <c r="R230" s="170"/>
      <c r="S230" s="170"/>
      <c r="T230" s="171"/>
      <c r="U230" s="171"/>
      <c r="V230" s="171"/>
      <c r="W230" s="171"/>
      <c r="X230" s="171"/>
      <c r="Y230" s="171"/>
      <c r="Z230" s="171"/>
      <c r="AA230" s="171"/>
      <c r="AB230" s="171"/>
      <c r="AC230" s="170"/>
      <c r="AD230" s="170"/>
      <c r="AE230" s="170"/>
      <c r="AF230" s="170"/>
      <c r="AG230" s="170"/>
      <c r="AH230" s="170"/>
      <c r="AI230" s="170"/>
      <c r="AJ230" s="170"/>
      <c r="AK230" s="171"/>
      <c r="AL230" s="171"/>
      <c r="AM230" s="170"/>
      <c r="AN230" s="170"/>
      <c r="AO230" s="170"/>
      <c r="AP230" s="171"/>
      <c r="AQ230" s="171"/>
      <c r="AR230" s="170"/>
      <c r="AS230" s="170"/>
      <c r="AT230" s="170"/>
      <c r="AU230" s="171"/>
      <c r="AV230" s="171"/>
      <c r="AW230" s="171"/>
      <c r="AX230" s="171"/>
      <c r="AY230" s="171"/>
      <c r="AZ230" s="171"/>
      <c r="BA230" s="171"/>
      <c r="BB230" s="171"/>
      <c r="BC230" s="171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</row>
    <row r="231" spans="1:71" ht="12.5" x14ac:dyDescent="0.25">
      <c r="A231" s="170"/>
      <c r="B231" s="170"/>
      <c r="C231" s="170"/>
      <c r="D231" s="170"/>
      <c r="E231" s="171"/>
      <c r="F231" s="171"/>
      <c r="G231" s="170"/>
      <c r="H231" s="10">
        <v>7381</v>
      </c>
      <c r="I231" s="145">
        <v>1834501</v>
      </c>
      <c r="J231" s="10">
        <v>7381</v>
      </c>
      <c r="K231" s="171"/>
      <c r="L231" s="170"/>
      <c r="M231" s="170"/>
      <c r="N231" s="170"/>
      <c r="O231" s="171"/>
      <c r="P231" s="171"/>
      <c r="Q231" s="170"/>
      <c r="R231" s="170"/>
      <c r="S231" s="170"/>
      <c r="T231" s="171"/>
      <c r="U231" s="171"/>
      <c r="V231" s="171"/>
      <c r="W231" s="171"/>
      <c r="X231" s="171"/>
      <c r="Y231" s="171"/>
      <c r="Z231" s="171"/>
      <c r="AA231" s="171"/>
      <c r="AB231" s="171"/>
      <c r="AC231" s="170"/>
      <c r="AD231" s="170"/>
      <c r="AE231" s="170"/>
      <c r="AF231" s="170"/>
      <c r="AG231" s="170"/>
      <c r="AH231" s="170"/>
      <c r="AI231" s="170"/>
      <c r="AJ231" s="170"/>
      <c r="AK231" s="171"/>
      <c r="AL231" s="171"/>
      <c r="AM231" s="170"/>
      <c r="AN231" s="170"/>
      <c r="AO231" s="170"/>
      <c r="AP231" s="171"/>
      <c r="AQ231" s="171"/>
      <c r="AR231" s="170"/>
      <c r="AS231" s="170"/>
      <c r="AT231" s="170"/>
      <c r="AU231" s="171"/>
      <c r="AV231" s="171"/>
      <c r="AW231" s="171"/>
      <c r="AX231" s="171"/>
      <c r="AY231" s="171"/>
      <c r="AZ231" s="171"/>
      <c r="BA231" s="171"/>
      <c r="BB231" s="171"/>
      <c r="BC231" s="171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</row>
    <row r="232" spans="1:71" ht="12.5" x14ac:dyDescent="0.25">
      <c r="A232" s="170"/>
      <c r="B232" s="170"/>
      <c r="C232" s="170"/>
      <c r="D232" s="170"/>
      <c r="E232" s="171"/>
      <c r="F232" s="171"/>
      <c r="G232" s="170"/>
      <c r="H232" s="10">
        <v>7402</v>
      </c>
      <c r="I232" s="145">
        <v>1841626</v>
      </c>
      <c r="J232" s="10">
        <v>7402</v>
      </c>
      <c r="K232" s="171"/>
      <c r="L232" s="170"/>
      <c r="M232" s="170"/>
      <c r="N232" s="170"/>
      <c r="O232" s="171"/>
      <c r="P232" s="171"/>
      <c r="Q232" s="170"/>
      <c r="R232" s="170"/>
      <c r="S232" s="170"/>
      <c r="T232" s="171"/>
      <c r="U232" s="171"/>
      <c r="V232" s="171"/>
      <c r="W232" s="171"/>
      <c r="X232" s="171"/>
      <c r="Y232" s="171"/>
      <c r="Z232" s="171"/>
      <c r="AA232" s="171"/>
      <c r="AB232" s="171"/>
      <c r="AC232" s="170"/>
      <c r="AD232" s="170"/>
      <c r="AE232" s="170"/>
      <c r="AF232" s="170"/>
      <c r="AG232" s="170"/>
      <c r="AH232" s="170"/>
      <c r="AI232" s="170"/>
      <c r="AJ232" s="170"/>
      <c r="AK232" s="171"/>
      <c r="AL232" s="171"/>
      <c r="AM232" s="170"/>
      <c r="AN232" s="170"/>
      <c r="AO232" s="170"/>
      <c r="AP232" s="171"/>
      <c r="AQ232" s="171"/>
      <c r="AR232" s="170"/>
      <c r="AS232" s="170"/>
      <c r="AT232" s="170"/>
      <c r="AU232" s="171"/>
      <c r="AV232" s="171"/>
      <c r="AW232" s="171"/>
      <c r="AX232" s="171"/>
      <c r="AY232" s="171"/>
      <c r="AZ232" s="171"/>
      <c r="BA232" s="171"/>
      <c r="BB232" s="171"/>
      <c r="BC232" s="171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</row>
    <row r="233" spans="1:71" ht="12.5" x14ac:dyDescent="0.25">
      <c r="A233" s="170"/>
      <c r="B233" s="170"/>
      <c r="C233" s="170"/>
      <c r="D233" s="170"/>
      <c r="E233" s="171"/>
      <c r="F233" s="171"/>
      <c r="G233" s="170"/>
      <c r="H233" s="10">
        <v>7423</v>
      </c>
      <c r="I233" s="145">
        <v>1841757</v>
      </c>
      <c r="J233" s="10">
        <v>7423</v>
      </c>
      <c r="K233" s="171"/>
      <c r="L233" s="170"/>
      <c r="M233" s="170"/>
      <c r="N233" s="170"/>
      <c r="O233" s="171"/>
      <c r="P233" s="171"/>
      <c r="Q233" s="170"/>
      <c r="R233" s="170"/>
      <c r="S233" s="170"/>
      <c r="T233" s="171"/>
      <c r="U233" s="171"/>
      <c r="V233" s="171"/>
      <c r="W233" s="171"/>
      <c r="X233" s="171"/>
      <c r="Y233" s="171"/>
      <c r="Z233" s="171"/>
      <c r="AA233" s="171"/>
      <c r="AB233" s="171"/>
      <c r="AC233" s="170"/>
      <c r="AD233" s="170"/>
      <c r="AE233" s="170"/>
      <c r="AF233" s="170"/>
      <c r="AG233" s="170"/>
      <c r="AH233" s="170"/>
      <c r="AI233" s="170"/>
      <c r="AJ233" s="170"/>
      <c r="AK233" s="171"/>
      <c r="AL233" s="171"/>
      <c r="AM233" s="170"/>
      <c r="AN233" s="170"/>
      <c r="AO233" s="170"/>
      <c r="AP233" s="171"/>
      <c r="AQ233" s="171"/>
      <c r="AR233" s="170"/>
      <c r="AS233" s="170"/>
      <c r="AT233" s="170"/>
      <c r="AU233" s="171"/>
      <c r="AV233" s="171"/>
      <c r="AW233" s="171"/>
      <c r="AX233" s="171"/>
      <c r="AY233" s="171"/>
      <c r="AZ233" s="171"/>
      <c r="BA233" s="171"/>
      <c r="BB233" s="171"/>
      <c r="BC233" s="171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</row>
    <row r="234" spans="1:71" ht="14.5" x14ac:dyDescent="0.35">
      <c r="A234" s="170"/>
      <c r="B234" s="170"/>
      <c r="C234" s="170"/>
      <c r="D234" s="170"/>
      <c r="E234" s="171"/>
      <c r="F234" s="171"/>
      <c r="G234" s="170"/>
      <c r="H234" s="32">
        <v>7438</v>
      </c>
      <c r="I234" s="145">
        <v>1841775</v>
      </c>
      <c r="J234" s="32">
        <v>7438</v>
      </c>
      <c r="K234" s="171"/>
      <c r="L234" s="170"/>
      <c r="M234" s="170"/>
      <c r="N234" s="170"/>
      <c r="O234" s="171"/>
      <c r="P234" s="171"/>
      <c r="Q234" s="170"/>
      <c r="R234" s="170"/>
      <c r="S234" s="170"/>
      <c r="T234" s="171"/>
      <c r="U234" s="171"/>
      <c r="V234" s="171"/>
      <c r="W234" s="171"/>
      <c r="X234" s="171"/>
      <c r="Y234" s="171"/>
      <c r="Z234" s="171"/>
      <c r="AA234" s="171"/>
      <c r="AB234" s="171"/>
      <c r="AC234" s="170"/>
      <c r="AD234" s="170"/>
      <c r="AE234" s="170"/>
      <c r="AF234" s="170"/>
      <c r="AG234" s="170"/>
      <c r="AH234" s="170"/>
      <c r="AI234" s="170"/>
      <c r="AJ234" s="170"/>
      <c r="AK234" s="171"/>
      <c r="AL234" s="171"/>
      <c r="AM234" s="170"/>
      <c r="AN234" s="170"/>
      <c r="AO234" s="170"/>
      <c r="AP234" s="171"/>
      <c r="AQ234" s="171"/>
      <c r="AR234" s="170"/>
      <c r="AS234" s="170"/>
      <c r="AT234" s="170"/>
      <c r="AU234" s="171"/>
      <c r="AV234" s="171"/>
      <c r="AW234" s="171"/>
      <c r="AX234" s="171"/>
      <c r="AY234" s="171"/>
      <c r="AZ234" s="171"/>
      <c r="BA234" s="171"/>
      <c r="BB234" s="171"/>
      <c r="BC234" s="171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</row>
    <row r="235" spans="1:71" ht="12.5" x14ac:dyDescent="0.25">
      <c r="A235" s="170"/>
      <c r="B235" s="170"/>
      <c r="C235" s="170"/>
      <c r="D235" s="170"/>
      <c r="E235" s="171"/>
      <c r="F235" s="171"/>
      <c r="G235" s="170"/>
      <c r="H235" s="10">
        <v>7457</v>
      </c>
      <c r="I235" s="145">
        <v>1845698</v>
      </c>
      <c r="J235" s="10">
        <v>7457</v>
      </c>
      <c r="K235" s="171"/>
      <c r="L235" s="170"/>
      <c r="M235" s="170"/>
      <c r="N235" s="170"/>
      <c r="O235" s="171"/>
      <c r="P235" s="171"/>
      <c r="Q235" s="170"/>
      <c r="R235" s="170"/>
      <c r="S235" s="170"/>
      <c r="T235" s="171"/>
      <c r="U235" s="171"/>
      <c r="V235" s="171"/>
      <c r="W235" s="171"/>
      <c r="X235" s="171"/>
      <c r="Y235" s="171"/>
      <c r="Z235" s="171"/>
      <c r="AA235" s="171"/>
      <c r="AB235" s="171"/>
      <c r="AC235" s="170"/>
      <c r="AD235" s="170"/>
      <c r="AE235" s="170"/>
      <c r="AF235" s="170"/>
      <c r="AG235" s="170"/>
      <c r="AH235" s="170"/>
      <c r="AI235" s="170"/>
      <c r="AJ235" s="170"/>
      <c r="AK235" s="171"/>
      <c r="AL235" s="171"/>
      <c r="AM235" s="170"/>
      <c r="AN235" s="170"/>
      <c r="AO235" s="170"/>
      <c r="AP235" s="171"/>
      <c r="AQ235" s="171"/>
      <c r="AR235" s="170"/>
      <c r="AS235" s="170"/>
      <c r="AT235" s="170"/>
      <c r="AU235" s="171"/>
      <c r="AV235" s="171"/>
      <c r="AW235" s="171"/>
      <c r="AX235" s="171"/>
      <c r="AY235" s="171"/>
      <c r="AZ235" s="171"/>
      <c r="BA235" s="171"/>
      <c r="BB235" s="171"/>
      <c r="BC235" s="171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</row>
    <row r="236" spans="1:71" ht="12.5" x14ac:dyDescent="0.25">
      <c r="A236" s="170"/>
      <c r="B236" s="170"/>
      <c r="C236" s="170"/>
      <c r="D236" s="170"/>
      <c r="E236" s="171"/>
      <c r="F236" s="171"/>
      <c r="G236" s="170"/>
      <c r="H236" s="10">
        <v>7478</v>
      </c>
      <c r="I236" s="145">
        <v>1845698</v>
      </c>
      <c r="J236" s="10">
        <v>7478</v>
      </c>
      <c r="K236" s="171"/>
      <c r="L236" s="170"/>
      <c r="M236" s="170"/>
      <c r="N236" s="170"/>
      <c r="O236" s="171"/>
      <c r="P236" s="171"/>
      <c r="Q236" s="170"/>
      <c r="R236" s="170"/>
      <c r="S236" s="170"/>
      <c r="T236" s="171"/>
      <c r="U236" s="171"/>
      <c r="V236" s="171"/>
      <c r="W236" s="171"/>
      <c r="X236" s="171"/>
      <c r="Y236" s="171"/>
      <c r="Z236" s="171"/>
      <c r="AA236" s="171"/>
      <c r="AB236" s="171"/>
      <c r="AC236" s="170"/>
      <c r="AD236" s="170"/>
      <c r="AE236" s="170"/>
      <c r="AF236" s="170"/>
      <c r="AG236" s="170"/>
      <c r="AH236" s="170"/>
      <c r="AI236" s="170"/>
      <c r="AJ236" s="170"/>
      <c r="AK236" s="171"/>
      <c r="AL236" s="171"/>
      <c r="AM236" s="170"/>
      <c r="AN236" s="170"/>
      <c r="AO236" s="170"/>
      <c r="AP236" s="171"/>
      <c r="AQ236" s="171"/>
      <c r="AR236" s="170"/>
      <c r="AS236" s="170"/>
      <c r="AT236" s="170"/>
      <c r="AU236" s="171"/>
      <c r="AV236" s="171"/>
      <c r="AW236" s="171"/>
      <c r="AX236" s="171"/>
      <c r="AY236" s="171"/>
      <c r="AZ236" s="171"/>
      <c r="BA236" s="171"/>
      <c r="BB236" s="171"/>
      <c r="BC236" s="171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</row>
    <row r="237" spans="1:71" ht="12.5" x14ac:dyDescent="0.25">
      <c r="A237" s="170"/>
      <c r="B237" s="170"/>
      <c r="C237" s="170"/>
      <c r="D237" s="170"/>
      <c r="E237" s="171"/>
      <c r="F237" s="171"/>
      <c r="G237" s="170"/>
      <c r="H237" s="10">
        <v>7499</v>
      </c>
      <c r="I237" s="145">
        <v>1845698</v>
      </c>
      <c r="J237" s="10">
        <v>7499</v>
      </c>
      <c r="K237" s="171"/>
      <c r="L237" s="170"/>
      <c r="M237" s="170"/>
      <c r="N237" s="170"/>
      <c r="O237" s="171"/>
      <c r="P237" s="171"/>
      <c r="Q237" s="170"/>
      <c r="R237" s="170"/>
      <c r="S237" s="170"/>
      <c r="T237" s="171"/>
      <c r="U237" s="171"/>
      <c r="V237" s="171"/>
      <c r="W237" s="171"/>
      <c r="X237" s="171"/>
      <c r="Y237" s="171"/>
      <c r="Z237" s="171"/>
      <c r="AA237" s="171"/>
      <c r="AB237" s="171"/>
      <c r="AC237" s="170"/>
      <c r="AD237" s="170"/>
      <c r="AE237" s="170"/>
      <c r="AF237" s="170"/>
      <c r="AG237" s="170"/>
      <c r="AH237" s="170"/>
      <c r="AI237" s="170"/>
      <c r="AJ237" s="170"/>
      <c r="AK237" s="171"/>
      <c r="AL237" s="171"/>
      <c r="AM237" s="170"/>
      <c r="AN237" s="170"/>
      <c r="AO237" s="170"/>
      <c r="AP237" s="171"/>
      <c r="AQ237" s="171"/>
      <c r="AR237" s="170"/>
      <c r="AS237" s="170"/>
      <c r="AT237" s="170"/>
      <c r="AU237" s="171"/>
      <c r="AV237" s="171"/>
      <c r="AW237" s="171"/>
      <c r="AX237" s="171"/>
      <c r="AY237" s="171"/>
      <c r="AZ237" s="171"/>
      <c r="BA237" s="171"/>
      <c r="BB237" s="171"/>
      <c r="BC237" s="171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72"/>
      <c r="BR237" s="172"/>
      <c r="BS237" s="172"/>
    </row>
    <row r="238" spans="1:71" ht="12.5" x14ac:dyDescent="0.25">
      <c r="A238" s="170"/>
      <c r="B238" s="170"/>
      <c r="C238" s="170"/>
      <c r="D238" s="170"/>
      <c r="E238" s="171"/>
      <c r="F238" s="171"/>
      <c r="G238" s="170"/>
      <c r="H238" s="10">
        <v>7523</v>
      </c>
      <c r="I238" s="145">
        <v>1858410</v>
      </c>
      <c r="J238" s="10">
        <v>7523</v>
      </c>
      <c r="K238" s="171"/>
      <c r="L238" s="170"/>
      <c r="M238" s="170"/>
      <c r="N238" s="170"/>
      <c r="O238" s="171"/>
      <c r="P238" s="171"/>
      <c r="Q238" s="170"/>
      <c r="R238" s="170"/>
      <c r="S238" s="170"/>
      <c r="T238" s="171"/>
      <c r="U238" s="171"/>
      <c r="V238" s="171"/>
      <c r="W238" s="171"/>
      <c r="X238" s="171"/>
      <c r="Y238" s="171"/>
      <c r="Z238" s="171"/>
      <c r="AA238" s="171"/>
      <c r="AB238" s="171"/>
      <c r="AC238" s="170"/>
      <c r="AD238" s="170"/>
      <c r="AE238" s="170"/>
      <c r="AF238" s="170"/>
      <c r="AG238" s="170"/>
      <c r="AH238" s="170"/>
      <c r="AI238" s="170"/>
      <c r="AJ238" s="170"/>
      <c r="AK238" s="171"/>
      <c r="AL238" s="171"/>
      <c r="AM238" s="170"/>
      <c r="AN238" s="170"/>
      <c r="AO238" s="170"/>
      <c r="AP238" s="171"/>
      <c r="AQ238" s="171"/>
      <c r="AR238" s="170"/>
      <c r="AS238" s="170"/>
      <c r="AT238" s="170"/>
      <c r="AU238" s="171"/>
      <c r="AV238" s="171"/>
      <c r="AW238" s="171"/>
      <c r="AX238" s="171"/>
      <c r="AY238" s="171"/>
      <c r="AZ238" s="171"/>
      <c r="BA238" s="171"/>
      <c r="BB238" s="171"/>
      <c r="BC238" s="171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72"/>
      <c r="BR238" s="172"/>
      <c r="BS238" s="172"/>
    </row>
    <row r="239" spans="1:71" ht="14.5" x14ac:dyDescent="0.35">
      <c r="A239" s="170"/>
      <c r="B239" s="170"/>
      <c r="C239" s="170"/>
      <c r="D239" s="170"/>
      <c r="E239" s="171"/>
      <c r="F239" s="171"/>
      <c r="G239" s="170"/>
      <c r="H239" s="32">
        <v>7543</v>
      </c>
      <c r="I239" s="145">
        <v>1861571</v>
      </c>
      <c r="J239" s="32">
        <v>7543</v>
      </c>
      <c r="K239" s="171"/>
      <c r="L239" s="170"/>
      <c r="M239" s="170"/>
      <c r="N239" s="170"/>
      <c r="O239" s="171"/>
      <c r="P239" s="171"/>
      <c r="Q239" s="170"/>
      <c r="R239" s="170"/>
      <c r="S239" s="170"/>
      <c r="T239" s="171"/>
      <c r="U239" s="171"/>
      <c r="V239" s="171"/>
      <c r="W239" s="171"/>
      <c r="X239" s="171"/>
      <c r="Y239" s="171"/>
      <c r="Z239" s="171"/>
      <c r="AA239" s="171"/>
      <c r="AB239" s="171"/>
      <c r="AC239" s="170"/>
      <c r="AD239" s="170"/>
      <c r="AE239" s="170"/>
      <c r="AF239" s="170"/>
      <c r="AG239" s="170"/>
      <c r="AH239" s="170"/>
      <c r="AI239" s="170"/>
      <c r="AJ239" s="170"/>
      <c r="AK239" s="171"/>
      <c r="AL239" s="171"/>
      <c r="AM239" s="170"/>
      <c r="AN239" s="170"/>
      <c r="AO239" s="170"/>
      <c r="AP239" s="171"/>
      <c r="AQ239" s="171"/>
      <c r="AR239" s="170"/>
      <c r="AS239" s="170"/>
      <c r="AT239" s="170"/>
      <c r="AU239" s="171"/>
      <c r="AV239" s="171"/>
      <c r="AW239" s="171"/>
      <c r="AX239" s="171"/>
      <c r="AY239" s="171"/>
      <c r="AZ239" s="171"/>
      <c r="BA239" s="171"/>
      <c r="BB239" s="171"/>
      <c r="BC239" s="171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72"/>
      <c r="BR239" s="172"/>
      <c r="BS239" s="172"/>
    </row>
    <row r="240" spans="1:71" ht="14.5" x14ac:dyDescent="0.35">
      <c r="A240" s="170"/>
      <c r="B240" s="170"/>
      <c r="C240" s="170"/>
      <c r="D240" s="170"/>
      <c r="E240" s="171"/>
      <c r="F240" s="171"/>
      <c r="G240" s="170"/>
      <c r="H240" s="32">
        <v>7557</v>
      </c>
      <c r="I240" s="145">
        <v>1861918</v>
      </c>
      <c r="J240" s="32">
        <v>7557</v>
      </c>
      <c r="K240" s="171"/>
      <c r="L240" s="170"/>
      <c r="M240" s="170"/>
      <c r="N240" s="170"/>
      <c r="O240" s="171"/>
      <c r="P240" s="171"/>
      <c r="Q240" s="170"/>
      <c r="R240" s="170"/>
      <c r="S240" s="170"/>
      <c r="T240" s="171"/>
      <c r="U240" s="171"/>
      <c r="V240" s="171"/>
      <c r="W240" s="171"/>
      <c r="X240" s="171"/>
      <c r="Y240" s="171"/>
      <c r="Z240" s="171"/>
      <c r="AA240" s="171"/>
      <c r="AB240" s="171"/>
      <c r="AC240" s="170"/>
      <c r="AD240" s="170"/>
      <c r="AE240" s="170"/>
      <c r="AF240" s="170"/>
      <c r="AG240" s="170"/>
      <c r="AH240" s="170"/>
      <c r="AI240" s="170"/>
      <c r="AJ240" s="170"/>
      <c r="AK240" s="171"/>
      <c r="AL240" s="171"/>
      <c r="AM240" s="170"/>
      <c r="AN240" s="170"/>
      <c r="AO240" s="170"/>
      <c r="AP240" s="171"/>
      <c r="AQ240" s="171"/>
      <c r="AR240" s="170"/>
      <c r="AS240" s="170"/>
      <c r="AT240" s="170"/>
      <c r="AU240" s="171"/>
      <c r="AV240" s="171"/>
      <c r="AW240" s="171"/>
      <c r="AX240" s="171"/>
      <c r="AY240" s="171"/>
      <c r="AZ240" s="171"/>
      <c r="BA240" s="171"/>
      <c r="BB240" s="171"/>
      <c r="BC240" s="171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</row>
    <row r="241" spans="1:71" ht="14.5" x14ac:dyDescent="0.35">
      <c r="A241" s="170"/>
      <c r="B241" s="170"/>
      <c r="C241" s="170"/>
      <c r="D241" s="170"/>
      <c r="E241" s="171"/>
      <c r="F241" s="171"/>
      <c r="G241" s="170"/>
      <c r="H241" s="32">
        <v>7571</v>
      </c>
      <c r="I241" s="145">
        <v>1861955</v>
      </c>
      <c r="J241" s="32">
        <v>7571</v>
      </c>
      <c r="K241" s="171"/>
      <c r="L241" s="170"/>
      <c r="M241" s="170"/>
      <c r="N241" s="170"/>
      <c r="O241" s="171"/>
      <c r="P241" s="171"/>
      <c r="Q241" s="170"/>
      <c r="R241" s="170"/>
      <c r="S241" s="170"/>
      <c r="T241" s="171"/>
      <c r="U241" s="171"/>
      <c r="V241" s="171"/>
      <c r="W241" s="171"/>
      <c r="X241" s="171"/>
      <c r="Y241" s="171"/>
      <c r="Z241" s="171"/>
      <c r="AA241" s="171"/>
      <c r="AB241" s="171"/>
      <c r="AC241" s="170"/>
      <c r="AD241" s="170"/>
      <c r="AE241" s="170"/>
      <c r="AF241" s="170"/>
      <c r="AG241" s="170"/>
      <c r="AH241" s="170"/>
      <c r="AI241" s="170"/>
      <c r="AJ241" s="170"/>
      <c r="AK241" s="171"/>
      <c r="AL241" s="171"/>
      <c r="AM241" s="170"/>
      <c r="AN241" s="170"/>
      <c r="AO241" s="170"/>
      <c r="AP241" s="171"/>
      <c r="AQ241" s="171"/>
      <c r="AR241" s="170"/>
      <c r="AS241" s="170"/>
      <c r="AT241" s="170"/>
      <c r="AU241" s="171"/>
      <c r="AV241" s="171"/>
      <c r="AW241" s="171"/>
      <c r="AX241" s="171"/>
      <c r="AY241" s="171"/>
      <c r="AZ241" s="171"/>
      <c r="BA241" s="171"/>
      <c r="BB241" s="171"/>
      <c r="BC241" s="171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72"/>
      <c r="BR241" s="172"/>
      <c r="BS241" s="172"/>
    </row>
    <row r="242" spans="1:71" ht="14.5" x14ac:dyDescent="0.35">
      <c r="A242" s="170"/>
      <c r="B242" s="170"/>
      <c r="C242" s="170"/>
      <c r="D242" s="170"/>
      <c r="E242" s="171"/>
      <c r="F242" s="171"/>
      <c r="G242" s="170"/>
      <c r="H242" s="32">
        <v>7609</v>
      </c>
      <c r="I242" s="145">
        <v>1867142</v>
      </c>
      <c r="J242" s="32">
        <v>7609</v>
      </c>
      <c r="K242" s="171"/>
      <c r="L242" s="170"/>
      <c r="M242" s="170"/>
      <c r="N242" s="170"/>
      <c r="O242" s="171"/>
      <c r="P242" s="171"/>
      <c r="Q242" s="170"/>
      <c r="R242" s="170"/>
      <c r="S242" s="170"/>
      <c r="T242" s="171"/>
      <c r="U242" s="171"/>
      <c r="V242" s="171"/>
      <c r="W242" s="171"/>
      <c r="X242" s="171"/>
      <c r="Y242" s="171"/>
      <c r="Z242" s="171"/>
      <c r="AA242" s="171"/>
      <c r="AB242" s="171"/>
      <c r="AC242" s="170"/>
      <c r="AD242" s="170"/>
      <c r="AE242" s="170"/>
      <c r="AF242" s="170"/>
      <c r="AG242" s="170"/>
      <c r="AH242" s="170"/>
      <c r="AI242" s="170"/>
      <c r="AJ242" s="170"/>
      <c r="AK242" s="171"/>
      <c r="AL242" s="171"/>
      <c r="AM242" s="170"/>
      <c r="AN242" s="170"/>
      <c r="AO242" s="170"/>
      <c r="AP242" s="171"/>
      <c r="AQ242" s="171"/>
      <c r="AR242" s="170"/>
      <c r="AS242" s="170"/>
      <c r="AT242" s="170"/>
      <c r="AU242" s="171"/>
      <c r="AV242" s="171"/>
      <c r="AW242" s="171"/>
      <c r="AX242" s="171"/>
      <c r="AY242" s="171"/>
      <c r="AZ242" s="171"/>
      <c r="BA242" s="171"/>
      <c r="BB242" s="171"/>
      <c r="BC242" s="171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72"/>
      <c r="BR242" s="172"/>
      <c r="BS242" s="172"/>
    </row>
    <row r="243" spans="1:71" ht="14.5" x14ac:dyDescent="0.35">
      <c r="A243" s="170"/>
      <c r="B243" s="170"/>
      <c r="C243" s="170"/>
      <c r="D243" s="170"/>
      <c r="E243" s="171"/>
      <c r="F243" s="171"/>
      <c r="G243" s="170"/>
      <c r="H243" s="32">
        <v>7634</v>
      </c>
      <c r="I243" s="145">
        <v>1871327</v>
      </c>
      <c r="J243" s="32">
        <v>7634</v>
      </c>
      <c r="K243" s="171"/>
      <c r="L243" s="170"/>
      <c r="M243" s="170"/>
      <c r="N243" s="170"/>
      <c r="O243" s="171"/>
      <c r="P243" s="171"/>
      <c r="Q243" s="170"/>
      <c r="R243" s="170"/>
      <c r="S243" s="170"/>
      <c r="T243" s="171"/>
      <c r="U243" s="171"/>
      <c r="V243" s="171"/>
      <c r="W243" s="171"/>
      <c r="X243" s="171"/>
      <c r="Y243" s="171"/>
      <c r="Z243" s="171"/>
      <c r="AA243" s="171"/>
      <c r="AB243" s="171"/>
      <c r="AC243" s="170"/>
      <c r="AD243" s="170"/>
      <c r="AE243" s="170"/>
      <c r="AF243" s="170"/>
      <c r="AG243" s="170"/>
      <c r="AH243" s="170"/>
      <c r="AI243" s="170"/>
      <c r="AJ243" s="170"/>
      <c r="AK243" s="171"/>
      <c r="AL243" s="171"/>
      <c r="AM243" s="170"/>
      <c r="AN243" s="170"/>
      <c r="AO243" s="170"/>
      <c r="AP243" s="171"/>
      <c r="AQ243" s="171"/>
      <c r="AR243" s="170"/>
      <c r="AS243" s="170"/>
      <c r="AT243" s="170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72"/>
      <c r="BR243" s="172"/>
      <c r="BS243" s="172"/>
    </row>
    <row r="244" spans="1:71" ht="12.5" x14ac:dyDescent="0.25">
      <c r="A244" s="170"/>
      <c r="B244" s="170"/>
      <c r="C244" s="170"/>
      <c r="D244" s="170"/>
      <c r="E244" s="171"/>
      <c r="F244" s="171"/>
      <c r="G244" s="170"/>
      <c r="H244" s="10">
        <v>7665</v>
      </c>
      <c r="I244" s="145">
        <v>1875171</v>
      </c>
      <c r="J244" s="10">
        <v>7665</v>
      </c>
      <c r="K244" s="171"/>
      <c r="L244" s="170"/>
      <c r="M244" s="170"/>
      <c r="N244" s="170"/>
      <c r="O244" s="171"/>
      <c r="P244" s="171"/>
      <c r="Q244" s="170"/>
      <c r="R244" s="170"/>
      <c r="S244" s="170"/>
      <c r="T244" s="171"/>
      <c r="U244" s="171"/>
      <c r="V244" s="171"/>
      <c r="W244" s="171"/>
      <c r="X244" s="171"/>
      <c r="Y244" s="171"/>
      <c r="Z244" s="171"/>
      <c r="AA244" s="171"/>
      <c r="AB244" s="171"/>
      <c r="AC244" s="170"/>
      <c r="AD244" s="170"/>
      <c r="AE244" s="170"/>
      <c r="AF244" s="170"/>
      <c r="AG244" s="170"/>
      <c r="AH244" s="170"/>
      <c r="AI244" s="170"/>
      <c r="AJ244" s="170"/>
      <c r="AK244" s="171"/>
      <c r="AL244" s="171"/>
      <c r="AM244" s="170"/>
      <c r="AN244" s="170"/>
      <c r="AO244" s="170"/>
      <c r="AP244" s="171"/>
      <c r="AQ244" s="171"/>
      <c r="AR244" s="170"/>
      <c r="AS244" s="170"/>
      <c r="AT244" s="170"/>
      <c r="AU244" s="171"/>
      <c r="AV244" s="171"/>
      <c r="AW244" s="171"/>
      <c r="AX244" s="171"/>
      <c r="AY244" s="171"/>
      <c r="AZ244" s="171"/>
      <c r="BA244" s="171"/>
      <c r="BB244" s="171"/>
      <c r="BC244" s="171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72"/>
      <c r="BR244" s="172"/>
      <c r="BS244" s="172"/>
    </row>
    <row r="245" spans="1:71" ht="12.5" x14ac:dyDescent="0.25">
      <c r="A245" s="170"/>
      <c r="B245" s="170"/>
      <c r="C245" s="170"/>
      <c r="D245" s="170"/>
      <c r="E245" s="171"/>
      <c r="F245" s="171"/>
      <c r="G245" s="170"/>
      <c r="H245" s="10">
        <v>7713</v>
      </c>
      <c r="I245" s="145">
        <v>1875171</v>
      </c>
      <c r="J245" s="10">
        <v>7713</v>
      </c>
      <c r="K245" s="171"/>
      <c r="L245" s="170"/>
      <c r="M245" s="170"/>
      <c r="N245" s="170"/>
      <c r="O245" s="171"/>
      <c r="P245" s="171"/>
      <c r="Q245" s="170"/>
      <c r="R245" s="170"/>
      <c r="S245" s="170"/>
      <c r="T245" s="171"/>
      <c r="U245" s="171"/>
      <c r="V245" s="171"/>
      <c r="W245" s="171"/>
      <c r="X245" s="171"/>
      <c r="Y245" s="171"/>
      <c r="Z245" s="171"/>
      <c r="AA245" s="171"/>
      <c r="AB245" s="171"/>
      <c r="AC245" s="170"/>
      <c r="AD245" s="170"/>
      <c r="AE245" s="170"/>
      <c r="AF245" s="170"/>
      <c r="AG245" s="170"/>
      <c r="AH245" s="170"/>
      <c r="AI245" s="170"/>
      <c r="AJ245" s="170"/>
      <c r="AK245" s="171"/>
      <c r="AL245" s="171"/>
      <c r="AM245" s="170"/>
      <c r="AN245" s="170"/>
      <c r="AO245" s="170"/>
      <c r="AP245" s="171"/>
      <c r="AQ245" s="171"/>
      <c r="AR245" s="170"/>
      <c r="AS245" s="170"/>
      <c r="AT245" s="170"/>
      <c r="AU245" s="171"/>
      <c r="AV245" s="171"/>
      <c r="AW245" s="171"/>
      <c r="AX245" s="171"/>
      <c r="AY245" s="171"/>
      <c r="AZ245" s="171"/>
      <c r="BA245" s="171"/>
      <c r="BB245" s="171"/>
      <c r="BC245" s="171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</row>
    <row r="246" spans="1:71" ht="12.5" x14ac:dyDescent="0.25">
      <c r="A246" s="170"/>
      <c r="B246" s="170"/>
      <c r="C246" s="170"/>
      <c r="D246" s="170"/>
      <c r="E246" s="171"/>
      <c r="F246" s="171"/>
      <c r="G246" s="170"/>
      <c r="H246" s="10">
        <v>7777</v>
      </c>
      <c r="I246" s="145">
        <v>1880997</v>
      </c>
      <c r="J246" s="10">
        <v>7777</v>
      </c>
      <c r="K246" s="171"/>
      <c r="L246" s="170"/>
      <c r="M246" s="170"/>
      <c r="N246" s="170"/>
      <c r="O246" s="171"/>
      <c r="P246" s="171"/>
      <c r="Q246" s="170"/>
      <c r="R246" s="170"/>
      <c r="S246" s="170"/>
      <c r="T246" s="171"/>
      <c r="U246" s="171"/>
      <c r="V246" s="171"/>
      <c r="W246" s="171"/>
      <c r="X246" s="171"/>
      <c r="Y246" s="171"/>
      <c r="Z246" s="171"/>
      <c r="AA246" s="171"/>
      <c r="AB246" s="171"/>
      <c r="AC246" s="170"/>
      <c r="AD246" s="170"/>
      <c r="AE246" s="170"/>
      <c r="AF246" s="170"/>
      <c r="AG246" s="170"/>
      <c r="AH246" s="170"/>
      <c r="AI246" s="170"/>
      <c r="AJ246" s="170"/>
      <c r="AK246" s="171"/>
      <c r="AL246" s="171"/>
      <c r="AM246" s="170"/>
      <c r="AN246" s="170"/>
      <c r="AO246" s="170"/>
      <c r="AP246" s="171"/>
      <c r="AQ246" s="171"/>
      <c r="AR246" s="170"/>
      <c r="AS246" s="170"/>
      <c r="AT246" s="170"/>
      <c r="AU246" s="171"/>
      <c r="AV246" s="171"/>
      <c r="AW246" s="171"/>
      <c r="AX246" s="171"/>
      <c r="AY246" s="171"/>
      <c r="AZ246" s="171"/>
      <c r="BA246" s="171"/>
      <c r="BB246" s="171"/>
      <c r="BC246" s="171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72"/>
      <c r="BR246" s="172"/>
      <c r="BS246" s="172"/>
    </row>
    <row r="247" spans="1:71" ht="12.5" x14ac:dyDescent="0.25">
      <c r="A247" s="170"/>
      <c r="B247" s="170"/>
      <c r="C247" s="170"/>
      <c r="D247" s="170"/>
      <c r="E247" s="171"/>
      <c r="F247" s="171"/>
      <c r="G247" s="170"/>
      <c r="H247" s="10">
        <v>7836</v>
      </c>
      <c r="I247" s="145">
        <v>1886323</v>
      </c>
      <c r="J247" s="10">
        <v>7836</v>
      </c>
      <c r="K247" s="171"/>
      <c r="L247" s="170"/>
      <c r="M247" s="170"/>
      <c r="N247" s="170"/>
      <c r="O247" s="171"/>
      <c r="P247" s="171"/>
      <c r="Q247" s="170"/>
      <c r="R247" s="170"/>
      <c r="S247" s="170"/>
      <c r="T247" s="171"/>
      <c r="U247" s="171"/>
      <c r="V247" s="171"/>
      <c r="W247" s="171"/>
      <c r="X247" s="171"/>
      <c r="Y247" s="171"/>
      <c r="Z247" s="171"/>
      <c r="AA247" s="171"/>
      <c r="AB247" s="171"/>
      <c r="AC247" s="170"/>
      <c r="AD247" s="170"/>
      <c r="AE247" s="170"/>
      <c r="AF247" s="170"/>
      <c r="AG247" s="170"/>
      <c r="AH247" s="170"/>
      <c r="AI247" s="170"/>
      <c r="AJ247" s="170"/>
      <c r="AK247" s="171"/>
      <c r="AL247" s="171"/>
      <c r="AM247" s="170"/>
      <c r="AN247" s="170"/>
      <c r="AO247" s="170"/>
      <c r="AP247" s="171"/>
      <c r="AQ247" s="171"/>
      <c r="AR247" s="170"/>
      <c r="AS247" s="170"/>
      <c r="AT247" s="170"/>
      <c r="AU247" s="171"/>
      <c r="AV247" s="171"/>
      <c r="AW247" s="171"/>
      <c r="AX247" s="171"/>
      <c r="AY247" s="171"/>
      <c r="AZ247" s="171"/>
      <c r="BA247" s="171"/>
      <c r="BB247" s="171"/>
      <c r="BC247" s="171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72"/>
      <c r="BR247" s="172"/>
      <c r="BS247" s="172"/>
    </row>
    <row r="248" spans="1:71" ht="14.5" x14ac:dyDescent="0.35">
      <c r="A248" s="170"/>
      <c r="B248" s="170"/>
      <c r="C248" s="170"/>
      <c r="D248" s="170"/>
      <c r="E248" s="171"/>
      <c r="F248" s="171"/>
      <c r="G248" s="170"/>
      <c r="H248" s="32">
        <v>7905</v>
      </c>
      <c r="I248" s="152">
        <v>1886757</v>
      </c>
      <c r="J248" s="32">
        <v>7905</v>
      </c>
      <c r="K248" s="171"/>
      <c r="L248" s="170"/>
      <c r="M248" s="170"/>
      <c r="N248" s="170"/>
      <c r="O248" s="171"/>
      <c r="P248" s="171"/>
      <c r="Q248" s="170"/>
      <c r="R248" s="170"/>
      <c r="S248" s="170"/>
      <c r="T248" s="171"/>
      <c r="U248" s="171"/>
      <c r="V248" s="171"/>
      <c r="W248" s="171"/>
      <c r="X248" s="171"/>
      <c r="Y248" s="171"/>
      <c r="Z248" s="171"/>
      <c r="AA248" s="171"/>
      <c r="AB248" s="171"/>
      <c r="AC248" s="170"/>
      <c r="AD248" s="170"/>
      <c r="AE248" s="170"/>
      <c r="AF248" s="170"/>
      <c r="AG248" s="170"/>
      <c r="AH248" s="170"/>
      <c r="AI248" s="170"/>
      <c r="AJ248" s="170"/>
      <c r="AK248" s="171"/>
      <c r="AL248" s="171"/>
      <c r="AM248" s="170"/>
      <c r="AN248" s="170"/>
      <c r="AO248" s="170"/>
      <c r="AP248" s="171"/>
      <c r="AQ248" s="171"/>
      <c r="AR248" s="170"/>
      <c r="AS248" s="170"/>
      <c r="AT248" s="170"/>
      <c r="AU248" s="171"/>
      <c r="AV248" s="171"/>
      <c r="AW248" s="171"/>
      <c r="AX248" s="171"/>
      <c r="AY248" s="171"/>
      <c r="AZ248" s="171"/>
      <c r="BA248" s="171"/>
      <c r="BB248" s="171"/>
      <c r="BC248" s="171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</row>
    <row r="249" spans="1:71" ht="14.5" x14ac:dyDescent="0.35">
      <c r="A249" s="170"/>
      <c r="B249" s="170"/>
      <c r="C249" s="170"/>
      <c r="D249" s="170"/>
      <c r="E249" s="171"/>
      <c r="F249" s="171"/>
      <c r="G249" s="170"/>
      <c r="H249" s="32">
        <v>7976</v>
      </c>
      <c r="I249" s="152">
        <v>1887255</v>
      </c>
      <c r="J249" s="32">
        <v>7976</v>
      </c>
      <c r="K249" s="171"/>
      <c r="L249" s="170"/>
      <c r="M249" s="170"/>
      <c r="N249" s="170"/>
      <c r="O249" s="171"/>
      <c r="P249" s="171"/>
      <c r="Q249" s="170"/>
      <c r="R249" s="170"/>
      <c r="S249" s="170"/>
      <c r="T249" s="171"/>
      <c r="U249" s="171"/>
      <c r="V249" s="171"/>
      <c r="W249" s="171"/>
      <c r="X249" s="171"/>
      <c r="Y249" s="171"/>
      <c r="Z249" s="171"/>
      <c r="AA249" s="171"/>
      <c r="AB249" s="171"/>
      <c r="AC249" s="170"/>
      <c r="AD249" s="170"/>
      <c r="AE249" s="170"/>
      <c r="AF249" s="170"/>
      <c r="AG249" s="170"/>
      <c r="AH249" s="170"/>
      <c r="AI249" s="170"/>
      <c r="AJ249" s="170"/>
      <c r="AK249" s="171"/>
      <c r="AL249" s="171"/>
      <c r="AM249" s="170"/>
      <c r="AN249" s="170"/>
      <c r="AO249" s="170"/>
      <c r="AP249" s="171"/>
      <c r="AQ249" s="171"/>
      <c r="AR249" s="170"/>
      <c r="AS249" s="170"/>
      <c r="AT249" s="170"/>
      <c r="AU249" s="171"/>
      <c r="AV249" s="171"/>
      <c r="AW249" s="171"/>
      <c r="AX249" s="171"/>
      <c r="AY249" s="171"/>
      <c r="AZ249" s="171"/>
      <c r="BA249" s="171"/>
      <c r="BB249" s="171"/>
      <c r="BC249" s="171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</row>
    <row r="250" spans="1:71" ht="14.5" x14ac:dyDescent="0.35">
      <c r="A250" s="170"/>
      <c r="B250" s="170"/>
      <c r="C250" s="170"/>
      <c r="D250" s="170"/>
      <c r="E250" s="171"/>
      <c r="F250" s="171"/>
      <c r="G250" s="170"/>
      <c r="H250" s="32">
        <v>8014</v>
      </c>
      <c r="I250" s="152">
        <v>1891658</v>
      </c>
      <c r="J250" s="32">
        <v>8014</v>
      </c>
      <c r="K250" s="171"/>
      <c r="L250" s="170"/>
      <c r="M250" s="170"/>
      <c r="N250" s="170"/>
      <c r="O250" s="171"/>
      <c r="P250" s="171"/>
      <c r="Q250" s="170"/>
      <c r="R250" s="170"/>
      <c r="S250" s="170"/>
      <c r="T250" s="171"/>
      <c r="U250" s="171"/>
      <c r="V250" s="171"/>
      <c r="W250" s="171"/>
      <c r="X250" s="171"/>
      <c r="Y250" s="171"/>
      <c r="Z250" s="171"/>
      <c r="AA250" s="171"/>
      <c r="AB250" s="171"/>
      <c r="AC250" s="170"/>
      <c r="AD250" s="170"/>
      <c r="AE250" s="170"/>
      <c r="AF250" s="170"/>
      <c r="AG250" s="170"/>
      <c r="AH250" s="170"/>
      <c r="AI250" s="170"/>
      <c r="AJ250" s="170"/>
      <c r="AK250" s="171"/>
      <c r="AL250" s="171"/>
      <c r="AM250" s="170"/>
      <c r="AN250" s="170"/>
      <c r="AO250" s="170"/>
      <c r="AP250" s="171"/>
      <c r="AQ250" s="171"/>
      <c r="AR250" s="170"/>
      <c r="AS250" s="170"/>
      <c r="AT250" s="170"/>
      <c r="AU250" s="171"/>
      <c r="AV250" s="171"/>
      <c r="AW250" s="171"/>
      <c r="AX250" s="171"/>
      <c r="AY250" s="171"/>
      <c r="AZ250" s="171"/>
      <c r="BA250" s="171"/>
      <c r="BB250" s="171"/>
      <c r="BC250" s="171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72"/>
      <c r="BR250" s="172"/>
      <c r="BS250" s="172"/>
    </row>
    <row r="251" spans="1:71" ht="12.5" x14ac:dyDescent="0.25">
      <c r="A251" s="170"/>
      <c r="B251" s="170"/>
      <c r="C251" s="170"/>
      <c r="D251" s="170"/>
      <c r="E251" s="171"/>
      <c r="F251" s="171"/>
      <c r="G251" s="170"/>
      <c r="H251" s="10">
        <v>8057</v>
      </c>
      <c r="I251" s="152">
        <v>1894808</v>
      </c>
      <c r="J251" s="10">
        <v>8057</v>
      </c>
      <c r="K251" s="171"/>
      <c r="L251" s="170"/>
      <c r="M251" s="170"/>
      <c r="N251" s="170"/>
      <c r="O251" s="171"/>
      <c r="P251" s="171"/>
      <c r="Q251" s="170"/>
      <c r="R251" s="170"/>
      <c r="S251" s="170"/>
      <c r="T251" s="171"/>
      <c r="U251" s="171"/>
      <c r="V251" s="171"/>
      <c r="W251" s="171"/>
      <c r="X251" s="171"/>
      <c r="Y251" s="171"/>
      <c r="Z251" s="171"/>
      <c r="AA251" s="171"/>
      <c r="AB251" s="171"/>
      <c r="AC251" s="170"/>
      <c r="AD251" s="170"/>
      <c r="AE251" s="170"/>
      <c r="AF251" s="170"/>
      <c r="AG251" s="170"/>
      <c r="AH251" s="170"/>
      <c r="AI251" s="170"/>
      <c r="AJ251" s="170"/>
      <c r="AK251" s="171"/>
      <c r="AL251" s="171"/>
      <c r="AM251" s="170"/>
      <c r="AN251" s="170"/>
      <c r="AO251" s="170"/>
      <c r="AP251" s="171"/>
      <c r="AQ251" s="171"/>
      <c r="AR251" s="170"/>
      <c r="AS251" s="170"/>
      <c r="AT251" s="170"/>
      <c r="AU251" s="171"/>
      <c r="AV251" s="171"/>
      <c r="AW251" s="171"/>
      <c r="AX251" s="171"/>
      <c r="AY251" s="171"/>
      <c r="AZ251" s="171"/>
      <c r="BA251" s="171"/>
      <c r="BB251" s="171"/>
      <c r="BC251" s="171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72"/>
      <c r="BR251" s="172"/>
      <c r="BS251" s="172"/>
    </row>
    <row r="252" spans="1:71" ht="12.5" x14ac:dyDescent="0.25">
      <c r="A252" s="170"/>
      <c r="B252" s="170"/>
      <c r="C252" s="170"/>
      <c r="D252" s="170"/>
      <c r="E252" s="171"/>
      <c r="F252" s="171"/>
      <c r="G252" s="170"/>
      <c r="H252" s="10">
        <v>8107</v>
      </c>
      <c r="I252" s="152">
        <v>1898567</v>
      </c>
      <c r="J252" s="10">
        <v>8107</v>
      </c>
      <c r="K252" s="171"/>
      <c r="L252" s="170"/>
      <c r="M252" s="170"/>
      <c r="N252" s="170"/>
      <c r="O252" s="171"/>
      <c r="P252" s="171"/>
      <c r="Q252" s="170"/>
      <c r="R252" s="170"/>
      <c r="S252" s="170"/>
      <c r="T252" s="171"/>
      <c r="U252" s="171"/>
      <c r="V252" s="171"/>
      <c r="W252" s="171"/>
      <c r="X252" s="171"/>
      <c r="Y252" s="171"/>
      <c r="Z252" s="171"/>
      <c r="AA252" s="171"/>
      <c r="AB252" s="171"/>
      <c r="AC252" s="170"/>
      <c r="AD252" s="170"/>
      <c r="AE252" s="170"/>
      <c r="AF252" s="170"/>
      <c r="AG252" s="170"/>
      <c r="AH252" s="170"/>
      <c r="AI252" s="170"/>
      <c r="AJ252" s="170"/>
      <c r="AK252" s="171"/>
      <c r="AL252" s="171"/>
      <c r="AM252" s="170"/>
      <c r="AN252" s="170"/>
      <c r="AO252" s="170"/>
      <c r="AP252" s="171"/>
      <c r="AQ252" s="171"/>
      <c r="AR252" s="170"/>
      <c r="AS252" s="170"/>
      <c r="AT252" s="170"/>
      <c r="AU252" s="171"/>
      <c r="AV252" s="171"/>
      <c r="AW252" s="171"/>
      <c r="AX252" s="171"/>
      <c r="AY252" s="171"/>
      <c r="AZ252" s="171"/>
      <c r="BA252" s="171"/>
      <c r="BB252" s="171"/>
      <c r="BC252" s="171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72"/>
      <c r="BR252" s="172"/>
      <c r="BS252" s="172"/>
    </row>
    <row r="253" spans="1:71" ht="12.5" x14ac:dyDescent="0.25">
      <c r="A253" s="170"/>
      <c r="B253" s="170"/>
      <c r="C253" s="170"/>
      <c r="D253" s="170"/>
      <c r="E253" s="171"/>
      <c r="F253" s="171"/>
      <c r="G253" s="170"/>
      <c r="H253" s="10">
        <v>8177</v>
      </c>
      <c r="I253" s="152">
        <v>1902333</v>
      </c>
      <c r="J253" s="10">
        <v>8177</v>
      </c>
      <c r="K253" s="171"/>
      <c r="L253" s="170"/>
      <c r="M253" s="170"/>
      <c r="N253" s="170"/>
      <c r="O253" s="171"/>
      <c r="P253" s="171"/>
      <c r="Q253" s="170"/>
      <c r="R253" s="170"/>
      <c r="S253" s="170"/>
      <c r="T253" s="171"/>
      <c r="U253" s="171"/>
      <c r="V253" s="171"/>
      <c r="W253" s="171"/>
      <c r="X253" s="171"/>
      <c r="Y253" s="171"/>
      <c r="Z253" s="171"/>
      <c r="AA253" s="171"/>
      <c r="AB253" s="171"/>
      <c r="AC253" s="170"/>
      <c r="AD253" s="170"/>
      <c r="AE253" s="170"/>
      <c r="AF253" s="170"/>
      <c r="AG253" s="170"/>
      <c r="AH253" s="170"/>
      <c r="AI253" s="170"/>
      <c r="AJ253" s="170"/>
      <c r="AK253" s="171"/>
      <c r="AL253" s="171"/>
      <c r="AM253" s="170"/>
      <c r="AN253" s="170"/>
      <c r="AO253" s="170"/>
      <c r="AP253" s="171"/>
      <c r="AQ253" s="171"/>
      <c r="AR253" s="170"/>
      <c r="AS253" s="170"/>
      <c r="AT253" s="170"/>
      <c r="AU253" s="171"/>
      <c r="AV253" s="171"/>
      <c r="AW253" s="171"/>
      <c r="AX253" s="171"/>
      <c r="AY253" s="171"/>
      <c r="AZ253" s="171"/>
      <c r="BA253" s="171"/>
      <c r="BB253" s="171"/>
      <c r="BC253" s="171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72"/>
      <c r="BR253" s="172"/>
      <c r="BS253" s="172"/>
    </row>
    <row r="254" spans="1:71" ht="14.5" x14ac:dyDescent="0.35">
      <c r="A254" s="170"/>
      <c r="B254" s="170"/>
      <c r="C254" s="170"/>
      <c r="D254" s="170"/>
      <c r="E254" s="171"/>
      <c r="F254" s="171"/>
      <c r="G254" s="170"/>
      <c r="H254" s="32">
        <v>8220</v>
      </c>
      <c r="I254" s="152">
        <v>1907281</v>
      </c>
      <c r="J254" s="32">
        <v>8220</v>
      </c>
      <c r="K254" s="171"/>
      <c r="L254" s="170"/>
      <c r="M254" s="170"/>
      <c r="N254" s="170"/>
      <c r="O254" s="171"/>
      <c r="P254" s="171"/>
      <c r="Q254" s="170"/>
      <c r="R254" s="170"/>
      <c r="S254" s="170"/>
      <c r="T254" s="171"/>
      <c r="U254" s="171"/>
      <c r="V254" s="171"/>
      <c r="W254" s="171"/>
      <c r="X254" s="171"/>
      <c r="Y254" s="171"/>
      <c r="Z254" s="171"/>
      <c r="AA254" s="171"/>
      <c r="AB254" s="171"/>
      <c r="AC254" s="170"/>
      <c r="AD254" s="170"/>
      <c r="AE254" s="170"/>
      <c r="AF254" s="170"/>
      <c r="AG254" s="170"/>
      <c r="AH254" s="170"/>
      <c r="AI254" s="170"/>
      <c r="AJ254" s="170"/>
      <c r="AK254" s="171"/>
      <c r="AL254" s="171"/>
      <c r="AM254" s="170"/>
      <c r="AN254" s="170"/>
      <c r="AO254" s="170"/>
      <c r="AP254" s="171"/>
      <c r="AQ254" s="171"/>
      <c r="AR254" s="170"/>
      <c r="AS254" s="170"/>
      <c r="AT254" s="170"/>
      <c r="AU254" s="171"/>
      <c r="AV254" s="171"/>
      <c r="AW254" s="171"/>
      <c r="AX254" s="171"/>
      <c r="AY254" s="171"/>
      <c r="AZ254" s="171"/>
      <c r="BA254" s="171"/>
      <c r="BB254" s="171"/>
      <c r="BC254" s="171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72"/>
      <c r="BR254" s="172"/>
      <c r="BS254" s="172"/>
    </row>
    <row r="255" spans="1:71" ht="12.5" x14ac:dyDescent="0.25">
      <c r="A255" s="170"/>
      <c r="B255" s="170"/>
      <c r="C255" s="170"/>
      <c r="D255" s="170"/>
      <c r="E255" s="171"/>
      <c r="F255" s="171"/>
      <c r="G255" s="170"/>
      <c r="H255" s="10">
        <v>8269</v>
      </c>
      <c r="I255" s="152">
        <v>1911230</v>
      </c>
      <c r="J255" s="10">
        <v>8269</v>
      </c>
      <c r="K255" s="171"/>
      <c r="L255" s="170"/>
      <c r="M255" s="170"/>
      <c r="N255" s="170"/>
      <c r="O255" s="171"/>
      <c r="P255" s="171"/>
      <c r="Q255" s="170"/>
      <c r="R255" s="170"/>
      <c r="S255" s="170"/>
      <c r="T255" s="171"/>
      <c r="U255" s="171"/>
      <c r="V255" s="171"/>
      <c r="W255" s="171"/>
      <c r="X255" s="171"/>
      <c r="Y255" s="171"/>
      <c r="Z255" s="171"/>
      <c r="AA255" s="171"/>
      <c r="AB255" s="171"/>
      <c r="AC255" s="170"/>
      <c r="AD255" s="170"/>
      <c r="AE255" s="170"/>
      <c r="AF255" s="170"/>
      <c r="AG255" s="170"/>
      <c r="AH255" s="170"/>
      <c r="AI255" s="170"/>
      <c r="AJ255" s="170"/>
      <c r="AK255" s="171"/>
      <c r="AL255" s="171"/>
      <c r="AM255" s="170"/>
      <c r="AN255" s="170"/>
      <c r="AO255" s="170"/>
      <c r="AP255" s="171"/>
      <c r="AQ255" s="171"/>
      <c r="AR255" s="170"/>
      <c r="AS255" s="170"/>
      <c r="AT255" s="170"/>
      <c r="AU255" s="171"/>
      <c r="AV255" s="171"/>
      <c r="AW255" s="171"/>
      <c r="AX255" s="171"/>
      <c r="AY255" s="171"/>
      <c r="AZ255" s="171"/>
      <c r="BA255" s="171"/>
      <c r="BB255" s="171"/>
      <c r="BC255" s="171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72"/>
      <c r="BR255" s="172"/>
      <c r="BS255" s="172"/>
    </row>
    <row r="256" spans="1:71" ht="14.5" x14ac:dyDescent="0.35">
      <c r="A256" s="170"/>
      <c r="B256" s="170"/>
      <c r="C256" s="170"/>
      <c r="D256" s="170"/>
      <c r="E256" s="171"/>
      <c r="F256" s="171"/>
      <c r="G256" s="170"/>
      <c r="H256" s="32">
        <v>8348</v>
      </c>
      <c r="I256" s="152">
        <v>1912914</v>
      </c>
      <c r="J256" s="32">
        <v>8348</v>
      </c>
      <c r="K256" s="171"/>
      <c r="L256" s="170"/>
      <c r="M256" s="170"/>
      <c r="N256" s="170"/>
      <c r="O256" s="171"/>
      <c r="P256" s="171"/>
      <c r="Q256" s="170"/>
      <c r="R256" s="170"/>
      <c r="S256" s="170"/>
      <c r="T256" s="171"/>
      <c r="U256" s="171"/>
      <c r="V256" s="171"/>
      <c r="W256" s="171"/>
      <c r="X256" s="171"/>
      <c r="Y256" s="171"/>
      <c r="Z256" s="171"/>
      <c r="AA256" s="171"/>
      <c r="AB256" s="171"/>
      <c r="AC256" s="170"/>
      <c r="AD256" s="170"/>
      <c r="AE256" s="170"/>
      <c r="AF256" s="170"/>
      <c r="AG256" s="170"/>
      <c r="AH256" s="170"/>
      <c r="AI256" s="170"/>
      <c r="AJ256" s="170"/>
      <c r="AK256" s="171"/>
      <c r="AL256" s="171"/>
      <c r="AM256" s="170"/>
      <c r="AN256" s="170"/>
      <c r="AO256" s="170"/>
      <c r="AP256" s="171"/>
      <c r="AQ256" s="171"/>
      <c r="AR256" s="170"/>
      <c r="AS256" s="170"/>
      <c r="AT256" s="170"/>
      <c r="AU256" s="171"/>
      <c r="AV256" s="171"/>
      <c r="AW256" s="171"/>
      <c r="AX256" s="171"/>
      <c r="AY256" s="171"/>
      <c r="AZ256" s="171"/>
      <c r="BA256" s="171"/>
      <c r="BB256" s="171"/>
      <c r="BC256" s="171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72"/>
      <c r="BR256" s="172"/>
      <c r="BS256" s="172"/>
    </row>
    <row r="257" spans="1:71" ht="14.5" x14ac:dyDescent="0.35">
      <c r="A257" s="170"/>
      <c r="B257" s="170"/>
      <c r="C257" s="170"/>
      <c r="D257" s="170"/>
      <c r="E257" s="171"/>
      <c r="F257" s="171"/>
      <c r="G257" s="170"/>
      <c r="H257" s="32">
        <v>8426</v>
      </c>
      <c r="I257" s="152">
        <v>1917662</v>
      </c>
      <c r="J257" s="32">
        <v>8426</v>
      </c>
      <c r="K257" s="171"/>
      <c r="L257" s="170"/>
      <c r="M257" s="170"/>
      <c r="N257" s="170"/>
      <c r="O257" s="171"/>
      <c r="P257" s="171"/>
      <c r="Q257" s="170"/>
      <c r="R257" s="170"/>
      <c r="S257" s="170"/>
      <c r="T257" s="171"/>
      <c r="U257" s="171"/>
      <c r="V257" s="171"/>
      <c r="W257" s="171"/>
      <c r="X257" s="171"/>
      <c r="Y257" s="171"/>
      <c r="Z257" s="171"/>
      <c r="AA257" s="171"/>
      <c r="AB257" s="171"/>
      <c r="AC257" s="170"/>
      <c r="AD257" s="170"/>
      <c r="AE257" s="170"/>
      <c r="AF257" s="170"/>
      <c r="AG257" s="170"/>
      <c r="AH257" s="170"/>
      <c r="AI257" s="170"/>
      <c r="AJ257" s="170"/>
      <c r="AK257" s="171"/>
      <c r="AL257" s="171"/>
      <c r="AM257" s="170"/>
      <c r="AN257" s="170"/>
      <c r="AO257" s="170"/>
      <c r="AP257" s="171"/>
      <c r="AQ257" s="171"/>
      <c r="AR257" s="170"/>
      <c r="AS257" s="170"/>
      <c r="AT257" s="170"/>
      <c r="AU257" s="171"/>
      <c r="AV257" s="171"/>
      <c r="AW257" s="171"/>
      <c r="AX257" s="171"/>
      <c r="AY257" s="171"/>
      <c r="AZ257" s="171"/>
      <c r="BA257" s="171"/>
      <c r="BB257" s="171"/>
      <c r="BC257" s="171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72"/>
      <c r="BR257" s="172"/>
      <c r="BS257" s="172"/>
    </row>
    <row r="258" spans="1:71" ht="12.5" x14ac:dyDescent="0.25">
      <c r="A258" s="170"/>
      <c r="B258" s="170"/>
      <c r="C258" s="170"/>
      <c r="D258" s="170"/>
      <c r="E258" s="171"/>
      <c r="F258" s="171"/>
      <c r="G258" s="170"/>
      <c r="H258" s="10">
        <v>8486</v>
      </c>
      <c r="I258" s="152">
        <v>1920245</v>
      </c>
      <c r="J258" s="10">
        <v>8486</v>
      </c>
      <c r="K258" s="171"/>
      <c r="L258" s="170"/>
      <c r="M258" s="170"/>
      <c r="N258" s="170"/>
      <c r="O258" s="171"/>
      <c r="P258" s="171"/>
      <c r="Q258" s="170"/>
      <c r="R258" s="170"/>
      <c r="S258" s="170"/>
      <c r="T258" s="171"/>
      <c r="U258" s="171"/>
      <c r="V258" s="171"/>
      <c r="W258" s="171"/>
      <c r="X258" s="171"/>
      <c r="Y258" s="171"/>
      <c r="Z258" s="171"/>
      <c r="AA258" s="171"/>
      <c r="AB258" s="171"/>
      <c r="AC258" s="170"/>
      <c r="AD258" s="170"/>
      <c r="AE258" s="170"/>
      <c r="AF258" s="170"/>
      <c r="AG258" s="170"/>
      <c r="AH258" s="170"/>
      <c r="AI258" s="170"/>
      <c r="AJ258" s="170"/>
      <c r="AK258" s="171"/>
      <c r="AL258" s="171"/>
      <c r="AM258" s="170"/>
      <c r="AN258" s="170"/>
      <c r="AO258" s="170"/>
      <c r="AP258" s="171"/>
      <c r="AQ258" s="171"/>
      <c r="AR258" s="170"/>
      <c r="AS258" s="170"/>
      <c r="AT258" s="170"/>
      <c r="AU258" s="171"/>
      <c r="AV258" s="171"/>
      <c r="AW258" s="171"/>
      <c r="AX258" s="171"/>
      <c r="AY258" s="171"/>
      <c r="AZ258" s="171"/>
      <c r="BA258" s="171"/>
      <c r="BB258" s="171"/>
      <c r="BC258" s="171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72"/>
      <c r="BR258" s="172"/>
      <c r="BS258" s="172"/>
    </row>
    <row r="259" spans="1:71" ht="12.5" x14ac:dyDescent="0.25">
      <c r="A259" s="170"/>
      <c r="B259" s="170"/>
      <c r="C259" s="170"/>
      <c r="D259" s="170"/>
      <c r="E259" s="171"/>
      <c r="F259" s="171"/>
      <c r="G259" s="170"/>
      <c r="H259" s="10">
        <v>8528</v>
      </c>
      <c r="I259" s="152">
        <v>1924850</v>
      </c>
      <c r="J259" s="10">
        <v>8528</v>
      </c>
      <c r="K259" s="171"/>
      <c r="L259" s="170"/>
      <c r="M259" s="170"/>
      <c r="N259" s="170"/>
      <c r="O259" s="171"/>
      <c r="P259" s="171"/>
      <c r="Q259" s="170"/>
      <c r="R259" s="170"/>
      <c r="S259" s="170"/>
      <c r="T259" s="171"/>
      <c r="U259" s="171"/>
      <c r="V259" s="171"/>
      <c r="W259" s="171"/>
      <c r="X259" s="171"/>
      <c r="Y259" s="171"/>
      <c r="Z259" s="171"/>
      <c r="AA259" s="171"/>
      <c r="AB259" s="171"/>
      <c r="AC259" s="170"/>
      <c r="AD259" s="170"/>
      <c r="AE259" s="170"/>
      <c r="AF259" s="170"/>
      <c r="AG259" s="170"/>
      <c r="AH259" s="170"/>
      <c r="AI259" s="170"/>
      <c r="AJ259" s="170"/>
      <c r="AK259" s="171"/>
      <c r="AL259" s="171"/>
      <c r="AM259" s="170"/>
      <c r="AN259" s="170"/>
      <c r="AO259" s="170"/>
      <c r="AP259" s="171"/>
      <c r="AQ259" s="171"/>
      <c r="AR259" s="170"/>
      <c r="AS259" s="170"/>
      <c r="AT259" s="170"/>
      <c r="AU259" s="171"/>
      <c r="AV259" s="171"/>
      <c r="AW259" s="171"/>
      <c r="AX259" s="171"/>
      <c r="AY259" s="171"/>
      <c r="AZ259" s="171"/>
      <c r="BA259" s="171"/>
      <c r="BB259" s="171"/>
      <c r="BC259" s="171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</row>
    <row r="260" spans="1:71" ht="14.5" x14ac:dyDescent="0.35">
      <c r="A260" s="170"/>
      <c r="B260" s="170"/>
      <c r="C260" s="170"/>
      <c r="D260" s="170"/>
      <c r="E260" s="171"/>
      <c r="F260" s="171"/>
      <c r="G260" s="170"/>
      <c r="H260" s="32">
        <v>8547</v>
      </c>
      <c r="I260" s="152">
        <v>1929114</v>
      </c>
      <c r="J260" s="32">
        <v>8547</v>
      </c>
      <c r="K260" s="171"/>
      <c r="L260" s="170"/>
      <c r="M260" s="170"/>
      <c r="N260" s="170"/>
      <c r="O260" s="171"/>
      <c r="P260" s="171"/>
      <c r="Q260" s="170"/>
      <c r="R260" s="170"/>
      <c r="S260" s="170"/>
      <c r="T260" s="171"/>
      <c r="U260" s="171"/>
      <c r="V260" s="171"/>
      <c r="W260" s="171"/>
      <c r="X260" s="171"/>
      <c r="Y260" s="171"/>
      <c r="Z260" s="171"/>
      <c r="AA260" s="171"/>
      <c r="AB260" s="171"/>
      <c r="AC260" s="170"/>
      <c r="AD260" s="170"/>
      <c r="AE260" s="170"/>
      <c r="AF260" s="170"/>
      <c r="AG260" s="170"/>
      <c r="AH260" s="170"/>
      <c r="AI260" s="170"/>
      <c r="AJ260" s="170"/>
      <c r="AK260" s="171"/>
      <c r="AL260" s="171"/>
      <c r="AM260" s="170"/>
      <c r="AN260" s="170"/>
      <c r="AO260" s="170"/>
      <c r="AP260" s="171"/>
      <c r="AQ260" s="171"/>
      <c r="AR260" s="170"/>
      <c r="AS260" s="170"/>
      <c r="AT260" s="170"/>
      <c r="AU260" s="171"/>
      <c r="AV260" s="171"/>
      <c r="AW260" s="171"/>
      <c r="AX260" s="171"/>
      <c r="AY260" s="171"/>
      <c r="AZ260" s="171"/>
      <c r="BA260" s="171"/>
      <c r="BB260" s="171"/>
      <c r="BC260" s="171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</row>
    <row r="261" spans="1:71" ht="14.5" x14ac:dyDescent="0.35">
      <c r="A261" s="170"/>
      <c r="B261" s="170"/>
      <c r="C261" s="170"/>
      <c r="D261" s="170"/>
      <c r="E261" s="171"/>
      <c r="F261" s="171"/>
      <c r="G261" s="170"/>
      <c r="H261" s="32">
        <v>8577</v>
      </c>
      <c r="I261" s="152">
        <v>1931805</v>
      </c>
      <c r="J261" s="32">
        <v>8577</v>
      </c>
      <c r="K261" s="171"/>
      <c r="L261" s="170"/>
      <c r="M261" s="170"/>
      <c r="N261" s="170"/>
      <c r="O261" s="171"/>
      <c r="P261" s="171"/>
      <c r="Q261" s="170"/>
      <c r="R261" s="170"/>
      <c r="S261" s="170"/>
      <c r="T261" s="171"/>
      <c r="U261" s="171"/>
      <c r="V261" s="171"/>
      <c r="W261" s="171"/>
      <c r="X261" s="171"/>
      <c r="Y261" s="171"/>
      <c r="Z261" s="171"/>
      <c r="AA261" s="171"/>
      <c r="AB261" s="171"/>
      <c r="AC261" s="170"/>
      <c r="AD261" s="170"/>
      <c r="AE261" s="170"/>
      <c r="AF261" s="170"/>
      <c r="AG261" s="170"/>
      <c r="AH261" s="170"/>
      <c r="AI261" s="170"/>
      <c r="AJ261" s="170"/>
      <c r="AK261" s="171"/>
      <c r="AL261" s="171"/>
      <c r="AM261" s="170"/>
      <c r="AN261" s="170"/>
      <c r="AO261" s="170"/>
      <c r="AP261" s="171"/>
      <c r="AQ261" s="171"/>
      <c r="AR261" s="170"/>
      <c r="AS261" s="170"/>
      <c r="AT261" s="170"/>
      <c r="AU261" s="171"/>
      <c r="AV261" s="171"/>
      <c r="AW261" s="171"/>
      <c r="AX261" s="171"/>
      <c r="AY261" s="171"/>
      <c r="AZ261" s="171"/>
      <c r="BA261" s="171"/>
      <c r="BB261" s="171"/>
      <c r="BC261" s="171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</row>
    <row r="262" spans="1:71" ht="14.5" x14ac:dyDescent="0.35">
      <c r="A262" s="170"/>
      <c r="B262" s="170"/>
      <c r="C262" s="170"/>
      <c r="D262" s="170"/>
      <c r="E262" s="171"/>
      <c r="F262" s="171"/>
      <c r="G262" s="170"/>
      <c r="H262" s="32">
        <v>8652</v>
      </c>
      <c r="I262" s="152">
        <v>1935269</v>
      </c>
      <c r="J262" s="32">
        <v>8652</v>
      </c>
      <c r="K262" s="171"/>
      <c r="L262" s="170"/>
      <c r="M262" s="170"/>
      <c r="N262" s="170"/>
      <c r="O262" s="171"/>
      <c r="P262" s="171"/>
      <c r="Q262" s="170"/>
      <c r="R262" s="170"/>
      <c r="S262" s="170"/>
      <c r="T262" s="171"/>
      <c r="U262" s="171"/>
      <c r="V262" s="171"/>
      <c r="W262" s="171"/>
      <c r="X262" s="171"/>
      <c r="Y262" s="171"/>
      <c r="Z262" s="171"/>
      <c r="AA262" s="171"/>
      <c r="AB262" s="171"/>
      <c r="AC262" s="170"/>
      <c r="AD262" s="170"/>
      <c r="AE262" s="170"/>
      <c r="AF262" s="170"/>
      <c r="AG262" s="170"/>
      <c r="AH262" s="170"/>
      <c r="AI262" s="170"/>
      <c r="AJ262" s="170"/>
      <c r="AK262" s="171"/>
      <c r="AL262" s="171"/>
      <c r="AM262" s="170"/>
      <c r="AN262" s="170"/>
      <c r="AO262" s="170"/>
      <c r="AP262" s="171"/>
      <c r="AQ262" s="171"/>
      <c r="AR262" s="170"/>
      <c r="AS262" s="170"/>
      <c r="AT262" s="170"/>
      <c r="AU262" s="171"/>
      <c r="AV262" s="171"/>
      <c r="AW262" s="171"/>
      <c r="AX262" s="171"/>
      <c r="AY262" s="171"/>
      <c r="AZ262" s="171"/>
      <c r="BA262" s="171"/>
      <c r="BB262" s="171"/>
      <c r="BC262" s="171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72"/>
      <c r="BR262" s="172"/>
      <c r="BS262" s="172"/>
    </row>
    <row r="263" spans="1:71" ht="12.5" x14ac:dyDescent="0.25">
      <c r="A263" s="170"/>
      <c r="B263" s="170"/>
      <c r="C263" s="170"/>
      <c r="D263" s="170"/>
      <c r="E263" s="171"/>
      <c r="F263" s="171"/>
      <c r="G263" s="170"/>
      <c r="H263" s="10">
        <v>8779</v>
      </c>
      <c r="I263" s="152">
        <v>1935857</v>
      </c>
      <c r="J263" s="10">
        <v>8779</v>
      </c>
      <c r="K263" s="171"/>
      <c r="L263" s="170"/>
      <c r="M263" s="170"/>
      <c r="N263" s="170"/>
      <c r="O263" s="171"/>
      <c r="P263" s="171"/>
      <c r="Q263" s="170"/>
      <c r="R263" s="170"/>
      <c r="S263" s="170"/>
      <c r="T263" s="171"/>
      <c r="U263" s="171"/>
      <c r="V263" s="171"/>
      <c r="W263" s="171"/>
      <c r="X263" s="171"/>
      <c r="Y263" s="171"/>
      <c r="Z263" s="171"/>
      <c r="AA263" s="171"/>
      <c r="AB263" s="171"/>
      <c r="AC263" s="170"/>
      <c r="AD263" s="170"/>
      <c r="AE263" s="170"/>
      <c r="AF263" s="170"/>
      <c r="AG263" s="170"/>
      <c r="AH263" s="170"/>
      <c r="AI263" s="170"/>
      <c r="AJ263" s="170"/>
      <c r="AK263" s="171"/>
      <c r="AL263" s="171"/>
      <c r="AM263" s="170"/>
      <c r="AN263" s="170"/>
      <c r="AO263" s="170"/>
      <c r="AP263" s="171"/>
      <c r="AQ263" s="171"/>
      <c r="AR263" s="170"/>
      <c r="AS263" s="170"/>
      <c r="AT263" s="170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72"/>
      <c r="BR263" s="172"/>
      <c r="BS263" s="172"/>
    </row>
    <row r="264" spans="1:71" ht="12.5" x14ac:dyDescent="0.25">
      <c r="A264" s="170"/>
      <c r="B264" s="170"/>
      <c r="C264" s="170"/>
      <c r="D264" s="170"/>
      <c r="E264" s="171"/>
      <c r="F264" s="171"/>
      <c r="G264" s="170"/>
      <c r="H264" s="10">
        <v>8861</v>
      </c>
      <c r="I264" s="152">
        <v>1938103</v>
      </c>
      <c r="J264" s="10">
        <v>8861</v>
      </c>
      <c r="K264" s="171"/>
      <c r="L264" s="170"/>
      <c r="M264" s="170"/>
      <c r="N264" s="170"/>
      <c r="O264" s="171"/>
      <c r="P264" s="171"/>
      <c r="Q264" s="170"/>
      <c r="R264" s="170"/>
      <c r="S264" s="170"/>
      <c r="T264" s="171"/>
      <c r="U264" s="171"/>
      <c r="V264" s="171"/>
      <c r="W264" s="171"/>
      <c r="X264" s="171"/>
      <c r="Y264" s="171"/>
      <c r="Z264" s="171"/>
      <c r="AA264" s="171"/>
      <c r="AB264" s="171"/>
      <c r="AC264" s="170"/>
      <c r="AD264" s="170"/>
      <c r="AE264" s="170"/>
      <c r="AF264" s="170"/>
      <c r="AG264" s="170"/>
      <c r="AH264" s="170"/>
      <c r="AI264" s="170"/>
      <c r="AJ264" s="170"/>
      <c r="AK264" s="171"/>
      <c r="AL264" s="171"/>
      <c r="AM264" s="170"/>
      <c r="AN264" s="170"/>
      <c r="AO264" s="170"/>
      <c r="AP264" s="171"/>
      <c r="AQ264" s="171"/>
      <c r="AR264" s="170"/>
      <c r="AS264" s="170"/>
      <c r="AT264" s="170"/>
      <c r="AU264" s="171"/>
      <c r="AV264" s="171"/>
      <c r="AW264" s="171"/>
      <c r="AX264" s="171"/>
      <c r="AY264" s="171"/>
      <c r="AZ264" s="171"/>
      <c r="BA264" s="171"/>
      <c r="BB264" s="171"/>
      <c r="BC264" s="171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72"/>
      <c r="BR264" s="172"/>
      <c r="BS264" s="172"/>
    </row>
    <row r="265" spans="1:71" ht="14.5" x14ac:dyDescent="0.35">
      <c r="A265" s="170"/>
      <c r="B265" s="170"/>
      <c r="C265" s="170"/>
      <c r="D265" s="170"/>
      <c r="E265" s="171"/>
      <c r="F265" s="171"/>
      <c r="G265" s="170"/>
      <c r="H265" s="32">
        <v>9042</v>
      </c>
      <c r="I265" s="159">
        <v>1943092</v>
      </c>
      <c r="J265" s="32">
        <v>9042</v>
      </c>
      <c r="K265" s="171"/>
      <c r="L265" s="170"/>
      <c r="M265" s="170"/>
      <c r="N265" s="170"/>
      <c r="O265" s="171"/>
      <c r="P265" s="171"/>
      <c r="Q265" s="170"/>
      <c r="R265" s="170"/>
      <c r="S265" s="170"/>
      <c r="T265" s="171"/>
      <c r="U265" s="171"/>
      <c r="V265" s="171"/>
      <c r="W265" s="171"/>
      <c r="X265" s="171"/>
      <c r="Y265" s="171"/>
      <c r="Z265" s="171"/>
      <c r="AA265" s="171"/>
      <c r="AB265" s="171"/>
      <c r="AC265" s="170"/>
      <c r="AD265" s="170"/>
      <c r="AE265" s="170"/>
      <c r="AF265" s="170"/>
      <c r="AG265" s="170"/>
      <c r="AH265" s="170"/>
      <c r="AI265" s="170"/>
      <c r="AJ265" s="170"/>
      <c r="AK265" s="171"/>
      <c r="AL265" s="171"/>
      <c r="AM265" s="170"/>
      <c r="AN265" s="170"/>
      <c r="AO265" s="170"/>
      <c r="AP265" s="171"/>
      <c r="AQ265" s="171"/>
      <c r="AR265" s="170"/>
      <c r="AS265" s="170"/>
      <c r="AT265" s="170"/>
      <c r="AU265" s="171"/>
      <c r="AV265" s="171"/>
      <c r="AW265" s="171"/>
      <c r="AX265" s="171"/>
      <c r="AY265" s="171"/>
      <c r="AZ265" s="171"/>
      <c r="BA265" s="171"/>
      <c r="BB265" s="171"/>
      <c r="BC265" s="171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72"/>
      <c r="BR265" s="172"/>
      <c r="BS265" s="172"/>
    </row>
    <row r="266" spans="1:71" ht="14.5" x14ac:dyDescent="0.35">
      <c r="A266" s="170"/>
      <c r="B266" s="170"/>
      <c r="C266" s="170"/>
      <c r="D266" s="170"/>
      <c r="E266" s="171"/>
      <c r="F266" s="171"/>
      <c r="G266" s="170"/>
      <c r="H266" s="32">
        <v>9110</v>
      </c>
      <c r="I266" s="159">
        <v>1945121</v>
      </c>
      <c r="J266" s="32">
        <v>9110</v>
      </c>
      <c r="K266" s="171"/>
      <c r="L266" s="170"/>
      <c r="M266" s="170"/>
      <c r="N266" s="170"/>
      <c r="O266" s="171"/>
      <c r="P266" s="171"/>
      <c r="Q266" s="170"/>
      <c r="R266" s="170"/>
      <c r="S266" s="170"/>
      <c r="T266" s="171"/>
      <c r="U266" s="171"/>
      <c r="V266" s="171"/>
      <c r="W266" s="171"/>
      <c r="X266" s="171"/>
      <c r="Y266" s="171"/>
      <c r="Z266" s="171"/>
      <c r="AA266" s="171"/>
      <c r="AB266" s="171"/>
      <c r="AC266" s="170"/>
      <c r="AD266" s="170"/>
      <c r="AE266" s="170"/>
      <c r="AF266" s="170"/>
      <c r="AG266" s="170"/>
      <c r="AH266" s="170"/>
      <c r="AI266" s="170"/>
      <c r="AJ266" s="170"/>
      <c r="AK266" s="171"/>
      <c r="AL266" s="171"/>
      <c r="AM266" s="170"/>
      <c r="AN266" s="170"/>
      <c r="AO266" s="170"/>
      <c r="AP266" s="171"/>
      <c r="AQ266" s="171"/>
      <c r="AR266" s="170"/>
      <c r="AS266" s="170"/>
      <c r="AT266" s="170"/>
      <c r="AU266" s="171"/>
      <c r="AV266" s="171"/>
      <c r="AW266" s="171"/>
      <c r="AX266" s="171"/>
      <c r="AY266" s="171"/>
      <c r="AZ266" s="171"/>
      <c r="BA266" s="171"/>
      <c r="BB266" s="171"/>
      <c r="BC266" s="171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72"/>
      <c r="BR266" s="172"/>
      <c r="BS266" s="172"/>
    </row>
    <row r="267" spans="1:71" ht="14.5" x14ac:dyDescent="0.35">
      <c r="A267" s="170"/>
      <c r="B267" s="170"/>
      <c r="C267" s="170"/>
      <c r="D267" s="170"/>
      <c r="E267" s="171"/>
      <c r="F267" s="171"/>
      <c r="G267" s="170"/>
      <c r="H267" s="32">
        <v>9306</v>
      </c>
      <c r="I267" s="159">
        <v>1950495</v>
      </c>
      <c r="J267" s="32">
        <v>9306</v>
      </c>
      <c r="K267" s="171"/>
      <c r="L267" s="170"/>
      <c r="M267" s="170"/>
      <c r="N267" s="170"/>
      <c r="O267" s="171"/>
      <c r="P267" s="171"/>
      <c r="Q267" s="170"/>
      <c r="R267" s="170"/>
      <c r="S267" s="170"/>
      <c r="T267" s="171"/>
      <c r="U267" s="171"/>
      <c r="V267" s="171"/>
      <c r="W267" s="171"/>
      <c r="X267" s="171"/>
      <c r="Y267" s="171"/>
      <c r="Z267" s="171"/>
      <c r="AA267" s="171"/>
      <c r="AB267" s="171"/>
      <c r="AC267" s="170"/>
      <c r="AD267" s="170"/>
      <c r="AE267" s="170"/>
      <c r="AF267" s="170"/>
      <c r="AG267" s="170"/>
      <c r="AH267" s="170"/>
      <c r="AI267" s="170"/>
      <c r="AJ267" s="170"/>
      <c r="AK267" s="171"/>
      <c r="AL267" s="171"/>
      <c r="AM267" s="170"/>
      <c r="AN267" s="170"/>
      <c r="AO267" s="170"/>
      <c r="AP267" s="171"/>
      <c r="AQ267" s="171"/>
      <c r="AR267" s="170"/>
      <c r="AS267" s="170"/>
      <c r="AT267" s="170"/>
      <c r="AU267" s="171"/>
      <c r="AV267" s="171"/>
      <c r="AW267" s="171"/>
      <c r="AX267" s="171"/>
      <c r="AY267" s="171"/>
      <c r="AZ267" s="171"/>
      <c r="BA267" s="171"/>
      <c r="BB267" s="171"/>
      <c r="BC267" s="171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72"/>
      <c r="BR267" s="172"/>
      <c r="BS267" s="172"/>
    </row>
    <row r="268" spans="1:71" ht="12.5" x14ac:dyDescent="0.25">
      <c r="A268" s="170"/>
      <c r="B268" s="170"/>
      <c r="C268" s="170"/>
      <c r="D268" s="170"/>
      <c r="E268" s="171"/>
      <c r="F268" s="171"/>
      <c r="G268" s="170"/>
      <c r="H268" s="10">
        <v>9357</v>
      </c>
      <c r="I268" s="159">
        <v>1951043</v>
      </c>
      <c r="J268" s="10">
        <v>9357</v>
      </c>
      <c r="K268" s="171"/>
      <c r="L268" s="170"/>
      <c r="M268" s="170"/>
      <c r="N268" s="170"/>
      <c r="O268" s="171"/>
      <c r="P268" s="171"/>
      <c r="Q268" s="170"/>
      <c r="R268" s="170"/>
      <c r="S268" s="170"/>
      <c r="T268" s="171"/>
      <c r="U268" s="171"/>
      <c r="V268" s="171"/>
      <c r="W268" s="171"/>
      <c r="X268" s="171"/>
      <c r="Y268" s="171"/>
      <c r="Z268" s="171"/>
      <c r="AA268" s="171"/>
      <c r="AB268" s="171"/>
      <c r="AC268" s="170"/>
      <c r="AD268" s="170"/>
      <c r="AE268" s="170"/>
      <c r="AF268" s="170"/>
      <c r="AG268" s="170"/>
      <c r="AH268" s="170"/>
      <c r="AI268" s="170"/>
      <c r="AJ268" s="170"/>
      <c r="AK268" s="171"/>
      <c r="AL268" s="171"/>
      <c r="AM268" s="170"/>
      <c r="AN268" s="170"/>
      <c r="AO268" s="170"/>
      <c r="AP268" s="171"/>
      <c r="AQ268" s="171"/>
      <c r="AR268" s="170"/>
      <c r="AS268" s="170"/>
      <c r="AT268" s="170"/>
      <c r="AU268" s="171"/>
      <c r="AV268" s="171"/>
      <c r="AW268" s="171"/>
      <c r="AX268" s="171"/>
      <c r="AY268" s="171"/>
      <c r="AZ268" s="171"/>
      <c r="BA268" s="171"/>
      <c r="BB268" s="171"/>
      <c r="BC268" s="171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72"/>
      <c r="BR268" s="172"/>
      <c r="BS268" s="172"/>
    </row>
    <row r="269" spans="1:71" ht="14.5" x14ac:dyDescent="0.35">
      <c r="A269" s="170"/>
      <c r="B269" s="170"/>
      <c r="C269" s="170"/>
      <c r="D269" s="170"/>
      <c r="E269" s="171"/>
      <c r="F269" s="171"/>
      <c r="G269" s="170"/>
      <c r="H269" s="32">
        <v>9395</v>
      </c>
      <c r="I269" s="159">
        <v>1951485</v>
      </c>
      <c r="J269" s="32">
        <v>9395</v>
      </c>
      <c r="K269" s="171"/>
      <c r="L269" s="170"/>
      <c r="M269" s="170"/>
      <c r="N269" s="170"/>
      <c r="O269" s="171"/>
      <c r="P269" s="171"/>
      <c r="Q269" s="170"/>
      <c r="R269" s="170"/>
      <c r="S269" s="170"/>
      <c r="T269" s="171"/>
      <c r="U269" s="171"/>
      <c r="V269" s="171"/>
      <c r="W269" s="171"/>
      <c r="X269" s="171"/>
      <c r="Y269" s="171"/>
      <c r="Z269" s="171"/>
      <c r="AA269" s="171"/>
      <c r="AB269" s="171"/>
      <c r="AC269" s="170"/>
      <c r="AD269" s="170"/>
      <c r="AE269" s="170"/>
      <c r="AF269" s="170"/>
      <c r="AG269" s="170"/>
      <c r="AH269" s="170"/>
      <c r="AI269" s="170"/>
      <c r="AJ269" s="170"/>
      <c r="AK269" s="171"/>
      <c r="AL269" s="171"/>
      <c r="AM269" s="170"/>
      <c r="AN269" s="170"/>
      <c r="AO269" s="170"/>
      <c r="AP269" s="171"/>
      <c r="AQ269" s="171"/>
      <c r="AR269" s="170"/>
      <c r="AS269" s="170"/>
      <c r="AT269" s="170"/>
      <c r="AU269" s="171"/>
      <c r="AV269" s="171"/>
      <c r="AW269" s="171"/>
      <c r="AX269" s="171"/>
      <c r="AY269" s="171"/>
      <c r="AZ269" s="171"/>
      <c r="BA269" s="171"/>
      <c r="BB269" s="171"/>
      <c r="BC269" s="171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72"/>
      <c r="BR269" s="172"/>
      <c r="BS269" s="172"/>
    </row>
    <row r="270" spans="1:71" ht="14.5" x14ac:dyDescent="0.35">
      <c r="A270" s="170"/>
      <c r="B270" s="170"/>
      <c r="C270" s="170"/>
      <c r="D270" s="170"/>
      <c r="E270" s="171"/>
      <c r="F270" s="171"/>
      <c r="G270" s="170"/>
      <c r="H270" s="17">
        <v>9462</v>
      </c>
      <c r="I270" s="159">
        <v>1951695</v>
      </c>
      <c r="J270" s="17">
        <v>9462</v>
      </c>
      <c r="K270" s="171"/>
      <c r="L270" s="170"/>
      <c r="M270" s="170"/>
      <c r="N270" s="170"/>
      <c r="O270" s="171"/>
      <c r="P270" s="171"/>
      <c r="Q270" s="170"/>
      <c r="R270" s="170"/>
      <c r="S270" s="170"/>
      <c r="T270" s="171"/>
      <c r="U270" s="171"/>
      <c r="V270" s="171"/>
      <c r="W270" s="171"/>
      <c r="X270" s="171"/>
      <c r="Y270" s="171"/>
      <c r="Z270" s="171"/>
      <c r="AA270" s="171"/>
      <c r="AB270" s="171"/>
      <c r="AC270" s="170"/>
      <c r="AD270" s="170"/>
      <c r="AE270" s="170"/>
      <c r="AF270" s="170"/>
      <c r="AG270" s="170"/>
      <c r="AH270" s="170"/>
      <c r="AI270" s="170"/>
      <c r="AJ270" s="170"/>
      <c r="AK270" s="171"/>
      <c r="AL270" s="171"/>
      <c r="AM270" s="170"/>
      <c r="AN270" s="170"/>
      <c r="AO270" s="170"/>
      <c r="AP270" s="171"/>
      <c r="AQ270" s="171"/>
      <c r="AR270" s="170"/>
      <c r="AS270" s="170"/>
      <c r="AT270" s="170"/>
      <c r="AU270" s="171"/>
      <c r="AV270" s="171"/>
      <c r="AW270" s="171"/>
      <c r="AX270" s="171"/>
      <c r="AY270" s="171"/>
      <c r="AZ270" s="171"/>
      <c r="BA270" s="171"/>
      <c r="BB270" s="171"/>
      <c r="BC270" s="171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72"/>
      <c r="BR270" s="172"/>
      <c r="BS270" s="172"/>
    </row>
    <row r="271" spans="1:71" ht="14.5" x14ac:dyDescent="0.35">
      <c r="A271" s="170"/>
      <c r="B271" s="170"/>
      <c r="C271" s="170"/>
      <c r="D271" s="170"/>
      <c r="E271" s="171"/>
      <c r="F271" s="171"/>
      <c r="G271" s="170"/>
      <c r="H271" s="17">
        <v>9541</v>
      </c>
      <c r="I271" s="159">
        <v>1952866</v>
      </c>
      <c r="J271" s="17">
        <v>9541</v>
      </c>
      <c r="K271" s="171"/>
      <c r="L271" s="170"/>
      <c r="M271" s="170"/>
      <c r="N271" s="170"/>
      <c r="O271" s="171"/>
      <c r="P271" s="171"/>
      <c r="Q271" s="170"/>
      <c r="R271" s="170"/>
      <c r="S271" s="170"/>
      <c r="T271" s="171"/>
      <c r="U271" s="171"/>
      <c r="V271" s="171"/>
      <c r="W271" s="171"/>
      <c r="X271" s="171"/>
      <c r="Y271" s="171"/>
      <c r="Z271" s="171"/>
      <c r="AA271" s="171"/>
      <c r="AB271" s="171"/>
      <c r="AC271" s="170"/>
      <c r="AD271" s="170"/>
      <c r="AE271" s="170"/>
      <c r="AF271" s="170"/>
      <c r="AG271" s="170"/>
      <c r="AH271" s="170"/>
      <c r="AI271" s="170"/>
      <c r="AJ271" s="170"/>
      <c r="AK271" s="171"/>
      <c r="AL271" s="171"/>
      <c r="AM271" s="170"/>
      <c r="AN271" s="170"/>
      <c r="AO271" s="170"/>
      <c r="AP271" s="171"/>
      <c r="AQ271" s="171"/>
      <c r="AR271" s="170"/>
      <c r="AS271" s="170"/>
      <c r="AT271" s="170"/>
      <c r="AU271" s="171"/>
      <c r="AV271" s="171"/>
      <c r="AW271" s="171"/>
      <c r="AX271" s="171"/>
      <c r="AY271" s="171"/>
      <c r="AZ271" s="171"/>
      <c r="BA271" s="171"/>
      <c r="BB271" s="171"/>
      <c r="BC271" s="171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72"/>
      <c r="BR271" s="172"/>
      <c r="BS271" s="172"/>
    </row>
    <row r="272" spans="1:71" ht="12.5" x14ac:dyDescent="0.25">
      <c r="A272" s="170"/>
      <c r="B272" s="170"/>
      <c r="C272" s="170"/>
      <c r="D272" s="170"/>
      <c r="E272" s="171"/>
      <c r="F272" s="171"/>
      <c r="G272" s="170"/>
      <c r="H272" s="10">
        <v>9603</v>
      </c>
      <c r="I272" s="159">
        <v>1965880</v>
      </c>
      <c r="J272" s="10">
        <v>9603</v>
      </c>
      <c r="K272" s="171"/>
      <c r="L272" s="170"/>
      <c r="M272" s="170"/>
      <c r="N272" s="170"/>
      <c r="O272" s="171"/>
      <c r="P272" s="171"/>
      <c r="Q272" s="170"/>
      <c r="R272" s="170"/>
      <c r="S272" s="170"/>
      <c r="T272" s="171"/>
      <c r="U272" s="171"/>
      <c r="V272" s="171"/>
      <c r="W272" s="171"/>
      <c r="X272" s="171"/>
      <c r="Y272" s="171"/>
      <c r="Z272" s="171"/>
      <c r="AA272" s="171"/>
      <c r="AB272" s="171"/>
      <c r="AC272" s="170"/>
      <c r="AD272" s="170"/>
      <c r="AE272" s="170"/>
      <c r="AF272" s="170"/>
      <c r="AG272" s="170"/>
      <c r="AH272" s="170"/>
      <c r="AI272" s="170"/>
      <c r="AJ272" s="170"/>
      <c r="AK272" s="171"/>
      <c r="AL272" s="171"/>
      <c r="AM272" s="170"/>
      <c r="AN272" s="170"/>
      <c r="AO272" s="170"/>
      <c r="AP272" s="171"/>
      <c r="AQ272" s="171"/>
      <c r="AR272" s="170"/>
      <c r="AS272" s="170"/>
      <c r="AT272" s="170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72"/>
      <c r="BR272" s="172"/>
      <c r="BS272" s="172"/>
    </row>
    <row r="273" spans="1:71" ht="12.5" x14ac:dyDescent="0.25">
      <c r="A273" s="170"/>
      <c r="B273" s="170"/>
      <c r="C273" s="170"/>
      <c r="D273" s="170"/>
      <c r="E273" s="171"/>
      <c r="F273" s="171"/>
      <c r="G273" s="170"/>
      <c r="H273" s="10">
        <v>9743</v>
      </c>
      <c r="I273" s="159">
        <v>1970308</v>
      </c>
      <c r="J273" s="10">
        <v>9743</v>
      </c>
      <c r="K273" s="171"/>
      <c r="L273" s="170"/>
      <c r="M273" s="170"/>
      <c r="N273" s="170"/>
      <c r="O273" s="171"/>
      <c r="P273" s="171"/>
      <c r="Q273" s="170"/>
      <c r="R273" s="170"/>
      <c r="S273" s="170"/>
      <c r="T273" s="171"/>
      <c r="U273" s="171"/>
      <c r="V273" s="171"/>
      <c r="W273" s="171"/>
      <c r="X273" s="171"/>
      <c r="Y273" s="171"/>
      <c r="Z273" s="171"/>
      <c r="AA273" s="171"/>
      <c r="AB273" s="171"/>
      <c r="AC273" s="170"/>
      <c r="AD273" s="170"/>
      <c r="AE273" s="170"/>
      <c r="AF273" s="170"/>
      <c r="AG273" s="170"/>
      <c r="AH273" s="170"/>
      <c r="AI273" s="170"/>
      <c r="AJ273" s="170"/>
      <c r="AK273" s="171"/>
      <c r="AL273" s="171"/>
      <c r="AM273" s="170"/>
      <c r="AN273" s="170"/>
      <c r="AO273" s="170"/>
      <c r="AP273" s="171"/>
      <c r="AQ273" s="171"/>
      <c r="AR273" s="170"/>
      <c r="AS273" s="170"/>
      <c r="AT273" s="170"/>
      <c r="AU273" s="171"/>
      <c r="AV273" s="171"/>
      <c r="AW273" s="171"/>
      <c r="AX273" s="171"/>
      <c r="AY273" s="171"/>
      <c r="AZ273" s="171"/>
      <c r="BA273" s="171"/>
      <c r="BB273" s="171"/>
      <c r="BC273" s="171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72"/>
      <c r="BR273" s="172"/>
      <c r="BS273" s="172"/>
    </row>
    <row r="274" spans="1:71" ht="14.5" x14ac:dyDescent="0.35">
      <c r="A274" s="170"/>
      <c r="B274" s="170"/>
      <c r="C274" s="170"/>
      <c r="D274" s="170"/>
      <c r="E274" s="171"/>
      <c r="F274" s="171"/>
      <c r="G274" s="170"/>
      <c r="H274" s="32">
        <v>9845</v>
      </c>
      <c r="I274" s="159">
        <v>1976896</v>
      </c>
      <c r="J274" s="32">
        <v>9845</v>
      </c>
      <c r="K274" s="171"/>
      <c r="L274" s="170"/>
      <c r="M274" s="170"/>
      <c r="N274" s="170"/>
      <c r="O274" s="171"/>
      <c r="P274" s="171"/>
      <c r="Q274" s="170"/>
      <c r="R274" s="170"/>
      <c r="S274" s="170"/>
      <c r="T274" s="171"/>
      <c r="U274" s="171"/>
      <c r="V274" s="171"/>
      <c r="W274" s="171"/>
      <c r="X274" s="171"/>
      <c r="Y274" s="171"/>
      <c r="Z274" s="171"/>
      <c r="AA274" s="171"/>
      <c r="AB274" s="171"/>
      <c r="AC274" s="170"/>
      <c r="AD274" s="170"/>
      <c r="AE274" s="170"/>
      <c r="AF274" s="170"/>
      <c r="AG274" s="170"/>
      <c r="AH274" s="170"/>
      <c r="AI274" s="170"/>
      <c r="AJ274" s="170"/>
      <c r="AK274" s="171"/>
      <c r="AL274" s="171"/>
      <c r="AM274" s="170"/>
      <c r="AN274" s="170"/>
      <c r="AO274" s="170"/>
      <c r="AP274" s="171"/>
      <c r="AQ274" s="171"/>
      <c r="AR274" s="170"/>
      <c r="AS274" s="170"/>
      <c r="AT274" s="170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72"/>
      <c r="BR274" s="172"/>
      <c r="BS274" s="172"/>
    </row>
    <row r="275" spans="1:71" ht="12.5" x14ac:dyDescent="0.25">
      <c r="A275" s="170"/>
      <c r="B275" s="170"/>
      <c r="C275" s="170"/>
      <c r="D275" s="170"/>
      <c r="E275" s="171"/>
      <c r="F275" s="171"/>
      <c r="G275" s="170"/>
      <c r="H275" s="170"/>
      <c r="I275" s="170"/>
      <c r="J275" s="171"/>
      <c r="K275" s="171"/>
      <c r="L275" s="170"/>
      <c r="M275" s="170"/>
      <c r="N275" s="170"/>
      <c r="O275" s="171"/>
      <c r="P275" s="171"/>
      <c r="Q275" s="170"/>
      <c r="R275" s="170"/>
      <c r="S275" s="170"/>
      <c r="T275" s="171"/>
      <c r="U275" s="171"/>
      <c r="V275" s="171"/>
      <c r="W275" s="171"/>
      <c r="X275" s="171"/>
      <c r="Y275" s="171"/>
      <c r="Z275" s="171"/>
      <c r="AA275" s="171"/>
      <c r="AB275" s="171"/>
      <c r="AC275" s="170"/>
      <c r="AD275" s="170"/>
      <c r="AE275" s="170"/>
      <c r="AF275" s="170"/>
      <c r="AG275" s="170"/>
      <c r="AH275" s="170"/>
      <c r="AI275" s="170"/>
      <c r="AJ275" s="170"/>
      <c r="AK275" s="171"/>
      <c r="AL275" s="171"/>
      <c r="AM275" s="170"/>
      <c r="AN275" s="170"/>
      <c r="AO275" s="170"/>
      <c r="AP275" s="171"/>
      <c r="AQ275" s="171"/>
      <c r="AR275" s="170"/>
      <c r="AS275" s="170"/>
      <c r="AT275" s="170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72"/>
      <c r="BR275" s="172"/>
      <c r="BS275" s="172"/>
    </row>
    <row r="276" spans="1:71" ht="12.5" x14ac:dyDescent="0.25">
      <c r="A276" s="170"/>
      <c r="B276" s="170"/>
      <c r="C276" s="170"/>
      <c r="D276" s="170"/>
      <c r="E276" s="171"/>
      <c r="F276" s="171"/>
      <c r="G276" s="170"/>
      <c r="H276" s="170"/>
      <c r="I276" s="170"/>
      <c r="J276" s="171"/>
      <c r="K276" s="171"/>
      <c r="L276" s="170"/>
      <c r="M276" s="170"/>
      <c r="N276" s="170"/>
      <c r="O276" s="171"/>
      <c r="P276" s="171"/>
      <c r="Q276" s="170"/>
      <c r="R276" s="170"/>
      <c r="S276" s="170"/>
      <c r="T276" s="171"/>
      <c r="U276" s="171"/>
      <c r="V276" s="171"/>
      <c r="W276" s="171"/>
      <c r="X276" s="171"/>
      <c r="Y276" s="171"/>
      <c r="Z276" s="171"/>
      <c r="AA276" s="171"/>
      <c r="AB276" s="171"/>
      <c r="AC276" s="170"/>
      <c r="AD276" s="170"/>
      <c r="AE276" s="170"/>
      <c r="AF276" s="170"/>
      <c r="AG276" s="170"/>
      <c r="AH276" s="170"/>
      <c r="AI276" s="170"/>
      <c r="AJ276" s="170"/>
      <c r="AK276" s="171"/>
      <c r="AL276" s="171"/>
      <c r="AM276" s="170"/>
      <c r="AN276" s="170"/>
      <c r="AO276" s="170"/>
      <c r="AP276" s="171"/>
      <c r="AQ276" s="171"/>
      <c r="AR276" s="170"/>
      <c r="AS276" s="170"/>
      <c r="AT276" s="170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72"/>
      <c r="BR276" s="172"/>
      <c r="BS276" s="172"/>
    </row>
    <row r="277" spans="1:71" ht="12.5" x14ac:dyDescent="0.25">
      <c r="A277" s="170"/>
      <c r="B277" s="170"/>
      <c r="C277" s="170"/>
      <c r="D277" s="170"/>
      <c r="E277" s="171"/>
      <c r="F277" s="171"/>
      <c r="G277" s="170"/>
      <c r="H277" s="170"/>
      <c r="I277" s="170"/>
      <c r="J277" s="171"/>
      <c r="K277" s="171"/>
      <c r="L277" s="170"/>
      <c r="M277" s="170"/>
      <c r="N277" s="170"/>
      <c r="O277" s="171"/>
      <c r="P277" s="171"/>
      <c r="Q277" s="170"/>
      <c r="R277" s="170"/>
      <c r="S277" s="170"/>
      <c r="T277" s="171"/>
      <c r="U277" s="171"/>
      <c r="V277" s="171"/>
      <c r="W277" s="171"/>
      <c r="X277" s="171"/>
      <c r="Y277" s="171"/>
      <c r="Z277" s="171"/>
      <c r="AA277" s="171"/>
      <c r="AB277" s="171"/>
      <c r="AC277" s="170"/>
      <c r="AD277" s="170"/>
      <c r="AE277" s="170"/>
      <c r="AF277" s="170"/>
      <c r="AG277" s="170"/>
      <c r="AH277" s="170"/>
      <c r="AI277" s="170"/>
      <c r="AJ277" s="170"/>
      <c r="AK277" s="171"/>
      <c r="AL277" s="171"/>
      <c r="AM277" s="170"/>
      <c r="AN277" s="170"/>
      <c r="AO277" s="170"/>
      <c r="AP277" s="171"/>
      <c r="AQ277" s="171"/>
      <c r="AR277" s="170"/>
      <c r="AS277" s="170"/>
      <c r="AT277" s="170"/>
      <c r="AU277" s="171"/>
      <c r="AV277" s="171"/>
      <c r="AW277" s="171"/>
      <c r="AX277" s="171"/>
      <c r="AY277" s="171"/>
      <c r="AZ277" s="171"/>
      <c r="BA277" s="171"/>
      <c r="BB277" s="171"/>
      <c r="BC277" s="171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72"/>
      <c r="BR277" s="172"/>
      <c r="BS277" s="172"/>
    </row>
    <row r="278" spans="1:71" ht="12.5" x14ac:dyDescent="0.25">
      <c r="A278" s="170"/>
      <c r="B278" s="170"/>
      <c r="C278" s="170"/>
      <c r="D278" s="170"/>
      <c r="E278" s="171"/>
      <c r="F278" s="171"/>
      <c r="G278" s="170"/>
      <c r="H278" s="170"/>
      <c r="I278" s="170"/>
      <c r="J278" s="171"/>
      <c r="K278" s="171"/>
      <c r="L278" s="170"/>
      <c r="M278" s="170"/>
      <c r="N278" s="170"/>
      <c r="O278" s="171"/>
      <c r="P278" s="171"/>
      <c r="Q278" s="170"/>
      <c r="R278" s="170"/>
      <c r="S278" s="170"/>
      <c r="T278" s="171"/>
      <c r="U278" s="171"/>
      <c r="V278" s="171"/>
      <c r="W278" s="171"/>
      <c r="X278" s="171"/>
      <c r="Y278" s="171"/>
      <c r="Z278" s="171"/>
      <c r="AA278" s="171"/>
      <c r="AB278" s="171"/>
      <c r="AC278" s="170"/>
      <c r="AD278" s="170"/>
      <c r="AE278" s="170"/>
      <c r="AF278" s="170"/>
      <c r="AG278" s="170"/>
      <c r="AH278" s="170"/>
      <c r="AI278" s="170"/>
      <c r="AJ278" s="170"/>
      <c r="AK278" s="171"/>
      <c r="AL278" s="171"/>
      <c r="AM278" s="170"/>
      <c r="AN278" s="170"/>
      <c r="AO278" s="170"/>
      <c r="AP278" s="171"/>
      <c r="AQ278" s="171"/>
      <c r="AR278" s="170"/>
      <c r="AS278" s="170"/>
      <c r="AT278" s="170"/>
      <c r="AU278" s="171"/>
      <c r="AV278" s="171"/>
      <c r="AW278" s="171"/>
      <c r="AX278" s="171"/>
      <c r="AY278" s="171"/>
      <c r="AZ278" s="171"/>
      <c r="BA278" s="171"/>
      <c r="BB278" s="171"/>
      <c r="BC278" s="171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72"/>
      <c r="BR278" s="172"/>
      <c r="BS278" s="172"/>
    </row>
    <row r="279" spans="1:71" ht="12.5" x14ac:dyDescent="0.25">
      <c r="A279" s="170"/>
      <c r="B279" s="170"/>
      <c r="C279" s="170"/>
      <c r="D279" s="170"/>
      <c r="E279" s="171"/>
      <c r="F279" s="171"/>
      <c r="G279" s="170"/>
      <c r="H279" s="170"/>
      <c r="I279" s="170"/>
      <c r="J279" s="171"/>
      <c r="K279" s="171"/>
      <c r="L279" s="170"/>
      <c r="M279" s="170"/>
      <c r="N279" s="170"/>
      <c r="O279" s="171"/>
      <c r="P279" s="171"/>
      <c r="Q279" s="170"/>
      <c r="R279" s="170"/>
      <c r="S279" s="170"/>
      <c r="T279" s="171"/>
      <c r="U279" s="171"/>
      <c r="V279" s="171"/>
      <c r="W279" s="171"/>
      <c r="X279" s="171"/>
      <c r="Y279" s="171"/>
      <c r="Z279" s="171"/>
      <c r="AA279" s="171"/>
      <c r="AB279" s="171"/>
      <c r="AC279" s="170"/>
      <c r="AD279" s="170"/>
      <c r="AE279" s="170"/>
      <c r="AF279" s="170"/>
      <c r="AG279" s="170"/>
      <c r="AH279" s="170"/>
      <c r="AI279" s="170"/>
      <c r="AJ279" s="170"/>
      <c r="AK279" s="171"/>
      <c r="AL279" s="171"/>
      <c r="AM279" s="170"/>
      <c r="AN279" s="170"/>
      <c r="AO279" s="170"/>
      <c r="AP279" s="171"/>
      <c r="AQ279" s="171"/>
      <c r="AR279" s="170"/>
      <c r="AS279" s="170"/>
      <c r="AT279" s="170"/>
      <c r="AU279" s="171"/>
      <c r="AV279" s="171"/>
      <c r="AW279" s="171"/>
      <c r="AX279" s="171"/>
      <c r="AY279" s="171"/>
      <c r="AZ279" s="171"/>
      <c r="BA279" s="171"/>
      <c r="BB279" s="171"/>
      <c r="BC279" s="171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72"/>
      <c r="BR279" s="172"/>
      <c r="BS279" s="172"/>
    </row>
    <row r="280" spans="1:71" ht="12.5" x14ac:dyDescent="0.25">
      <c r="A280" s="170"/>
      <c r="B280" s="170"/>
      <c r="C280" s="170"/>
      <c r="D280" s="170"/>
      <c r="E280" s="171"/>
      <c r="F280" s="171"/>
      <c r="G280" s="170"/>
      <c r="H280" s="170"/>
      <c r="I280" s="170"/>
      <c r="J280" s="171"/>
      <c r="K280" s="171"/>
      <c r="L280" s="170"/>
      <c r="M280" s="170"/>
      <c r="N280" s="170"/>
      <c r="O280" s="171"/>
      <c r="P280" s="171"/>
      <c r="Q280" s="170"/>
      <c r="R280" s="170"/>
      <c r="S280" s="170"/>
      <c r="T280" s="171"/>
      <c r="U280" s="171"/>
      <c r="V280" s="171"/>
      <c r="W280" s="171"/>
      <c r="X280" s="171"/>
      <c r="Y280" s="171"/>
      <c r="Z280" s="171"/>
      <c r="AA280" s="171"/>
      <c r="AB280" s="171"/>
      <c r="AC280" s="170"/>
      <c r="AD280" s="170"/>
      <c r="AE280" s="170"/>
      <c r="AF280" s="170"/>
      <c r="AG280" s="170"/>
      <c r="AH280" s="170"/>
      <c r="AI280" s="170"/>
      <c r="AJ280" s="170"/>
      <c r="AK280" s="171"/>
      <c r="AL280" s="171"/>
      <c r="AM280" s="170"/>
      <c r="AN280" s="170"/>
      <c r="AO280" s="170"/>
      <c r="AP280" s="171"/>
      <c r="AQ280" s="171"/>
      <c r="AR280" s="170"/>
      <c r="AS280" s="170"/>
      <c r="AT280" s="170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72"/>
      <c r="BR280" s="172"/>
      <c r="BS280" s="172"/>
    </row>
    <row r="281" spans="1:71" ht="12.5" x14ac:dyDescent="0.25">
      <c r="A281" s="170"/>
      <c r="B281" s="170"/>
      <c r="C281" s="170"/>
      <c r="D281" s="170"/>
      <c r="E281" s="171"/>
      <c r="F281" s="171"/>
      <c r="G281" s="170"/>
      <c r="H281" s="170"/>
      <c r="I281" s="170"/>
      <c r="J281" s="171"/>
      <c r="K281" s="171"/>
      <c r="L281" s="170"/>
      <c r="M281" s="170"/>
      <c r="N281" s="170"/>
      <c r="O281" s="171"/>
      <c r="P281" s="171"/>
      <c r="Q281" s="170"/>
      <c r="R281" s="170"/>
      <c r="S281" s="170"/>
      <c r="T281" s="171"/>
      <c r="U281" s="171"/>
      <c r="V281" s="171"/>
      <c r="W281" s="171"/>
      <c r="X281" s="171"/>
      <c r="Y281" s="171"/>
      <c r="Z281" s="171"/>
      <c r="AA281" s="171"/>
      <c r="AB281" s="171"/>
      <c r="AC281" s="170"/>
      <c r="AD281" s="170"/>
      <c r="AE281" s="170"/>
      <c r="AF281" s="170"/>
      <c r="AG281" s="170"/>
      <c r="AH281" s="170"/>
      <c r="AI281" s="170"/>
      <c r="AJ281" s="170"/>
      <c r="AK281" s="171"/>
      <c r="AL281" s="171"/>
      <c r="AM281" s="170"/>
      <c r="AN281" s="170"/>
      <c r="AO281" s="170"/>
      <c r="AP281" s="171"/>
      <c r="AQ281" s="171"/>
      <c r="AR281" s="170"/>
      <c r="AS281" s="170"/>
      <c r="AT281" s="170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72"/>
      <c r="BR281" s="172"/>
      <c r="BS281" s="172"/>
    </row>
    <row r="282" spans="1:71" ht="12.5" x14ac:dyDescent="0.25">
      <c r="A282" s="170"/>
      <c r="B282" s="170"/>
      <c r="C282" s="170"/>
      <c r="D282" s="170"/>
      <c r="E282" s="171"/>
      <c r="F282" s="171"/>
      <c r="G282" s="170"/>
      <c r="H282" s="170"/>
      <c r="I282" s="170"/>
      <c r="J282" s="171"/>
      <c r="K282" s="171"/>
      <c r="L282" s="170"/>
      <c r="M282" s="170"/>
      <c r="N282" s="170"/>
      <c r="O282" s="171"/>
      <c r="P282" s="171"/>
      <c r="Q282" s="170"/>
      <c r="R282" s="170"/>
      <c r="S282" s="170"/>
      <c r="T282" s="171"/>
      <c r="U282" s="171"/>
      <c r="V282" s="171"/>
      <c r="W282" s="171"/>
      <c r="X282" s="171"/>
      <c r="Y282" s="171"/>
      <c r="Z282" s="171"/>
      <c r="AA282" s="171"/>
      <c r="AB282" s="171"/>
      <c r="AC282" s="170"/>
      <c r="AD282" s="170"/>
      <c r="AE282" s="170"/>
      <c r="AF282" s="170"/>
      <c r="AG282" s="170"/>
      <c r="AH282" s="170"/>
      <c r="AI282" s="170"/>
      <c r="AJ282" s="170"/>
      <c r="AK282" s="171"/>
      <c r="AL282" s="171"/>
      <c r="AM282" s="170"/>
      <c r="AN282" s="170"/>
      <c r="AO282" s="170"/>
      <c r="AP282" s="171"/>
      <c r="AQ282" s="171"/>
      <c r="AR282" s="170"/>
      <c r="AS282" s="170"/>
      <c r="AT282" s="170"/>
      <c r="AU282" s="171"/>
      <c r="AV282" s="171"/>
      <c r="AW282" s="171"/>
      <c r="AX282" s="171"/>
      <c r="AY282" s="171"/>
      <c r="AZ282" s="171"/>
      <c r="BA282" s="171"/>
      <c r="BB282" s="171"/>
      <c r="BC282" s="171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</row>
    <row r="283" spans="1:71" ht="12.5" x14ac:dyDescent="0.25">
      <c r="A283" s="170"/>
      <c r="B283" s="170"/>
      <c r="C283" s="170"/>
      <c r="D283" s="170"/>
      <c r="E283" s="171"/>
      <c r="F283" s="171"/>
      <c r="G283" s="170"/>
      <c r="H283" s="170"/>
      <c r="I283" s="170"/>
      <c r="J283" s="171"/>
      <c r="K283" s="171"/>
      <c r="L283" s="170"/>
      <c r="M283" s="170"/>
      <c r="N283" s="170"/>
      <c r="O283" s="171"/>
      <c r="P283" s="171"/>
      <c r="Q283" s="170"/>
      <c r="R283" s="170"/>
      <c r="S283" s="170"/>
      <c r="T283" s="171"/>
      <c r="U283" s="171"/>
      <c r="V283" s="171"/>
      <c r="W283" s="171"/>
      <c r="X283" s="171"/>
      <c r="Y283" s="171"/>
      <c r="Z283" s="171"/>
      <c r="AA283" s="171"/>
      <c r="AB283" s="171"/>
      <c r="AC283" s="170"/>
      <c r="AD283" s="170"/>
      <c r="AE283" s="170"/>
      <c r="AF283" s="170"/>
      <c r="AG283" s="170"/>
      <c r="AH283" s="170"/>
      <c r="AI283" s="170"/>
      <c r="AJ283" s="170"/>
      <c r="AK283" s="171"/>
      <c r="AL283" s="171"/>
      <c r="AM283" s="170"/>
      <c r="AN283" s="170"/>
      <c r="AO283" s="170"/>
      <c r="AP283" s="171"/>
      <c r="AQ283" s="171"/>
      <c r="AR283" s="170"/>
      <c r="AS283" s="170"/>
      <c r="AT283" s="170"/>
      <c r="AU283" s="171"/>
      <c r="AV283" s="171"/>
      <c r="AW283" s="171"/>
      <c r="AX283" s="171"/>
      <c r="AY283" s="171"/>
      <c r="AZ283" s="171"/>
      <c r="BA283" s="171"/>
      <c r="BB283" s="171"/>
      <c r="BC283" s="171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</row>
    <row r="284" spans="1:71" ht="12.5" x14ac:dyDescent="0.25">
      <c r="A284" s="170"/>
      <c r="B284" s="170"/>
      <c r="C284" s="170"/>
      <c r="D284" s="170"/>
      <c r="E284" s="171"/>
      <c r="F284" s="171"/>
      <c r="G284" s="170"/>
      <c r="H284" s="170"/>
      <c r="I284" s="170"/>
      <c r="J284" s="171"/>
      <c r="K284" s="171"/>
      <c r="L284" s="170"/>
      <c r="M284" s="170"/>
      <c r="N284" s="170"/>
      <c r="O284" s="171"/>
      <c r="P284" s="171"/>
      <c r="Q284" s="170"/>
      <c r="R284" s="170"/>
      <c r="S284" s="170"/>
      <c r="T284" s="171"/>
      <c r="U284" s="171"/>
      <c r="V284" s="171"/>
      <c r="W284" s="171"/>
      <c r="X284" s="171"/>
      <c r="Y284" s="171"/>
      <c r="Z284" s="171"/>
      <c r="AA284" s="171"/>
      <c r="AB284" s="171"/>
      <c r="AC284" s="170"/>
      <c r="AD284" s="170"/>
      <c r="AE284" s="170"/>
      <c r="AF284" s="170"/>
      <c r="AG284" s="170"/>
      <c r="AH284" s="170"/>
      <c r="AI284" s="170"/>
      <c r="AJ284" s="170"/>
      <c r="AK284" s="171"/>
      <c r="AL284" s="171"/>
      <c r="AM284" s="170"/>
      <c r="AN284" s="170"/>
      <c r="AO284" s="170"/>
      <c r="AP284" s="171"/>
      <c r="AQ284" s="171"/>
      <c r="AR284" s="170"/>
      <c r="AS284" s="170"/>
      <c r="AT284" s="170"/>
      <c r="AU284" s="171"/>
      <c r="AV284" s="171"/>
      <c r="AW284" s="171"/>
      <c r="AX284" s="171"/>
      <c r="AY284" s="171"/>
      <c r="AZ284" s="171"/>
      <c r="BA284" s="171"/>
      <c r="BB284" s="171"/>
      <c r="BC284" s="171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</row>
    <row r="285" spans="1:71" ht="12.5" x14ac:dyDescent="0.25">
      <c r="A285" s="170"/>
      <c r="B285" s="170"/>
      <c r="C285" s="170"/>
      <c r="D285" s="170"/>
      <c r="E285" s="171"/>
      <c r="F285" s="171"/>
      <c r="G285" s="170"/>
      <c r="H285" s="170"/>
      <c r="I285" s="170"/>
      <c r="J285" s="171"/>
      <c r="K285" s="171"/>
      <c r="L285" s="170"/>
      <c r="M285" s="170"/>
      <c r="N285" s="170"/>
      <c r="O285" s="171"/>
      <c r="P285" s="171"/>
      <c r="Q285" s="170"/>
      <c r="R285" s="170"/>
      <c r="S285" s="170"/>
      <c r="T285" s="171"/>
      <c r="U285" s="171"/>
      <c r="V285" s="171"/>
      <c r="W285" s="171"/>
      <c r="X285" s="171"/>
      <c r="Y285" s="171"/>
      <c r="Z285" s="171"/>
      <c r="AA285" s="171"/>
      <c r="AB285" s="171"/>
      <c r="AC285" s="170"/>
      <c r="AD285" s="170"/>
      <c r="AE285" s="170"/>
      <c r="AF285" s="170"/>
      <c r="AG285" s="170"/>
      <c r="AH285" s="170"/>
      <c r="AI285" s="170"/>
      <c r="AJ285" s="170"/>
      <c r="AK285" s="171"/>
      <c r="AL285" s="171"/>
      <c r="AM285" s="170"/>
      <c r="AN285" s="170"/>
      <c r="AO285" s="170"/>
      <c r="AP285" s="171"/>
      <c r="AQ285" s="171"/>
      <c r="AR285" s="170"/>
      <c r="AS285" s="170"/>
      <c r="AT285" s="170"/>
      <c r="AU285" s="171"/>
      <c r="AV285" s="171"/>
      <c r="AW285" s="171"/>
      <c r="AX285" s="171"/>
      <c r="AY285" s="171"/>
      <c r="AZ285" s="171"/>
      <c r="BA285" s="171"/>
      <c r="BB285" s="171"/>
      <c r="BC285" s="171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</row>
    <row r="286" spans="1:71" ht="12.5" x14ac:dyDescent="0.25">
      <c r="A286" s="170"/>
      <c r="B286" s="170"/>
      <c r="C286" s="170"/>
      <c r="D286" s="170"/>
      <c r="E286" s="171"/>
      <c r="F286" s="171"/>
      <c r="G286" s="170"/>
      <c r="H286" s="170"/>
      <c r="I286" s="170"/>
      <c r="J286" s="171"/>
      <c r="K286" s="171"/>
      <c r="L286" s="170"/>
      <c r="M286" s="170"/>
      <c r="N286" s="170"/>
      <c r="O286" s="171"/>
      <c r="P286" s="171"/>
      <c r="Q286" s="170"/>
      <c r="R286" s="170"/>
      <c r="S286" s="170"/>
      <c r="T286" s="171"/>
      <c r="U286" s="171"/>
      <c r="V286" s="171"/>
      <c r="W286" s="171"/>
      <c r="X286" s="171"/>
      <c r="Y286" s="171"/>
      <c r="Z286" s="171"/>
      <c r="AA286" s="171"/>
      <c r="AB286" s="171"/>
      <c r="AC286" s="170"/>
      <c r="AD286" s="170"/>
      <c r="AE286" s="170"/>
      <c r="AF286" s="170"/>
      <c r="AG286" s="170"/>
      <c r="AH286" s="170"/>
      <c r="AI286" s="170"/>
      <c r="AJ286" s="170"/>
      <c r="AK286" s="171"/>
      <c r="AL286" s="171"/>
      <c r="AM286" s="170"/>
      <c r="AN286" s="170"/>
      <c r="AO286" s="170"/>
      <c r="AP286" s="171"/>
      <c r="AQ286" s="171"/>
      <c r="AR286" s="170"/>
      <c r="AS286" s="170"/>
      <c r="AT286" s="170"/>
      <c r="AU286" s="171"/>
      <c r="AV286" s="171"/>
      <c r="AW286" s="171"/>
      <c r="AX286" s="171"/>
      <c r="AY286" s="171"/>
      <c r="AZ286" s="171"/>
      <c r="BA286" s="171"/>
      <c r="BB286" s="171"/>
      <c r="BC286" s="171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</row>
    <row r="287" spans="1:71" ht="12.5" x14ac:dyDescent="0.25">
      <c r="A287" s="170"/>
      <c r="B287" s="170"/>
      <c r="C287" s="170"/>
      <c r="D287" s="170"/>
      <c r="E287" s="171"/>
      <c r="F287" s="171"/>
      <c r="G287" s="170"/>
      <c r="H287" s="170"/>
      <c r="I287" s="170"/>
      <c r="J287" s="171"/>
      <c r="K287" s="171"/>
      <c r="L287" s="170"/>
      <c r="M287" s="170"/>
      <c r="N287" s="170"/>
      <c r="O287" s="171"/>
      <c r="P287" s="171"/>
      <c r="Q287" s="170"/>
      <c r="R287" s="170"/>
      <c r="S287" s="170"/>
      <c r="T287" s="171"/>
      <c r="U287" s="171"/>
      <c r="V287" s="171"/>
      <c r="W287" s="171"/>
      <c r="X287" s="171"/>
      <c r="Y287" s="171"/>
      <c r="Z287" s="171"/>
      <c r="AA287" s="171"/>
      <c r="AB287" s="171"/>
      <c r="AC287" s="170"/>
      <c r="AD287" s="170"/>
      <c r="AE287" s="170"/>
      <c r="AF287" s="170"/>
      <c r="AG287" s="170"/>
      <c r="AH287" s="170"/>
      <c r="AI287" s="170"/>
      <c r="AJ287" s="170"/>
      <c r="AK287" s="171"/>
      <c r="AL287" s="171"/>
      <c r="AM287" s="170"/>
      <c r="AN287" s="170"/>
      <c r="AO287" s="170"/>
      <c r="AP287" s="171"/>
      <c r="AQ287" s="171"/>
      <c r="AR287" s="170"/>
      <c r="AS287" s="170"/>
      <c r="AT287" s="170"/>
      <c r="AU287" s="171"/>
      <c r="AV287" s="171"/>
      <c r="AW287" s="171"/>
      <c r="AX287" s="171"/>
      <c r="AY287" s="171"/>
      <c r="AZ287" s="171"/>
      <c r="BA287" s="171"/>
      <c r="BB287" s="171"/>
      <c r="BC287" s="171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72"/>
      <c r="BR287" s="172"/>
      <c r="BS287" s="172"/>
    </row>
    <row r="288" spans="1:71" ht="12.5" x14ac:dyDescent="0.25">
      <c r="A288" s="170"/>
      <c r="B288" s="170"/>
      <c r="C288" s="170"/>
      <c r="D288" s="170"/>
      <c r="E288" s="171"/>
      <c r="F288" s="171"/>
      <c r="G288" s="170"/>
      <c r="H288" s="170"/>
      <c r="I288" s="170"/>
      <c r="J288" s="171"/>
      <c r="K288" s="171"/>
      <c r="L288" s="170"/>
      <c r="M288" s="170"/>
      <c r="N288" s="170"/>
      <c r="O288" s="171"/>
      <c r="P288" s="171"/>
      <c r="Q288" s="170"/>
      <c r="R288" s="170"/>
      <c r="S288" s="170"/>
      <c r="T288" s="171"/>
      <c r="U288" s="171"/>
      <c r="V288" s="171"/>
      <c r="W288" s="171"/>
      <c r="X288" s="171"/>
      <c r="Y288" s="171"/>
      <c r="Z288" s="171"/>
      <c r="AA288" s="171"/>
      <c r="AB288" s="171"/>
      <c r="AC288" s="170"/>
      <c r="AD288" s="170"/>
      <c r="AE288" s="170"/>
      <c r="AF288" s="170"/>
      <c r="AG288" s="170"/>
      <c r="AH288" s="170"/>
      <c r="AI288" s="170"/>
      <c r="AJ288" s="170"/>
      <c r="AK288" s="171"/>
      <c r="AL288" s="171"/>
      <c r="AM288" s="170"/>
      <c r="AN288" s="170"/>
      <c r="AO288" s="170"/>
      <c r="AP288" s="171"/>
      <c r="AQ288" s="171"/>
      <c r="AR288" s="170"/>
      <c r="AS288" s="170"/>
      <c r="AT288" s="170"/>
      <c r="AU288" s="171"/>
      <c r="AV288" s="171"/>
      <c r="AW288" s="171"/>
      <c r="AX288" s="171"/>
      <c r="AY288" s="171"/>
      <c r="AZ288" s="171"/>
      <c r="BA288" s="171"/>
      <c r="BB288" s="171"/>
      <c r="BC288" s="171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72"/>
      <c r="BR288" s="172"/>
      <c r="BS288" s="172"/>
    </row>
    <row r="289" spans="1:71" ht="12.5" x14ac:dyDescent="0.25">
      <c r="A289" s="170"/>
      <c r="B289" s="170"/>
      <c r="C289" s="170"/>
      <c r="D289" s="170"/>
      <c r="E289" s="171"/>
      <c r="F289" s="171"/>
      <c r="G289" s="170"/>
      <c r="H289" s="170"/>
      <c r="I289" s="170"/>
      <c r="J289" s="171"/>
      <c r="K289" s="171"/>
      <c r="L289" s="170"/>
      <c r="M289" s="170"/>
      <c r="N289" s="170"/>
      <c r="O289" s="171"/>
      <c r="P289" s="171"/>
      <c r="Q289" s="170"/>
      <c r="R289" s="170"/>
      <c r="S289" s="170"/>
      <c r="T289" s="171"/>
      <c r="U289" s="171"/>
      <c r="V289" s="171"/>
      <c r="W289" s="171"/>
      <c r="X289" s="171"/>
      <c r="Y289" s="171"/>
      <c r="Z289" s="171"/>
      <c r="AA289" s="171"/>
      <c r="AB289" s="171"/>
      <c r="AC289" s="170"/>
      <c r="AD289" s="170"/>
      <c r="AE289" s="170"/>
      <c r="AF289" s="170"/>
      <c r="AG289" s="170"/>
      <c r="AH289" s="170"/>
      <c r="AI289" s="170"/>
      <c r="AJ289" s="170"/>
      <c r="AK289" s="171"/>
      <c r="AL289" s="171"/>
      <c r="AM289" s="170"/>
      <c r="AN289" s="170"/>
      <c r="AO289" s="170"/>
      <c r="AP289" s="171"/>
      <c r="AQ289" s="171"/>
      <c r="AR289" s="170"/>
      <c r="AS289" s="170"/>
      <c r="AT289" s="170"/>
      <c r="AU289" s="171"/>
      <c r="AV289" s="171"/>
      <c r="AW289" s="171"/>
      <c r="AX289" s="171"/>
      <c r="AY289" s="171"/>
      <c r="AZ289" s="171"/>
      <c r="BA289" s="171"/>
      <c r="BB289" s="171"/>
      <c r="BC289" s="171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</row>
    <row r="290" spans="1:71" ht="12.5" x14ac:dyDescent="0.25">
      <c r="A290" s="170"/>
      <c r="B290" s="170"/>
      <c r="C290" s="170"/>
      <c r="D290" s="170"/>
      <c r="E290" s="171"/>
      <c r="F290" s="171"/>
      <c r="G290" s="170"/>
      <c r="H290" s="170"/>
      <c r="I290" s="170"/>
      <c r="J290" s="171"/>
      <c r="K290" s="171"/>
      <c r="L290" s="170"/>
      <c r="M290" s="170"/>
      <c r="N290" s="170"/>
      <c r="O290" s="171"/>
      <c r="P290" s="171"/>
      <c r="Q290" s="170"/>
      <c r="R290" s="170"/>
      <c r="S290" s="170"/>
      <c r="T290" s="171"/>
      <c r="U290" s="171"/>
      <c r="V290" s="171"/>
      <c r="W290" s="171"/>
      <c r="X290" s="171"/>
      <c r="Y290" s="171"/>
      <c r="Z290" s="171"/>
      <c r="AA290" s="171"/>
      <c r="AB290" s="171"/>
      <c r="AC290" s="170"/>
      <c r="AD290" s="170"/>
      <c r="AE290" s="170"/>
      <c r="AF290" s="170"/>
      <c r="AG290" s="170"/>
      <c r="AH290" s="170"/>
      <c r="AI290" s="170"/>
      <c r="AJ290" s="170"/>
      <c r="AK290" s="171"/>
      <c r="AL290" s="171"/>
      <c r="AM290" s="170"/>
      <c r="AN290" s="170"/>
      <c r="AO290" s="170"/>
      <c r="AP290" s="171"/>
      <c r="AQ290" s="171"/>
      <c r="AR290" s="170"/>
      <c r="AS290" s="170"/>
      <c r="AT290" s="170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</row>
    <row r="291" spans="1:71" ht="12.5" x14ac:dyDescent="0.25">
      <c r="A291" s="170"/>
      <c r="B291" s="170"/>
      <c r="C291" s="170"/>
      <c r="D291" s="170"/>
      <c r="E291" s="171"/>
      <c r="F291" s="171"/>
      <c r="G291" s="170"/>
      <c r="H291" s="170"/>
      <c r="I291" s="170"/>
      <c r="J291" s="171"/>
      <c r="K291" s="171"/>
      <c r="L291" s="170"/>
      <c r="M291" s="170"/>
      <c r="N291" s="170"/>
      <c r="O291" s="171"/>
      <c r="P291" s="171"/>
      <c r="Q291" s="170"/>
      <c r="R291" s="170"/>
      <c r="S291" s="170"/>
      <c r="T291" s="171"/>
      <c r="U291" s="171"/>
      <c r="V291" s="171"/>
      <c r="W291" s="171"/>
      <c r="X291" s="171"/>
      <c r="Y291" s="171"/>
      <c r="Z291" s="171"/>
      <c r="AA291" s="171"/>
      <c r="AB291" s="171"/>
      <c r="AC291" s="170"/>
      <c r="AD291" s="170"/>
      <c r="AE291" s="170"/>
      <c r="AF291" s="170"/>
      <c r="AG291" s="170"/>
      <c r="AH291" s="170"/>
      <c r="AI291" s="170"/>
      <c r="AJ291" s="170"/>
      <c r="AK291" s="171"/>
      <c r="AL291" s="171"/>
      <c r="AM291" s="170"/>
      <c r="AN291" s="170"/>
      <c r="AO291" s="170"/>
      <c r="AP291" s="171"/>
      <c r="AQ291" s="171"/>
      <c r="AR291" s="170"/>
      <c r="AS291" s="170"/>
      <c r="AT291" s="170"/>
      <c r="AU291" s="171"/>
      <c r="AV291" s="171"/>
      <c r="AW291" s="171"/>
      <c r="AX291" s="171"/>
      <c r="AY291" s="171"/>
      <c r="AZ291" s="171"/>
      <c r="BA291" s="171"/>
      <c r="BB291" s="171"/>
      <c r="BC291" s="171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</row>
    <row r="292" spans="1:71" ht="12.5" x14ac:dyDescent="0.25">
      <c r="A292" s="170"/>
      <c r="B292" s="170"/>
      <c r="C292" s="170"/>
      <c r="D292" s="170"/>
      <c r="E292" s="171"/>
      <c r="F292" s="171"/>
      <c r="G292" s="170"/>
      <c r="H292" s="170"/>
      <c r="I292" s="170"/>
      <c r="J292" s="171"/>
      <c r="K292" s="171"/>
      <c r="L292" s="170"/>
      <c r="M292" s="170"/>
      <c r="N292" s="170"/>
      <c r="O292" s="171"/>
      <c r="P292" s="171"/>
      <c r="Q292" s="170"/>
      <c r="R292" s="170"/>
      <c r="S292" s="170"/>
      <c r="T292" s="171"/>
      <c r="U292" s="171"/>
      <c r="V292" s="171"/>
      <c r="W292" s="171"/>
      <c r="X292" s="171"/>
      <c r="Y292" s="171"/>
      <c r="Z292" s="171"/>
      <c r="AA292" s="171"/>
      <c r="AB292" s="171"/>
      <c r="AC292" s="170"/>
      <c r="AD292" s="170"/>
      <c r="AE292" s="170"/>
      <c r="AF292" s="170"/>
      <c r="AG292" s="170"/>
      <c r="AH292" s="170"/>
      <c r="AI292" s="170"/>
      <c r="AJ292" s="170"/>
      <c r="AK292" s="171"/>
      <c r="AL292" s="171"/>
      <c r="AM292" s="170"/>
      <c r="AN292" s="170"/>
      <c r="AO292" s="170"/>
      <c r="AP292" s="171"/>
      <c r="AQ292" s="171"/>
      <c r="AR292" s="170"/>
      <c r="AS292" s="170"/>
      <c r="AT292" s="170"/>
      <c r="AU292" s="171"/>
      <c r="AV292" s="171"/>
      <c r="AW292" s="171"/>
      <c r="AX292" s="171"/>
      <c r="AY292" s="171"/>
      <c r="AZ292" s="171"/>
      <c r="BA292" s="171"/>
      <c r="BB292" s="171"/>
      <c r="BC292" s="171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</row>
    <row r="293" spans="1:71" ht="12.5" x14ac:dyDescent="0.25">
      <c r="A293" s="170"/>
      <c r="B293" s="170"/>
      <c r="C293" s="170"/>
      <c r="D293" s="170"/>
      <c r="E293" s="171"/>
      <c r="F293" s="171"/>
      <c r="G293" s="170"/>
      <c r="H293" s="170"/>
      <c r="I293" s="170"/>
      <c r="J293" s="171"/>
      <c r="K293" s="171"/>
      <c r="L293" s="170"/>
      <c r="M293" s="170"/>
      <c r="N293" s="170"/>
      <c r="O293" s="171"/>
      <c r="P293" s="171"/>
      <c r="Q293" s="170"/>
      <c r="R293" s="170"/>
      <c r="S293" s="170"/>
      <c r="T293" s="171"/>
      <c r="U293" s="171"/>
      <c r="V293" s="171"/>
      <c r="W293" s="171"/>
      <c r="X293" s="171"/>
      <c r="Y293" s="171"/>
      <c r="Z293" s="171"/>
      <c r="AA293" s="171"/>
      <c r="AB293" s="171"/>
      <c r="AC293" s="170"/>
      <c r="AD293" s="170"/>
      <c r="AE293" s="170"/>
      <c r="AF293" s="170"/>
      <c r="AG293" s="170"/>
      <c r="AH293" s="170"/>
      <c r="AI293" s="170"/>
      <c r="AJ293" s="170"/>
      <c r="AK293" s="171"/>
      <c r="AL293" s="171"/>
      <c r="AM293" s="170"/>
      <c r="AN293" s="170"/>
      <c r="AO293" s="170"/>
      <c r="AP293" s="171"/>
      <c r="AQ293" s="171"/>
      <c r="AR293" s="170"/>
      <c r="AS293" s="170"/>
      <c r="AT293" s="170"/>
      <c r="AU293" s="171"/>
      <c r="AV293" s="171"/>
      <c r="AW293" s="171"/>
      <c r="AX293" s="171"/>
      <c r="AY293" s="171"/>
      <c r="AZ293" s="171"/>
      <c r="BA293" s="171"/>
      <c r="BB293" s="171"/>
      <c r="BC293" s="171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72"/>
      <c r="BR293" s="172"/>
      <c r="BS293" s="172"/>
    </row>
    <row r="294" spans="1:71" ht="12.5" x14ac:dyDescent="0.25">
      <c r="A294" s="170"/>
      <c r="B294" s="170"/>
      <c r="C294" s="170"/>
      <c r="D294" s="170"/>
      <c r="E294" s="171"/>
      <c r="F294" s="171"/>
      <c r="G294" s="170"/>
      <c r="H294" s="170"/>
      <c r="I294" s="170"/>
      <c r="J294" s="171"/>
      <c r="K294" s="171"/>
      <c r="L294" s="170"/>
      <c r="M294" s="170"/>
      <c r="N294" s="170"/>
      <c r="O294" s="171"/>
      <c r="P294" s="171"/>
      <c r="Q294" s="170"/>
      <c r="R294" s="170"/>
      <c r="S294" s="170"/>
      <c r="T294" s="171"/>
      <c r="U294" s="171"/>
      <c r="V294" s="171"/>
      <c r="W294" s="171"/>
      <c r="X294" s="171"/>
      <c r="Y294" s="171"/>
      <c r="Z294" s="171"/>
      <c r="AA294" s="171"/>
      <c r="AB294" s="171"/>
      <c r="AC294" s="170"/>
      <c r="AD294" s="170"/>
      <c r="AE294" s="170"/>
      <c r="AF294" s="170"/>
      <c r="AG294" s="170"/>
      <c r="AH294" s="170"/>
      <c r="AI294" s="170"/>
      <c r="AJ294" s="170"/>
      <c r="AK294" s="171"/>
      <c r="AL294" s="171"/>
      <c r="AM294" s="170"/>
      <c r="AN294" s="170"/>
      <c r="AO294" s="170"/>
      <c r="AP294" s="171"/>
      <c r="AQ294" s="171"/>
      <c r="AR294" s="170"/>
      <c r="AS294" s="170"/>
      <c r="AT294" s="170"/>
      <c r="AU294" s="171"/>
      <c r="AV294" s="171"/>
      <c r="AW294" s="171"/>
      <c r="AX294" s="171"/>
      <c r="AY294" s="171"/>
      <c r="AZ294" s="171"/>
      <c r="BA294" s="171"/>
      <c r="BB294" s="171"/>
      <c r="BC294" s="171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72"/>
      <c r="BR294" s="172"/>
      <c r="BS294" s="172"/>
    </row>
    <row r="295" spans="1:71" ht="12.5" x14ac:dyDescent="0.25">
      <c r="A295" s="170"/>
      <c r="B295" s="170"/>
      <c r="C295" s="170"/>
      <c r="D295" s="170"/>
      <c r="E295" s="171"/>
      <c r="F295" s="171"/>
      <c r="G295" s="170"/>
      <c r="H295" s="170"/>
      <c r="I295" s="170"/>
      <c r="J295" s="171"/>
      <c r="K295" s="171"/>
      <c r="L295" s="170"/>
      <c r="M295" s="170"/>
      <c r="N295" s="170"/>
      <c r="O295" s="171"/>
      <c r="P295" s="171"/>
      <c r="Q295" s="170"/>
      <c r="R295" s="170"/>
      <c r="S295" s="170"/>
      <c r="T295" s="171"/>
      <c r="U295" s="171"/>
      <c r="V295" s="171"/>
      <c r="W295" s="171"/>
      <c r="X295" s="171"/>
      <c r="Y295" s="171"/>
      <c r="Z295" s="171"/>
      <c r="AA295" s="171"/>
      <c r="AB295" s="171"/>
      <c r="AC295" s="170"/>
      <c r="AD295" s="170"/>
      <c r="AE295" s="170"/>
      <c r="AF295" s="170"/>
      <c r="AG295" s="170"/>
      <c r="AH295" s="170"/>
      <c r="AI295" s="170"/>
      <c r="AJ295" s="170"/>
      <c r="AK295" s="171"/>
      <c r="AL295" s="171"/>
      <c r="AM295" s="170"/>
      <c r="AN295" s="170"/>
      <c r="AO295" s="170"/>
      <c r="AP295" s="171"/>
      <c r="AQ295" s="171"/>
      <c r="AR295" s="170"/>
      <c r="AS295" s="170"/>
      <c r="AT295" s="170"/>
      <c r="AU295" s="171"/>
      <c r="AV295" s="171"/>
      <c r="AW295" s="171"/>
      <c r="AX295" s="171"/>
      <c r="AY295" s="171"/>
      <c r="AZ295" s="171"/>
      <c r="BA295" s="171"/>
      <c r="BB295" s="171"/>
      <c r="BC295" s="171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</row>
    <row r="296" spans="1:71" ht="12.5" x14ac:dyDescent="0.25">
      <c r="A296" s="170"/>
      <c r="B296" s="170"/>
      <c r="C296" s="170"/>
      <c r="D296" s="170"/>
      <c r="E296" s="171"/>
      <c r="F296" s="171"/>
      <c r="G296" s="170"/>
      <c r="H296" s="170"/>
      <c r="I296" s="170"/>
      <c r="J296" s="171"/>
      <c r="K296" s="171"/>
      <c r="L296" s="170"/>
      <c r="M296" s="170"/>
      <c r="N296" s="170"/>
      <c r="O296" s="171"/>
      <c r="P296" s="171"/>
      <c r="Q296" s="170"/>
      <c r="R296" s="170"/>
      <c r="S296" s="170"/>
      <c r="T296" s="171"/>
      <c r="U296" s="171"/>
      <c r="V296" s="171"/>
      <c r="W296" s="171"/>
      <c r="X296" s="171"/>
      <c r="Y296" s="171"/>
      <c r="Z296" s="171"/>
      <c r="AA296" s="171"/>
      <c r="AB296" s="171"/>
      <c r="AC296" s="170"/>
      <c r="AD296" s="170"/>
      <c r="AE296" s="170"/>
      <c r="AF296" s="170"/>
      <c r="AG296" s="170"/>
      <c r="AH296" s="170"/>
      <c r="AI296" s="170"/>
      <c r="AJ296" s="170"/>
      <c r="AK296" s="171"/>
      <c r="AL296" s="171"/>
      <c r="AM296" s="170"/>
      <c r="AN296" s="170"/>
      <c r="AO296" s="170"/>
      <c r="AP296" s="171"/>
      <c r="AQ296" s="171"/>
      <c r="AR296" s="170"/>
      <c r="AS296" s="170"/>
      <c r="AT296" s="170"/>
      <c r="AU296" s="171"/>
      <c r="AV296" s="171"/>
      <c r="AW296" s="171"/>
      <c r="AX296" s="171"/>
      <c r="AY296" s="171"/>
      <c r="AZ296" s="171"/>
      <c r="BA296" s="171"/>
      <c r="BB296" s="171"/>
      <c r="BC296" s="171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</row>
    <row r="297" spans="1:71" ht="12.5" x14ac:dyDescent="0.25">
      <c r="A297" s="170"/>
      <c r="B297" s="170"/>
      <c r="C297" s="170"/>
      <c r="D297" s="170"/>
      <c r="E297" s="171"/>
      <c r="F297" s="171"/>
      <c r="G297" s="170"/>
      <c r="H297" s="170"/>
      <c r="I297" s="170"/>
      <c r="J297" s="171"/>
      <c r="K297" s="171"/>
      <c r="L297" s="170"/>
      <c r="M297" s="170"/>
      <c r="N297" s="170"/>
      <c r="O297" s="171"/>
      <c r="P297" s="171"/>
      <c r="Q297" s="170"/>
      <c r="R297" s="170"/>
      <c r="S297" s="170"/>
      <c r="T297" s="171"/>
      <c r="U297" s="171"/>
      <c r="V297" s="171"/>
      <c r="W297" s="171"/>
      <c r="X297" s="171"/>
      <c r="Y297" s="171"/>
      <c r="Z297" s="171"/>
      <c r="AA297" s="171"/>
      <c r="AB297" s="171"/>
      <c r="AC297" s="170"/>
      <c r="AD297" s="170"/>
      <c r="AE297" s="170"/>
      <c r="AF297" s="170"/>
      <c r="AG297" s="170"/>
      <c r="AH297" s="170"/>
      <c r="AI297" s="170"/>
      <c r="AJ297" s="170"/>
      <c r="AK297" s="171"/>
      <c r="AL297" s="171"/>
      <c r="AM297" s="170"/>
      <c r="AN297" s="170"/>
      <c r="AO297" s="170"/>
      <c r="AP297" s="171"/>
      <c r="AQ297" s="171"/>
      <c r="AR297" s="170"/>
      <c r="AS297" s="170"/>
      <c r="AT297" s="170"/>
      <c r="AU297" s="171"/>
      <c r="AV297" s="171"/>
      <c r="AW297" s="171"/>
      <c r="AX297" s="171"/>
      <c r="AY297" s="171"/>
      <c r="AZ297" s="171"/>
      <c r="BA297" s="171"/>
      <c r="BB297" s="171"/>
      <c r="BC297" s="171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</row>
    <row r="298" spans="1:71" ht="12.5" x14ac:dyDescent="0.25">
      <c r="A298" s="170"/>
      <c r="B298" s="170"/>
      <c r="C298" s="170"/>
      <c r="D298" s="170"/>
      <c r="E298" s="171"/>
      <c r="F298" s="171"/>
      <c r="G298" s="170"/>
      <c r="H298" s="170"/>
      <c r="I298" s="170"/>
      <c r="J298" s="171"/>
      <c r="K298" s="171"/>
      <c r="L298" s="170"/>
      <c r="M298" s="170"/>
      <c r="N298" s="170"/>
      <c r="O298" s="171"/>
      <c r="P298" s="171"/>
      <c r="Q298" s="170"/>
      <c r="R298" s="170"/>
      <c r="S298" s="170"/>
      <c r="T298" s="171"/>
      <c r="U298" s="171"/>
      <c r="V298" s="171"/>
      <c r="W298" s="171"/>
      <c r="X298" s="171"/>
      <c r="Y298" s="171"/>
      <c r="Z298" s="171"/>
      <c r="AA298" s="171"/>
      <c r="AB298" s="171"/>
      <c r="AC298" s="170"/>
      <c r="AD298" s="170"/>
      <c r="AE298" s="170"/>
      <c r="AF298" s="170"/>
      <c r="AG298" s="170"/>
      <c r="AH298" s="170"/>
      <c r="AI298" s="170"/>
      <c r="AJ298" s="170"/>
      <c r="AK298" s="171"/>
      <c r="AL298" s="171"/>
      <c r="AM298" s="170"/>
      <c r="AN298" s="170"/>
      <c r="AO298" s="170"/>
      <c r="AP298" s="171"/>
      <c r="AQ298" s="171"/>
      <c r="AR298" s="170"/>
      <c r="AS298" s="170"/>
      <c r="AT298" s="170"/>
      <c r="AU298" s="171"/>
      <c r="AV298" s="171"/>
      <c r="AW298" s="171"/>
      <c r="AX298" s="171"/>
      <c r="AY298" s="171"/>
      <c r="AZ298" s="171"/>
      <c r="BA298" s="171"/>
      <c r="BB298" s="171"/>
      <c r="BC298" s="171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</row>
    <row r="299" spans="1:71" ht="12.5" x14ac:dyDescent="0.25">
      <c r="A299" s="170"/>
      <c r="B299" s="170"/>
      <c r="C299" s="170"/>
      <c r="D299" s="170"/>
      <c r="E299" s="171"/>
      <c r="F299" s="171"/>
      <c r="G299" s="170"/>
      <c r="H299" s="170"/>
      <c r="I299" s="170"/>
      <c r="J299" s="171"/>
      <c r="K299" s="171"/>
      <c r="L299" s="170"/>
      <c r="M299" s="170"/>
      <c r="N299" s="170"/>
      <c r="O299" s="171"/>
      <c r="P299" s="171"/>
      <c r="Q299" s="170"/>
      <c r="R299" s="170"/>
      <c r="S299" s="170"/>
      <c r="T299" s="171"/>
      <c r="U299" s="171"/>
      <c r="V299" s="171"/>
      <c r="W299" s="171"/>
      <c r="X299" s="171"/>
      <c r="Y299" s="171"/>
      <c r="Z299" s="171"/>
      <c r="AA299" s="171"/>
      <c r="AB299" s="171"/>
      <c r="AC299" s="170"/>
      <c r="AD299" s="170"/>
      <c r="AE299" s="170"/>
      <c r="AF299" s="170"/>
      <c r="AG299" s="170"/>
      <c r="AH299" s="170"/>
      <c r="AI299" s="170"/>
      <c r="AJ299" s="170"/>
      <c r="AK299" s="171"/>
      <c r="AL299" s="171"/>
      <c r="AM299" s="170"/>
      <c r="AN299" s="170"/>
      <c r="AO299" s="170"/>
      <c r="AP299" s="171"/>
      <c r="AQ299" s="171"/>
      <c r="AR299" s="170"/>
      <c r="AS299" s="170"/>
      <c r="AT299" s="170"/>
      <c r="AU299" s="171"/>
      <c r="AV299" s="171"/>
      <c r="AW299" s="171"/>
      <c r="AX299" s="171"/>
      <c r="AY299" s="171"/>
      <c r="AZ299" s="171"/>
      <c r="BA299" s="171"/>
      <c r="BB299" s="171"/>
      <c r="BC299" s="171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</row>
    <row r="300" spans="1:71" ht="12.5" x14ac:dyDescent="0.25">
      <c r="A300" s="170"/>
      <c r="B300" s="170"/>
      <c r="C300" s="170"/>
      <c r="D300" s="170"/>
      <c r="E300" s="171"/>
      <c r="F300" s="171"/>
      <c r="G300" s="170"/>
      <c r="H300" s="170"/>
      <c r="I300" s="170"/>
      <c r="J300" s="171"/>
      <c r="K300" s="171"/>
      <c r="L300" s="170"/>
      <c r="M300" s="170"/>
      <c r="N300" s="170"/>
      <c r="O300" s="171"/>
      <c r="P300" s="171"/>
      <c r="Q300" s="170"/>
      <c r="R300" s="170"/>
      <c r="S300" s="170"/>
      <c r="T300" s="171"/>
      <c r="U300" s="171"/>
      <c r="V300" s="171"/>
      <c r="W300" s="171"/>
      <c r="X300" s="171"/>
      <c r="Y300" s="171"/>
      <c r="Z300" s="171"/>
      <c r="AA300" s="171"/>
      <c r="AB300" s="171"/>
      <c r="AC300" s="170"/>
      <c r="AD300" s="170"/>
      <c r="AE300" s="170"/>
      <c r="AF300" s="170"/>
      <c r="AG300" s="170"/>
      <c r="AH300" s="170"/>
      <c r="AI300" s="170"/>
      <c r="AJ300" s="170"/>
      <c r="AK300" s="171"/>
      <c r="AL300" s="171"/>
      <c r="AM300" s="170"/>
      <c r="AN300" s="170"/>
      <c r="AO300" s="170"/>
      <c r="AP300" s="171"/>
      <c r="AQ300" s="171"/>
      <c r="AR300" s="170"/>
      <c r="AS300" s="170"/>
      <c r="AT300" s="170"/>
      <c r="AU300" s="171"/>
      <c r="AV300" s="171"/>
      <c r="AW300" s="171"/>
      <c r="AX300" s="171"/>
      <c r="AY300" s="171"/>
      <c r="AZ300" s="171"/>
      <c r="BA300" s="171"/>
      <c r="BB300" s="171"/>
      <c r="BC300" s="171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</row>
    <row r="301" spans="1:71" ht="12.5" x14ac:dyDescent="0.25">
      <c r="A301" s="170"/>
      <c r="B301" s="170"/>
      <c r="C301" s="170"/>
      <c r="D301" s="170"/>
      <c r="E301" s="171"/>
      <c r="F301" s="171"/>
      <c r="G301" s="170"/>
      <c r="H301" s="170"/>
      <c r="I301" s="170"/>
      <c r="J301" s="171"/>
      <c r="K301" s="171"/>
      <c r="L301" s="170"/>
      <c r="M301" s="170"/>
      <c r="N301" s="170"/>
      <c r="O301" s="171"/>
      <c r="P301" s="171"/>
      <c r="Q301" s="170"/>
      <c r="R301" s="170"/>
      <c r="S301" s="170"/>
      <c r="T301" s="171"/>
      <c r="U301" s="171"/>
      <c r="V301" s="171"/>
      <c r="W301" s="171"/>
      <c r="X301" s="171"/>
      <c r="Y301" s="171"/>
      <c r="Z301" s="171"/>
      <c r="AA301" s="171"/>
      <c r="AB301" s="171"/>
      <c r="AC301" s="170"/>
      <c r="AD301" s="170"/>
      <c r="AE301" s="170"/>
      <c r="AF301" s="170"/>
      <c r="AG301" s="170"/>
      <c r="AH301" s="170"/>
      <c r="AI301" s="170"/>
      <c r="AJ301" s="170"/>
      <c r="AK301" s="171"/>
      <c r="AL301" s="171"/>
      <c r="AM301" s="170"/>
      <c r="AN301" s="170"/>
      <c r="AO301" s="170"/>
      <c r="AP301" s="171"/>
      <c r="AQ301" s="171"/>
      <c r="AR301" s="170"/>
      <c r="AS301" s="170"/>
      <c r="AT301" s="170"/>
      <c r="AU301" s="171"/>
      <c r="AV301" s="171"/>
      <c r="AW301" s="171"/>
      <c r="AX301" s="171"/>
      <c r="AY301" s="171"/>
      <c r="AZ301" s="171"/>
      <c r="BA301" s="171"/>
      <c r="BB301" s="171"/>
      <c r="BC301" s="171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</row>
    <row r="302" spans="1:71" ht="12.5" x14ac:dyDescent="0.25">
      <c r="A302" s="170"/>
      <c r="B302" s="170"/>
      <c r="C302" s="170"/>
      <c r="D302" s="170"/>
      <c r="E302" s="171"/>
      <c r="F302" s="171"/>
      <c r="G302" s="170"/>
      <c r="H302" s="170"/>
      <c r="I302" s="170"/>
      <c r="J302" s="171"/>
      <c r="K302" s="171"/>
      <c r="L302" s="170"/>
      <c r="M302" s="170"/>
      <c r="N302" s="170"/>
      <c r="O302" s="171"/>
      <c r="P302" s="171"/>
      <c r="Q302" s="170"/>
      <c r="R302" s="170"/>
      <c r="S302" s="170"/>
      <c r="T302" s="171"/>
      <c r="U302" s="171"/>
      <c r="V302" s="171"/>
      <c r="W302" s="171"/>
      <c r="X302" s="171"/>
      <c r="Y302" s="171"/>
      <c r="Z302" s="171"/>
      <c r="AA302" s="171"/>
      <c r="AB302" s="171"/>
      <c r="AC302" s="170"/>
      <c r="AD302" s="170"/>
      <c r="AE302" s="170"/>
      <c r="AF302" s="170"/>
      <c r="AG302" s="170"/>
      <c r="AH302" s="170"/>
      <c r="AI302" s="170"/>
      <c r="AJ302" s="170"/>
      <c r="AK302" s="171"/>
      <c r="AL302" s="171"/>
      <c r="AM302" s="170"/>
      <c r="AN302" s="170"/>
      <c r="AO302" s="170"/>
      <c r="AP302" s="171"/>
      <c r="AQ302" s="171"/>
      <c r="AR302" s="170"/>
      <c r="AS302" s="170"/>
      <c r="AT302" s="170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</row>
    <row r="303" spans="1:71" ht="12.5" x14ac:dyDescent="0.25">
      <c r="A303" s="170"/>
      <c r="B303" s="170"/>
      <c r="C303" s="170"/>
      <c r="D303" s="170"/>
      <c r="E303" s="171"/>
      <c r="F303" s="171"/>
      <c r="G303" s="170"/>
      <c r="H303" s="170"/>
      <c r="I303" s="170"/>
      <c r="J303" s="171"/>
      <c r="K303" s="171"/>
      <c r="L303" s="170"/>
      <c r="M303" s="170"/>
      <c r="N303" s="170"/>
      <c r="O303" s="171"/>
      <c r="P303" s="171"/>
      <c r="Q303" s="170"/>
      <c r="R303" s="170"/>
      <c r="S303" s="170"/>
      <c r="T303" s="171"/>
      <c r="U303" s="171"/>
      <c r="V303" s="171"/>
      <c r="W303" s="171"/>
      <c r="X303" s="171"/>
      <c r="Y303" s="171"/>
      <c r="Z303" s="171"/>
      <c r="AA303" s="171"/>
      <c r="AB303" s="171"/>
      <c r="AC303" s="170"/>
      <c r="AD303" s="170"/>
      <c r="AE303" s="170"/>
      <c r="AF303" s="170"/>
      <c r="AG303" s="170"/>
      <c r="AH303" s="170"/>
      <c r="AI303" s="170"/>
      <c r="AJ303" s="170"/>
      <c r="AK303" s="171"/>
      <c r="AL303" s="171"/>
      <c r="AM303" s="170"/>
      <c r="AN303" s="170"/>
      <c r="AO303" s="170"/>
      <c r="AP303" s="171"/>
      <c r="AQ303" s="171"/>
      <c r="AR303" s="170"/>
      <c r="AS303" s="170"/>
      <c r="AT303" s="170"/>
      <c r="AU303" s="171"/>
      <c r="AV303" s="171"/>
      <c r="AW303" s="171"/>
      <c r="AX303" s="171"/>
      <c r="AY303" s="171"/>
      <c r="AZ303" s="171"/>
      <c r="BA303" s="171"/>
      <c r="BB303" s="171"/>
      <c r="BC303" s="171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</row>
    <row r="304" spans="1:71" ht="12.5" x14ac:dyDescent="0.25">
      <c r="A304" s="170"/>
      <c r="B304" s="170"/>
      <c r="C304" s="170"/>
      <c r="D304" s="170"/>
      <c r="E304" s="171"/>
      <c r="F304" s="171"/>
      <c r="G304" s="170"/>
      <c r="H304" s="170"/>
      <c r="I304" s="170"/>
      <c r="J304" s="171"/>
      <c r="K304" s="171"/>
      <c r="L304" s="170"/>
      <c r="M304" s="170"/>
      <c r="N304" s="170"/>
      <c r="O304" s="171"/>
      <c r="P304" s="171"/>
      <c r="Q304" s="170"/>
      <c r="R304" s="170"/>
      <c r="S304" s="170"/>
      <c r="T304" s="171"/>
      <c r="U304" s="171"/>
      <c r="V304" s="171"/>
      <c r="W304" s="171"/>
      <c r="X304" s="171"/>
      <c r="Y304" s="171"/>
      <c r="Z304" s="171"/>
      <c r="AA304" s="171"/>
      <c r="AB304" s="171"/>
      <c r="AC304" s="170"/>
      <c r="AD304" s="170"/>
      <c r="AE304" s="170"/>
      <c r="AF304" s="170"/>
      <c r="AG304" s="170"/>
      <c r="AH304" s="170"/>
      <c r="AI304" s="170"/>
      <c r="AJ304" s="170"/>
      <c r="AK304" s="171"/>
      <c r="AL304" s="171"/>
      <c r="AM304" s="170"/>
      <c r="AN304" s="170"/>
      <c r="AO304" s="170"/>
      <c r="AP304" s="171"/>
      <c r="AQ304" s="171"/>
      <c r="AR304" s="170"/>
      <c r="AS304" s="170"/>
      <c r="AT304" s="170"/>
      <c r="AU304" s="171"/>
      <c r="AV304" s="171"/>
      <c r="AW304" s="171"/>
      <c r="AX304" s="171"/>
      <c r="AY304" s="171"/>
      <c r="AZ304" s="171"/>
      <c r="BA304" s="171"/>
      <c r="BB304" s="171"/>
      <c r="BC304" s="171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</row>
    <row r="305" spans="1:71" ht="12.5" x14ac:dyDescent="0.25">
      <c r="A305" s="170"/>
      <c r="B305" s="170"/>
      <c r="C305" s="170"/>
      <c r="D305" s="170"/>
      <c r="E305" s="171"/>
      <c r="F305" s="171"/>
      <c r="G305" s="170"/>
      <c r="H305" s="170"/>
      <c r="I305" s="170"/>
      <c r="J305" s="171"/>
      <c r="K305" s="171"/>
      <c r="L305" s="170"/>
      <c r="M305" s="170"/>
      <c r="N305" s="170"/>
      <c r="O305" s="171"/>
      <c r="P305" s="171"/>
      <c r="Q305" s="170"/>
      <c r="R305" s="170"/>
      <c r="S305" s="170"/>
      <c r="T305" s="171"/>
      <c r="U305" s="171"/>
      <c r="V305" s="171"/>
      <c r="W305" s="171"/>
      <c r="X305" s="171"/>
      <c r="Y305" s="171"/>
      <c r="Z305" s="171"/>
      <c r="AA305" s="171"/>
      <c r="AB305" s="171"/>
      <c r="AC305" s="170"/>
      <c r="AD305" s="170"/>
      <c r="AE305" s="170"/>
      <c r="AF305" s="170"/>
      <c r="AG305" s="170"/>
      <c r="AH305" s="170"/>
      <c r="AI305" s="170"/>
      <c r="AJ305" s="170"/>
      <c r="AK305" s="171"/>
      <c r="AL305" s="171"/>
      <c r="AM305" s="170"/>
      <c r="AN305" s="170"/>
      <c r="AO305" s="170"/>
      <c r="AP305" s="171"/>
      <c r="AQ305" s="171"/>
      <c r="AR305" s="170"/>
      <c r="AS305" s="170"/>
      <c r="AT305" s="170"/>
      <c r="AU305" s="171"/>
      <c r="AV305" s="171"/>
      <c r="AW305" s="171"/>
      <c r="AX305" s="171"/>
      <c r="AY305" s="171"/>
      <c r="AZ305" s="171"/>
      <c r="BA305" s="171"/>
      <c r="BB305" s="171"/>
      <c r="BC305" s="171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</row>
    <row r="306" spans="1:71" ht="12.5" x14ac:dyDescent="0.25">
      <c r="A306" s="170"/>
      <c r="B306" s="170"/>
      <c r="C306" s="170"/>
      <c r="D306" s="170"/>
      <c r="E306" s="171"/>
      <c r="F306" s="171"/>
      <c r="G306" s="170"/>
      <c r="H306" s="170"/>
      <c r="I306" s="170"/>
      <c r="J306" s="171"/>
      <c r="K306" s="171"/>
      <c r="L306" s="170"/>
      <c r="M306" s="170"/>
      <c r="N306" s="170"/>
      <c r="O306" s="171"/>
      <c r="P306" s="171"/>
      <c r="Q306" s="170"/>
      <c r="R306" s="170"/>
      <c r="S306" s="170"/>
      <c r="T306" s="171"/>
      <c r="U306" s="171"/>
      <c r="V306" s="171"/>
      <c r="W306" s="171"/>
      <c r="X306" s="171"/>
      <c r="Y306" s="171"/>
      <c r="Z306" s="171"/>
      <c r="AA306" s="171"/>
      <c r="AB306" s="171"/>
      <c r="AC306" s="170"/>
      <c r="AD306" s="170"/>
      <c r="AE306" s="170"/>
      <c r="AF306" s="170"/>
      <c r="AG306" s="170"/>
      <c r="AH306" s="170"/>
      <c r="AI306" s="170"/>
      <c r="AJ306" s="170"/>
      <c r="AK306" s="171"/>
      <c r="AL306" s="171"/>
      <c r="AM306" s="170"/>
      <c r="AN306" s="170"/>
      <c r="AO306" s="170"/>
      <c r="AP306" s="171"/>
      <c r="AQ306" s="171"/>
      <c r="AR306" s="170"/>
      <c r="AS306" s="170"/>
      <c r="AT306" s="170"/>
      <c r="AU306" s="171"/>
      <c r="AV306" s="171"/>
      <c r="AW306" s="171"/>
      <c r="AX306" s="171"/>
      <c r="AY306" s="171"/>
      <c r="AZ306" s="171"/>
      <c r="BA306" s="171"/>
      <c r="BB306" s="171"/>
      <c r="BC306" s="171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72"/>
      <c r="BR306" s="172"/>
      <c r="BS306" s="172"/>
    </row>
    <row r="307" spans="1:71" ht="12.5" x14ac:dyDescent="0.25">
      <c r="A307" s="170"/>
      <c r="B307" s="170"/>
      <c r="C307" s="170"/>
      <c r="D307" s="170"/>
      <c r="E307" s="171"/>
      <c r="F307" s="171"/>
      <c r="G307" s="170"/>
      <c r="H307" s="170"/>
      <c r="I307" s="170"/>
      <c r="J307" s="171"/>
      <c r="K307" s="171"/>
      <c r="L307" s="170"/>
      <c r="M307" s="170"/>
      <c r="N307" s="170"/>
      <c r="O307" s="171"/>
      <c r="P307" s="171"/>
      <c r="Q307" s="170"/>
      <c r="R307" s="170"/>
      <c r="S307" s="170"/>
      <c r="T307" s="171"/>
      <c r="U307" s="171"/>
      <c r="V307" s="171"/>
      <c r="W307" s="171"/>
      <c r="X307" s="171"/>
      <c r="Y307" s="171"/>
      <c r="Z307" s="171"/>
      <c r="AA307" s="171"/>
      <c r="AB307" s="171"/>
      <c r="AC307" s="170"/>
      <c r="AD307" s="170"/>
      <c r="AE307" s="170"/>
      <c r="AF307" s="170"/>
      <c r="AG307" s="170"/>
      <c r="AH307" s="170"/>
      <c r="AI307" s="170"/>
      <c r="AJ307" s="170"/>
      <c r="AK307" s="171"/>
      <c r="AL307" s="171"/>
      <c r="AM307" s="170"/>
      <c r="AN307" s="170"/>
      <c r="AO307" s="170"/>
      <c r="AP307" s="171"/>
      <c r="AQ307" s="171"/>
      <c r="AR307" s="170"/>
      <c r="AS307" s="170"/>
      <c r="AT307" s="170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72"/>
      <c r="BR307" s="172"/>
      <c r="BS307" s="172"/>
    </row>
    <row r="308" spans="1:71" ht="12.5" x14ac:dyDescent="0.25">
      <c r="A308" s="170"/>
      <c r="B308" s="170"/>
      <c r="C308" s="170"/>
      <c r="D308" s="170"/>
      <c r="E308" s="171"/>
      <c r="F308" s="171"/>
      <c r="G308" s="170"/>
      <c r="H308" s="170"/>
      <c r="I308" s="170"/>
      <c r="J308" s="171"/>
      <c r="K308" s="171"/>
      <c r="L308" s="170"/>
      <c r="M308" s="170"/>
      <c r="N308" s="170"/>
      <c r="O308" s="171"/>
      <c r="P308" s="171"/>
      <c r="Q308" s="170"/>
      <c r="R308" s="170"/>
      <c r="S308" s="170"/>
      <c r="T308" s="171"/>
      <c r="U308" s="171"/>
      <c r="V308" s="171"/>
      <c r="W308" s="171"/>
      <c r="X308" s="171"/>
      <c r="Y308" s="171"/>
      <c r="Z308" s="171"/>
      <c r="AA308" s="171"/>
      <c r="AB308" s="171"/>
      <c r="AC308" s="170"/>
      <c r="AD308" s="170"/>
      <c r="AE308" s="170"/>
      <c r="AF308" s="170"/>
      <c r="AG308" s="170"/>
      <c r="AH308" s="170"/>
      <c r="AI308" s="170"/>
      <c r="AJ308" s="170"/>
      <c r="AK308" s="171"/>
      <c r="AL308" s="171"/>
      <c r="AM308" s="170"/>
      <c r="AN308" s="170"/>
      <c r="AO308" s="170"/>
      <c r="AP308" s="171"/>
      <c r="AQ308" s="171"/>
      <c r="AR308" s="170"/>
      <c r="AS308" s="170"/>
      <c r="AT308" s="170"/>
      <c r="AU308" s="171"/>
      <c r="AV308" s="171"/>
      <c r="AW308" s="171"/>
      <c r="AX308" s="171"/>
      <c r="AY308" s="171"/>
      <c r="AZ308" s="171"/>
      <c r="BA308" s="171"/>
      <c r="BB308" s="171"/>
      <c r="BC308" s="171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72"/>
      <c r="BR308" s="172"/>
      <c r="BS308" s="172"/>
    </row>
    <row r="309" spans="1:71" ht="12.5" x14ac:dyDescent="0.25">
      <c r="A309" s="170"/>
      <c r="B309" s="170"/>
      <c r="C309" s="170"/>
      <c r="D309" s="170"/>
      <c r="E309" s="171"/>
      <c r="F309" s="171"/>
      <c r="G309" s="170"/>
      <c r="H309" s="170"/>
      <c r="I309" s="170"/>
      <c r="J309" s="171"/>
      <c r="K309" s="171"/>
      <c r="L309" s="170"/>
      <c r="M309" s="170"/>
      <c r="N309" s="170"/>
      <c r="O309" s="171"/>
      <c r="P309" s="171"/>
      <c r="Q309" s="170"/>
      <c r="R309" s="170"/>
      <c r="S309" s="170"/>
      <c r="T309" s="171"/>
      <c r="U309" s="171"/>
      <c r="V309" s="171"/>
      <c r="W309" s="171"/>
      <c r="X309" s="171"/>
      <c r="Y309" s="171"/>
      <c r="Z309" s="171"/>
      <c r="AA309" s="171"/>
      <c r="AB309" s="171"/>
      <c r="AC309" s="170"/>
      <c r="AD309" s="170"/>
      <c r="AE309" s="170"/>
      <c r="AF309" s="170"/>
      <c r="AG309" s="170"/>
      <c r="AH309" s="170"/>
      <c r="AI309" s="170"/>
      <c r="AJ309" s="170"/>
      <c r="AK309" s="171"/>
      <c r="AL309" s="171"/>
      <c r="AM309" s="170"/>
      <c r="AN309" s="170"/>
      <c r="AO309" s="170"/>
      <c r="AP309" s="171"/>
      <c r="AQ309" s="171"/>
      <c r="AR309" s="170"/>
      <c r="AS309" s="170"/>
      <c r="AT309" s="170"/>
      <c r="AU309" s="171"/>
      <c r="AV309" s="171"/>
      <c r="AW309" s="171"/>
      <c r="AX309" s="171"/>
      <c r="AY309" s="171"/>
      <c r="AZ309" s="171"/>
      <c r="BA309" s="171"/>
      <c r="BB309" s="171"/>
      <c r="BC309" s="171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72"/>
      <c r="BR309" s="172"/>
      <c r="BS309" s="172"/>
    </row>
    <row r="310" spans="1:71" ht="12.5" x14ac:dyDescent="0.25">
      <c r="A310" s="170"/>
      <c r="B310" s="170"/>
      <c r="C310" s="170"/>
      <c r="D310" s="170"/>
      <c r="E310" s="171"/>
      <c r="F310" s="171"/>
      <c r="G310" s="170"/>
      <c r="H310" s="170"/>
      <c r="I310" s="170"/>
      <c r="J310" s="171"/>
      <c r="K310" s="171"/>
      <c r="L310" s="170"/>
      <c r="M310" s="170"/>
      <c r="N310" s="170"/>
      <c r="O310" s="171"/>
      <c r="P310" s="171"/>
      <c r="Q310" s="170"/>
      <c r="R310" s="170"/>
      <c r="S310" s="170"/>
      <c r="T310" s="171"/>
      <c r="U310" s="171"/>
      <c r="V310" s="171"/>
      <c r="W310" s="171"/>
      <c r="X310" s="171"/>
      <c r="Y310" s="171"/>
      <c r="Z310" s="171"/>
      <c r="AA310" s="171"/>
      <c r="AB310" s="171"/>
      <c r="AC310" s="170"/>
      <c r="AD310" s="170"/>
      <c r="AE310" s="170"/>
      <c r="AF310" s="170"/>
      <c r="AG310" s="170"/>
      <c r="AH310" s="170"/>
      <c r="AI310" s="170"/>
      <c r="AJ310" s="170"/>
      <c r="AK310" s="171"/>
      <c r="AL310" s="171"/>
      <c r="AM310" s="170"/>
      <c r="AN310" s="170"/>
      <c r="AO310" s="170"/>
      <c r="AP310" s="171"/>
      <c r="AQ310" s="171"/>
      <c r="AR310" s="170"/>
      <c r="AS310" s="170"/>
      <c r="AT310" s="170"/>
      <c r="AU310" s="171"/>
      <c r="AV310" s="171"/>
      <c r="AW310" s="171"/>
      <c r="AX310" s="171"/>
      <c r="AY310" s="171"/>
      <c r="AZ310" s="171"/>
      <c r="BA310" s="171"/>
      <c r="BB310" s="171"/>
      <c r="BC310" s="171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72"/>
      <c r="BR310" s="172"/>
      <c r="BS310" s="172"/>
    </row>
    <row r="311" spans="1:71" ht="12.5" x14ac:dyDescent="0.25">
      <c r="A311" s="170"/>
      <c r="B311" s="170"/>
      <c r="C311" s="170"/>
      <c r="D311" s="170"/>
      <c r="E311" s="171"/>
      <c r="F311" s="171"/>
      <c r="G311" s="170"/>
      <c r="H311" s="170"/>
      <c r="I311" s="170"/>
      <c r="J311" s="171"/>
      <c r="K311" s="171"/>
      <c r="L311" s="170"/>
      <c r="M311" s="170"/>
      <c r="N311" s="170"/>
      <c r="O311" s="171"/>
      <c r="P311" s="171"/>
      <c r="Q311" s="170"/>
      <c r="R311" s="170"/>
      <c r="S311" s="170"/>
      <c r="T311" s="171"/>
      <c r="U311" s="171"/>
      <c r="V311" s="171"/>
      <c r="W311" s="171"/>
      <c r="X311" s="171"/>
      <c r="Y311" s="171"/>
      <c r="Z311" s="171"/>
      <c r="AA311" s="171"/>
      <c r="AB311" s="171"/>
      <c r="AC311" s="170"/>
      <c r="AD311" s="170"/>
      <c r="AE311" s="170"/>
      <c r="AF311" s="170"/>
      <c r="AG311" s="170"/>
      <c r="AH311" s="170"/>
      <c r="AI311" s="170"/>
      <c r="AJ311" s="170"/>
      <c r="AK311" s="171"/>
      <c r="AL311" s="171"/>
      <c r="AM311" s="170"/>
      <c r="AN311" s="170"/>
      <c r="AO311" s="170"/>
      <c r="AP311" s="171"/>
      <c r="AQ311" s="171"/>
      <c r="AR311" s="170"/>
      <c r="AS311" s="170"/>
      <c r="AT311" s="170"/>
      <c r="AU311" s="171"/>
      <c r="AV311" s="171"/>
      <c r="AW311" s="171"/>
      <c r="AX311" s="171"/>
      <c r="AY311" s="171"/>
      <c r="AZ311" s="171"/>
      <c r="BA311" s="171"/>
      <c r="BB311" s="171"/>
      <c r="BC311" s="171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72"/>
      <c r="BR311" s="172"/>
      <c r="BS311" s="172"/>
    </row>
    <row r="312" spans="1:71" ht="12.5" x14ac:dyDescent="0.25">
      <c r="A312" s="170"/>
      <c r="B312" s="170"/>
      <c r="C312" s="170"/>
      <c r="D312" s="170"/>
      <c r="E312" s="171"/>
      <c r="F312" s="171"/>
      <c r="G312" s="170"/>
      <c r="H312" s="170"/>
      <c r="I312" s="170"/>
      <c r="J312" s="171"/>
      <c r="K312" s="171"/>
      <c r="L312" s="170"/>
      <c r="M312" s="170"/>
      <c r="N312" s="170"/>
      <c r="O312" s="171"/>
      <c r="P312" s="171"/>
      <c r="Q312" s="170"/>
      <c r="R312" s="170"/>
      <c r="S312" s="170"/>
      <c r="T312" s="171"/>
      <c r="U312" s="171"/>
      <c r="V312" s="171"/>
      <c r="W312" s="171"/>
      <c r="X312" s="171"/>
      <c r="Y312" s="171"/>
      <c r="Z312" s="171"/>
      <c r="AA312" s="171"/>
      <c r="AB312" s="171"/>
      <c r="AC312" s="170"/>
      <c r="AD312" s="170"/>
      <c r="AE312" s="170"/>
      <c r="AF312" s="170"/>
      <c r="AG312" s="170"/>
      <c r="AH312" s="170"/>
      <c r="AI312" s="170"/>
      <c r="AJ312" s="170"/>
      <c r="AK312" s="171"/>
      <c r="AL312" s="171"/>
      <c r="AM312" s="170"/>
      <c r="AN312" s="170"/>
      <c r="AO312" s="170"/>
      <c r="AP312" s="171"/>
      <c r="AQ312" s="171"/>
      <c r="AR312" s="170"/>
      <c r="AS312" s="170"/>
      <c r="AT312" s="170"/>
      <c r="AU312" s="171"/>
      <c r="AV312" s="171"/>
      <c r="AW312" s="171"/>
      <c r="AX312" s="171"/>
      <c r="AY312" s="171"/>
      <c r="AZ312" s="171"/>
      <c r="BA312" s="171"/>
      <c r="BB312" s="171"/>
      <c r="BC312" s="171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72"/>
      <c r="BR312" s="172"/>
      <c r="BS312" s="172"/>
    </row>
    <row r="313" spans="1:71" ht="12.5" x14ac:dyDescent="0.25">
      <c r="A313" s="170"/>
      <c r="B313" s="170"/>
      <c r="C313" s="170"/>
      <c r="D313" s="170"/>
      <c r="E313" s="171"/>
      <c r="F313" s="171"/>
      <c r="G313" s="170"/>
      <c r="H313" s="170"/>
      <c r="I313" s="170"/>
      <c r="J313" s="171"/>
      <c r="K313" s="171"/>
      <c r="L313" s="170"/>
      <c r="M313" s="170"/>
      <c r="N313" s="170"/>
      <c r="O313" s="171"/>
      <c r="P313" s="171"/>
      <c r="Q313" s="170"/>
      <c r="R313" s="170"/>
      <c r="S313" s="170"/>
      <c r="T313" s="171"/>
      <c r="U313" s="171"/>
      <c r="V313" s="171"/>
      <c r="W313" s="171"/>
      <c r="X313" s="171"/>
      <c r="Y313" s="171"/>
      <c r="Z313" s="171"/>
      <c r="AA313" s="171"/>
      <c r="AB313" s="171"/>
      <c r="AC313" s="170"/>
      <c r="AD313" s="170"/>
      <c r="AE313" s="170"/>
      <c r="AF313" s="170"/>
      <c r="AG313" s="170"/>
      <c r="AH313" s="170"/>
      <c r="AI313" s="170"/>
      <c r="AJ313" s="170"/>
      <c r="AK313" s="171"/>
      <c r="AL313" s="171"/>
      <c r="AM313" s="170"/>
      <c r="AN313" s="170"/>
      <c r="AO313" s="170"/>
      <c r="AP313" s="171"/>
      <c r="AQ313" s="171"/>
      <c r="AR313" s="170"/>
      <c r="AS313" s="170"/>
      <c r="AT313" s="170"/>
      <c r="AU313" s="171"/>
      <c r="AV313" s="171"/>
      <c r="AW313" s="171"/>
      <c r="AX313" s="171"/>
      <c r="AY313" s="171"/>
      <c r="AZ313" s="171"/>
      <c r="BA313" s="171"/>
      <c r="BB313" s="171"/>
      <c r="BC313" s="171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72"/>
      <c r="BR313" s="172"/>
      <c r="BS313" s="172"/>
    </row>
    <row r="314" spans="1:71" ht="12.5" x14ac:dyDescent="0.25">
      <c r="A314" s="170"/>
      <c r="B314" s="170"/>
      <c r="C314" s="170"/>
      <c r="D314" s="170"/>
      <c r="E314" s="171"/>
      <c r="F314" s="171"/>
      <c r="G314" s="170"/>
      <c r="H314" s="170"/>
      <c r="I314" s="170"/>
      <c r="J314" s="171"/>
      <c r="K314" s="171"/>
      <c r="L314" s="170"/>
      <c r="M314" s="170"/>
      <c r="N314" s="170"/>
      <c r="O314" s="171"/>
      <c r="P314" s="171"/>
      <c r="Q314" s="170"/>
      <c r="R314" s="170"/>
      <c r="S314" s="170"/>
      <c r="T314" s="171"/>
      <c r="U314" s="171"/>
      <c r="V314" s="171"/>
      <c r="W314" s="171"/>
      <c r="X314" s="171"/>
      <c r="Y314" s="171"/>
      <c r="Z314" s="171"/>
      <c r="AA314" s="171"/>
      <c r="AB314" s="171"/>
      <c r="AC314" s="170"/>
      <c r="AD314" s="170"/>
      <c r="AE314" s="170"/>
      <c r="AF314" s="170"/>
      <c r="AG314" s="170"/>
      <c r="AH314" s="170"/>
      <c r="AI314" s="170"/>
      <c r="AJ314" s="170"/>
      <c r="AK314" s="171"/>
      <c r="AL314" s="171"/>
      <c r="AM314" s="170"/>
      <c r="AN314" s="170"/>
      <c r="AO314" s="170"/>
      <c r="AP314" s="171"/>
      <c r="AQ314" s="171"/>
      <c r="AR314" s="170"/>
      <c r="AS314" s="170"/>
      <c r="AT314" s="170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72"/>
      <c r="BR314" s="172"/>
      <c r="BS314" s="172"/>
    </row>
    <row r="315" spans="1:71" ht="12.5" x14ac:dyDescent="0.25">
      <c r="A315" s="170"/>
      <c r="B315" s="170"/>
      <c r="C315" s="170"/>
      <c r="D315" s="170"/>
      <c r="E315" s="171"/>
      <c r="F315" s="171"/>
      <c r="G315" s="170"/>
      <c r="H315" s="170"/>
      <c r="I315" s="170"/>
      <c r="J315" s="171"/>
      <c r="K315" s="171"/>
      <c r="L315" s="170"/>
      <c r="M315" s="170"/>
      <c r="N315" s="170"/>
      <c r="O315" s="171"/>
      <c r="P315" s="171"/>
      <c r="Q315" s="170"/>
      <c r="R315" s="170"/>
      <c r="S315" s="170"/>
      <c r="T315" s="171"/>
      <c r="U315" s="171"/>
      <c r="V315" s="171"/>
      <c r="W315" s="171"/>
      <c r="X315" s="171"/>
      <c r="Y315" s="171"/>
      <c r="Z315" s="171"/>
      <c r="AA315" s="171"/>
      <c r="AB315" s="171"/>
      <c r="AC315" s="170"/>
      <c r="AD315" s="170"/>
      <c r="AE315" s="170"/>
      <c r="AF315" s="170"/>
      <c r="AG315" s="170"/>
      <c r="AH315" s="170"/>
      <c r="AI315" s="170"/>
      <c r="AJ315" s="170"/>
      <c r="AK315" s="171"/>
      <c r="AL315" s="171"/>
      <c r="AM315" s="170"/>
      <c r="AN315" s="170"/>
      <c r="AO315" s="170"/>
      <c r="AP315" s="171"/>
      <c r="AQ315" s="171"/>
      <c r="AR315" s="170"/>
      <c r="AS315" s="170"/>
      <c r="AT315" s="170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72"/>
      <c r="BR315" s="172"/>
      <c r="BS315" s="172"/>
    </row>
    <row r="316" spans="1:71" ht="12.5" x14ac:dyDescent="0.25">
      <c r="A316" s="170"/>
      <c r="B316" s="170"/>
      <c r="C316" s="170"/>
      <c r="D316" s="170"/>
      <c r="E316" s="171"/>
      <c r="F316" s="171"/>
      <c r="G316" s="170"/>
      <c r="H316" s="170"/>
      <c r="I316" s="170"/>
      <c r="J316" s="171"/>
      <c r="K316" s="171"/>
      <c r="L316" s="170"/>
      <c r="M316" s="170"/>
      <c r="N316" s="170"/>
      <c r="O316" s="171"/>
      <c r="P316" s="171"/>
      <c r="Q316" s="170"/>
      <c r="R316" s="170"/>
      <c r="S316" s="170"/>
      <c r="T316" s="171"/>
      <c r="U316" s="171"/>
      <c r="V316" s="171"/>
      <c r="W316" s="171"/>
      <c r="X316" s="171"/>
      <c r="Y316" s="171"/>
      <c r="Z316" s="171"/>
      <c r="AA316" s="171"/>
      <c r="AB316" s="171"/>
      <c r="AC316" s="170"/>
      <c r="AD316" s="170"/>
      <c r="AE316" s="170"/>
      <c r="AF316" s="170"/>
      <c r="AG316" s="170"/>
      <c r="AH316" s="170"/>
      <c r="AI316" s="170"/>
      <c r="AJ316" s="170"/>
      <c r="AK316" s="171"/>
      <c r="AL316" s="171"/>
      <c r="AM316" s="170"/>
      <c r="AN316" s="170"/>
      <c r="AO316" s="170"/>
      <c r="AP316" s="171"/>
      <c r="AQ316" s="171"/>
      <c r="AR316" s="170"/>
      <c r="AS316" s="170"/>
      <c r="AT316" s="170"/>
      <c r="AU316" s="171"/>
      <c r="AV316" s="171"/>
      <c r="AW316" s="171"/>
      <c r="AX316" s="171"/>
      <c r="AY316" s="171"/>
      <c r="AZ316" s="171"/>
      <c r="BA316" s="171"/>
      <c r="BB316" s="171"/>
      <c r="BC316" s="171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72"/>
      <c r="BR316" s="172"/>
      <c r="BS316" s="172"/>
    </row>
    <row r="317" spans="1:71" ht="12.5" x14ac:dyDescent="0.25">
      <c r="A317" s="170"/>
      <c r="B317" s="170"/>
      <c r="C317" s="170"/>
      <c r="D317" s="170"/>
      <c r="E317" s="171"/>
      <c r="F317" s="171"/>
      <c r="G317" s="170"/>
      <c r="H317" s="170"/>
      <c r="I317" s="170"/>
      <c r="J317" s="171"/>
      <c r="K317" s="171"/>
      <c r="L317" s="170"/>
      <c r="M317" s="170"/>
      <c r="N317" s="170"/>
      <c r="O317" s="171"/>
      <c r="P317" s="171"/>
      <c r="Q317" s="170"/>
      <c r="R317" s="170"/>
      <c r="S317" s="170"/>
      <c r="T317" s="171"/>
      <c r="U317" s="171"/>
      <c r="V317" s="171"/>
      <c r="W317" s="171"/>
      <c r="X317" s="171"/>
      <c r="Y317" s="171"/>
      <c r="Z317" s="171"/>
      <c r="AA317" s="171"/>
      <c r="AB317" s="171"/>
      <c r="AC317" s="170"/>
      <c r="AD317" s="170"/>
      <c r="AE317" s="170"/>
      <c r="AF317" s="170"/>
      <c r="AG317" s="170"/>
      <c r="AH317" s="170"/>
      <c r="AI317" s="170"/>
      <c r="AJ317" s="170"/>
      <c r="AK317" s="171"/>
      <c r="AL317" s="171"/>
      <c r="AM317" s="170"/>
      <c r="AN317" s="170"/>
      <c r="AO317" s="170"/>
      <c r="AP317" s="171"/>
      <c r="AQ317" s="171"/>
      <c r="AR317" s="170"/>
      <c r="AS317" s="170"/>
      <c r="AT317" s="170"/>
      <c r="AU317" s="171"/>
      <c r="AV317" s="171"/>
      <c r="AW317" s="171"/>
      <c r="AX317" s="171"/>
      <c r="AY317" s="171"/>
      <c r="AZ317" s="171"/>
      <c r="BA317" s="171"/>
      <c r="BB317" s="171"/>
      <c r="BC317" s="171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72"/>
      <c r="BR317" s="172"/>
      <c r="BS317" s="172"/>
    </row>
    <row r="318" spans="1:71" ht="12.5" x14ac:dyDescent="0.25">
      <c r="A318" s="170"/>
      <c r="B318" s="170"/>
      <c r="C318" s="170"/>
      <c r="D318" s="170"/>
      <c r="E318" s="171"/>
      <c r="F318" s="171"/>
      <c r="G318" s="170"/>
      <c r="H318" s="170"/>
      <c r="I318" s="170"/>
      <c r="J318" s="171"/>
      <c r="K318" s="171"/>
      <c r="L318" s="170"/>
      <c r="M318" s="170"/>
      <c r="N318" s="170"/>
      <c r="O318" s="171"/>
      <c r="P318" s="171"/>
      <c r="Q318" s="170"/>
      <c r="R318" s="170"/>
      <c r="S318" s="170"/>
      <c r="T318" s="171"/>
      <c r="U318" s="171"/>
      <c r="V318" s="171"/>
      <c r="W318" s="171"/>
      <c r="X318" s="171"/>
      <c r="Y318" s="171"/>
      <c r="Z318" s="171"/>
      <c r="AA318" s="171"/>
      <c r="AB318" s="171"/>
      <c r="AC318" s="170"/>
      <c r="AD318" s="170"/>
      <c r="AE318" s="170"/>
      <c r="AF318" s="170"/>
      <c r="AG318" s="170"/>
      <c r="AH318" s="170"/>
      <c r="AI318" s="170"/>
      <c r="AJ318" s="170"/>
      <c r="AK318" s="171"/>
      <c r="AL318" s="171"/>
      <c r="AM318" s="170"/>
      <c r="AN318" s="170"/>
      <c r="AO318" s="170"/>
      <c r="AP318" s="171"/>
      <c r="AQ318" s="171"/>
      <c r="AR318" s="170"/>
      <c r="AS318" s="170"/>
      <c r="AT318" s="170"/>
      <c r="AU318" s="171"/>
      <c r="AV318" s="171"/>
      <c r="AW318" s="171"/>
      <c r="AX318" s="171"/>
      <c r="AY318" s="171"/>
      <c r="AZ318" s="171"/>
      <c r="BA318" s="171"/>
      <c r="BB318" s="171"/>
      <c r="BC318" s="171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72"/>
      <c r="BR318" s="172"/>
      <c r="BS318" s="172"/>
    </row>
    <row r="319" spans="1:71" ht="12.5" x14ac:dyDescent="0.25">
      <c r="A319" s="170"/>
      <c r="B319" s="170"/>
      <c r="C319" s="170"/>
      <c r="D319" s="170"/>
      <c r="E319" s="171"/>
      <c r="F319" s="171"/>
      <c r="G319" s="170"/>
      <c r="H319" s="170"/>
      <c r="I319" s="170"/>
      <c r="J319" s="171"/>
      <c r="K319" s="171"/>
      <c r="L319" s="170"/>
      <c r="M319" s="170"/>
      <c r="N319" s="170"/>
      <c r="O319" s="171"/>
      <c r="P319" s="171"/>
      <c r="Q319" s="170"/>
      <c r="R319" s="170"/>
      <c r="S319" s="170"/>
      <c r="T319" s="171"/>
      <c r="U319" s="171"/>
      <c r="V319" s="171"/>
      <c r="W319" s="171"/>
      <c r="X319" s="171"/>
      <c r="Y319" s="171"/>
      <c r="Z319" s="171"/>
      <c r="AA319" s="171"/>
      <c r="AB319" s="171"/>
      <c r="AC319" s="170"/>
      <c r="AD319" s="170"/>
      <c r="AE319" s="170"/>
      <c r="AF319" s="170"/>
      <c r="AG319" s="170"/>
      <c r="AH319" s="170"/>
      <c r="AI319" s="170"/>
      <c r="AJ319" s="170"/>
      <c r="AK319" s="171"/>
      <c r="AL319" s="171"/>
      <c r="AM319" s="170"/>
      <c r="AN319" s="170"/>
      <c r="AO319" s="170"/>
      <c r="AP319" s="171"/>
      <c r="AQ319" s="171"/>
      <c r="AR319" s="170"/>
      <c r="AS319" s="170"/>
      <c r="AT319" s="170"/>
      <c r="AU319" s="171"/>
      <c r="AV319" s="171"/>
      <c r="AW319" s="171"/>
      <c r="AX319" s="171"/>
      <c r="AY319" s="171"/>
      <c r="AZ319" s="171"/>
      <c r="BA319" s="171"/>
      <c r="BB319" s="171"/>
      <c r="BC319" s="171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72"/>
      <c r="BR319" s="172"/>
      <c r="BS319" s="172"/>
    </row>
    <row r="320" spans="1:71" ht="12.5" x14ac:dyDescent="0.25">
      <c r="A320" s="170"/>
      <c r="B320" s="170"/>
      <c r="C320" s="170"/>
      <c r="D320" s="170"/>
      <c r="E320" s="171"/>
      <c r="F320" s="171"/>
      <c r="G320" s="170"/>
      <c r="H320" s="170"/>
      <c r="I320" s="170"/>
      <c r="J320" s="171"/>
      <c r="K320" s="171"/>
      <c r="L320" s="170"/>
      <c r="M320" s="170"/>
      <c r="N320" s="170"/>
      <c r="O320" s="171"/>
      <c r="P320" s="171"/>
      <c r="Q320" s="170"/>
      <c r="R320" s="170"/>
      <c r="S320" s="170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0"/>
      <c r="AD320" s="170"/>
      <c r="AE320" s="170"/>
      <c r="AF320" s="170"/>
      <c r="AG320" s="170"/>
      <c r="AH320" s="170"/>
      <c r="AI320" s="170"/>
      <c r="AJ320" s="170"/>
      <c r="AK320" s="171"/>
      <c r="AL320" s="171"/>
      <c r="AM320" s="170"/>
      <c r="AN320" s="170"/>
      <c r="AO320" s="170"/>
      <c r="AP320" s="171"/>
      <c r="AQ320" s="171"/>
      <c r="AR320" s="170"/>
      <c r="AS320" s="170"/>
      <c r="AT320" s="170"/>
      <c r="AU320" s="171"/>
      <c r="AV320" s="171"/>
      <c r="AW320" s="171"/>
      <c r="AX320" s="171"/>
      <c r="AY320" s="171"/>
      <c r="AZ320" s="171"/>
      <c r="BA320" s="171"/>
      <c r="BB320" s="171"/>
      <c r="BC320" s="171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</row>
    <row r="321" spans="1:71" ht="12.5" x14ac:dyDescent="0.25">
      <c r="A321" s="170"/>
      <c r="B321" s="170"/>
      <c r="C321" s="170"/>
      <c r="D321" s="170"/>
      <c r="E321" s="171"/>
      <c r="F321" s="171"/>
      <c r="G321" s="170"/>
      <c r="H321" s="170"/>
      <c r="I321" s="170"/>
      <c r="J321" s="171"/>
      <c r="K321" s="171"/>
      <c r="L321" s="170"/>
      <c r="M321" s="170"/>
      <c r="N321" s="170"/>
      <c r="O321" s="171"/>
      <c r="P321" s="171"/>
      <c r="Q321" s="170"/>
      <c r="R321" s="170"/>
      <c r="S321" s="170"/>
      <c r="T321" s="171"/>
      <c r="U321" s="171"/>
      <c r="V321" s="171"/>
      <c r="W321" s="171"/>
      <c r="X321" s="171"/>
      <c r="Y321" s="171"/>
      <c r="Z321" s="171"/>
      <c r="AA321" s="171"/>
      <c r="AB321" s="171"/>
      <c r="AC321" s="170"/>
      <c r="AD321" s="170"/>
      <c r="AE321" s="170"/>
      <c r="AF321" s="170"/>
      <c r="AG321" s="170"/>
      <c r="AH321" s="170"/>
      <c r="AI321" s="170"/>
      <c r="AJ321" s="170"/>
      <c r="AK321" s="171"/>
      <c r="AL321" s="171"/>
      <c r="AM321" s="170"/>
      <c r="AN321" s="170"/>
      <c r="AO321" s="170"/>
      <c r="AP321" s="171"/>
      <c r="AQ321" s="171"/>
      <c r="AR321" s="170"/>
      <c r="AS321" s="170"/>
      <c r="AT321" s="170"/>
      <c r="AU321" s="171"/>
      <c r="AV321" s="171"/>
      <c r="AW321" s="171"/>
      <c r="AX321" s="171"/>
      <c r="AY321" s="171"/>
      <c r="AZ321" s="171"/>
      <c r="BA321" s="171"/>
      <c r="BB321" s="171"/>
      <c r="BC321" s="171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72"/>
      <c r="BR321" s="172"/>
      <c r="BS321" s="172"/>
    </row>
    <row r="322" spans="1:71" ht="12.5" x14ac:dyDescent="0.25">
      <c r="A322" s="170"/>
      <c r="B322" s="170"/>
      <c r="C322" s="170"/>
      <c r="D322" s="170"/>
      <c r="E322" s="171"/>
      <c r="F322" s="171"/>
      <c r="G322" s="170"/>
      <c r="H322" s="170"/>
      <c r="I322" s="170"/>
      <c r="J322" s="171"/>
      <c r="K322" s="171"/>
      <c r="L322" s="170"/>
      <c r="M322" s="170"/>
      <c r="N322" s="170"/>
      <c r="O322" s="171"/>
      <c r="P322" s="171"/>
      <c r="Q322" s="170"/>
      <c r="R322" s="170"/>
      <c r="S322" s="170"/>
      <c r="T322" s="171"/>
      <c r="U322" s="171"/>
      <c r="V322" s="171"/>
      <c r="W322" s="171"/>
      <c r="X322" s="171"/>
      <c r="Y322" s="171"/>
      <c r="Z322" s="171"/>
      <c r="AA322" s="171"/>
      <c r="AB322" s="171"/>
      <c r="AC322" s="170"/>
      <c r="AD322" s="170"/>
      <c r="AE322" s="170"/>
      <c r="AF322" s="170"/>
      <c r="AG322" s="170"/>
      <c r="AH322" s="170"/>
      <c r="AI322" s="170"/>
      <c r="AJ322" s="170"/>
      <c r="AK322" s="171"/>
      <c r="AL322" s="171"/>
      <c r="AM322" s="170"/>
      <c r="AN322" s="170"/>
      <c r="AO322" s="170"/>
      <c r="AP322" s="171"/>
      <c r="AQ322" s="171"/>
      <c r="AR322" s="170"/>
      <c r="AS322" s="170"/>
      <c r="AT322" s="170"/>
      <c r="AU322" s="171"/>
      <c r="AV322" s="171"/>
      <c r="AW322" s="171"/>
      <c r="AX322" s="171"/>
      <c r="AY322" s="171"/>
      <c r="AZ322" s="171"/>
      <c r="BA322" s="171"/>
      <c r="BB322" s="171"/>
      <c r="BC322" s="171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</row>
    <row r="323" spans="1:71" ht="12.5" x14ac:dyDescent="0.25">
      <c r="A323" s="170"/>
      <c r="B323" s="170"/>
      <c r="C323" s="170"/>
      <c r="D323" s="170"/>
      <c r="E323" s="171"/>
      <c r="F323" s="171"/>
      <c r="G323" s="170"/>
      <c r="H323" s="170"/>
      <c r="I323" s="170"/>
      <c r="J323" s="171"/>
      <c r="K323" s="171"/>
      <c r="L323" s="170"/>
      <c r="M323" s="170"/>
      <c r="N323" s="170"/>
      <c r="O323" s="171"/>
      <c r="P323" s="171"/>
      <c r="Q323" s="170"/>
      <c r="R323" s="170"/>
      <c r="S323" s="170"/>
      <c r="T323" s="171"/>
      <c r="U323" s="171"/>
      <c r="V323" s="171"/>
      <c r="W323" s="171"/>
      <c r="X323" s="171"/>
      <c r="Y323" s="171"/>
      <c r="Z323" s="171"/>
      <c r="AA323" s="171"/>
      <c r="AB323" s="171"/>
      <c r="AC323" s="170"/>
      <c r="AD323" s="170"/>
      <c r="AE323" s="170"/>
      <c r="AF323" s="170"/>
      <c r="AG323" s="170"/>
      <c r="AH323" s="170"/>
      <c r="AI323" s="170"/>
      <c r="AJ323" s="170"/>
      <c r="AK323" s="171"/>
      <c r="AL323" s="171"/>
      <c r="AM323" s="170"/>
      <c r="AN323" s="170"/>
      <c r="AO323" s="170"/>
      <c r="AP323" s="171"/>
      <c r="AQ323" s="171"/>
      <c r="AR323" s="170"/>
      <c r="AS323" s="170"/>
      <c r="AT323" s="170"/>
      <c r="AU323" s="171"/>
      <c r="AV323" s="171"/>
      <c r="AW323" s="171"/>
      <c r="AX323" s="171"/>
      <c r="AY323" s="171"/>
      <c r="AZ323" s="171"/>
      <c r="BA323" s="171"/>
      <c r="BB323" s="171"/>
      <c r="BC323" s="171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72"/>
      <c r="BR323" s="172"/>
      <c r="BS323" s="172"/>
    </row>
    <row r="324" spans="1:71" ht="12.5" x14ac:dyDescent="0.25">
      <c r="A324" s="170"/>
      <c r="B324" s="170"/>
      <c r="C324" s="170"/>
      <c r="D324" s="170"/>
      <c r="E324" s="171"/>
      <c r="F324" s="171"/>
      <c r="G324" s="170"/>
      <c r="H324" s="170"/>
      <c r="I324" s="170"/>
      <c r="J324" s="171"/>
      <c r="K324" s="171"/>
      <c r="L324" s="170"/>
      <c r="M324" s="170"/>
      <c r="N324" s="170"/>
      <c r="O324" s="171"/>
      <c r="P324" s="171"/>
      <c r="Q324" s="170"/>
      <c r="R324" s="170"/>
      <c r="S324" s="170"/>
      <c r="T324" s="171"/>
      <c r="U324" s="171"/>
      <c r="V324" s="171"/>
      <c r="W324" s="171"/>
      <c r="X324" s="171"/>
      <c r="Y324" s="171"/>
      <c r="Z324" s="171"/>
      <c r="AA324" s="171"/>
      <c r="AB324" s="171"/>
      <c r="AC324" s="170"/>
      <c r="AD324" s="170"/>
      <c r="AE324" s="170"/>
      <c r="AF324" s="170"/>
      <c r="AG324" s="170"/>
      <c r="AH324" s="170"/>
      <c r="AI324" s="170"/>
      <c r="AJ324" s="170"/>
      <c r="AK324" s="171"/>
      <c r="AL324" s="171"/>
      <c r="AM324" s="170"/>
      <c r="AN324" s="170"/>
      <c r="AO324" s="170"/>
      <c r="AP324" s="171"/>
      <c r="AQ324" s="171"/>
      <c r="AR324" s="170"/>
      <c r="AS324" s="170"/>
      <c r="AT324" s="170"/>
      <c r="AU324" s="171"/>
      <c r="AV324" s="171"/>
      <c r="AW324" s="171"/>
      <c r="AX324" s="171"/>
      <c r="AY324" s="171"/>
      <c r="AZ324" s="171"/>
      <c r="BA324" s="171"/>
      <c r="BB324" s="171"/>
      <c r="BC324" s="171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72"/>
      <c r="BR324" s="172"/>
      <c r="BS324" s="172"/>
    </row>
    <row r="325" spans="1:71" ht="12.5" x14ac:dyDescent="0.25">
      <c r="A325" s="170"/>
      <c r="B325" s="170"/>
      <c r="C325" s="170"/>
      <c r="D325" s="170"/>
      <c r="E325" s="171"/>
      <c r="F325" s="171"/>
      <c r="G325" s="170"/>
      <c r="H325" s="170"/>
      <c r="I325" s="170"/>
      <c r="J325" s="171"/>
      <c r="K325" s="171"/>
      <c r="L325" s="170"/>
      <c r="M325" s="170"/>
      <c r="N325" s="170"/>
      <c r="O325" s="171"/>
      <c r="P325" s="171"/>
      <c r="Q325" s="170"/>
      <c r="R325" s="170"/>
      <c r="S325" s="170"/>
      <c r="T325" s="171"/>
      <c r="U325" s="171"/>
      <c r="V325" s="171"/>
      <c r="W325" s="171"/>
      <c r="X325" s="171"/>
      <c r="Y325" s="171"/>
      <c r="Z325" s="171"/>
      <c r="AA325" s="171"/>
      <c r="AB325" s="171"/>
      <c r="AC325" s="170"/>
      <c r="AD325" s="170"/>
      <c r="AE325" s="170"/>
      <c r="AF325" s="170"/>
      <c r="AG325" s="170"/>
      <c r="AH325" s="170"/>
      <c r="AI325" s="170"/>
      <c r="AJ325" s="170"/>
      <c r="AK325" s="171"/>
      <c r="AL325" s="171"/>
      <c r="AM325" s="170"/>
      <c r="AN325" s="170"/>
      <c r="AO325" s="170"/>
      <c r="AP325" s="171"/>
      <c r="AQ325" s="171"/>
      <c r="AR325" s="170"/>
      <c r="AS325" s="170"/>
      <c r="AT325" s="170"/>
      <c r="AU325" s="171"/>
      <c r="AV325" s="171"/>
      <c r="AW325" s="171"/>
      <c r="AX325" s="171"/>
      <c r="AY325" s="171"/>
      <c r="AZ325" s="171"/>
      <c r="BA325" s="171"/>
      <c r="BB325" s="171"/>
      <c r="BC325" s="171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72"/>
      <c r="BR325" s="172"/>
      <c r="BS325" s="172"/>
    </row>
    <row r="326" spans="1:71" ht="12.5" x14ac:dyDescent="0.25">
      <c r="A326" s="170"/>
      <c r="B326" s="170"/>
      <c r="C326" s="170"/>
      <c r="D326" s="170"/>
      <c r="E326" s="171"/>
      <c r="F326" s="171"/>
      <c r="G326" s="170"/>
      <c r="H326" s="170"/>
      <c r="I326" s="170"/>
      <c r="J326" s="171"/>
      <c r="K326" s="171"/>
      <c r="L326" s="170"/>
      <c r="M326" s="170"/>
      <c r="N326" s="170"/>
      <c r="O326" s="171"/>
      <c r="P326" s="171"/>
      <c r="Q326" s="170"/>
      <c r="R326" s="170"/>
      <c r="S326" s="170"/>
      <c r="T326" s="171"/>
      <c r="U326" s="171"/>
      <c r="V326" s="171"/>
      <c r="W326" s="171"/>
      <c r="X326" s="171"/>
      <c r="Y326" s="171"/>
      <c r="Z326" s="171"/>
      <c r="AA326" s="171"/>
      <c r="AB326" s="171"/>
      <c r="AC326" s="170"/>
      <c r="AD326" s="170"/>
      <c r="AE326" s="170"/>
      <c r="AF326" s="170"/>
      <c r="AG326" s="170"/>
      <c r="AH326" s="170"/>
      <c r="AI326" s="170"/>
      <c r="AJ326" s="170"/>
      <c r="AK326" s="171"/>
      <c r="AL326" s="171"/>
      <c r="AM326" s="170"/>
      <c r="AN326" s="170"/>
      <c r="AO326" s="170"/>
      <c r="AP326" s="171"/>
      <c r="AQ326" s="171"/>
      <c r="AR326" s="170"/>
      <c r="AS326" s="170"/>
      <c r="AT326" s="170"/>
      <c r="AU326" s="171"/>
      <c r="AV326" s="171"/>
      <c r="AW326" s="171"/>
      <c r="AX326" s="171"/>
      <c r="AY326" s="171"/>
      <c r="AZ326" s="171"/>
      <c r="BA326" s="171"/>
      <c r="BB326" s="171"/>
      <c r="BC326" s="171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72"/>
      <c r="BR326" s="172"/>
      <c r="BS326" s="172"/>
    </row>
    <row r="327" spans="1:71" ht="12.5" x14ac:dyDescent="0.25">
      <c r="A327" s="170"/>
      <c r="B327" s="170"/>
      <c r="C327" s="170"/>
      <c r="D327" s="170"/>
      <c r="E327" s="171"/>
      <c r="F327" s="171"/>
      <c r="G327" s="170"/>
      <c r="H327" s="170"/>
      <c r="I327" s="170"/>
      <c r="J327" s="171"/>
      <c r="K327" s="171"/>
      <c r="L327" s="170"/>
      <c r="M327" s="170"/>
      <c r="N327" s="170"/>
      <c r="O327" s="171"/>
      <c r="P327" s="171"/>
      <c r="Q327" s="170"/>
      <c r="R327" s="170"/>
      <c r="S327" s="170"/>
      <c r="T327" s="171"/>
      <c r="U327" s="171"/>
      <c r="V327" s="171"/>
      <c r="W327" s="171"/>
      <c r="X327" s="171"/>
      <c r="Y327" s="171"/>
      <c r="Z327" s="171"/>
      <c r="AA327" s="171"/>
      <c r="AB327" s="171"/>
      <c r="AC327" s="170"/>
      <c r="AD327" s="170"/>
      <c r="AE327" s="170"/>
      <c r="AF327" s="170"/>
      <c r="AG327" s="170"/>
      <c r="AH327" s="170"/>
      <c r="AI327" s="170"/>
      <c r="AJ327" s="170"/>
      <c r="AK327" s="171"/>
      <c r="AL327" s="171"/>
      <c r="AM327" s="170"/>
      <c r="AN327" s="170"/>
      <c r="AO327" s="170"/>
      <c r="AP327" s="171"/>
      <c r="AQ327" s="171"/>
      <c r="AR327" s="170"/>
      <c r="AS327" s="170"/>
      <c r="AT327" s="170"/>
      <c r="AU327" s="171"/>
      <c r="AV327" s="171"/>
      <c r="AW327" s="171"/>
      <c r="AX327" s="171"/>
      <c r="AY327" s="171"/>
      <c r="AZ327" s="171"/>
      <c r="BA327" s="171"/>
      <c r="BB327" s="171"/>
      <c r="BC327" s="171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72"/>
      <c r="BR327" s="172"/>
      <c r="BS327" s="172"/>
    </row>
    <row r="328" spans="1:71" ht="12.5" x14ac:dyDescent="0.25">
      <c r="A328" s="170"/>
      <c r="B328" s="170"/>
      <c r="C328" s="170"/>
      <c r="D328" s="170"/>
      <c r="E328" s="171"/>
      <c r="F328" s="171"/>
      <c r="G328" s="170"/>
      <c r="H328" s="170"/>
      <c r="I328" s="170"/>
      <c r="J328" s="171"/>
      <c r="K328" s="171"/>
      <c r="L328" s="170"/>
      <c r="M328" s="170"/>
      <c r="N328" s="170"/>
      <c r="O328" s="171"/>
      <c r="P328" s="171"/>
      <c r="Q328" s="170"/>
      <c r="R328" s="170"/>
      <c r="S328" s="170"/>
      <c r="T328" s="171"/>
      <c r="U328" s="171"/>
      <c r="V328" s="171"/>
      <c r="W328" s="171"/>
      <c r="X328" s="171"/>
      <c r="Y328" s="171"/>
      <c r="Z328" s="171"/>
      <c r="AA328" s="171"/>
      <c r="AB328" s="171"/>
      <c r="AC328" s="170"/>
      <c r="AD328" s="170"/>
      <c r="AE328" s="170"/>
      <c r="AF328" s="170"/>
      <c r="AG328" s="170"/>
      <c r="AH328" s="170"/>
      <c r="AI328" s="170"/>
      <c r="AJ328" s="170"/>
      <c r="AK328" s="171"/>
      <c r="AL328" s="171"/>
      <c r="AM328" s="170"/>
      <c r="AN328" s="170"/>
      <c r="AO328" s="170"/>
      <c r="AP328" s="171"/>
      <c r="AQ328" s="171"/>
      <c r="AR328" s="170"/>
      <c r="AS328" s="170"/>
      <c r="AT328" s="170"/>
      <c r="AU328" s="171"/>
      <c r="AV328" s="171"/>
      <c r="AW328" s="171"/>
      <c r="AX328" s="171"/>
      <c r="AY328" s="171"/>
      <c r="AZ328" s="171"/>
      <c r="BA328" s="171"/>
      <c r="BB328" s="171"/>
      <c r="BC328" s="171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72"/>
      <c r="BR328" s="172"/>
      <c r="BS328" s="172"/>
    </row>
    <row r="329" spans="1:71" ht="12.5" x14ac:dyDescent="0.25">
      <c r="A329" s="170"/>
      <c r="B329" s="170"/>
      <c r="C329" s="170"/>
      <c r="D329" s="170"/>
      <c r="E329" s="171"/>
      <c r="F329" s="171"/>
      <c r="G329" s="170"/>
      <c r="H329" s="170"/>
      <c r="I329" s="170"/>
      <c r="J329" s="171"/>
      <c r="K329" s="171"/>
      <c r="L329" s="170"/>
      <c r="M329" s="170"/>
      <c r="N329" s="170"/>
      <c r="O329" s="171"/>
      <c r="P329" s="171"/>
      <c r="Q329" s="170"/>
      <c r="R329" s="170"/>
      <c r="S329" s="170"/>
      <c r="T329" s="171"/>
      <c r="U329" s="171"/>
      <c r="V329" s="171"/>
      <c r="W329" s="171"/>
      <c r="X329" s="171"/>
      <c r="Y329" s="171"/>
      <c r="Z329" s="171"/>
      <c r="AA329" s="171"/>
      <c r="AB329" s="171"/>
      <c r="AC329" s="170"/>
      <c r="AD329" s="170"/>
      <c r="AE329" s="170"/>
      <c r="AF329" s="170"/>
      <c r="AG329" s="170"/>
      <c r="AH329" s="170"/>
      <c r="AI329" s="170"/>
      <c r="AJ329" s="170"/>
      <c r="AK329" s="171"/>
      <c r="AL329" s="171"/>
      <c r="AM329" s="170"/>
      <c r="AN329" s="170"/>
      <c r="AO329" s="170"/>
      <c r="AP329" s="171"/>
      <c r="AQ329" s="171"/>
      <c r="AR329" s="170"/>
      <c r="AS329" s="170"/>
      <c r="AT329" s="170"/>
      <c r="AU329" s="171"/>
      <c r="AV329" s="171"/>
      <c r="AW329" s="171"/>
      <c r="AX329" s="171"/>
      <c r="AY329" s="171"/>
      <c r="AZ329" s="171"/>
      <c r="BA329" s="171"/>
      <c r="BB329" s="171"/>
      <c r="BC329" s="171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72"/>
      <c r="BR329" s="172"/>
      <c r="BS329" s="172"/>
    </row>
    <row r="330" spans="1:71" ht="12.5" x14ac:dyDescent="0.25">
      <c r="A330" s="170"/>
      <c r="B330" s="170"/>
      <c r="C330" s="170"/>
      <c r="D330" s="170"/>
      <c r="E330" s="171"/>
      <c r="F330" s="171"/>
      <c r="G330" s="170"/>
      <c r="H330" s="170"/>
      <c r="I330" s="170"/>
      <c r="J330" s="171"/>
      <c r="K330" s="171"/>
      <c r="L330" s="170"/>
      <c r="M330" s="170"/>
      <c r="N330" s="170"/>
      <c r="O330" s="171"/>
      <c r="P330" s="171"/>
      <c r="Q330" s="170"/>
      <c r="R330" s="170"/>
      <c r="S330" s="170"/>
      <c r="T330" s="171"/>
      <c r="U330" s="171"/>
      <c r="V330" s="171"/>
      <c r="W330" s="171"/>
      <c r="X330" s="171"/>
      <c r="Y330" s="171"/>
      <c r="Z330" s="171"/>
      <c r="AA330" s="171"/>
      <c r="AB330" s="171"/>
      <c r="AC330" s="170"/>
      <c r="AD330" s="170"/>
      <c r="AE330" s="170"/>
      <c r="AF330" s="170"/>
      <c r="AG330" s="170"/>
      <c r="AH330" s="170"/>
      <c r="AI330" s="170"/>
      <c r="AJ330" s="170"/>
      <c r="AK330" s="171"/>
      <c r="AL330" s="171"/>
      <c r="AM330" s="170"/>
      <c r="AN330" s="170"/>
      <c r="AO330" s="170"/>
      <c r="AP330" s="171"/>
      <c r="AQ330" s="171"/>
      <c r="AR330" s="170"/>
      <c r="AS330" s="170"/>
      <c r="AT330" s="170"/>
      <c r="AU330" s="171"/>
      <c r="AV330" s="171"/>
      <c r="AW330" s="171"/>
      <c r="AX330" s="171"/>
      <c r="AY330" s="171"/>
      <c r="AZ330" s="171"/>
      <c r="BA330" s="171"/>
      <c r="BB330" s="171"/>
      <c r="BC330" s="171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72"/>
      <c r="BR330" s="172"/>
      <c r="BS330" s="172"/>
    </row>
    <row r="331" spans="1:71" ht="12.5" x14ac:dyDescent="0.25">
      <c r="A331" s="170"/>
      <c r="B331" s="170"/>
      <c r="C331" s="170"/>
      <c r="D331" s="170"/>
      <c r="E331" s="171"/>
      <c r="F331" s="171"/>
      <c r="G331" s="170"/>
      <c r="H331" s="170"/>
      <c r="I331" s="170"/>
      <c r="J331" s="171"/>
      <c r="K331" s="171"/>
      <c r="L331" s="170"/>
      <c r="M331" s="170"/>
      <c r="N331" s="170"/>
      <c r="O331" s="171"/>
      <c r="P331" s="171"/>
      <c r="Q331" s="170"/>
      <c r="R331" s="170"/>
      <c r="S331" s="170"/>
      <c r="T331" s="171"/>
      <c r="U331" s="171"/>
      <c r="V331" s="171"/>
      <c r="W331" s="171"/>
      <c r="X331" s="171"/>
      <c r="Y331" s="171"/>
      <c r="Z331" s="171"/>
      <c r="AA331" s="171"/>
      <c r="AB331" s="171"/>
      <c r="AC331" s="170"/>
      <c r="AD331" s="170"/>
      <c r="AE331" s="170"/>
      <c r="AF331" s="170"/>
      <c r="AG331" s="170"/>
      <c r="AH331" s="170"/>
      <c r="AI331" s="170"/>
      <c r="AJ331" s="170"/>
      <c r="AK331" s="171"/>
      <c r="AL331" s="171"/>
      <c r="AM331" s="170"/>
      <c r="AN331" s="170"/>
      <c r="AO331" s="170"/>
      <c r="AP331" s="171"/>
      <c r="AQ331" s="171"/>
      <c r="AR331" s="170"/>
      <c r="AS331" s="170"/>
      <c r="AT331" s="170"/>
      <c r="AU331" s="171"/>
      <c r="AV331" s="171"/>
      <c r="AW331" s="171"/>
      <c r="AX331" s="171"/>
      <c r="AY331" s="171"/>
      <c r="AZ331" s="171"/>
      <c r="BA331" s="171"/>
      <c r="BB331" s="171"/>
      <c r="BC331" s="171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72"/>
      <c r="BR331" s="172"/>
      <c r="BS331" s="172"/>
    </row>
    <row r="332" spans="1:71" ht="12.5" x14ac:dyDescent="0.25">
      <c r="A332" s="170"/>
      <c r="B332" s="170"/>
      <c r="C332" s="170"/>
      <c r="D332" s="170"/>
      <c r="E332" s="171"/>
      <c r="F332" s="171"/>
      <c r="G332" s="170"/>
      <c r="H332" s="170"/>
      <c r="I332" s="170"/>
      <c r="J332" s="171"/>
      <c r="K332" s="171"/>
      <c r="L332" s="170"/>
      <c r="M332" s="170"/>
      <c r="N332" s="170"/>
      <c r="O332" s="171"/>
      <c r="P332" s="171"/>
      <c r="Q332" s="170"/>
      <c r="R332" s="170"/>
      <c r="S332" s="170"/>
      <c r="T332" s="171"/>
      <c r="U332" s="171"/>
      <c r="V332" s="171"/>
      <c r="W332" s="171"/>
      <c r="X332" s="171"/>
      <c r="Y332" s="171"/>
      <c r="Z332" s="171"/>
      <c r="AA332" s="171"/>
      <c r="AB332" s="171"/>
      <c r="AC332" s="170"/>
      <c r="AD332" s="170"/>
      <c r="AE332" s="170"/>
      <c r="AF332" s="170"/>
      <c r="AG332" s="170"/>
      <c r="AH332" s="170"/>
      <c r="AI332" s="170"/>
      <c r="AJ332" s="170"/>
      <c r="AK332" s="171"/>
      <c r="AL332" s="171"/>
      <c r="AM332" s="170"/>
      <c r="AN332" s="170"/>
      <c r="AO332" s="170"/>
      <c r="AP332" s="171"/>
      <c r="AQ332" s="171"/>
      <c r="AR332" s="170"/>
      <c r="AS332" s="170"/>
      <c r="AT332" s="170"/>
      <c r="AU332" s="171"/>
      <c r="AV332" s="171"/>
      <c r="AW332" s="171"/>
      <c r="AX332" s="171"/>
      <c r="AY332" s="171"/>
      <c r="AZ332" s="171"/>
      <c r="BA332" s="171"/>
      <c r="BB332" s="171"/>
      <c r="BC332" s="171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72"/>
      <c r="BR332" s="172"/>
      <c r="BS332" s="172"/>
    </row>
    <row r="333" spans="1:71" ht="12.5" x14ac:dyDescent="0.25">
      <c r="A333" s="170"/>
      <c r="B333" s="170"/>
      <c r="C333" s="170"/>
      <c r="D333" s="170"/>
      <c r="E333" s="171"/>
      <c r="F333" s="171"/>
      <c r="G333" s="170"/>
      <c r="H333" s="170"/>
      <c r="I333" s="170"/>
      <c r="J333" s="171"/>
      <c r="K333" s="171"/>
      <c r="L333" s="170"/>
      <c r="M333" s="170"/>
      <c r="N333" s="170"/>
      <c r="O333" s="171"/>
      <c r="P333" s="171"/>
      <c r="Q333" s="170"/>
      <c r="R333" s="170"/>
      <c r="S333" s="170"/>
      <c r="T333" s="171"/>
      <c r="U333" s="171"/>
      <c r="V333" s="171"/>
      <c r="W333" s="171"/>
      <c r="X333" s="171"/>
      <c r="Y333" s="171"/>
      <c r="Z333" s="171"/>
      <c r="AA333" s="171"/>
      <c r="AB333" s="171"/>
      <c r="AC333" s="170"/>
      <c r="AD333" s="170"/>
      <c r="AE333" s="170"/>
      <c r="AF333" s="170"/>
      <c r="AG333" s="170"/>
      <c r="AH333" s="170"/>
      <c r="AI333" s="170"/>
      <c r="AJ333" s="170"/>
      <c r="AK333" s="171"/>
      <c r="AL333" s="171"/>
      <c r="AM333" s="170"/>
      <c r="AN333" s="170"/>
      <c r="AO333" s="170"/>
      <c r="AP333" s="171"/>
      <c r="AQ333" s="171"/>
      <c r="AR333" s="170"/>
      <c r="AS333" s="170"/>
      <c r="AT333" s="170"/>
      <c r="AU333" s="171"/>
      <c r="AV333" s="171"/>
      <c r="AW333" s="171"/>
      <c r="AX333" s="171"/>
      <c r="AY333" s="171"/>
      <c r="AZ333" s="171"/>
      <c r="BA333" s="171"/>
      <c r="BB333" s="171"/>
      <c r="BC333" s="171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72"/>
      <c r="BR333" s="172"/>
      <c r="BS333" s="172"/>
    </row>
    <row r="334" spans="1:71" ht="12.5" x14ac:dyDescent="0.25">
      <c r="A334" s="170"/>
      <c r="B334" s="170"/>
      <c r="C334" s="170"/>
      <c r="D334" s="170"/>
      <c r="E334" s="171"/>
      <c r="F334" s="171"/>
      <c r="G334" s="170"/>
      <c r="H334" s="170"/>
      <c r="I334" s="170"/>
      <c r="J334" s="171"/>
      <c r="K334" s="171"/>
      <c r="L334" s="170"/>
      <c r="M334" s="170"/>
      <c r="N334" s="170"/>
      <c r="O334" s="171"/>
      <c r="P334" s="171"/>
      <c r="Q334" s="170"/>
      <c r="R334" s="170"/>
      <c r="S334" s="170"/>
      <c r="T334" s="171"/>
      <c r="U334" s="171"/>
      <c r="V334" s="171"/>
      <c r="W334" s="171"/>
      <c r="X334" s="171"/>
      <c r="Y334" s="171"/>
      <c r="Z334" s="171"/>
      <c r="AA334" s="171"/>
      <c r="AB334" s="171"/>
      <c r="AC334" s="170"/>
      <c r="AD334" s="170"/>
      <c r="AE334" s="170"/>
      <c r="AF334" s="170"/>
      <c r="AG334" s="170"/>
      <c r="AH334" s="170"/>
      <c r="AI334" s="170"/>
      <c r="AJ334" s="170"/>
      <c r="AK334" s="171"/>
      <c r="AL334" s="171"/>
      <c r="AM334" s="170"/>
      <c r="AN334" s="170"/>
      <c r="AO334" s="170"/>
      <c r="AP334" s="171"/>
      <c r="AQ334" s="171"/>
      <c r="AR334" s="170"/>
      <c r="AS334" s="170"/>
      <c r="AT334" s="170"/>
      <c r="AU334" s="171"/>
      <c r="AV334" s="171"/>
      <c r="AW334" s="171"/>
      <c r="AX334" s="171"/>
      <c r="AY334" s="171"/>
      <c r="AZ334" s="171"/>
      <c r="BA334" s="171"/>
      <c r="BB334" s="171"/>
      <c r="BC334" s="171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72"/>
      <c r="BR334" s="172"/>
      <c r="BS334" s="172"/>
    </row>
    <row r="335" spans="1:71" ht="12.5" x14ac:dyDescent="0.25">
      <c r="A335" s="170"/>
      <c r="B335" s="170"/>
      <c r="C335" s="170"/>
      <c r="D335" s="170"/>
      <c r="E335" s="171"/>
      <c r="F335" s="171"/>
      <c r="G335" s="170"/>
      <c r="H335" s="170"/>
      <c r="I335" s="170"/>
      <c r="J335" s="171"/>
      <c r="K335" s="171"/>
      <c r="L335" s="170"/>
      <c r="M335" s="170"/>
      <c r="N335" s="170"/>
      <c r="O335" s="171"/>
      <c r="P335" s="171"/>
      <c r="Q335" s="170"/>
      <c r="R335" s="170"/>
      <c r="S335" s="170"/>
      <c r="T335" s="171"/>
      <c r="U335" s="171"/>
      <c r="V335" s="171"/>
      <c r="W335" s="171"/>
      <c r="X335" s="171"/>
      <c r="Y335" s="171"/>
      <c r="Z335" s="171"/>
      <c r="AA335" s="171"/>
      <c r="AB335" s="171"/>
      <c r="AC335" s="170"/>
      <c r="AD335" s="170"/>
      <c r="AE335" s="170"/>
      <c r="AF335" s="170"/>
      <c r="AG335" s="170"/>
      <c r="AH335" s="170"/>
      <c r="AI335" s="170"/>
      <c r="AJ335" s="170"/>
      <c r="AK335" s="171"/>
      <c r="AL335" s="171"/>
      <c r="AM335" s="170"/>
      <c r="AN335" s="170"/>
      <c r="AO335" s="170"/>
      <c r="AP335" s="171"/>
      <c r="AQ335" s="171"/>
      <c r="AR335" s="170"/>
      <c r="AS335" s="170"/>
      <c r="AT335" s="170"/>
      <c r="AU335" s="171"/>
      <c r="AV335" s="171"/>
      <c r="AW335" s="171"/>
      <c r="AX335" s="171"/>
      <c r="AY335" s="171"/>
      <c r="AZ335" s="171"/>
      <c r="BA335" s="171"/>
      <c r="BB335" s="171"/>
      <c r="BC335" s="171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72"/>
      <c r="BR335" s="172"/>
      <c r="BS335" s="172"/>
    </row>
    <row r="336" spans="1:71" ht="12.5" x14ac:dyDescent="0.25">
      <c r="A336" s="170"/>
      <c r="B336" s="170"/>
      <c r="C336" s="170"/>
      <c r="D336" s="170"/>
      <c r="E336" s="171"/>
      <c r="F336" s="171"/>
      <c r="G336" s="170"/>
      <c r="H336" s="170"/>
      <c r="I336" s="170"/>
      <c r="J336" s="171"/>
      <c r="K336" s="171"/>
      <c r="L336" s="170"/>
      <c r="M336" s="170"/>
      <c r="N336" s="170"/>
      <c r="O336" s="171"/>
      <c r="P336" s="171"/>
      <c r="Q336" s="170"/>
      <c r="R336" s="170"/>
      <c r="S336" s="170"/>
      <c r="T336" s="171"/>
      <c r="U336" s="171"/>
      <c r="V336" s="171"/>
      <c r="W336" s="171"/>
      <c r="X336" s="171"/>
      <c r="Y336" s="171"/>
      <c r="Z336" s="171"/>
      <c r="AA336" s="171"/>
      <c r="AB336" s="171"/>
      <c r="AC336" s="170"/>
      <c r="AD336" s="170"/>
      <c r="AE336" s="170"/>
      <c r="AF336" s="170"/>
      <c r="AG336" s="170"/>
      <c r="AH336" s="170"/>
      <c r="AI336" s="170"/>
      <c r="AJ336" s="170"/>
      <c r="AK336" s="171"/>
      <c r="AL336" s="171"/>
      <c r="AM336" s="170"/>
      <c r="AN336" s="170"/>
      <c r="AO336" s="170"/>
      <c r="AP336" s="171"/>
      <c r="AQ336" s="171"/>
      <c r="AR336" s="170"/>
      <c r="AS336" s="170"/>
      <c r="AT336" s="170"/>
      <c r="AU336" s="171"/>
      <c r="AV336" s="171"/>
      <c r="AW336" s="171"/>
      <c r="AX336" s="171"/>
      <c r="AY336" s="171"/>
      <c r="AZ336" s="171"/>
      <c r="BA336" s="171"/>
      <c r="BB336" s="171"/>
      <c r="BC336" s="171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72"/>
      <c r="BR336" s="172"/>
      <c r="BS336" s="172"/>
    </row>
    <row r="337" spans="1:71" ht="12.5" x14ac:dyDescent="0.25">
      <c r="A337" s="170"/>
      <c r="B337" s="170"/>
      <c r="C337" s="170"/>
      <c r="D337" s="170"/>
      <c r="E337" s="171"/>
      <c r="F337" s="171"/>
      <c r="G337" s="170"/>
      <c r="H337" s="170"/>
      <c r="I337" s="170"/>
      <c r="J337" s="171"/>
      <c r="K337" s="171"/>
      <c r="L337" s="170"/>
      <c r="M337" s="170"/>
      <c r="N337" s="170"/>
      <c r="O337" s="171"/>
      <c r="P337" s="171"/>
      <c r="Q337" s="170"/>
      <c r="R337" s="170"/>
      <c r="S337" s="170"/>
      <c r="T337" s="171"/>
      <c r="U337" s="171"/>
      <c r="V337" s="171"/>
      <c r="W337" s="171"/>
      <c r="X337" s="171"/>
      <c r="Y337" s="171"/>
      <c r="Z337" s="171"/>
      <c r="AA337" s="171"/>
      <c r="AB337" s="171"/>
      <c r="AC337" s="170"/>
      <c r="AD337" s="170"/>
      <c r="AE337" s="170"/>
      <c r="AF337" s="170"/>
      <c r="AG337" s="170"/>
      <c r="AH337" s="170"/>
      <c r="AI337" s="170"/>
      <c r="AJ337" s="170"/>
      <c r="AK337" s="171"/>
      <c r="AL337" s="171"/>
      <c r="AM337" s="170"/>
      <c r="AN337" s="170"/>
      <c r="AO337" s="170"/>
      <c r="AP337" s="171"/>
      <c r="AQ337" s="171"/>
      <c r="AR337" s="170"/>
      <c r="AS337" s="170"/>
      <c r="AT337" s="170"/>
      <c r="AU337" s="171"/>
      <c r="AV337" s="171"/>
      <c r="AW337" s="171"/>
      <c r="AX337" s="171"/>
      <c r="AY337" s="171"/>
      <c r="AZ337" s="171"/>
      <c r="BA337" s="171"/>
      <c r="BB337" s="171"/>
      <c r="BC337" s="171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72"/>
      <c r="BR337" s="172"/>
      <c r="BS337" s="172"/>
    </row>
    <row r="338" spans="1:71" ht="12.5" x14ac:dyDescent="0.25">
      <c r="A338" s="170"/>
      <c r="B338" s="170"/>
      <c r="C338" s="170"/>
      <c r="D338" s="170"/>
      <c r="E338" s="171"/>
      <c r="F338" s="171"/>
      <c r="G338" s="170"/>
      <c r="H338" s="170"/>
      <c r="I338" s="170"/>
      <c r="J338" s="171"/>
      <c r="K338" s="171"/>
      <c r="L338" s="170"/>
      <c r="M338" s="170"/>
      <c r="N338" s="170"/>
      <c r="O338" s="171"/>
      <c r="P338" s="171"/>
      <c r="Q338" s="170"/>
      <c r="R338" s="170"/>
      <c r="S338" s="170"/>
      <c r="T338" s="171"/>
      <c r="U338" s="171"/>
      <c r="V338" s="171"/>
      <c r="W338" s="171"/>
      <c r="X338" s="171"/>
      <c r="Y338" s="171"/>
      <c r="Z338" s="171"/>
      <c r="AA338" s="171"/>
      <c r="AB338" s="171"/>
      <c r="AC338" s="170"/>
      <c r="AD338" s="170"/>
      <c r="AE338" s="170"/>
      <c r="AF338" s="170"/>
      <c r="AG338" s="170"/>
      <c r="AH338" s="170"/>
      <c r="AI338" s="170"/>
      <c r="AJ338" s="170"/>
      <c r="AK338" s="171"/>
      <c r="AL338" s="171"/>
      <c r="AM338" s="170"/>
      <c r="AN338" s="170"/>
      <c r="AO338" s="170"/>
      <c r="AP338" s="171"/>
      <c r="AQ338" s="171"/>
      <c r="AR338" s="170"/>
      <c r="AS338" s="170"/>
      <c r="AT338" s="170"/>
      <c r="AU338" s="171"/>
      <c r="AV338" s="171"/>
      <c r="AW338" s="171"/>
      <c r="AX338" s="171"/>
      <c r="AY338" s="171"/>
      <c r="AZ338" s="171"/>
      <c r="BA338" s="171"/>
      <c r="BB338" s="171"/>
      <c r="BC338" s="171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72"/>
      <c r="BR338" s="172"/>
      <c r="BS338" s="172"/>
    </row>
    <row r="339" spans="1:71" ht="12.5" x14ac:dyDescent="0.25">
      <c r="A339" s="170"/>
      <c r="B339" s="170"/>
      <c r="C339" s="170"/>
      <c r="D339" s="170"/>
      <c r="E339" s="171"/>
      <c r="F339" s="171"/>
      <c r="G339" s="170"/>
      <c r="H339" s="170"/>
      <c r="I339" s="170"/>
      <c r="J339" s="171"/>
      <c r="K339" s="171"/>
      <c r="L339" s="170"/>
      <c r="M339" s="170"/>
      <c r="N339" s="170"/>
      <c r="O339" s="171"/>
      <c r="P339" s="171"/>
      <c r="Q339" s="170"/>
      <c r="R339" s="170"/>
      <c r="S339" s="170"/>
      <c r="T339" s="171"/>
      <c r="U339" s="171"/>
      <c r="V339" s="171"/>
      <c r="W339" s="171"/>
      <c r="X339" s="171"/>
      <c r="Y339" s="171"/>
      <c r="Z339" s="171"/>
      <c r="AA339" s="171"/>
      <c r="AB339" s="171"/>
      <c r="AC339" s="170"/>
      <c r="AD339" s="170"/>
      <c r="AE339" s="170"/>
      <c r="AF339" s="170"/>
      <c r="AG339" s="170"/>
      <c r="AH339" s="170"/>
      <c r="AI339" s="170"/>
      <c r="AJ339" s="170"/>
      <c r="AK339" s="171"/>
      <c r="AL339" s="171"/>
      <c r="AM339" s="170"/>
      <c r="AN339" s="170"/>
      <c r="AO339" s="170"/>
      <c r="AP339" s="171"/>
      <c r="AQ339" s="171"/>
      <c r="AR339" s="170"/>
      <c r="AS339" s="170"/>
      <c r="AT339" s="170"/>
      <c r="AU339" s="171"/>
      <c r="AV339" s="171"/>
      <c r="AW339" s="171"/>
      <c r="AX339" s="171"/>
      <c r="AY339" s="171"/>
      <c r="AZ339" s="171"/>
      <c r="BA339" s="171"/>
      <c r="BB339" s="171"/>
      <c r="BC339" s="171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72"/>
      <c r="BP339" s="172"/>
      <c r="BQ339" s="172"/>
      <c r="BR339" s="172"/>
      <c r="BS339" s="172"/>
    </row>
    <row r="340" spans="1:71" ht="12.5" x14ac:dyDescent="0.25">
      <c r="A340" s="170"/>
      <c r="B340" s="170"/>
      <c r="C340" s="170"/>
      <c r="D340" s="170"/>
      <c r="E340" s="171"/>
      <c r="F340" s="171"/>
      <c r="G340" s="170"/>
      <c r="H340" s="170"/>
      <c r="I340" s="170"/>
      <c r="J340" s="171"/>
      <c r="K340" s="171"/>
      <c r="L340" s="170"/>
      <c r="M340" s="170"/>
      <c r="N340" s="170"/>
      <c r="O340" s="171"/>
      <c r="P340" s="171"/>
      <c r="Q340" s="170"/>
      <c r="R340" s="170"/>
      <c r="S340" s="170"/>
      <c r="T340" s="171"/>
      <c r="U340" s="171"/>
      <c r="V340" s="171"/>
      <c r="W340" s="171"/>
      <c r="X340" s="171"/>
      <c r="Y340" s="171"/>
      <c r="Z340" s="171"/>
      <c r="AA340" s="171"/>
      <c r="AB340" s="171"/>
      <c r="AC340" s="170"/>
      <c r="AD340" s="170"/>
      <c r="AE340" s="170"/>
      <c r="AF340" s="170"/>
      <c r="AG340" s="170"/>
      <c r="AH340" s="170"/>
      <c r="AI340" s="170"/>
      <c r="AJ340" s="170"/>
      <c r="AK340" s="171"/>
      <c r="AL340" s="171"/>
      <c r="AM340" s="170"/>
      <c r="AN340" s="170"/>
      <c r="AO340" s="170"/>
      <c r="AP340" s="171"/>
      <c r="AQ340" s="171"/>
      <c r="AR340" s="170"/>
      <c r="AS340" s="170"/>
      <c r="AT340" s="170"/>
      <c r="AU340" s="171"/>
      <c r="AV340" s="171"/>
      <c r="AW340" s="171"/>
      <c r="AX340" s="171"/>
      <c r="AY340" s="171"/>
      <c r="AZ340" s="171"/>
      <c r="BA340" s="171"/>
      <c r="BB340" s="171"/>
      <c r="BC340" s="171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72"/>
      <c r="BP340" s="172"/>
      <c r="BQ340" s="172"/>
      <c r="BR340" s="172"/>
      <c r="BS340" s="172"/>
    </row>
    <row r="341" spans="1:71" ht="12.5" x14ac:dyDescent="0.25">
      <c r="A341" s="170"/>
      <c r="B341" s="170"/>
      <c r="C341" s="170"/>
      <c r="D341" s="170"/>
      <c r="E341" s="171"/>
      <c r="F341" s="171"/>
      <c r="G341" s="170"/>
      <c r="H341" s="170"/>
      <c r="I341" s="170"/>
      <c r="J341" s="171"/>
      <c r="K341" s="171"/>
      <c r="L341" s="170"/>
      <c r="M341" s="170"/>
      <c r="N341" s="170"/>
      <c r="O341" s="171"/>
      <c r="P341" s="171"/>
      <c r="Q341" s="170"/>
      <c r="R341" s="170"/>
      <c r="S341" s="170"/>
      <c r="T341" s="171"/>
      <c r="U341" s="171"/>
      <c r="V341" s="171"/>
      <c r="W341" s="171"/>
      <c r="X341" s="171"/>
      <c r="Y341" s="171"/>
      <c r="Z341" s="171"/>
      <c r="AA341" s="171"/>
      <c r="AB341" s="171"/>
      <c r="AC341" s="170"/>
      <c r="AD341" s="170"/>
      <c r="AE341" s="170"/>
      <c r="AF341" s="170"/>
      <c r="AG341" s="170"/>
      <c r="AH341" s="170"/>
      <c r="AI341" s="170"/>
      <c r="AJ341" s="170"/>
      <c r="AK341" s="171"/>
      <c r="AL341" s="171"/>
      <c r="AM341" s="170"/>
      <c r="AN341" s="170"/>
      <c r="AO341" s="170"/>
      <c r="AP341" s="171"/>
      <c r="AQ341" s="171"/>
      <c r="AR341" s="170"/>
      <c r="AS341" s="170"/>
      <c r="AT341" s="170"/>
      <c r="AU341" s="171"/>
      <c r="AV341" s="171"/>
      <c r="AW341" s="171"/>
      <c r="AX341" s="171"/>
      <c r="AY341" s="171"/>
      <c r="AZ341" s="171"/>
      <c r="BA341" s="171"/>
      <c r="BB341" s="171"/>
      <c r="BC341" s="171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72"/>
      <c r="BP341" s="172"/>
      <c r="BQ341" s="172"/>
      <c r="BR341" s="172"/>
      <c r="BS341" s="172"/>
    </row>
    <row r="342" spans="1:71" ht="12.5" x14ac:dyDescent="0.25">
      <c r="A342" s="170"/>
      <c r="B342" s="170"/>
      <c r="C342" s="170"/>
      <c r="D342" s="170"/>
      <c r="E342" s="171"/>
      <c r="F342" s="171"/>
      <c r="G342" s="170"/>
      <c r="H342" s="170"/>
      <c r="I342" s="170"/>
      <c r="J342" s="171"/>
      <c r="K342" s="171"/>
      <c r="L342" s="170"/>
      <c r="M342" s="170"/>
      <c r="N342" s="170"/>
      <c r="O342" s="171"/>
      <c r="P342" s="171"/>
      <c r="Q342" s="170"/>
      <c r="R342" s="170"/>
      <c r="S342" s="170"/>
      <c r="T342" s="171"/>
      <c r="U342" s="171"/>
      <c r="V342" s="171"/>
      <c r="W342" s="171"/>
      <c r="X342" s="171"/>
      <c r="Y342" s="171"/>
      <c r="Z342" s="171"/>
      <c r="AA342" s="171"/>
      <c r="AB342" s="171"/>
      <c r="AC342" s="170"/>
      <c r="AD342" s="170"/>
      <c r="AE342" s="170"/>
      <c r="AF342" s="170"/>
      <c r="AG342" s="170"/>
      <c r="AH342" s="170"/>
      <c r="AI342" s="170"/>
      <c r="AJ342" s="170"/>
      <c r="AK342" s="171"/>
      <c r="AL342" s="171"/>
      <c r="AM342" s="170"/>
      <c r="AN342" s="170"/>
      <c r="AO342" s="170"/>
      <c r="AP342" s="171"/>
      <c r="AQ342" s="171"/>
      <c r="AR342" s="170"/>
      <c r="AS342" s="170"/>
      <c r="AT342" s="170"/>
      <c r="AU342" s="171"/>
      <c r="AV342" s="171"/>
      <c r="AW342" s="171"/>
      <c r="AX342" s="171"/>
      <c r="AY342" s="171"/>
      <c r="AZ342" s="171"/>
      <c r="BA342" s="171"/>
      <c r="BB342" s="171"/>
      <c r="BC342" s="171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72"/>
      <c r="BP342" s="172"/>
      <c r="BQ342" s="172"/>
      <c r="BR342" s="172"/>
      <c r="BS342" s="172"/>
    </row>
    <row r="343" spans="1:71" ht="12.5" x14ac:dyDescent="0.25">
      <c r="A343" s="170"/>
      <c r="B343" s="170"/>
      <c r="C343" s="170"/>
      <c r="D343" s="170"/>
      <c r="E343" s="171"/>
      <c r="F343" s="171"/>
      <c r="G343" s="170"/>
      <c r="H343" s="170"/>
      <c r="I343" s="170"/>
      <c r="J343" s="171"/>
      <c r="K343" s="171"/>
      <c r="L343" s="170"/>
      <c r="M343" s="170"/>
      <c r="N343" s="170"/>
      <c r="O343" s="171"/>
      <c r="P343" s="171"/>
      <c r="Q343" s="170"/>
      <c r="R343" s="170"/>
      <c r="S343" s="170"/>
      <c r="T343" s="171"/>
      <c r="U343" s="171"/>
      <c r="V343" s="171"/>
      <c r="W343" s="171"/>
      <c r="X343" s="171"/>
      <c r="Y343" s="171"/>
      <c r="Z343" s="171"/>
      <c r="AA343" s="171"/>
      <c r="AB343" s="171"/>
      <c r="AC343" s="170"/>
      <c r="AD343" s="170"/>
      <c r="AE343" s="170"/>
      <c r="AF343" s="170"/>
      <c r="AG343" s="170"/>
      <c r="AH343" s="170"/>
      <c r="AI343" s="170"/>
      <c r="AJ343" s="170"/>
      <c r="AK343" s="171"/>
      <c r="AL343" s="171"/>
      <c r="AM343" s="170"/>
      <c r="AN343" s="170"/>
      <c r="AO343" s="170"/>
      <c r="AP343" s="171"/>
      <c r="AQ343" s="171"/>
      <c r="AR343" s="170"/>
      <c r="AS343" s="170"/>
      <c r="AT343" s="170"/>
      <c r="AU343" s="171"/>
      <c r="AV343" s="171"/>
      <c r="AW343" s="171"/>
      <c r="AX343" s="171"/>
      <c r="AY343" s="171"/>
      <c r="AZ343" s="171"/>
      <c r="BA343" s="171"/>
      <c r="BB343" s="171"/>
      <c r="BC343" s="171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72"/>
      <c r="BP343" s="172"/>
      <c r="BQ343" s="172"/>
      <c r="BR343" s="172"/>
      <c r="BS343" s="172"/>
    </row>
    <row r="344" spans="1:71" ht="12.5" x14ac:dyDescent="0.25">
      <c r="A344" s="170"/>
      <c r="B344" s="170"/>
      <c r="C344" s="170"/>
      <c r="D344" s="170"/>
      <c r="E344" s="171"/>
      <c r="F344" s="171"/>
      <c r="G344" s="170"/>
      <c r="H344" s="170"/>
      <c r="I344" s="170"/>
      <c r="J344" s="171"/>
      <c r="K344" s="171"/>
      <c r="L344" s="170"/>
      <c r="M344" s="170"/>
      <c r="N344" s="170"/>
      <c r="O344" s="171"/>
      <c r="P344" s="171"/>
      <c r="Q344" s="170"/>
      <c r="R344" s="170"/>
      <c r="S344" s="170"/>
      <c r="T344" s="171"/>
      <c r="U344" s="171"/>
      <c r="V344" s="171"/>
      <c r="W344" s="171"/>
      <c r="X344" s="171"/>
      <c r="Y344" s="171"/>
      <c r="Z344" s="171"/>
      <c r="AA344" s="171"/>
      <c r="AB344" s="171"/>
      <c r="AC344" s="170"/>
      <c r="AD344" s="170"/>
      <c r="AE344" s="170"/>
      <c r="AF344" s="170"/>
      <c r="AG344" s="170"/>
      <c r="AH344" s="170"/>
      <c r="AI344" s="170"/>
      <c r="AJ344" s="170"/>
      <c r="AK344" s="171"/>
      <c r="AL344" s="171"/>
      <c r="AM344" s="170"/>
      <c r="AN344" s="170"/>
      <c r="AO344" s="170"/>
      <c r="AP344" s="171"/>
      <c r="AQ344" s="171"/>
      <c r="AR344" s="170"/>
      <c r="AS344" s="170"/>
      <c r="AT344" s="170"/>
      <c r="AU344" s="171"/>
      <c r="AV344" s="171"/>
      <c r="AW344" s="171"/>
      <c r="AX344" s="171"/>
      <c r="AY344" s="171"/>
      <c r="AZ344" s="171"/>
      <c r="BA344" s="171"/>
      <c r="BB344" s="171"/>
      <c r="BC344" s="171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72"/>
      <c r="BP344" s="172"/>
      <c r="BQ344" s="172"/>
      <c r="BR344" s="172"/>
      <c r="BS344" s="172"/>
    </row>
    <row r="345" spans="1:71" ht="12.5" x14ac:dyDescent="0.25">
      <c r="A345" s="170"/>
      <c r="B345" s="170"/>
      <c r="C345" s="170"/>
      <c r="D345" s="170"/>
      <c r="E345" s="171"/>
      <c r="F345" s="171"/>
      <c r="G345" s="170"/>
      <c r="H345" s="170"/>
      <c r="I345" s="170"/>
      <c r="J345" s="171"/>
      <c r="K345" s="171"/>
      <c r="L345" s="170"/>
      <c r="M345" s="170"/>
      <c r="N345" s="170"/>
      <c r="O345" s="171"/>
      <c r="P345" s="171"/>
      <c r="Q345" s="170"/>
      <c r="R345" s="170"/>
      <c r="S345" s="170"/>
      <c r="T345" s="171"/>
      <c r="U345" s="171"/>
      <c r="V345" s="171"/>
      <c r="W345" s="171"/>
      <c r="X345" s="171"/>
      <c r="Y345" s="171"/>
      <c r="Z345" s="171"/>
      <c r="AA345" s="171"/>
      <c r="AB345" s="171"/>
      <c r="AC345" s="170"/>
      <c r="AD345" s="170"/>
      <c r="AE345" s="170"/>
      <c r="AF345" s="170"/>
      <c r="AG345" s="170"/>
      <c r="AH345" s="170"/>
      <c r="AI345" s="170"/>
      <c r="AJ345" s="170"/>
      <c r="AK345" s="171"/>
      <c r="AL345" s="171"/>
      <c r="AM345" s="170"/>
      <c r="AN345" s="170"/>
      <c r="AO345" s="170"/>
      <c r="AP345" s="171"/>
      <c r="AQ345" s="171"/>
      <c r="AR345" s="170"/>
      <c r="AS345" s="170"/>
      <c r="AT345" s="170"/>
      <c r="AU345" s="171"/>
      <c r="AV345" s="171"/>
      <c r="AW345" s="171"/>
      <c r="AX345" s="171"/>
      <c r="AY345" s="171"/>
      <c r="AZ345" s="171"/>
      <c r="BA345" s="171"/>
      <c r="BB345" s="171"/>
      <c r="BC345" s="171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72"/>
      <c r="BP345" s="172"/>
      <c r="BQ345" s="172"/>
      <c r="BR345" s="172"/>
      <c r="BS345" s="172"/>
    </row>
    <row r="346" spans="1:71" ht="12.5" x14ac:dyDescent="0.25">
      <c r="A346" s="170"/>
      <c r="B346" s="170"/>
      <c r="C346" s="170"/>
      <c r="D346" s="170"/>
      <c r="E346" s="171"/>
      <c r="F346" s="171"/>
      <c r="G346" s="170"/>
      <c r="H346" s="170"/>
      <c r="I346" s="170"/>
      <c r="J346" s="171"/>
      <c r="K346" s="171"/>
      <c r="L346" s="170"/>
      <c r="M346" s="170"/>
      <c r="N346" s="170"/>
      <c r="O346" s="171"/>
      <c r="P346" s="171"/>
      <c r="Q346" s="170"/>
      <c r="R346" s="170"/>
      <c r="S346" s="170"/>
      <c r="T346" s="171"/>
      <c r="U346" s="171"/>
      <c r="V346" s="171"/>
      <c r="W346" s="171"/>
      <c r="X346" s="171"/>
      <c r="Y346" s="171"/>
      <c r="Z346" s="171"/>
      <c r="AA346" s="171"/>
      <c r="AB346" s="171"/>
      <c r="AC346" s="170"/>
      <c r="AD346" s="170"/>
      <c r="AE346" s="170"/>
      <c r="AF346" s="170"/>
      <c r="AG346" s="170"/>
      <c r="AH346" s="170"/>
      <c r="AI346" s="170"/>
      <c r="AJ346" s="170"/>
      <c r="AK346" s="171"/>
      <c r="AL346" s="171"/>
      <c r="AM346" s="170"/>
      <c r="AN346" s="170"/>
      <c r="AO346" s="170"/>
      <c r="AP346" s="171"/>
      <c r="AQ346" s="171"/>
      <c r="AR346" s="170"/>
      <c r="AS346" s="170"/>
      <c r="AT346" s="170"/>
      <c r="AU346" s="171"/>
      <c r="AV346" s="171"/>
      <c r="AW346" s="171"/>
      <c r="AX346" s="171"/>
      <c r="AY346" s="171"/>
      <c r="AZ346" s="171"/>
      <c r="BA346" s="171"/>
      <c r="BB346" s="171"/>
      <c r="BC346" s="171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72"/>
      <c r="BP346" s="172"/>
      <c r="BQ346" s="172"/>
      <c r="BR346" s="172"/>
      <c r="BS346" s="172"/>
    </row>
    <row r="347" spans="1:71" ht="12.5" x14ac:dyDescent="0.25">
      <c r="A347" s="170"/>
      <c r="B347" s="170"/>
      <c r="C347" s="170"/>
      <c r="D347" s="170"/>
      <c r="E347" s="171"/>
      <c r="F347" s="171"/>
      <c r="G347" s="170"/>
      <c r="H347" s="170"/>
      <c r="I347" s="170"/>
      <c r="J347" s="171"/>
      <c r="K347" s="171"/>
      <c r="L347" s="170"/>
      <c r="M347" s="170"/>
      <c r="N347" s="170"/>
      <c r="O347" s="171"/>
      <c r="P347" s="171"/>
      <c r="Q347" s="170"/>
      <c r="R347" s="170"/>
      <c r="S347" s="170"/>
      <c r="T347" s="171"/>
      <c r="U347" s="171"/>
      <c r="V347" s="171"/>
      <c r="W347" s="171"/>
      <c r="X347" s="171"/>
      <c r="Y347" s="171"/>
      <c r="Z347" s="171"/>
      <c r="AA347" s="171"/>
      <c r="AB347" s="171"/>
      <c r="AC347" s="170"/>
      <c r="AD347" s="170"/>
      <c r="AE347" s="170"/>
      <c r="AF347" s="170"/>
      <c r="AG347" s="170"/>
      <c r="AH347" s="170"/>
      <c r="AI347" s="170"/>
      <c r="AJ347" s="170"/>
      <c r="AK347" s="171"/>
      <c r="AL347" s="171"/>
      <c r="AM347" s="170"/>
      <c r="AN347" s="170"/>
      <c r="AO347" s="170"/>
      <c r="AP347" s="171"/>
      <c r="AQ347" s="171"/>
      <c r="AR347" s="170"/>
      <c r="AS347" s="170"/>
      <c r="AT347" s="170"/>
      <c r="AU347" s="171"/>
      <c r="AV347" s="171"/>
      <c r="AW347" s="171"/>
      <c r="AX347" s="171"/>
      <c r="AY347" s="171"/>
      <c r="AZ347" s="171"/>
      <c r="BA347" s="171"/>
      <c r="BB347" s="171"/>
      <c r="BC347" s="171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72"/>
      <c r="BP347" s="172"/>
      <c r="BQ347" s="172"/>
      <c r="BR347" s="172"/>
      <c r="BS347" s="172"/>
    </row>
    <row r="348" spans="1:71" ht="12.5" x14ac:dyDescent="0.25">
      <c r="A348" s="170"/>
      <c r="B348" s="170"/>
      <c r="C348" s="170"/>
      <c r="D348" s="170"/>
      <c r="E348" s="171"/>
      <c r="F348" s="171"/>
      <c r="G348" s="170"/>
      <c r="H348" s="170"/>
      <c r="I348" s="170"/>
      <c r="J348" s="171"/>
      <c r="K348" s="171"/>
      <c r="L348" s="170"/>
      <c r="M348" s="170"/>
      <c r="N348" s="170"/>
      <c r="O348" s="171"/>
      <c r="P348" s="171"/>
      <c r="Q348" s="170"/>
      <c r="R348" s="170"/>
      <c r="S348" s="170"/>
      <c r="T348" s="171"/>
      <c r="U348" s="171"/>
      <c r="V348" s="171"/>
      <c r="W348" s="171"/>
      <c r="X348" s="171"/>
      <c r="Y348" s="171"/>
      <c r="Z348" s="171"/>
      <c r="AA348" s="171"/>
      <c r="AB348" s="171"/>
      <c r="AC348" s="170"/>
      <c r="AD348" s="170"/>
      <c r="AE348" s="170"/>
      <c r="AF348" s="170"/>
      <c r="AG348" s="170"/>
      <c r="AH348" s="170"/>
      <c r="AI348" s="170"/>
      <c r="AJ348" s="170"/>
      <c r="AK348" s="171"/>
      <c r="AL348" s="171"/>
      <c r="AM348" s="170"/>
      <c r="AN348" s="170"/>
      <c r="AO348" s="170"/>
      <c r="AP348" s="171"/>
      <c r="AQ348" s="171"/>
      <c r="AR348" s="170"/>
      <c r="AS348" s="170"/>
      <c r="AT348" s="170"/>
      <c r="AU348" s="171"/>
      <c r="AV348" s="171"/>
      <c r="AW348" s="171"/>
      <c r="AX348" s="171"/>
      <c r="AY348" s="171"/>
      <c r="AZ348" s="171"/>
      <c r="BA348" s="171"/>
      <c r="BB348" s="171"/>
      <c r="BC348" s="171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72"/>
      <c r="BP348" s="172"/>
      <c r="BQ348" s="172"/>
      <c r="BR348" s="172"/>
      <c r="BS348" s="172"/>
    </row>
    <row r="349" spans="1:71" ht="12.5" x14ac:dyDescent="0.25">
      <c r="A349" s="170"/>
      <c r="B349" s="170"/>
      <c r="C349" s="170"/>
      <c r="D349" s="170"/>
      <c r="E349" s="171"/>
      <c r="F349" s="171"/>
      <c r="G349" s="170"/>
      <c r="H349" s="170"/>
      <c r="I349" s="170"/>
      <c r="J349" s="171"/>
      <c r="K349" s="171"/>
      <c r="L349" s="170"/>
      <c r="M349" s="170"/>
      <c r="N349" s="170"/>
      <c r="O349" s="171"/>
      <c r="P349" s="171"/>
      <c r="Q349" s="170"/>
      <c r="R349" s="170"/>
      <c r="S349" s="170"/>
      <c r="T349" s="171"/>
      <c r="U349" s="171"/>
      <c r="V349" s="171"/>
      <c r="W349" s="171"/>
      <c r="X349" s="171"/>
      <c r="Y349" s="171"/>
      <c r="Z349" s="171"/>
      <c r="AA349" s="171"/>
      <c r="AB349" s="171"/>
      <c r="AC349" s="170"/>
      <c r="AD349" s="170"/>
      <c r="AE349" s="170"/>
      <c r="AF349" s="170"/>
      <c r="AG349" s="170"/>
      <c r="AH349" s="170"/>
      <c r="AI349" s="170"/>
      <c r="AJ349" s="170"/>
      <c r="AK349" s="171"/>
      <c r="AL349" s="171"/>
      <c r="AM349" s="170"/>
      <c r="AN349" s="170"/>
      <c r="AO349" s="170"/>
      <c r="AP349" s="171"/>
      <c r="AQ349" s="171"/>
      <c r="AR349" s="170"/>
      <c r="AS349" s="170"/>
      <c r="AT349" s="170"/>
      <c r="AU349" s="171"/>
      <c r="AV349" s="171"/>
      <c r="AW349" s="171"/>
      <c r="AX349" s="171"/>
      <c r="AY349" s="171"/>
      <c r="AZ349" s="171"/>
      <c r="BA349" s="171"/>
      <c r="BB349" s="171"/>
      <c r="BC349" s="171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72"/>
      <c r="BP349" s="172"/>
      <c r="BQ349" s="172"/>
      <c r="BR349" s="172"/>
      <c r="BS349" s="172"/>
    </row>
    <row r="350" spans="1:71" ht="12.5" x14ac:dyDescent="0.25">
      <c r="A350" s="170"/>
      <c r="B350" s="170"/>
      <c r="C350" s="170"/>
      <c r="D350" s="170"/>
      <c r="E350" s="171"/>
      <c r="F350" s="171"/>
      <c r="G350" s="170"/>
      <c r="H350" s="170"/>
      <c r="I350" s="170"/>
      <c r="J350" s="171"/>
      <c r="K350" s="171"/>
      <c r="L350" s="170"/>
      <c r="M350" s="170"/>
      <c r="N350" s="170"/>
      <c r="O350" s="171"/>
      <c r="P350" s="171"/>
      <c r="Q350" s="170"/>
      <c r="R350" s="170"/>
      <c r="S350" s="170"/>
      <c r="T350" s="171"/>
      <c r="U350" s="171"/>
      <c r="V350" s="171"/>
      <c r="W350" s="171"/>
      <c r="X350" s="171"/>
      <c r="Y350" s="171"/>
      <c r="Z350" s="171"/>
      <c r="AA350" s="171"/>
      <c r="AB350" s="171"/>
      <c r="AC350" s="170"/>
      <c r="AD350" s="170"/>
      <c r="AE350" s="170"/>
      <c r="AF350" s="170"/>
      <c r="AG350" s="170"/>
      <c r="AH350" s="170"/>
      <c r="AI350" s="170"/>
      <c r="AJ350" s="170"/>
      <c r="AK350" s="171"/>
      <c r="AL350" s="171"/>
      <c r="AM350" s="170"/>
      <c r="AN350" s="170"/>
      <c r="AO350" s="170"/>
      <c r="AP350" s="171"/>
      <c r="AQ350" s="171"/>
      <c r="AR350" s="170"/>
      <c r="AS350" s="170"/>
      <c r="AT350" s="170"/>
      <c r="AU350" s="171"/>
      <c r="AV350" s="171"/>
      <c r="AW350" s="171"/>
      <c r="AX350" s="171"/>
      <c r="AY350" s="171"/>
      <c r="AZ350" s="171"/>
      <c r="BA350" s="171"/>
      <c r="BB350" s="171"/>
      <c r="BC350" s="171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72"/>
      <c r="BP350" s="172"/>
      <c r="BQ350" s="172"/>
      <c r="BR350" s="172"/>
      <c r="BS350" s="172"/>
    </row>
    <row r="351" spans="1:71" ht="12.5" x14ac:dyDescent="0.25">
      <c r="A351" s="170"/>
      <c r="B351" s="170"/>
      <c r="C351" s="170"/>
      <c r="D351" s="170"/>
      <c r="E351" s="171"/>
      <c r="F351" s="171"/>
      <c r="G351" s="170"/>
      <c r="H351" s="170"/>
      <c r="I351" s="170"/>
      <c r="J351" s="171"/>
      <c r="K351" s="171"/>
      <c r="L351" s="170"/>
      <c r="M351" s="170"/>
      <c r="N351" s="170"/>
      <c r="O351" s="171"/>
      <c r="P351" s="171"/>
      <c r="Q351" s="170"/>
      <c r="R351" s="170"/>
      <c r="S351" s="170"/>
      <c r="T351" s="171"/>
      <c r="U351" s="171"/>
      <c r="V351" s="171"/>
      <c r="W351" s="171"/>
      <c r="X351" s="171"/>
      <c r="Y351" s="171"/>
      <c r="Z351" s="171"/>
      <c r="AA351" s="171"/>
      <c r="AB351" s="171"/>
      <c r="AC351" s="170"/>
      <c r="AD351" s="170"/>
      <c r="AE351" s="170"/>
      <c r="AF351" s="170"/>
      <c r="AG351" s="170"/>
      <c r="AH351" s="170"/>
      <c r="AI351" s="170"/>
      <c r="AJ351" s="170"/>
      <c r="AK351" s="171"/>
      <c r="AL351" s="171"/>
      <c r="AM351" s="170"/>
      <c r="AN351" s="170"/>
      <c r="AO351" s="170"/>
      <c r="AP351" s="171"/>
      <c r="AQ351" s="171"/>
      <c r="AR351" s="170"/>
      <c r="AS351" s="170"/>
      <c r="AT351" s="170"/>
      <c r="AU351" s="171"/>
      <c r="AV351" s="171"/>
      <c r="AW351" s="171"/>
      <c r="AX351" s="171"/>
      <c r="AY351" s="171"/>
      <c r="AZ351" s="171"/>
      <c r="BA351" s="171"/>
      <c r="BB351" s="171"/>
      <c r="BC351" s="171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72"/>
      <c r="BP351" s="172"/>
      <c r="BQ351" s="172"/>
      <c r="BR351" s="172"/>
      <c r="BS351" s="172"/>
    </row>
    <row r="352" spans="1:71" ht="12.5" x14ac:dyDescent="0.25">
      <c r="A352" s="170"/>
      <c r="B352" s="170"/>
      <c r="C352" s="170"/>
      <c r="D352" s="170"/>
      <c r="E352" s="171"/>
      <c r="F352" s="171"/>
      <c r="G352" s="170"/>
      <c r="H352" s="170"/>
      <c r="I352" s="170"/>
      <c r="J352" s="171"/>
      <c r="K352" s="171"/>
      <c r="L352" s="170"/>
      <c r="M352" s="170"/>
      <c r="N352" s="170"/>
      <c r="O352" s="171"/>
      <c r="P352" s="171"/>
      <c r="Q352" s="170"/>
      <c r="R352" s="170"/>
      <c r="S352" s="170"/>
      <c r="T352" s="171"/>
      <c r="U352" s="171"/>
      <c r="V352" s="171"/>
      <c r="W352" s="171"/>
      <c r="X352" s="171"/>
      <c r="Y352" s="171"/>
      <c r="Z352" s="171"/>
      <c r="AA352" s="171"/>
      <c r="AB352" s="171"/>
      <c r="AC352" s="170"/>
      <c r="AD352" s="170"/>
      <c r="AE352" s="170"/>
      <c r="AF352" s="170"/>
      <c r="AG352" s="170"/>
      <c r="AH352" s="170"/>
      <c r="AI352" s="170"/>
      <c r="AJ352" s="170"/>
      <c r="AK352" s="171"/>
      <c r="AL352" s="171"/>
      <c r="AM352" s="170"/>
      <c r="AN352" s="170"/>
      <c r="AO352" s="170"/>
      <c r="AP352" s="171"/>
      <c r="AQ352" s="171"/>
      <c r="AR352" s="170"/>
      <c r="AS352" s="170"/>
      <c r="AT352" s="170"/>
      <c r="AU352" s="171"/>
      <c r="AV352" s="171"/>
      <c r="AW352" s="171"/>
      <c r="AX352" s="171"/>
      <c r="AY352" s="171"/>
      <c r="AZ352" s="171"/>
      <c r="BA352" s="171"/>
      <c r="BB352" s="171"/>
      <c r="BC352" s="171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72"/>
      <c r="BP352" s="172"/>
      <c r="BQ352" s="172"/>
      <c r="BR352" s="172"/>
      <c r="BS352" s="172"/>
    </row>
    <row r="353" spans="1:71" ht="12.5" x14ac:dyDescent="0.25">
      <c r="A353" s="170"/>
      <c r="B353" s="170"/>
      <c r="C353" s="170"/>
      <c r="D353" s="170"/>
      <c r="E353" s="171"/>
      <c r="F353" s="171"/>
      <c r="G353" s="170"/>
      <c r="H353" s="170"/>
      <c r="I353" s="170"/>
      <c r="J353" s="171"/>
      <c r="K353" s="171"/>
      <c r="L353" s="170"/>
      <c r="M353" s="170"/>
      <c r="N353" s="170"/>
      <c r="O353" s="171"/>
      <c r="P353" s="171"/>
      <c r="Q353" s="170"/>
      <c r="R353" s="170"/>
      <c r="S353" s="170"/>
      <c r="T353" s="171"/>
      <c r="U353" s="171"/>
      <c r="V353" s="171"/>
      <c r="W353" s="171"/>
      <c r="X353" s="171"/>
      <c r="Y353" s="171"/>
      <c r="Z353" s="171"/>
      <c r="AA353" s="171"/>
      <c r="AB353" s="171"/>
      <c r="AC353" s="170"/>
      <c r="AD353" s="170"/>
      <c r="AE353" s="170"/>
      <c r="AF353" s="170"/>
      <c r="AG353" s="170"/>
      <c r="AH353" s="170"/>
      <c r="AI353" s="170"/>
      <c r="AJ353" s="170"/>
      <c r="AK353" s="171"/>
      <c r="AL353" s="171"/>
      <c r="AM353" s="170"/>
      <c r="AN353" s="170"/>
      <c r="AO353" s="170"/>
      <c r="AP353" s="171"/>
      <c r="AQ353" s="171"/>
      <c r="AR353" s="170"/>
      <c r="AS353" s="170"/>
      <c r="AT353" s="170"/>
      <c r="AU353" s="171"/>
      <c r="AV353" s="171"/>
      <c r="AW353" s="171"/>
      <c r="AX353" s="171"/>
      <c r="AY353" s="171"/>
      <c r="AZ353" s="171"/>
      <c r="BA353" s="171"/>
      <c r="BB353" s="171"/>
      <c r="BC353" s="171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72"/>
      <c r="BR353" s="172"/>
      <c r="BS353" s="172"/>
    </row>
    <row r="354" spans="1:71" ht="12.5" x14ac:dyDescent="0.25">
      <c r="A354" s="170"/>
      <c r="B354" s="170"/>
      <c r="C354" s="170"/>
      <c r="D354" s="170"/>
      <c r="E354" s="171"/>
      <c r="F354" s="171"/>
      <c r="G354" s="170"/>
      <c r="H354" s="170"/>
      <c r="I354" s="170"/>
      <c r="J354" s="171"/>
      <c r="K354" s="171"/>
      <c r="L354" s="170"/>
      <c r="M354" s="170"/>
      <c r="N354" s="170"/>
      <c r="O354" s="171"/>
      <c r="P354" s="171"/>
      <c r="Q354" s="170"/>
      <c r="R354" s="170"/>
      <c r="S354" s="170"/>
      <c r="T354" s="171"/>
      <c r="U354" s="171"/>
      <c r="V354" s="171"/>
      <c r="W354" s="171"/>
      <c r="X354" s="171"/>
      <c r="Y354" s="171"/>
      <c r="Z354" s="171"/>
      <c r="AA354" s="171"/>
      <c r="AB354" s="171"/>
      <c r="AC354" s="170"/>
      <c r="AD354" s="170"/>
      <c r="AE354" s="170"/>
      <c r="AF354" s="170"/>
      <c r="AG354" s="170"/>
      <c r="AH354" s="170"/>
      <c r="AI354" s="170"/>
      <c r="AJ354" s="170"/>
      <c r="AK354" s="171"/>
      <c r="AL354" s="171"/>
      <c r="AM354" s="170"/>
      <c r="AN354" s="170"/>
      <c r="AO354" s="170"/>
      <c r="AP354" s="171"/>
      <c r="AQ354" s="171"/>
      <c r="AR354" s="170"/>
      <c r="AS354" s="170"/>
      <c r="AT354" s="170"/>
      <c r="AU354" s="171"/>
      <c r="AV354" s="171"/>
      <c r="AW354" s="171"/>
      <c r="AX354" s="171"/>
      <c r="AY354" s="171"/>
      <c r="AZ354" s="171"/>
      <c r="BA354" s="171"/>
      <c r="BB354" s="171"/>
      <c r="BC354" s="171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72"/>
      <c r="BP354" s="172"/>
      <c r="BQ354" s="172"/>
      <c r="BR354" s="172"/>
      <c r="BS354" s="172"/>
    </row>
    <row r="355" spans="1:71" ht="12.5" x14ac:dyDescent="0.25">
      <c r="A355" s="170"/>
      <c r="B355" s="170"/>
      <c r="C355" s="170"/>
      <c r="D355" s="170"/>
      <c r="E355" s="171"/>
      <c r="F355" s="171"/>
      <c r="G355" s="170"/>
      <c r="H355" s="170"/>
      <c r="I355" s="170"/>
      <c r="J355" s="171"/>
      <c r="K355" s="171"/>
      <c r="L355" s="170"/>
      <c r="M355" s="170"/>
      <c r="N355" s="170"/>
      <c r="O355" s="171"/>
      <c r="P355" s="171"/>
      <c r="Q355" s="170"/>
      <c r="R355" s="170"/>
      <c r="S355" s="170"/>
      <c r="T355" s="171"/>
      <c r="U355" s="171"/>
      <c r="V355" s="171"/>
      <c r="W355" s="171"/>
      <c r="X355" s="171"/>
      <c r="Y355" s="171"/>
      <c r="Z355" s="171"/>
      <c r="AA355" s="171"/>
      <c r="AB355" s="171"/>
      <c r="AC355" s="170"/>
      <c r="AD355" s="170"/>
      <c r="AE355" s="170"/>
      <c r="AF355" s="170"/>
      <c r="AG355" s="170"/>
      <c r="AH355" s="170"/>
      <c r="AI355" s="170"/>
      <c r="AJ355" s="170"/>
      <c r="AK355" s="171"/>
      <c r="AL355" s="171"/>
      <c r="AM355" s="170"/>
      <c r="AN355" s="170"/>
      <c r="AO355" s="170"/>
      <c r="AP355" s="171"/>
      <c r="AQ355" s="171"/>
      <c r="AR355" s="170"/>
      <c r="AS355" s="170"/>
      <c r="AT355" s="170"/>
      <c r="AU355" s="171"/>
      <c r="AV355" s="171"/>
      <c r="AW355" s="171"/>
      <c r="AX355" s="171"/>
      <c r="AY355" s="171"/>
      <c r="AZ355" s="171"/>
      <c r="BA355" s="171"/>
      <c r="BB355" s="171"/>
      <c r="BC355" s="171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72"/>
      <c r="BP355" s="172"/>
      <c r="BQ355" s="172"/>
      <c r="BR355" s="172"/>
      <c r="BS355" s="172"/>
    </row>
    <row r="356" spans="1:71" ht="12.5" x14ac:dyDescent="0.25">
      <c r="A356" s="170"/>
      <c r="B356" s="170"/>
      <c r="C356" s="170"/>
      <c r="D356" s="170"/>
      <c r="E356" s="171"/>
      <c r="F356" s="171"/>
      <c r="G356" s="170"/>
      <c r="H356" s="170"/>
      <c r="I356" s="170"/>
      <c r="J356" s="171"/>
      <c r="K356" s="171"/>
      <c r="L356" s="170"/>
      <c r="M356" s="170"/>
      <c r="N356" s="170"/>
      <c r="O356" s="171"/>
      <c r="P356" s="171"/>
      <c r="Q356" s="170"/>
      <c r="R356" s="170"/>
      <c r="S356" s="170"/>
      <c r="T356" s="171"/>
      <c r="U356" s="171"/>
      <c r="V356" s="171"/>
      <c r="W356" s="171"/>
      <c r="X356" s="171"/>
      <c r="Y356" s="171"/>
      <c r="Z356" s="171"/>
      <c r="AA356" s="171"/>
      <c r="AB356" s="171"/>
      <c r="AC356" s="170"/>
      <c r="AD356" s="170"/>
      <c r="AE356" s="170"/>
      <c r="AF356" s="170"/>
      <c r="AG356" s="170"/>
      <c r="AH356" s="170"/>
      <c r="AI356" s="170"/>
      <c r="AJ356" s="170"/>
      <c r="AK356" s="171"/>
      <c r="AL356" s="171"/>
      <c r="AM356" s="170"/>
      <c r="AN356" s="170"/>
      <c r="AO356" s="170"/>
      <c r="AP356" s="171"/>
      <c r="AQ356" s="171"/>
      <c r="AR356" s="170"/>
      <c r="AS356" s="170"/>
      <c r="AT356" s="170"/>
      <c r="AU356" s="171"/>
      <c r="AV356" s="171"/>
      <c r="AW356" s="171"/>
      <c r="AX356" s="171"/>
      <c r="AY356" s="171"/>
      <c r="AZ356" s="171"/>
      <c r="BA356" s="171"/>
      <c r="BB356" s="171"/>
      <c r="BC356" s="171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72"/>
      <c r="BP356" s="172"/>
      <c r="BQ356" s="172"/>
      <c r="BR356" s="172"/>
      <c r="BS356" s="172"/>
    </row>
    <row r="357" spans="1:71" ht="12.5" x14ac:dyDescent="0.25">
      <c r="A357" s="170"/>
      <c r="B357" s="170"/>
      <c r="C357" s="170"/>
      <c r="D357" s="170"/>
      <c r="E357" s="171"/>
      <c r="F357" s="171"/>
      <c r="G357" s="170"/>
      <c r="H357" s="170"/>
      <c r="I357" s="170"/>
      <c r="J357" s="171"/>
      <c r="K357" s="171"/>
      <c r="L357" s="170"/>
      <c r="M357" s="170"/>
      <c r="N357" s="170"/>
      <c r="O357" s="171"/>
      <c r="P357" s="171"/>
      <c r="Q357" s="170"/>
      <c r="R357" s="170"/>
      <c r="S357" s="170"/>
      <c r="T357" s="171"/>
      <c r="U357" s="171"/>
      <c r="V357" s="171"/>
      <c r="W357" s="171"/>
      <c r="X357" s="171"/>
      <c r="Y357" s="171"/>
      <c r="Z357" s="171"/>
      <c r="AA357" s="171"/>
      <c r="AB357" s="171"/>
      <c r="AC357" s="170"/>
      <c r="AD357" s="170"/>
      <c r="AE357" s="170"/>
      <c r="AF357" s="170"/>
      <c r="AG357" s="170"/>
      <c r="AH357" s="170"/>
      <c r="AI357" s="170"/>
      <c r="AJ357" s="170"/>
      <c r="AK357" s="171"/>
      <c r="AL357" s="171"/>
      <c r="AM357" s="170"/>
      <c r="AN357" s="170"/>
      <c r="AO357" s="170"/>
      <c r="AP357" s="171"/>
      <c r="AQ357" s="171"/>
      <c r="AR357" s="170"/>
      <c r="AS357" s="170"/>
      <c r="AT357" s="170"/>
      <c r="AU357" s="171"/>
      <c r="AV357" s="171"/>
      <c r="AW357" s="171"/>
      <c r="AX357" s="171"/>
      <c r="AY357" s="171"/>
      <c r="AZ357" s="171"/>
      <c r="BA357" s="171"/>
      <c r="BB357" s="171"/>
      <c r="BC357" s="171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72"/>
      <c r="BP357" s="172"/>
      <c r="BQ357" s="172"/>
      <c r="BR357" s="172"/>
      <c r="BS357" s="172"/>
    </row>
    <row r="358" spans="1:71" ht="12.5" x14ac:dyDescent="0.25">
      <c r="A358" s="170"/>
      <c r="B358" s="170"/>
      <c r="C358" s="170"/>
      <c r="D358" s="170"/>
      <c r="E358" s="171"/>
      <c r="F358" s="171"/>
      <c r="G358" s="170"/>
      <c r="H358" s="170"/>
      <c r="I358" s="170"/>
      <c r="J358" s="171"/>
      <c r="K358" s="171"/>
      <c r="L358" s="170"/>
      <c r="M358" s="170"/>
      <c r="N358" s="170"/>
      <c r="O358" s="171"/>
      <c r="P358" s="171"/>
      <c r="Q358" s="170"/>
      <c r="R358" s="170"/>
      <c r="S358" s="170"/>
      <c r="T358" s="171"/>
      <c r="U358" s="171"/>
      <c r="V358" s="171"/>
      <c r="W358" s="171"/>
      <c r="X358" s="171"/>
      <c r="Y358" s="171"/>
      <c r="Z358" s="171"/>
      <c r="AA358" s="171"/>
      <c r="AB358" s="171"/>
      <c r="AC358" s="170"/>
      <c r="AD358" s="170"/>
      <c r="AE358" s="170"/>
      <c r="AF358" s="170"/>
      <c r="AG358" s="170"/>
      <c r="AH358" s="170"/>
      <c r="AI358" s="170"/>
      <c r="AJ358" s="170"/>
      <c r="AK358" s="171"/>
      <c r="AL358" s="171"/>
      <c r="AM358" s="170"/>
      <c r="AN358" s="170"/>
      <c r="AO358" s="170"/>
      <c r="AP358" s="171"/>
      <c r="AQ358" s="171"/>
      <c r="AR358" s="170"/>
      <c r="AS358" s="170"/>
      <c r="AT358" s="170"/>
      <c r="AU358" s="171"/>
      <c r="AV358" s="171"/>
      <c r="AW358" s="171"/>
      <c r="AX358" s="171"/>
      <c r="AY358" s="171"/>
      <c r="AZ358" s="171"/>
      <c r="BA358" s="171"/>
      <c r="BB358" s="171"/>
      <c r="BC358" s="171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72"/>
      <c r="BP358" s="172"/>
      <c r="BQ358" s="172"/>
      <c r="BR358" s="172"/>
      <c r="BS358" s="172"/>
    </row>
    <row r="359" spans="1:71" ht="12.5" x14ac:dyDescent="0.25">
      <c r="A359" s="170"/>
      <c r="B359" s="170"/>
      <c r="C359" s="170"/>
      <c r="D359" s="170"/>
      <c r="E359" s="171"/>
      <c r="F359" s="171"/>
      <c r="G359" s="170"/>
      <c r="H359" s="170"/>
      <c r="I359" s="170"/>
      <c r="J359" s="171"/>
      <c r="K359" s="171"/>
      <c r="L359" s="170"/>
      <c r="M359" s="170"/>
      <c r="N359" s="170"/>
      <c r="O359" s="171"/>
      <c r="P359" s="171"/>
      <c r="Q359" s="170"/>
      <c r="R359" s="170"/>
      <c r="S359" s="170"/>
      <c r="T359" s="171"/>
      <c r="U359" s="171"/>
      <c r="V359" s="171"/>
      <c r="W359" s="171"/>
      <c r="X359" s="171"/>
      <c r="Y359" s="171"/>
      <c r="Z359" s="171"/>
      <c r="AA359" s="171"/>
      <c r="AB359" s="171"/>
      <c r="AC359" s="170"/>
      <c r="AD359" s="170"/>
      <c r="AE359" s="170"/>
      <c r="AF359" s="170"/>
      <c r="AG359" s="170"/>
      <c r="AH359" s="170"/>
      <c r="AI359" s="170"/>
      <c r="AJ359" s="170"/>
      <c r="AK359" s="171"/>
      <c r="AL359" s="171"/>
      <c r="AM359" s="170"/>
      <c r="AN359" s="170"/>
      <c r="AO359" s="170"/>
      <c r="AP359" s="171"/>
      <c r="AQ359" s="171"/>
      <c r="AR359" s="170"/>
      <c r="AS359" s="170"/>
      <c r="AT359" s="170"/>
      <c r="AU359" s="171"/>
      <c r="AV359" s="171"/>
      <c r="AW359" s="171"/>
      <c r="AX359" s="171"/>
      <c r="AY359" s="171"/>
      <c r="AZ359" s="171"/>
      <c r="BA359" s="171"/>
      <c r="BB359" s="171"/>
      <c r="BC359" s="171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72"/>
      <c r="BP359" s="172"/>
      <c r="BQ359" s="172"/>
      <c r="BR359" s="172"/>
      <c r="BS359" s="172"/>
    </row>
    <row r="360" spans="1:71" ht="12.5" x14ac:dyDescent="0.25">
      <c r="A360" s="170"/>
      <c r="B360" s="170"/>
      <c r="C360" s="170"/>
      <c r="D360" s="170"/>
      <c r="E360" s="171"/>
      <c r="F360" s="171"/>
      <c r="G360" s="170"/>
      <c r="H360" s="170"/>
      <c r="I360" s="170"/>
      <c r="J360" s="171"/>
      <c r="K360" s="171"/>
      <c r="L360" s="170"/>
      <c r="M360" s="170"/>
      <c r="N360" s="170"/>
      <c r="O360" s="171"/>
      <c r="P360" s="171"/>
      <c r="Q360" s="170"/>
      <c r="R360" s="170"/>
      <c r="S360" s="170"/>
      <c r="T360" s="171"/>
      <c r="U360" s="171"/>
      <c r="V360" s="171"/>
      <c r="W360" s="171"/>
      <c r="X360" s="171"/>
      <c r="Y360" s="171"/>
      <c r="Z360" s="171"/>
      <c r="AA360" s="171"/>
      <c r="AB360" s="171"/>
      <c r="AC360" s="170"/>
      <c r="AD360" s="170"/>
      <c r="AE360" s="170"/>
      <c r="AF360" s="170"/>
      <c r="AG360" s="170"/>
      <c r="AH360" s="170"/>
      <c r="AI360" s="170"/>
      <c r="AJ360" s="170"/>
      <c r="AK360" s="171"/>
      <c r="AL360" s="171"/>
      <c r="AM360" s="170"/>
      <c r="AN360" s="170"/>
      <c r="AO360" s="170"/>
      <c r="AP360" s="171"/>
      <c r="AQ360" s="171"/>
      <c r="AR360" s="170"/>
      <c r="AS360" s="170"/>
      <c r="AT360" s="170"/>
      <c r="AU360" s="171"/>
      <c r="AV360" s="171"/>
      <c r="AW360" s="171"/>
      <c r="AX360" s="171"/>
      <c r="AY360" s="171"/>
      <c r="AZ360" s="171"/>
      <c r="BA360" s="171"/>
      <c r="BB360" s="171"/>
      <c r="BC360" s="171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72"/>
      <c r="BP360" s="172"/>
      <c r="BQ360" s="172"/>
      <c r="BR360" s="172"/>
      <c r="BS360" s="172"/>
    </row>
    <row r="361" spans="1:71" ht="12.5" x14ac:dyDescent="0.25">
      <c r="A361" s="170"/>
      <c r="B361" s="170"/>
      <c r="C361" s="170"/>
      <c r="D361" s="170"/>
      <c r="E361" s="171"/>
      <c r="F361" s="171"/>
      <c r="G361" s="170"/>
      <c r="H361" s="170"/>
      <c r="I361" s="170"/>
      <c r="J361" s="171"/>
      <c r="K361" s="171"/>
      <c r="L361" s="170"/>
      <c r="M361" s="170"/>
      <c r="N361" s="170"/>
      <c r="O361" s="171"/>
      <c r="P361" s="171"/>
      <c r="Q361" s="170"/>
      <c r="R361" s="170"/>
      <c r="S361" s="170"/>
      <c r="T361" s="171"/>
      <c r="U361" s="171"/>
      <c r="V361" s="171"/>
      <c r="W361" s="171"/>
      <c r="X361" s="171"/>
      <c r="Y361" s="171"/>
      <c r="Z361" s="171"/>
      <c r="AA361" s="171"/>
      <c r="AB361" s="171"/>
      <c r="AC361" s="170"/>
      <c r="AD361" s="170"/>
      <c r="AE361" s="170"/>
      <c r="AF361" s="170"/>
      <c r="AG361" s="170"/>
      <c r="AH361" s="170"/>
      <c r="AI361" s="170"/>
      <c r="AJ361" s="170"/>
      <c r="AK361" s="171"/>
      <c r="AL361" s="171"/>
      <c r="AM361" s="170"/>
      <c r="AN361" s="170"/>
      <c r="AO361" s="170"/>
      <c r="AP361" s="171"/>
      <c r="AQ361" s="171"/>
      <c r="AR361" s="170"/>
      <c r="AS361" s="170"/>
      <c r="AT361" s="170"/>
      <c r="AU361" s="171"/>
      <c r="AV361" s="171"/>
      <c r="AW361" s="171"/>
      <c r="AX361" s="171"/>
      <c r="AY361" s="171"/>
      <c r="AZ361" s="171"/>
      <c r="BA361" s="171"/>
      <c r="BB361" s="171"/>
      <c r="BC361" s="171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72"/>
      <c r="BP361" s="172"/>
      <c r="BQ361" s="172"/>
      <c r="BR361" s="172"/>
      <c r="BS361" s="172"/>
    </row>
    <row r="362" spans="1:71" ht="12.5" x14ac:dyDescent="0.25">
      <c r="A362" s="170"/>
      <c r="B362" s="170"/>
      <c r="C362" s="170"/>
      <c r="D362" s="170"/>
      <c r="E362" s="171"/>
      <c r="F362" s="171"/>
      <c r="G362" s="170"/>
      <c r="H362" s="170"/>
      <c r="I362" s="170"/>
      <c r="J362" s="171"/>
      <c r="K362" s="171"/>
      <c r="L362" s="170"/>
      <c r="M362" s="170"/>
      <c r="N362" s="170"/>
      <c r="O362" s="171"/>
      <c r="P362" s="171"/>
      <c r="Q362" s="170"/>
      <c r="R362" s="170"/>
      <c r="S362" s="170"/>
      <c r="T362" s="171"/>
      <c r="U362" s="171"/>
      <c r="V362" s="171"/>
      <c r="W362" s="171"/>
      <c r="X362" s="171"/>
      <c r="Y362" s="171"/>
      <c r="Z362" s="171"/>
      <c r="AA362" s="171"/>
      <c r="AB362" s="171"/>
      <c r="AC362" s="170"/>
      <c r="AD362" s="170"/>
      <c r="AE362" s="170"/>
      <c r="AF362" s="170"/>
      <c r="AG362" s="170"/>
      <c r="AH362" s="170"/>
      <c r="AI362" s="170"/>
      <c r="AJ362" s="170"/>
      <c r="AK362" s="171"/>
      <c r="AL362" s="171"/>
      <c r="AM362" s="170"/>
      <c r="AN362" s="170"/>
      <c r="AO362" s="170"/>
      <c r="AP362" s="171"/>
      <c r="AQ362" s="171"/>
      <c r="AR362" s="170"/>
      <c r="AS362" s="170"/>
      <c r="AT362" s="170"/>
      <c r="AU362" s="171"/>
      <c r="AV362" s="171"/>
      <c r="AW362" s="171"/>
      <c r="AX362" s="171"/>
      <c r="AY362" s="171"/>
      <c r="AZ362" s="171"/>
      <c r="BA362" s="171"/>
      <c r="BB362" s="171"/>
      <c r="BC362" s="171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72"/>
      <c r="BP362" s="172"/>
      <c r="BQ362" s="172"/>
      <c r="BR362" s="172"/>
      <c r="BS362" s="172"/>
    </row>
    <row r="363" spans="1:71" ht="12.5" x14ac:dyDescent="0.25">
      <c r="A363" s="170"/>
      <c r="B363" s="170"/>
      <c r="C363" s="170"/>
      <c r="D363" s="170"/>
      <c r="E363" s="171"/>
      <c r="F363" s="171"/>
      <c r="G363" s="170"/>
      <c r="H363" s="170"/>
      <c r="I363" s="170"/>
      <c r="J363" s="171"/>
      <c r="K363" s="171"/>
      <c r="L363" s="170"/>
      <c r="M363" s="170"/>
      <c r="N363" s="170"/>
      <c r="O363" s="171"/>
      <c r="P363" s="171"/>
      <c r="Q363" s="170"/>
      <c r="R363" s="170"/>
      <c r="S363" s="170"/>
      <c r="T363" s="171"/>
      <c r="U363" s="171"/>
      <c r="V363" s="171"/>
      <c r="W363" s="171"/>
      <c r="X363" s="171"/>
      <c r="Y363" s="171"/>
      <c r="Z363" s="171"/>
      <c r="AA363" s="171"/>
      <c r="AB363" s="171"/>
      <c r="AC363" s="170"/>
      <c r="AD363" s="170"/>
      <c r="AE363" s="170"/>
      <c r="AF363" s="170"/>
      <c r="AG363" s="170"/>
      <c r="AH363" s="170"/>
      <c r="AI363" s="170"/>
      <c r="AJ363" s="170"/>
      <c r="AK363" s="171"/>
      <c r="AL363" s="171"/>
      <c r="AM363" s="170"/>
      <c r="AN363" s="170"/>
      <c r="AO363" s="170"/>
      <c r="AP363" s="171"/>
      <c r="AQ363" s="171"/>
      <c r="AR363" s="170"/>
      <c r="AS363" s="170"/>
      <c r="AT363" s="170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72"/>
      <c r="BP363" s="172"/>
      <c r="BQ363" s="172"/>
      <c r="BR363" s="172"/>
      <c r="BS363" s="172"/>
    </row>
    <row r="364" spans="1:71" ht="12.5" x14ac:dyDescent="0.25">
      <c r="A364" s="170"/>
      <c r="B364" s="170"/>
      <c r="C364" s="170"/>
      <c r="D364" s="170"/>
      <c r="E364" s="171"/>
      <c r="F364" s="171"/>
      <c r="G364" s="170"/>
      <c r="H364" s="170"/>
      <c r="I364" s="170"/>
      <c r="J364" s="171"/>
      <c r="K364" s="171"/>
      <c r="L364" s="170"/>
      <c r="M364" s="170"/>
      <c r="N364" s="170"/>
      <c r="O364" s="171"/>
      <c r="P364" s="171"/>
      <c r="Q364" s="170"/>
      <c r="R364" s="170"/>
      <c r="S364" s="170"/>
      <c r="T364" s="171"/>
      <c r="U364" s="171"/>
      <c r="V364" s="171"/>
      <c r="W364" s="171"/>
      <c r="X364" s="171"/>
      <c r="Y364" s="171"/>
      <c r="Z364" s="171"/>
      <c r="AA364" s="171"/>
      <c r="AB364" s="171"/>
      <c r="AC364" s="170"/>
      <c r="AD364" s="170"/>
      <c r="AE364" s="170"/>
      <c r="AF364" s="170"/>
      <c r="AG364" s="170"/>
      <c r="AH364" s="170"/>
      <c r="AI364" s="170"/>
      <c r="AJ364" s="170"/>
      <c r="AK364" s="171"/>
      <c r="AL364" s="171"/>
      <c r="AM364" s="170"/>
      <c r="AN364" s="170"/>
      <c r="AO364" s="170"/>
      <c r="AP364" s="171"/>
      <c r="AQ364" s="171"/>
      <c r="AR364" s="170"/>
      <c r="AS364" s="170"/>
      <c r="AT364" s="170"/>
      <c r="AU364" s="171"/>
      <c r="AV364" s="171"/>
      <c r="AW364" s="171"/>
      <c r="AX364" s="171"/>
      <c r="AY364" s="171"/>
      <c r="AZ364" s="171"/>
      <c r="BA364" s="171"/>
      <c r="BB364" s="171"/>
      <c r="BC364" s="171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72"/>
      <c r="BP364" s="172"/>
      <c r="BQ364" s="172"/>
      <c r="BR364" s="172"/>
      <c r="BS364" s="172"/>
    </row>
    <row r="365" spans="1:71" ht="12.5" x14ac:dyDescent="0.25">
      <c r="A365" s="170"/>
      <c r="B365" s="170"/>
      <c r="C365" s="170"/>
      <c r="D365" s="170"/>
      <c r="E365" s="171"/>
      <c r="F365" s="171"/>
      <c r="G365" s="170"/>
      <c r="H365" s="170"/>
      <c r="I365" s="170"/>
      <c r="J365" s="171"/>
      <c r="K365" s="171"/>
      <c r="L365" s="170"/>
      <c r="M365" s="170"/>
      <c r="N365" s="170"/>
      <c r="O365" s="171"/>
      <c r="P365" s="171"/>
      <c r="Q365" s="170"/>
      <c r="R365" s="170"/>
      <c r="S365" s="170"/>
      <c r="T365" s="171"/>
      <c r="U365" s="171"/>
      <c r="V365" s="171"/>
      <c r="W365" s="171"/>
      <c r="X365" s="171"/>
      <c r="Y365" s="171"/>
      <c r="Z365" s="171"/>
      <c r="AA365" s="171"/>
      <c r="AB365" s="171"/>
      <c r="AC365" s="170"/>
      <c r="AD365" s="170"/>
      <c r="AE365" s="170"/>
      <c r="AF365" s="170"/>
      <c r="AG365" s="170"/>
      <c r="AH365" s="170"/>
      <c r="AI365" s="170"/>
      <c r="AJ365" s="170"/>
      <c r="AK365" s="171"/>
      <c r="AL365" s="171"/>
      <c r="AM365" s="170"/>
      <c r="AN365" s="170"/>
      <c r="AO365" s="170"/>
      <c r="AP365" s="171"/>
      <c r="AQ365" s="171"/>
      <c r="AR365" s="170"/>
      <c r="AS365" s="170"/>
      <c r="AT365" s="170"/>
      <c r="AU365" s="171"/>
      <c r="AV365" s="171"/>
      <c r="AW365" s="171"/>
      <c r="AX365" s="171"/>
      <c r="AY365" s="171"/>
      <c r="AZ365" s="171"/>
      <c r="BA365" s="171"/>
      <c r="BB365" s="171"/>
      <c r="BC365" s="171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72"/>
      <c r="BP365" s="172"/>
      <c r="BQ365" s="172"/>
      <c r="BR365" s="172"/>
      <c r="BS365" s="172"/>
    </row>
    <row r="366" spans="1:71" ht="12.5" x14ac:dyDescent="0.25">
      <c r="A366" s="170"/>
      <c r="B366" s="170"/>
      <c r="C366" s="170"/>
      <c r="D366" s="170"/>
      <c r="E366" s="171"/>
      <c r="F366" s="171"/>
      <c r="G366" s="170"/>
      <c r="H366" s="170"/>
      <c r="I366" s="170"/>
      <c r="J366" s="171"/>
      <c r="K366" s="171"/>
      <c r="L366" s="170"/>
      <c r="M366" s="170"/>
      <c r="N366" s="170"/>
      <c r="O366" s="171"/>
      <c r="P366" s="171"/>
      <c r="Q366" s="170"/>
      <c r="R366" s="170"/>
      <c r="S366" s="170"/>
      <c r="T366" s="171"/>
      <c r="U366" s="171"/>
      <c r="V366" s="171"/>
      <c r="W366" s="171"/>
      <c r="X366" s="171"/>
      <c r="Y366" s="171"/>
      <c r="Z366" s="171"/>
      <c r="AA366" s="171"/>
      <c r="AB366" s="171"/>
      <c r="AC366" s="170"/>
      <c r="AD366" s="170"/>
      <c r="AE366" s="170"/>
      <c r="AF366" s="170"/>
      <c r="AG366" s="170"/>
      <c r="AH366" s="170"/>
      <c r="AI366" s="170"/>
      <c r="AJ366" s="170"/>
      <c r="AK366" s="171"/>
      <c r="AL366" s="171"/>
      <c r="AM366" s="170"/>
      <c r="AN366" s="170"/>
      <c r="AO366" s="170"/>
      <c r="AP366" s="171"/>
      <c r="AQ366" s="171"/>
      <c r="AR366" s="170"/>
      <c r="AS366" s="170"/>
      <c r="AT366" s="170"/>
      <c r="AU366" s="171"/>
      <c r="AV366" s="171"/>
      <c r="AW366" s="171"/>
      <c r="AX366" s="171"/>
      <c r="AY366" s="171"/>
      <c r="AZ366" s="171"/>
      <c r="BA366" s="171"/>
      <c r="BB366" s="171"/>
      <c r="BC366" s="171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72"/>
      <c r="BP366" s="172"/>
      <c r="BQ366" s="172"/>
      <c r="BR366" s="172"/>
      <c r="BS366" s="172"/>
    </row>
    <row r="367" spans="1:71" ht="12.5" x14ac:dyDescent="0.25">
      <c r="A367" s="170"/>
      <c r="B367" s="170"/>
      <c r="C367" s="170"/>
      <c r="D367" s="170"/>
      <c r="E367" s="171"/>
      <c r="F367" s="171"/>
      <c r="G367" s="170"/>
      <c r="H367" s="170"/>
      <c r="I367" s="170"/>
      <c r="J367" s="171"/>
      <c r="K367" s="171"/>
      <c r="L367" s="170"/>
      <c r="M367" s="170"/>
      <c r="N367" s="170"/>
      <c r="O367" s="171"/>
      <c r="P367" s="171"/>
      <c r="Q367" s="170"/>
      <c r="R367" s="170"/>
      <c r="S367" s="170"/>
      <c r="T367" s="171"/>
      <c r="U367" s="171"/>
      <c r="V367" s="171"/>
      <c r="W367" s="171"/>
      <c r="X367" s="171"/>
      <c r="Y367" s="171"/>
      <c r="Z367" s="171"/>
      <c r="AA367" s="171"/>
      <c r="AB367" s="171"/>
      <c r="AC367" s="170"/>
      <c r="AD367" s="170"/>
      <c r="AE367" s="170"/>
      <c r="AF367" s="170"/>
      <c r="AG367" s="170"/>
      <c r="AH367" s="170"/>
      <c r="AI367" s="170"/>
      <c r="AJ367" s="170"/>
      <c r="AK367" s="171"/>
      <c r="AL367" s="171"/>
      <c r="AM367" s="170"/>
      <c r="AN367" s="170"/>
      <c r="AO367" s="170"/>
      <c r="AP367" s="171"/>
      <c r="AQ367" s="171"/>
      <c r="AR367" s="170"/>
      <c r="AS367" s="170"/>
      <c r="AT367" s="170"/>
      <c r="AU367" s="171"/>
      <c r="AV367" s="171"/>
      <c r="AW367" s="171"/>
      <c r="AX367" s="171"/>
      <c r="AY367" s="171"/>
      <c r="AZ367" s="171"/>
      <c r="BA367" s="171"/>
      <c r="BB367" s="171"/>
      <c r="BC367" s="171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72"/>
      <c r="BP367" s="172"/>
      <c r="BQ367" s="172"/>
      <c r="BR367" s="172"/>
      <c r="BS367" s="172"/>
    </row>
    <row r="368" spans="1:71" ht="12.5" x14ac:dyDescent="0.25">
      <c r="A368" s="170"/>
      <c r="B368" s="170"/>
      <c r="C368" s="170"/>
      <c r="D368" s="170"/>
      <c r="E368" s="171"/>
      <c r="F368" s="171"/>
      <c r="G368" s="170"/>
      <c r="H368" s="170"/>
      <c r="I368" s="170"/>
      <c r="J368" s="171"/>
      <c r="K368" s="171"/>
      <c r="L368" s="170"/>
      <c r="M368" s="170"/>
      <c r="N368" s="170"/>
      <c r="O368" s="171"/>
      <c r="P368" s="171"/>
      <c r="Q368" s="170"/>
      <c r="R368" s="170"/>
      <c r="S368" s="170"/>
      <c r="T368" s="171"/>
      <c r="U368" s="171"/>
      <c r="V368" s="171"/>
      <c r="W368" s="171"/>
      <c r="X368" s="171"/>
      <c r="Y368" s="171"/>
      <c r="Z368" s="171"/>
      <c r="AA368" s="171"/>
      <c r="AB368" s="171"/>
      <c r="AC368" s="170"/>
      <c r="AD368" s="170"/>
      <c r="AE368" s="170"/>
      <c r="AF368" s="170"/>
      <c r="AG368" s="170"/>
      <c r="AH368" s="170"/>
      <c r="AI368" s="170"/>
      <c r="AJ368" s="170"/>
      <c r="AK368" s="171"/>
      <c r="AL368" s="171"/>
      <c r="AM368" s="170"/>
      <c r="AN368" s="170"/>
      <c r="AO368" s="170"/>
      <c r="AP368" s="171"/>
      <c r="AQ368" s="171"/>
      <c r="AR368" s="170"/>
      <c r="AS368" s="170"/>
      <c r="AT368" s="170"/>
      <c r="AU368" s="171"/>
      <c r="AV368" s="171"/>
      <c r="AW368" s="171"/>
      <c r="AX368" s="171"/>
      <c r="AY368" s="171"/>
      <c r="AZ368" s="171"/>
      <c r="BA368" s="171"/>
      <c r="BB368" s="171"/>
      <c r="BC368" s="171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72"/>
      <c r="BR368" s="172"/>
      <c r="BS368" s="172"/>
    </row>
    <row r="369" spans="1:71" ht="12.5" x14ac:dyDescent="0.25">
      <c r="A369" s="170"/>
      <c r="B369" s="170"/>
      <c r="C369" s="170"/>
      <c r="D369" s="170"/>
      <c r="E369" s="171"/>
      <c r="F369" s="171"/>
      <c r="G369" s="170"/>
      <c r="H369" s="170"/>
      <c r="I369" s="170"/>
      <c r="J369" s="171"/>
      <c r="K369" s="171"/>
      <c r="L369" s="170"/>
      <c r="M369" s="170"/>
      <c r="N369" s="170"/>
      <c r="O369" s="171"/>
      <c r="P369" s="171"/>
      <c r="Q369" s="170"/>
      <c r="R369" s="170"/>
      <c r="S369" s="170"/>
      <c r="T369" s="171"/>
      <c r="U369" s="171"/>
      <c r="V369" s="171"/>
      <c r="W369" s="171"/>
      <c r="X369" s="171"/>
      <c r="Y369" s="171"/>
      <c r="Z369" s="171"/>
      <c r="AA369" s="171"/>
      <c r="AB369" s="171"/>
      <c r="AC369" s="170"/>
      <c r="AD369" s="170"/>
      <c r="AE369" s="170"/>
      <c r="AF369" s="170"/>
      <c r="AG369" s="170"/>
      <c r="AH369" s="170"/>
      <c r="AI369" s="170"/>
      <c r="AJ369" s="170"/>
      <c r="AK369" s="171"/>
      <c r="AL369" s="171"/>
      <c r="AM369" s="170"/>
      <c r="AN369" s="170"/>
      <c r="AO369" s="170"/>
      <c r="AP369" s="171"/>
      <c r="AQ369" s="171"/>
      <c r="AR369" s="170"/>
      <c r="AS369" s="170"/>
      <c r="AT369" s="170"/>
      <c r="AU369" s="171"/>
      <c r="AV369" s="171"/>
      <c r="AW369" s="171"/>
      <c r="AX369" s="171"/>
      <c r="AY369" s="171"/>
      <c r="AZ369" s="171"/>
      <c r="BA369" s="171"/>
      <c r="BB369" s="171"/>
      <c r="BC369" s="171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72"/>
      <c r="BP369" s="172"/>
      <c r="BQ369" s="172"/>
      <c r="BR369" s="172"/>
      <c r="BS369" s="172"/>
    </row>
    <row r="370" spans="1:71" ht="12.5" x14ac:dyDescent="0.25">
      <c r="A370" s="170"/>
      <c r="B370" s="170"/>
      <c r="C370" s="170"/>
      <c r="D370" s="170"/>
      <c r="E370" s="171"/>
      <c r="F370" s="171"/>
      <c r="G370" s="170"/>
      <c r="H370" s="170"/>
      <c r="I370" s="170"/>
      <c r="J370" s="171"/>
      <c r="K370" s="171"/>
      <c r="L370" s="170"/>
      <c r="M370" s="170"/>
      <c r="N370" s="170"/>
      <c r="O370" s="171"/>
      <c r="P370" s="171"/>
      <c r="Q370" s="170"/>
      <c r="R370" s="170"/>
      <c r="S370" s="170"/>
      <c r="T370" s="171"/>
      <c r="U370" s="171"/>
      <c r="V370" s="171"/>
      <c r="W370" s="171"/>
      <c r="X370" s="171"/>
      <c r="Y370" s="171"/>
      <c r="Z370" s="171"/>
      <c r="AA370" s="171"/>
      <c r="AB370" s="171"/>
      <c r="AC370" s="170"/>
      <c r="AD370" s="170"/>
      <c r="AE370" s="170"/>
      <c r="AF370" s="170"/>
      <c r="AG370" s="170"/>
      <c r="AH370" s="170"/>
      <c r="AI370" s="170"/>
      <c r="AJ370" s="170"/>
      <c r="AK370" s="171"/>
      <c r="AL370" s="171"/>
      <c r="AM370" s="170"/>
      <c r="AN370" s="170"/>
      <c r="AO370" s="170"/>
      <c r="AP370" s="171"/>
      <c r="AQ370" s="171"/>
      <c r="AR370" s="170"/>
      <c r="AS370" s="170"/>
      <c r="AT370" s="170"/>
      <c r="AU370" s="171"/>
      <c r="AV370" s="171"/>
      <c r="AW370" s="171"/>
      <c r="AX370" s="171"/>
      <c r="AY370" s="171"/>
      <c r="AZ370" s="171"/>
      <c r="BA370" s="171"/>
      <c r="BB370" s="171"/>
      <c r="BC370" s="171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72"/>
      <c r="BP370" s="172"/>
      <c r="BQ370" s="172"/>
      <c r="BR370" s="172"/>
      <c r="BS370" s="172"/>
    </row>
    <row r="371" spans="1:71" ht="12.5" x14ac:dyDescent="0.25">
      <c r="A371" s="170"/>
      <c r="B371" s="170"/>
      <c r="C371" s="170"/>
      <c r="D371" s="170"/>
      <c r="E371" s="171"/>
      <c r="F371" s="171"/>
      <c r="G371" s="170"/>
      <c r="H371" s="170"/>
      <c r="I371" s="170"/>
      <c r="J371" s="171"/>
      <c r="K371" s="171"/>
      <c r="L371" s="170"/>
      <c r="M371" s="170"/>
      <c r="N371" s="170"/>
      <c r="O371" s="171"/>
      <c r="P371" s="171"/>
      <c r="Q371" s="170"/>
      <c r="R371" s="170"/>
      <c r="S371" s="170"/>
      <c r="T371" s="171"/>
      <c r="U371" s="171"/>
      <c r="V371" s="171"/>
      <c r="W371" s="171"/>
      <c r="X371" s="171"/>
      <c r="Y371" s="171"/>
      <c r="Z371" s="171"/>
      <c r="AA371" s="171"/>
      <c r="AB371" s="171"/>
      <c r="AC371" s="170"/>
      <c r="AD371" s="170"/>
      <c r="AE371" s="170"/>
      <c r="AF371" s="170"/>
      <c r="AG371" s="170"/>
      <c r="AH371" s="170"/>
      <c r="AI371" s="170"/>
      <c r="AJ371" s="170"/>
      <c r="AK371" s="171"/>
      <c r="AL371" s="171"/>
      <c r="AM371" s="170"/>
      <c r="AN371" s="170"/>
      <c r="AO371" s="170"/>
      <c r="AP371" s="171"/>
      <c r="AQ371" s="171"/>
      <c r="AR371" s="170"/>
      <c r="AS371" s="170"/>
      <c r="AT371" s="170"/>
      <c r="AU371" s="171"/>
      <c r="AV371" s="171"/>
      <c r="AW371" s="171"/>
      <c r="AX371" s="171"/>
      <c r="AY371" s="171"/>
      <c r="AZ371" s="171"/>
      <c r="BA371" s="171"/>
      <c r="BB371" s="171"/>
      <c r="BC371" s="171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72"/>
      <c r="BP371" s="172"/>
      <c r="BQ371" s="172"/>
      <c r="BR371" s="172"/>
      <c r="BS371" s="172"/>
    </row>
    <row r="372" spans="1:71" ht="12.5" x14ac:dyDescent="0.25">
      <c r="A372" s="170"/>
      <c r="B372" s="170"/>
      <c r="C372" s="170"/>
      <c r="D372" s="170"/>
      <c r="E372" s="171"/>
      <c r="F372" s="171"/>
      <c r="G372" s="170"/>
      <c r="H372" s="170"/>
      <c r="I372" s="170"/>
      <c r="J372" s="171"/>
      <c r="K372" s="171"/>
      <c r="L372" s="170"/>
      <c r="M372" s="170"/>
      <c r="N372" s="170"/>
      <c r="O372" s="171"/>
      <c r="P372" s="171"/>
      <c r="Q372" s="170"/>
      <c r="R372" s="170"/>
      <c r="S372" s="170"/>
      <c r="T372" s="171"/>
      <c r="U372" s="171"/>
      <c r="V372" s="171"/>
      <c r="W372" s="171"/>
      <c r="X372" s="171"/>
      <c r="Y372" s="171"/>
      <c r="Z372" s="171"/>
      <c r="AA372" s="171"/>
      <c r="AB372" s="171"/>
      <c r="AC372" s="170"/>
      <c r="AD372" s="170"/>
      <c r="AE372" s="170"/>
      <c r="AF372" s="170"/>
      <c r="AG372" s="170"/>
      <c r="AH372" s="170"/>
      <c r="AI372" s="170"/>
      <c r="AJ372" s="170"/>
      <c r="AK372" s="171"/>
      <c r="AL372" s="171"/>
      <c r="AM372" s="170"/>
      <c r="AN372" s="170"/>
      <c r="AO372" s="170"/>
      <c r="AP372" s="171"/>
      <c r="AQ372" s="171"/>
      <c r="AR372" s="170"/>
      <c r="AS372" s="170"/>
      <c r="AT372" s="170"/>
      <c r="AU372" s="171"/>
      <c r="AV372" s="171"/>
      <c r="AW372" s="171"/>
      <c r="AX372" s="171"/>
      <c r="AY372" s="171"/>
      <c r="AZ372" s="171"/>
      <c r="BA372" s="171"/>
      <c r="BB372" s="171"/>
      <c r="BC372" s="171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72"/>
      <c r="BP372" s="172"/>
      <c r="BQ372" s="172"/>
      <c r="BR372" s="172"/>
      <c r="BS372" s="172"/>
    </row>
    <row r="373" spans="1:71" ht="12.5" x14ac:dyDescent="0.25">
      <c r="A373" s="170"/>
      <c r="B373" s="170"/>
      <c r="C373" s="170"/>
      <c r="D373" s="170"/>
      <c r="E373" s="171"/>
      <c r="F373" s="171"/>
      <c r="G373" s="170"/>
      <c r="H373" s="170"/>
      <c r="I373" s="170"/>
      <c r="J373" s="171"/>
      <c r="K373" s="171"/>
      <c r="L373" s="170"/>
      <c r="M373" s="170"/>
      <c r="N373" s="170"/>
      <c r="O373" s="171"/>
      <c r="P373" s="171"/>
      <c r="Q373" s="170"/>
      <c r="R373" s="170"/>
      <c r="S373" s="170"/>
      <c r="T373" s="171"/>
      <c r="U373" s="171"/>
      <c r="V373" s="171"/>
      <c r="W373" s="171"/>
      <c r="X373" s="171"/>
      <c r="Y373" s="171"/>
      <c r="Z373" s="171"/>
      <c r="AA373" s="171"/>
      <c r="AB373" s="171"/>
      <c r="AC373" s="170"/>
      <c r="AD373" s="170"/>
      <c r="AE373" s="170"/>
      <c r="AF373" s="170"/>
      <c r="AG373" s="170"/>
      <c r="AH373" s="170"/>
      <c r="AI373" s="170"/>
      <c r="AJ373" s="170"/>
      <c r="AK373" s="171"/>
      <c r="AL373" s="171"/>
      <c r="AM373" s="170"/>
      <c r="AN373" s="170"/>
      <c r="AO373" s="170"/>
      <c r="AP373" s="171"/>
      <c r="AQ373" s="171"/>
      <c r="AR373" s="170"/>
      <c r="AS373" s="170"/>
      <c r="AT373" s="170"/>
      <c r="AU373" s="171"/>
      <c r="AV373" s="171"/>
      <c r="AW373" s="171"/>
      <c r="AX373" s="171"/>
      <c r="AY373" s="171"/>
      <c r="AZ373" s="171"/>
      <c r="BA373" s="171"/>
      <c r="BB373" s="171"/>
      <c r="BC373" s="171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72"/>
      <c r="BP373" s="172"/>
      <c r="BQ373" s="172"/>
      <c r="BR373" s="172"/>
      <c r="BS373" s="172"/>
    </row>
    <row r="374" spans="1:71" ht="12.5" x14ac:dyDescent="0.25">
      <c r="A374" s="170"/>
      <c r="B374" s="170"/>
      <c r="C374" s="170"/>
      <c r="D374" s="170"/>
      <c r="E374" s="171"/>
      <c r="F374" s="171"/>
      <c r="G374" s="170"/>
      <c r="H374" s="170"/>
      <c r="I374" s="170"/>
      <c r="J374" s="171"/>
      <c r="K374" s="171"/>
      <c r="L374" s="170"/>
      <c r="M374" s="170"/>
      <c r="N374" s="170"/>
      <c r="O374" s="171"/>
      <c r="P374" s="171"/>
      <c r="Q374" s="170"/>
      <c r="R374" s="170"/>
      <c r="S374" s="170"/>
      <c r="T374" s="171"/>
      <c r="U374" s="171"/>
      <c r="V374" s="171"/>
      <c r="W374" s="171"/>
      <c r="X374" s="171"/>
      <c r="Y374" s="171"/>
      <c r="Z374" s="171"/>
      <c r="AA374" s="171"/>
      <c r="AB374" s="171"/>
      <c r="AC374" s="170"/>
      <c r="AD374" s="170"/>
      <c r="AE374" s="170"/>
      <c r="AF374" s="170"/>
      <c r="AG374" s="170"/>
      <c r="AH374" s="170"/>
      <c r="AI374" s="170"/>
      <c r="AJ374" s="170"/>
      <c r="AK374" s="171"/>
      <c r="AL374" s="171"/>
      <c r="AM374" s="170"/>
      <c r="AN374" s="170"/>
      <c r="AO374" s="170"/>
      <c r="AP374" s="171"/>
      <c r="AQ374" s="171"/>
      <c r="AR374" s="170"/>
      <c r="AS374" s="170"/>
      <c r="AT374" s="170"/>
      <c r="AU374" s="171"/>
      <c r="AV374" s="171"/>
      <c r="AW374" s="171"/>
      <c r="AX374" s="171"/>
      <c r="AY374" s="171"/>
      <c r="AZ374" s="171"/>
      <c r="BA374" s="171"/>
      <c r="BB374" s="171"/>
      <c r="BC374" s="171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72"/>
      <c r="BP374" s="172"/>
      <c r="BQ374" s="172"/>
      <c r="BR374" s="172"/>
      <c r="BS374" s="172"/>
    </row>
    <row r="375" spans="1:71" ht="12.5" x14ac:dyDescent="0.25">
      <c r="A375" s="170"/>
      <c r="B375" s="170"/>
      <c r="C375" s="170"/>
      <c r="D375" s="170"/>
      <c r="E375" s="171"/>
      <c r="F375" s="171"/>
      <c r="G375" s="170"/>
      <c r="H375" s="170"/>
      <c r="I375" s="170"/>
      <c r="J375" s="171"/>
      <c r="K375" s="171"/>
      <c r="L375" s="170"/>
      <c r="M375" s="170"/>
      <c r="N375" s="170"/>
      <c r="O375" s="171"/>
      <c r="P375" s="171"/>
      <c r="Q375" s="170"/>
      <c r="R375" s="170"/>
      <c r="S375" s="170"/>
      <c r="T375" s="171"/>
      <c r="U375" s="171"/>
      <c r="V375" s="171"/>
      <c r="W375" s="171"/>
      <c r="X375" s="171"/>
      <c r="Y375" s="171"/>
      <c r="Z375" s="171"/>
      <c r="AA375" s="171"/>
      <c r="AB375" s="171"/>
      <c r="AC375" s="170"/>
      <c r="AD375" s="170"/>
      <c r="AE375" s="170"/>
      <c r="AF375" s="170"/>
      <c r="AG375" s="170"/>
      <c r="AH375" s="170"/>
      <c r="AI375" s="170"/>
      <c r="AJ375" s="170"/>
      <c r="AK375" s="171"/>
      <c r="AL375" s="171"/>
      <c r="AM375" s="170"/>
      <c r="AN375" s="170"/>
      <c r="AO375" s="170"/>
      <c r="AP375" s="171"/>
      <c r="AQ375" s="171"/>
      <c r="AR375" s="170"/>
      <c r="AS375" s="170"/>
      <c r="AT375" s="170"/>
      <c r="AU375" s="171"/>
      <c r="AV375" s="171"/>
      <c r="AW375" s="171"/>
      <c r="AX375" s="171"/>
      <c r="AY375" s="171"/>
      <c r="AZ375" s="171"/>
      <c r="BA375" s="171"/>
      <c r="BB375" s="171"/>
      <c r="BC375" s="171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72"/>
      <c r="BP375" s="172"/>
      <c r="BQ375" s="172"/>
      <c r="BR375" s="172"/>
      <c r="BS375" s="172"/>
    </row>
    <row r="376" spans="1:71" ht="12.5" x14ac:dyDescent="0.25">
      <c r="A376" s="170"/>
      <c r="B376" s="170"/>
      <c r="C376" s="170"/>
      <c r="D376" s="170"/>
      <c r="E376" s="171"/>
      <c r="F376" s="171"/>
      <c r="G376" s="170"/>
      <c r="H376" s="170"/>
      <c r="I376" s="170"/>
      <c r="J376" s="171"/>
      <c r="K376" s="171"/>
      <c r="L376" s="170"/>
      <c r="M376" s="170"/>
      <c r="N376" s="170"/>
      <c r="O376" s="171"/>
      <c r="P376" s="171"/>
      <c r="Q376" s="170"/>
      <c r="R376" s="170"/>
      <c r="S376" s="170"/>
      <c r="T376" s="171"/>
      <c r="U376" s="171"/>
      <c r="V376" s="171"/>
      <c r="W376" s="171"/>
      <c r="X376" s="171"/>
      <c r="Y376" s="171"/>
      <c r="Z376" s="171"/>
      <c r="AA376" s="171"/>
      <c r="AB376" s="171"/>
      <c r="AC376" s="170"/>
      <c r="AD376" s="170"/>
      <c r="AE376" s="170"/>
      <c r="AF376" s="170"/>
      <c r="AG376" s="170"/>
      <c r="AH376" s="170"/>
      <c r="AI376" s="170"/>
      <c r="AJ376" s="170"/>
      <c r="AK376" s="171"/>
      <c r="AL376" s="171"/>
      <c r="AM376" s="170"/>
      <c r="AN376" s="170"/>
      <c r="AO376" s="170"/>
      <c r="AP376" s="171"/>
      <c r="AQ376" s="171"/>
      <c r="AR376" s="170"/>
      <c r="AS376" s="170"/>
      <c r="AT376" s="170"/>
      <c r="AU376" s="171"/>
      <c r="AV376" s="171"/>
      <c r="AW376" s="171"/>
      <c r="AX376" s="171"/>
      <c r="AY376" s="171"/>
      <c r="AZ376" s="171"/>
      <c r="BA376" s="171"/>
      <c r="BB376" s="171"/>
      <c r="BC376" s="171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72"/>
      <c r="BP376" s="172"/>
      <c r="BQ376" s="172"/>
      <c r="BR376" s="172"/>
      <c r="BS376" s="172"/>
    </row>
    <row r="377" spans="1:71" ht="12.5" x14ac:dyDescent="0.25">
      <c r="A377" s="170"/>
      <c r="B377" s="170"/>
      <c r="C377" s="170"/>
      <c r="D377" s="170"/>
      <c r="E377" s="171"/>
      <c r="F377" s="171"/>
      <c r="G377" s="170"/>
      <c r="H377" s="170"/>
      <c r="I377" s="170"/>
      <c r="J377" s="171"/>
      <c r="K377" s="171"/>
      <c r="L377" s="170"/>
      <c r="M377" s="170"/>
      <c r="N377" s="170"/>
      <c r="O377" s="171"/>
      <c r="P377" s="171"/>
      <c r="Q377" s="170"/>
      <c r="R377" s="170"/>
      <c r="S377" s="170"/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0"/>
      <c r="AD377" s="170"/>
      <c r="AE377" s="170"/>
      <c r="AF377" s="170"/>
      <c r="AG377" s="170"/>
      <c r="AH377" s="170"/>
      <c r="AI377" s="170"/>
      <c r="AJ377" s="170"/>
      <c r="AK377" s="171"/>
      <c r="AL377" s="171"/>
      <c r="AM377" s="170"/>
      <c r="AN377" s="170"/>
      <c r="AO377" s="170"/>
      <c r="AP377" s="171"/>
      <c r="AQ377" s="171"/>
      <c r="AR377" s="170"/>
      <c r="AS377" s="170"/>
      <c r="AT377" s="170"/>
      <c r="AU377" s="171"/>
      <c r="AV377" s="171"/>
      <c r="AW377" s="171"/>
      <c r="AX377" s="171"/>
      <c r="AY377" s="171"/>
      <c r="AZ377" s="171"/>
      <c r="BA377" s="171"/>
      <c r="BB377" s="171"/>
      <c r="BC377" s="171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72"/>
      <c r="BP377" s="172"/>
      <c r="BQ377" s="172"/>
      <c r="BR377" s="172"/>
      <c r="BS377" s="172"/>
    </row>
    <row r="378" spans="1:71" ht="12.5" x14ac:dyDescent="0.25">
      <c r="A378" s="170"/>
      <c r="B378" s="170"/>
      <c r="C378" s="170"/>
      <c r="D378" s="170"/>
      <c r="E378" s="171"/>
      <c r="F378" s="171"/>
      <c r="G378" s="170"/>
      <c r="H378" s="170"/>
      <c r="I378" s="170"/>
      <c r="J378" s="171"/>
      <c r="K378" s="171"/>
      <c r="L378" s="170"/>
      <c r="M378" s="170"/>
      <c r="N378" s="170"/>
      <c r="O378" s="171"/>
      <c r="P378" s="171"/>
      <c r="Q378" s="170"/>
      <c r="R378" s="170"/>
      <c r="S378" s="170"/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0"/>
      <c r="AD378" s="170"/>
      <c r="AE378" s="170"/>
      <c r="AF378" s="170"/>
      <c r="AG378" s="170"/>
      <c r="AH378" s="170"/>
      <c r="AI378" s="170"/>
      <c r="AJ378" s="170"/>
      <c r="AK378" s="171"/>
      <c r="AL378" s="171"/>
      <c r="AM378" s="170"/>
      <c r="AN378" s="170"/>
      <c r="AO378" s="170"/>
      <c r="AP378" s="171"/>
      <c r="AQ378" s="171"/>
      <c r="AR378" s="170"/>
      <c r="AS378" s="170"/>
      <c r="AT378" s="170"/>
      <c r="AU378" s="171"/>
      <c r="AV378" s="171"/>
      <c r="AW378" s="171"/>
      <c r="AX378" s="171"/>
      <c r="AY378" s="171"/>
      <c r="AZ378" s="171"/>
      <c r="BA378" s="171"/>
      <c r="BB378" s="171"/>
      <c r="BC378" s="171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72"/>
      <c r="BP378" s="172"/>
      <c r="BQ378" s="172"/>
      <c r="BR378" s="172"/>
      <c r="BS378" s="172"/>
    </row>
    <row r="379" spans="1:71" ht="12.5" x14ac:dyDescent="0.25">
      <c r="A379" s="170"/>
      <c r="B379" s="170"/>
      <c r="C379" s="170"/>
      <c r="D379" s="170"/>
      <c r="E379" s="171"/>
      <c r="F379" s="171"/>
      <c r="G379" s="170"/>
      <c r="H379" s="170"/>
      <c r="I379" s="170"/>
      <c r="J379" s="171"/>
      <c r="K379" s="171"/>
      <c r="L379" s="170"/>
      <c r="M379" s="170"/>
      <c r="N379" s="170"/>
      <c r="O379" s="171"/>
      <c r="P379" s="171"/>
      <c r="Q379" s="170"/>
      <c r="R379" s="170"/>
      <c r="S379" s="170"/>
      <c r="T379" s="171"/>
      <c r="U379" s="171"/>
      <c r="V379" s="171"/>
      <c r="W379" s="171"/>
      <c r="X379" s="171"/>
      <c r="Y379" s="171"/>
      <c r="Z379" s="171"/>
      <c r="AA379" s="171"/>
      <c r="AB379" s="171"/>
      <c r="AC379" s="170"/>
      <c r="AD379" s="170"/>
      <c r="AE379" s="170"/>
      <c r="AF379" s="170"/>
      <c r="AG379" s="170"/>
      <c r="AH379" s="170"/>
      <c r="AI379" s="170"/>
      <c r="AJ379" s="170"/>
      <c r="AK379" s="171"/>
      <c r="AL379" s="171"/>
      <c r="AM379" s="170"/>
      <c r="AN379" s="170"/>
      <c r="AO379" s="170"/>
      <c r="AP379" s="171"/>
      <c r="AQ379" s="171"/>
      <c r="AR379" s="170"/>
      <c r="AS379" s="170"/>
      <c r="AT379" s="170"/>
      <c r="AU379" s="171"/>
      <c r="AV379" s="171"/>
      <c r="AW379" s="171"/>
      <c r="AX379" s="171"/>
      <c r="AY379" s="171"/>
      <c r="AZ379" s="171"/>
      <c r="BA379" s="171"/>
      <c r="BB379" s="171"/>
      <c r="BC379" s="171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172"/>
      <c r="BS379" s="172"/>
    </row>
    <row r="380" spans="1:71" ht="12.5" x14ac:dyDescent="0.25">
      <c r="A380" s="170"/>
      <c r="B380" s="170"/>
      <c r="C380" s="170"/>
      <c r="D380" s="170"/>
      <c r="E380" s="171"/>
      <c r="F380" s="171"/>
      <c r="G380" s="170"/>
      <c r="H380" s="170"/>
      <c r="I380" s="170"/>
      <c r="J380" s="171"/>
      <c r="K380" s="171"/>
      <c r="L380" s="170"/>
      <c r="M380" s="170"/>
      <c r="N380" s="170"/>
      <c r="O380" s="171"/>
      <c r="P380" s="171"/>
      <c r="Q380" s="170"/>
      <c r="R380" s="170"/>
      <c r="S380" s="170"/>
      <c r="T380" s="171"/>
      <c r="U380" s="171"/>
      <c r="V380" s="171"/>
      <c r="W380" s="171"/>
      <c r="X380" s="171"/>
      <c r="Y380" s="171"/>
      <c r="Z380" s="171"/>
      <c r="AA380" s="171"/>
      <c r="AB380" s="171"/>
      <c r="AC380" s="170"/>
      <c r="AD380" s="170"/>
      <c r="AE380" s="170"/>
      <c r="AF380" s="170"/>
      <c r="AG380" s="170"/>
      <c r="AH380" s="170"/>
      <c r="AI380" s="170"/>
      <c r="AJ380" s="170"/>
      <c r="AK380" s="171"/>
      <c r="AL380" s="171"/>
      <c r="AM380" s="170"/>
      <c r="AN380" s="170"/>
      <c r="AO380" s="170"/>
      <c r="AP380" s="171"/>
      <c r="AQ380" s="171"/>
      <c r="AR380" s="170"/>
      <c r="AS380" s="170"/>
      <c r="AT380" s="170"/>
      <c r="AU380" s="171"/>
      <c r="AV380" s="171"/>
      <c r="AW380" s="171"/>
      <c r="AX380" s="171"/>
      <c r="AY380" s="171"/>
      <c r="AZ380" s="171"/>
      <c r="BA380" s="171"/>
      <c r="BB380" s="171"/>
      <c r="BC380" s="171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72"/>
      <c r="BP380" s="172"/>
      <c r="BQ380" s="172"/>
      <c r="BR380" s="172"/>
      <c r="BS380" s="172"/>
    </row>
    <row r="381" spans="1:71" ht="12.5" x14ac:dyDescent="0.25">
      <c r="A381" s="170"/>
      <c r="B381" s="170"/>
      <c r="C381" s="170"/>
      <c r="D381" s="170"/>
      <c r="E381" s="171"/>
      <c r="F381" s="171"/>
      <c r="G381" s="170"/>
      <c r="H381" s="170"/>
      <c r="I381" s="170"/>
      <c r="J381" s="171"/>
      <c r="K381" s="171"/>
      <c r="L381" s="170"/>
      <c r="M381" s="170"/>
      <c r="N381" s="170"/>
      <c r="O381" s="171"/>
      <c r="P381" s="171"/>
      <c r="Q381" s="170"/>
      <c r="R381" s="170"/>
      <c r="S381" s="170"/>
      <c r="T381" s="171"/>
      <c r="U381" s="171"/>
      <c r="V381" s="171"/>
      <c r="W381" s="171"/>
      <c r="X381" s="171"/>
      <c r="Y381" s="171"/>
      <c r="Z381" s="171"/>
      <c r="AA381" s="171"/>
      <c r="AB381" s="171"/>
      <c r="AC381" s="170"/>
      <c r="AD381" s="170"/>
      <c r="AE381" s="170"/>
      <c r="AF381" s="170"/>
      <c r="AG381" s="170"/>
      <c r="AH381" s="170"/>
      <c r="AI381" s="170"/>
      <c r="AJ381" s="170"/>
      <c r="AK381" s="171"/>
      <c r="AL381" s="171"/>
      <c r="AM381" s="170"/>
      <c r="AN381" s="170"/>
      <c r="AO381" s="170"/>
      <c r="AP381" s="171"/>
      <c r="AQ381" s="171"/>
      <c r="AR381" s="170"/>
      <c r="AS381" s="170"/>
      <c r="AT381" s="170"/>
      <c r="AU381" s="171"/>
      <c r="AV381" s="171"/>
      <c r="AW381" s="171"/>
      <c r="AX381" s="171"/>
      <c r="AY381" s="171"/>
      <c r="AZ381" s="171"/>
      <c r="BA381" s="171"/>
      <c r="BB381" s="171"/>
      <c r="BC381" s="171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72"/>
      <c r="BP381" s="172"/>
      <c r="BQ381" s="172"/>
      <c r="BR381" s="172"/>
      <c r="BS381" s="172"/>
    </row>
    <row r="382" spans="1:71" ht="12.5" x14ac:dyDescent="0.25">
      <c r="A382" s="170"/>
      <c r="B382" s="170"/>
      <c r="C382" s="170"/>
      <c r="D382" s="170"/>
      <c r="E382" s="171"/>
      <c r="F382" s="171"/>
      <c r="G382" s="170"/>
      <c r="H382" s="170"/>
      <c r="I382" s="170"/>
      <c r="J382" s="171"/>
      <c r="K382" s="171"/>
      <c r="L382" s="170"/>
      <c r="M382" s="170"/>
      <c r="N382" s="170"/>
      <c r="O382" s="171"/>
      <c r="P382" s="171"/>
      <c r="Q382" s="170"/>
      <c r="R382" s="170"/>
      <c r="S382" s="170"/>
      <c r="T382" s="171"/>
      <c r="U382" s="171"/>
      <c r="V382" s="171"/>
      <c r="W382" s="171"/>
      <c r="X382" s="171"/>
      <c r="Y382" s="171"/>
      <c r="Z382" s="171"/>
      <c r="AA382" s="171"/>
      <c r="AB382" s="171"/>
      <c r="AC382" s="170"/>
      <c r="AD382" s="170"/>
      <c r="AE382" s="170"/>
      <c r="AF382" s="170"/>
      <c r="AG382" s="170"/>
      <c r="AH382" s="170"/>
      <c r="AI382" s="170"/>
      <c r="AJ382" s="170"/>
      <c r="AK382" s="171"/>
      <c r="AL382" s="171"/>
      <c r="AM382" s="170"/>
      <c r="AN382" s="170"/>
      <c r="AO382" s="170"/>
      <c r="AP382" s="171"/>
      <c r="AQ382" s="171"/>
      <c r="AR382" s="170"/>
      <c r="AS382" s="170"/>
      <c r="AT382" s="170"/>
      <c r="AU382" s="171"/>
      <c r="AV382" s="171"/>
      <c r="AW382" s="171"/>
      <c r="AX382" s="171"/>
      <c r="AY382" s="171"/>
      <c r="AZ382" s="171"/>
      <c r="BA382" s="171"/>
      <c r="BB382" s="171"/>
      <c r="BC382" s="171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72"/>
      <c r="BP382" s="172"/>
      <c r="BQ382" s="172"/>
      <c r="BR382" s="172"/>
      <c r="BS382" s="172"/>
    </row>
    <row r="383" spans="1:71" ht="12.5" x14ac:dyDescent="0.25">
      <c r="A383" s="170"/>
      <c r="B383" s="170"/>
      <c r="C383" s="170"/>
      <c r="D383" s="170"/>
      <c r="E383" s="171"/>
      <c r="F383" s="171"/>
      <c r="G383" s="170"/>
      <c r="H383" s="170"/>
      <c r="I383" s="170"/>
      <c r="J383" s="171"/>
      <c r="K383" s="171"/>
      <c r="L383" s="170"/>
      <c r="M383" s="170"/>
      <c r="N383" s="170"/>
      <c r="O383" s="171"/>
      <c r="P383" s="171"/>
      <c r="Q383" s="170"/>
      <c r="R383" s="170"/>
      <c r="S383" s="170"/>
      <c r="T383" s="171"/>
      <c r="U383" s="171"/>
      <c r="V383" s="171"/>
      <c r="W383" s="171"/>
      <c r="X383" s="171"/>
      <c r="Y383" s="171"/>
      <c r="Z383" s="171"/>
      <c r="AA383" s="171"/>
      <c r="AB383" s="171"/>
      <c r="AC383" s="170"/>
      <c r="AD383" s="170"/>
      <c r="AE383" s="170"/>
      <c r="AF383" s="170"/>
      <c r="AG383" s="170"/>
      <c r="AH383" s="170"/>
      <c r="AI383" s="170"/>
      <c r="AJ383" s="170"/>
      <c r="AK383" s="171"/>
      <c r="AL383" s="171"/>
      <c r="AM383" s="170"/>
      <c r="AN383" s="170"/>
      <c r="AO383" s="170"/>
      <c r="AP383" s="171"/>
      <c r="AQ383" s="171"/>
      <c r="AR383" s="170"/>
      <c r="AS383" s="170"/>
      <c r="AT383" s="170"/>
      <c r="AU383" s="171"/>
      <c r="AV383" s="171"/>
      <c r="AW383" s="171"/>
      <c r="AX383" s="171"/>
      <c r="AY383" s="171"/>
      <c r="AZ383" s="171"/>
      <c r="BA383" s="171"/>
      <c r="BB383" s="171"/>
      <c r="BC383" s="171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72"/>
      <c r="BP383" s="172"/>
      <c r="BQ383" s="172"/>
      <c r="BR383" s="172"/>
      <c r="BS383" s="172"/>
    </row>
    <row r="384" spans="1:71" ht="12.5" x14ac:dyDescent="0.25">
      <c r="A384" s="170"/>
      <c r="B384" s="170"/>
      <c r="C384" s="170"/>
      <c r="D384" s="170"/>
      <c r="E384" s="171"/>
      <c r="F384" s="171"/>
      <c r="G384" s="170"/>
      <c r="H384" s="170"/>
      <c r="I384" s="170"/>
      <c r="J384" s="171"/>
      <c r="K384" s="171"/>
      <c r="L384" s="170"/>
      <c r="M384" s="170"/>
      <c r="N384" s="170"/>
      <c r="O384" s="171"/>
      <c r="P384" s="171"/>
      <c r="Q384" s="170"/>
      <c r="R384" s="170"/>
      <c r="S384" s="170"/>
      <c r="T384" s="171"/>
      <c r="U384" s="171"/>
      <c r="V384" s="171"/>
      <c r="W384" s="171"/>
      <c r="X384" s="171"/>
      <c r="Y384" s="171"/>
      <c r="Z384" s="171"/>
      <c r="AA384" s="171"/>
      <c r="AB384" s="171"/>
      <c r="AC384" s="170"/>
      <c r="AD384" s="170"/>
      <c r="AE384" s="170"/>
      <c r="AF384" s="170"/>
      <c r="AG384" s="170"/>
      <c r="AH384" s="170"/>
      <c r="AI384" s="170"/>
      <c r="AJ384" s="170"/>
      <c r="AK384" s="171"/>
      <c r="AL384" s="171"/>
      <c r="AM384" s="170"/>
      <c r="AN384" s="170"/>
      <c r="AO384" s="170"/>
      <c r="AP384" s="171"/>
      <c r="AQ384" s="171"/>
      <c r="AR384" s="170"/>
      <c r="AS384" s="170"/>
      <c r="AT384" s="170"/>
      <c r="AU384" s="171"/>
      <c r="AV384" s="171"/>
      <c r="AW384" s="171"/>
      <c r="AX384" s="171"/>
      <c r="AY384" s="171"/>
      <c r="AZ384" s="171"/>
      <c r="BA384" s="171"/>
      <c r="BB384" s="171"/>
      <c r="BC384" s="171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72"/>
      <c r="BP384" s="172"/>
      <c r="BQ384" s="172"/>
      <c r="BR384" s="172"/>
      <c r="BS384" s="172"/>
    </row>
    <row r="385" spans="1:71" ht="12.5" x14ac:dyDescent="0.25">
      <c r="A385" s="170"/>
      <c r="B385" s="170"/>
      <c r="C385" s="170"/>
      <c r="D385" s="170"/>
      <c r="E385" s="171"/>
      <c r="F385" s="171"/>
      <c r="G385" s="170"/>
      <c r="H385" s="170"/>
      <c r="I385" s="170"/>
      <c r="J385" s="171"/>
      <c r="K385" s="171"/>
      <c r="L385" s="170"/>
      <c r="M385" s="170"/>
      <c r="N385" s="170"/>
      <c r="O385" s="171"/>
      <c r="P385" s="171"/>
      <c r="Q385" s="170"/>
      <c r="R385" s="170"/>
      <c r="S385" s="170"/>
      <c r="T385" s="171"/>
      <c r="U385" s="171"/>
      <c r="V385" s="171"/>
      <c r="W385" s="171"/>
      <c r="X385" s="171"/>
      <c r="Y385" s="171"/>
      <c r="Z385" s="171"/>
      <c r="AA385" s="171"/>
      <c r="AB385" s="171"/>
      <c r="AC385" s="170"/>
      <c r="AD385" s="170"/>
      <c r="AE385" s="170"/>
      <c r="AF385" s="170"/>
      <c r="AG385" s="170"/>
      <c r="AH385" s="170"/>
      <c r="AI385" s="170"/>
      <c r="AJ385" s="170"/>
      <c r="AK385" s="171"/>
      <c r="AL385" s="171"/>
      <c r="AM385" s="170"/>
      <c r="AN385" s="170"/>
      <c r="AO385" s="170"/>
      <c r="AP385" s="171"/>
      <c r="AQ385" s="171"/>
      <c r="AR385" s="170"/>
      <c r="AS385" s="170"/>
      <c r="AT385" s="170"/>
      <c r="AU385" s="171"/>
      <c r="AV385" s="171"/>
      <c r="AW385" s="171"/>
      <c r="AX385" s="171"/>
      <c r="AY385" s="171"/>
      <c r="AZ385" s="171"/>
      <c r="BA385" s="171"/>
      <c r="BB385" s="171"/>
      <c r="BC385" s="171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72"/>
      <c r="BP385" s="172"/>
      <c r="BQ385" s="172"/>
      <c r="BR385" s="172"/>
      <c r="BS385" s="172"/>
    </row>
    <row r="386" spans="1:71" ht="12.5" x14ac:dyDescent="0.25">
      <c r="A386" s="170"/>
      <c r="B386" s="170"/>
      <c r="C386" s="170"/>
      <c r="D386" s="170"/>
      <c r="E386" s="171"/>
      <c r="F386" s="171"/>
      <c r="G386" s="170"/>
      <c r="H386" s="170"/>
      <c r="I386" s="170"/>
      <c r="J386" s="171"/>
      <c r="K386" s="171"/>
      <c r="L386" s="170"/>
      <c r="M386" s="170"/>
      <c r="N386" s="170"/>
      <c r="O386" s="171"/>
      <c r="P386" s="171"/>
      <c r="Q386" s="170"/>
      <c r="R386" s="170"/>
      <c r="S386" s="170"/>
      <c r="T386" s="171"/>
      <c r="U386" s="171"/>
      <c r="V386" s="171"/>
      <c r="W386" s="171"/>
      <c r="X386" s="171"/>
      <c r="Y386" s="171"/>
      <c r="Z386" s="171"/>
      <c r="AA386" s="171"/>
      <c r="AB386" s="171"/>
      <c r="AC386" s="170"/>
      <c r="AD386" s="170"/>
      <c r="AE386" s="170"/>
      <c r="AF386" s="170"/>
      <c r="AG386" s="170"/>
      <c r="AH386" s="170"/>
      <c r="AI386" s="170"/>
      <c r="AJ386" s="170"/>
      <c r="AK386" s="171"/>
      <c r="AL386" s="171"/>
      <c r="AM386" s="170"/>
      <c r="AN386" s="170"/>
      <c r="AO386" s="170"/>
      <c r="AP386" s="171"/>
      <c r="AQ386" s="171"/>
      <c r="AR386" s="170"/>
      <c r="AS386" s="170"/>
      <c r="AT386" s="170"/>
      <c r="AU386" s="171"/>
      <c r="AV386" s="171"/>
      <c r="AW386" s="171"/>
      <c r="AX386" s="171"/>
      <c r="AY386" s="171"/>
      <c r="AZ386" s="171"/>
      <c r="BA386" s="171"/>
      <c r="BB386" s="171"/>
      <c r="BC386" s="171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72"/>
      <c r="BP386" s="172"/>
      <c r="BQ386" s="172"/>
      <c r="BR386" s="172"/>
      <c r="BS386" s="172"/>
    </row>
    <row r="387" spans="1:71" ht="12.5" x14ac:dyDescent="0.25">
      <c r="A387" s="170"/>
      <c r="B387" s="170"/>
      <c r="C387" s="170"/>
      <c r="D387" s="170"/>
      <c r="E387" s="171"/>
      <c r="F387" s="171"/>
      <c r="G387" s="170"/>
      <c r="H387" s="170"/>
      <c r="I387" s="170"/>
      <c r="J387" s="171"/>
      <c r="K387" s="171"/>
      <c r="L387" s="170"/>
      <c r="M387" s="170"/>
      <c r="N387" s="170"/>
      <c r="O387" s="171"/>
      <c r="P387" s="171"/>
      <c r="Q387" s="170"/>
      <c r="R387" s="170"/>
      <c r="S387" s="170"/>
      <c r="T387" s="171"/>
      <c r="U387" s="171"/>
      <c r="V387" s="171"/>
      <c r="W387" s="171"/>
      <c r="X387" s="171"/>
      <c r="Y387" s="171"/>
      <c r="Z387" s="171"/>
      <c r="AA387" s="171"/>
      <c r="AB387" s="171"/>
      <c r="AC387" s="170"/>
      <c r="AD387" s="170"/>
      <c r="AE387" s="170"/>
      <c r="AF387" s="170"/>
      <c r="AG387" s="170"/>
      <c r="AH387" s="170"/>
      <c r="AI387" s="170"/>
      <c r="AJ387" s="170"/>
      <c r="AK387" s="171"/>
      <c r="AL387" s="171"/>
      <c r="AM387" s="170"/>
      <c r="AN387" s="170"/>
      <c r="AO387" s="170"/>
      <c r="AP387" s="171"/>
      <c r="AQ387" s="171"/>
      <c r="AR387" s="170"/>
      <c r="AS387" s="170"/>
      <c r="AT387" s="170"/>
      <c r="AU387" s="171"/>
      <c r="AV387" s="171"/>
      <c r="AW387" s="171"/>
      <c r="AX387" s="171"/>
      <c r="AY387" s="171"/>
      <c r="AZ387" s="171"/>
      <c r="BA387" s="171"/>
      <c r="BB387" s="171"/>
      <c r="BC387" s="171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72"/>
      <c r="BP387" s="172"/>
      <c r="BQ387" s="172"/>
      <c r="BR387" s="172"/>
      <c r="BS387" s="172"/>
    </row>
    <row r="388" spans="1:71" ht="12.5" x14ac:dyDescent="0.25">
      <c r="A388" s="170"/>
      <c r="B388" s="170"/>
      <c r="C388" s="170"/>
      <c r="D388" s="170"/>
      <c r="E388" s="171"/>
      <c r="F388" s="171"/>
      <c r="G388" s="170"/>
      <c r="H388" s="170"/>
      <c r="I388" s="170"/>
      <c r="J388" s="171"/>
      <c r="K388" s="171"/>
      <c r="L388" s="170"/>
      <c r="M388" s="170"/>
      <c r="N388" s="170"/>
      <c r="O388" s="171"/>
      <c r="P388" s="171"/>
      <c r="Q388" s="170"/>
      <c r="R388" s="170"/>
      <c r="S388" s="170"/>
      <c r="T388" s="171"/>
      <c r="U388" s="171"/>
      <c r="V388" s="171"/>
      <c r="W388" s="171"/>
      <c r="X388" s="171"/>
      <c r="Y388" s="171"/>
      <c r="Z388" s="171"/>
      <c r="AA388" s="171"/>
      <c r="AB388" s="171"/>
      <c r="AC388" s="170"/>
      <c r="AD388" s="170"/>
      <c r="AE388" s="170"/>
      <c r="AF388" s="170"/>
      <c r="AG388" s="170"/>
      <c r="AH388" s="170"/>
      <c r="AI388" s="170"/>
      <c r="AJ388" s="170"/>
      <c r="AK388" s="171"/>
      <c r="AL388" s="171"/>
      <c r="AM388" s="170"/>
      <c r="AN388" s="170"/>
      <c r="AO388" s="170"/>
      <c r="AP388" s="171"/>
      <c r="AQ388" s="171"/>
      <c r="AR388" s="170"/>
      <c r="AS388" s="170"/>
      <c r="AT388" s="170"/>
      <c r="AU388" s="171"/>
      <c r="AV388" s="171"/>
      <c r="AW388" s="171"/>
      <c r="AX388" s="171"/>
      <c r="AY388" s="171"/>
      <c r="AZ388" s="171"/>
      <c r="BA388" s="171"/>
      <c r="BB388" s="171"/>
      <c r="BC388" s="171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72"/>
      <c r="BP388" s="172"/>
      <c r="BQ388" s="172"/>
      <c r="BR388" s="172"/>
      <c r="BS388" s="172"/>
    </row>
    <row r="389" spans="1:71" ht="12.5" x14ac:dyDescent="0.25">
      <c r="A389" s="170"/>
      <c r="B389" s="170"/>
      <c r="C389" s="170"/>
      <c r="D389" s="170"/>
      <c r="E389" s="171"/>
      <c r="F389" s="171"/>
      <c r="G389" s="170"/>
      <c r="H389" s="170"/>
      <c r="I389" s="170"/>
      <c r="J389" s="171"/>
      <c r="K389" s="171"/>
      <c r="L389" s="170"/>
      <c r="M389" s="170"/>
      <c r="N389" s="170"/>
      <c r="O389" s="171"/>
      <c r="P389" s="171"/>
      <c r="Q389" s="170"/>
      <c r="R389" s="170"/>
      <c r="S389" s="170"/>
      <c r="T389" s="171"/>
      <c r="U389" s="171"/>
      <c r="V389" s="171"/>
      <c r="W389" s="171"/>
      <c r="X389" s="171"/>
      <c r="Y389" s="171"/>
      <c r="Z389" s="171"/>
      <c r="AA389" s="171"/>
      <c r="AB389" s="171"/>
      <c r="AC389" s="170"/>
      <c r="AD389" s="170"/>
      <c r="AE389" s="170"/>
      <c r="AF389" s="170"/>
      <c r="AG389" s="170"/>
      <c r="AH389" s="170"/>
      <c r="AI389" s="170"/>
      <c r="AJ389" s="170"/>
      <c r="AK389" s="171"/>
      <c r="AL389" s="171"/>
      <c r="AM389" s="170"/>
      <c r="AN389" s="170"/>
      <c r="AO389" s="170"/>
      <c r="AP389" s="171"/>
      <c r="AQ389" s="171"/>
      <c r="AR389" s="170"/>
      <c r="AS389" s="170"/>
      <c r="AT389" s="170"/>
      <c r="AU389" s="171"/>
      <c r="AV389" s="171"/>
      <c r="AW389" s="171"/>
      <c r="AX389" s="171"/>
      <c r="AY389" s="171"/>
      <c r="AZ389" s="171"/>
      <c r="BA389" s="171"/>
      <c r="BB389" s="171"/>
      <c r="BC389" s="171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72"/>
      <c r="BP389" s="172"/>
      <c r="BQ389" s="172"/>
      <c r="BR389" s="172"/>
      <c r="BS389" s="172"/>
    </row>
    <row r="390" spans="1:71" ht="12.5" x14ac:dyDescent="0.25">
      <c r="A390" s="170"/>
      <c r="B390" s="170"/>
      <c r="C390" s="170"/>
      <c r="D390" s="170"/>
      <c r="E390" s="171"/>
      <c r="F390" s="171"/>
      <c r="G390" s="170"/>
      <c r="H390" s="170"/>
      <c r="I390" s="170"/>
      <c r="J390" s="171"/>
      <c r="K390" s="171"/>
      <c r="L390" s="170"/>
      <c r="M390" s="170"/>
      <c r="N390" s="170"/>
      <c r="O390" s="171"/>
      <c r="P390" s="171"/>
      <c r="Q390" s="170"/>
      <c r="R390" s="170"/>
      <c r="S390" s="170"/>
      <c r="T390" s="171"/>
      <c r="U390" s="171"/>
      <c r="V390" s="171"/>
      <c r="W390" s="171"/>
      <c r="X390" s="171"/>
      <c r="Y390" s="171"/>
      <c r="Z390" s="171"/>
      <c r="AA390" s="171"/>
      <c r="AB390" s="171"/>
      <c r="AC390" s="170"/>
      <c r="AD390" s="170"/>
      <c r="AE390" s="170"/>
      <c r="AF390" s="170"/>
      <c r="AG390" s="170"/>
      <c r="AH390" s="170"/>
      <c r="AI390" s="170"/>
      <c r="AJ390" s="170"/>
      <c r="AK390" s="171"/>
      <c r="AL390" s="171"/>
      <c r="AM390" s="170"/>
      <c r="AN390" s="170"/>
      <c r="AO390" s="170"/>
      <c r="AP390" s="171"/>
      <c r="AQ390" s="171"/>
      <c r="AR390" s="170"/>
      <c r="AS390" s="170"/>
      <c r="AT390" s="170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72"/>
      <c r="BP390" s="172"/>
      <c r="BQ390" s="172"/>
      <c r="BR390" s="172"/>
      <c r="BS390" s="172"/>
    </row>
    <row r="391" spans="1:71" ht="12.5" x14ac:dyDescent="0.25">
      <c r="A391" s="170"/>
      <c r="B391" s="170"/>
      <c r="C391" s="170"/>
      <c r="D391" s="170"/>
      <c r="E391" s="171"/>
      <c r="F391" s="171"/>
      <c r="G391" s="170"/>
      <c r="H391" s="170"/>
      <c r="I391" s="170"/>
      <c r="J391" s="171"/>
      <c r="K391" s="171"/>
      <c r="L391" s="170"/>
      <c r="M391" s="170"/>
      <c r="N391" s="170"/>
      <c r="O391" s="171"/>
      <c r="P391" s="171"/>
      <c r="Q391" s="170"/>
      <c r="R391" s="170"/>
      <c r="S391" s="170"/>
      <c r="T391" s="171"/>
      <c r="U391" s="171"/>
      <c r="V391" s="171"/>
      <c r="W391" s="171"/>
      <c r="X391" s="171"/>
      <c r="Y391" s="171"/>
      <c r="Z391" s="171"/>
      <c r="AA391" s="171"/>
      <c r="AB391" s="171"/>
      <c r="AC391" s="170"/>
      <c r="AD391" s="170"/>
      <c r="AE391" s="170"/>
      <c r="AF391" s="170"/>
      <c r="AG391" s="170"/>
      <c r="AH391" s="170"/>
      <c r="AI391" s="170"/>
      <c r="AJ391" s="170"/>
      <c r="AK391" s="171"/>
      <c r="AL391" s="171"/>
      <c r="AM391" s="170"/>
      <c r="AN391" s="170"/>
      <c r="AO391" s="170"/>
      <c r="AP391" s="171"/>
      <c r="AQ391" s="171"/>
      <c r="AR391" s="170"/>
      <c r="AS391" s="170"/>
      <c r="AT391" s="170"/>
      <c r="AU391" s="171"/>
      <c r="AV391" s="171"/>
      <c r="AW391" s="171"/>
      <c r="AX391" s="171"/>
      <c r="AY391" s="171"/>
      <c r="AZ391" s="171"/>
      <c r="BA391" s="171"/>
      <c r="BB391" s="171"/>
      <c r="BC391" s="171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72"/>
      <c r="BP391" s="172"/>
      <c r="BQ391" s="172"/>
      <c r="BR391" s="172"/>
      <c r="BS391" s="172"/>
    </row>
    <row r="392" spans="1:71" ht="12.5" x14ac:dyDescent="0.25">
      <c r="A392" s="170"/>
      <c r="B392" s="170"/>
      <c r="C392" s="170"/>
      <c r="D392" s="170"/>
      <c r="E392" s="171"/>
      <c r="F392" s="171"/>
      <c r="G392" s="170"/>
      <c r="H392" s="170"/>
      <c r="I392" s="170"/>
      <c r="J392" s="171"/>
      <c r="K392" s="171"/>
      <c r="L392" s="170"/>
      <c r="M392" s="170"/>
      <c r="N392" s="170"/>
      <c r="O392" s="171"/>
      <c r="P392" s="171"/>
      <c r="Q392" s="170"/>
      <c r="R392" s="170"/>
      <c r="S392" s="170"/>
      <c r="T392" s="171"/>
      <c r="U392" s="171"/>
      <c r="V392" s="171"/>
      <c r="W392" s="171"/>
      <c r="X392" s="171"/>
      <c r="Y392" s="171"/>
      <c r="Z392" s="171"/>
      <c r="AA392" s="171"/>
      <c r="AB392" s="171"/>
      <c r="AC392" s="170"/>
      <c r="AD392" s="170"/>
      <c r="AE392" s="170"/>
      <c r="AF392" s="170"/>
      <c r="AG392" s="170"/>
      <c r="AH392" s="170"/>
      <c r="AI392" s="170"/>
      <c r="AJ392" s="170"/>
      <c r="AK392" s="171"/>
      <c r="AL392" s="171"/>
      <c r="AM392" s="170"/>
      <c r="AN392" s="170"/>
      <c r="AO392" s="170"/>
      <c r="AP392" s="171"/>
      <c r="AQ392" s="171"/>
      <c r="AR392" s="170"/>
      <c r="AS392" s="170"/>
      <c r="AT392" s="170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72"/>
      <c r="BP392" s="172"/>
      <c r="BQ392" s="172"/>
      <c r="BR392" s="172"/>
      <c r="BS392" s="172"/>
    </row>
    <row r="393" spans="1:71" ht="12.5" x14ac:dyDescent="0.25">
      <c r="A393" s="170"/>
      <c r="B393" s="170"/>
      <c r="C393" s="170"/>
      <c r="D393" s="170"/>
      <c r="E393" s="171"/>
      <c r="F393" s="171"/>
      <c r="G393" s="170"/>
      <c r="H393" s="170"/>
      <c r="I393" s="170"/>
      <c r="J393" s="171"/>
      <c r="K393" s="171"/>
      <c r="L393" s="170"/>
      <c r="M393" s="170"/>
      <c r="N393" s="170"/>
      <c r="O393" s="171"/>
      <c r="P393" s="171"/>
      <c r="Q393" s="170"/>
      <c r="R393" s="170"/>
      <c r="S393" s="170"/>
      <c r="T393" s="171"/>
      <c r="U393" s="171"/>
      <c r="V393" s="171"/>
      <c r="W393" s="171"/>
      <c r="X393" s="171"/>
      <c r="Y393" s="171"/>
      <c r="Z393" s="171"/>
      <c r="AA393" s="171"/>
      <c r="AB393" s="171"/>
      <c r="AC393" s="170"/>
      <c r="AD393" s="170"/>
      <c r="AE393" s="170"/>
      <c r="AF393" s="170"/>
      <c r="AG393" s="170"/>
      <c r="AH393" s="170"/>
      <c r="AI393" s="170"/>
      <c r="AJ393" s="170"/>
      <c r="AK393" s="171"/>
      <c r="AL393" s="171"/>
      <c r="AM393" s="170"/>
      <c r="AN393" s="170"/>
      <c r="AO393" s="170"/>
      <c r="AP393" s="171"/>
      <c r="AQ393" s="171"/>
      <c r="AR393" s="170"/>
      <c r="AS393" s="170"/>
      <c r="AT393" s="170"/>
      <c r="AU393" s="171"/>
      <c r="AV393" s="171"/>
      <c r="AW393" s="171"/>
      <c r="AX393" s="171"/>
      <c r="AY393" s="171"/>
      <c r="AZ393" s="171"/>
      <c r="BA393" s="171"/>
      <c r="BB393" s="171"/>
      <c r="BC393" s="171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72"/>
      <c r="BP393" s="172"/>
      <c r="BQ393" s="172"/>
      <c r="BR393" s="172"/>
      <c r="BS393" s="172"/>
    </row>
    <row r="394" spans="1:71" ht="12.5" x14ac:dyDescent="0.25">
      <c r="A394" s="170"/>
      <c r="B394" s="170"/>
      <c r="C394" s="170"/>
      <c r="D394" s="170"/>
      <c r="E394" s="171"/>
      <c r="F394" s="171"/>
      <c r="G394" s="170"/>
      <c r="H394" s="170"/>
      <c r="I394" s="170"/>
      <c r="J394" s="171"/>
      <c r="K394" s="171"/>
      <c r="L394" s="170"/>
      <c r="M394" s="170"/>
      <c r="N394" s="170"/>
      <c r="O394" s="171"/>
      <c r="P394" s="171"/>
      <c r="Q394" s="170"/>
      <c r="R394" s="170"/>
      <c r="S394" s="170"/>
      <c r="T394" s="171"/>
      <c r="U394" s="171"/>
      <c r="V394" s="171"/>
      <c r="W394" s="171"/>
      <c r="X394" s="171"/>
      <c r="Y394" s="171"/>
      <c r="Z394" s="171"/>
      <c r="AA394" s="171"/>
      <c r="AB394" s="171"/>
      <c r="AC394" s="170"/>
      <c r="AD394" s="170"/>
      <c r="AE394" s="170"/>
      <c r="AF394" s="170"/>
      <c r="AG394" s="170"/>
      <c r="AH394" s="170"/>
      <c r="AI394" s="170"/>
      <c r="AJ394" s="170"/>
      <c r="AK394" s="171"/>
      <c r="AL394" s="171"/>
      <c r="AM394" s="170"/>
      <c r="AN394" s="170"/>
      <c r="AO394" s="170"/>
      <c r="AP394" s="171"/>
      <c r="AQ394" s="171"/>
      <c r="AR394" s="170"/>
      <c r="AS394" s="170"/>
      <c r="AT394" s="170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72"/>
      <c r="BP394" s="172"/>
      <c r="BQ394" s="172"/>
      <c r="BR394" s="172"/>
      <c r="BS394" s="172"/>
    </row>
    <row r="395" spans="1:71" ht="12.5" x14ac:dyDescent="0.25">
      <c r="A395" s="170"/>
      <c r="B395" s="170"/>
      <c r="C395" s="170"/>
      <c r="D395" s="170"/>
      <c r="E395" s="171"/>
      <c r="F395" s="171"/>
      <c r="G395" s="170"/>
      <c r="H395" s="170"/>
      <c r="I395" s="170"/>
      <c r="J395" s="171"/>
      <c r="K395" s="171"/>
      <c r="L395" s="170"/>
      <c r="M395" s="170"/>
      <c r="N395" s="170"/>
      <c r="O395" s="171"/>
      <c r="P395" s="171"/>
      <c r="Q395" s="170"/>
      <c r="R395" s="170"/>
      <c r="S395" s="170"/>
      <c r="T395" s="171"/>
      <c r="U395" s="171"/>
      <c r="V395" s="171"/>
      <c r="W395" s="171"/>
      <c r="X395" s="171"/>
      <c r="Y395" s="171"/>
      <c r="Z395" s="171"/>
      <c r="AA395" s="171"/>
      <c r="AB395" s="171"/>
      <c r="AC395" s="170"/>
      <c r="AD395" s="170"/>
      <c r="AE395" s="170"/>
      <c r="AF395" s="170"/>
      <c r="AG395" s="170"/>
      <c r="AH395" s="170"/>
      <c r="AI395" s="170"/>
      <c r="AJ395" s="170"/>
      <c r="AK395" s="171"/>
      <c r="AL395" s="171"/>
      <c r="AM395" s="170"/>
      <c r="AN395" s="170"/>
      <c r="AO395" s="170"/>
      <c r="AP395" s="171"/>
      <c r="AQ395" s="171"/>
      <c r="AR395" s="170"/>
      <c r="AS395" s="170"/>
      <c r="AT395" s="170"/>
      <c r="AU395" s="171"/>
      <c r="AV395" s="171"/>
      <c r="AW395" s="171"/>
      <c r="AX395" s="171"/>
      <c r="AY395" s="171"/>
      <c r="AZ395" s="171"/>
      <c r="BA395" s="171"/>
      <c r="BB395" s="171"/>
      <c r="BC395" s="171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72"/>
      <c r="BP395" s="172"/>
      <c r="BQ395" s="172"/>
      <c r="BR395" s="172"/>
      <c r="BS395" s="172"/>
    </row>
    <row r="396" spans="1:71" ht="12.5" x14ac:dyDescent="0.25">
      <c r="A396" s="170"/>
      <c r="B396" s="170"/>
      <c r="C396" s="170"/>
      <c r="D396" s="170"/>
      <c r="E396" s="171"/>
      <c r="F396" s="171"/>
      <c r="G396" s="170"/>
      <c r="H396" s="170"/>
      <c r="I396" s="170"/>
      <c r="J396" s="171"/>
      <c r="K396" s="171"/>
      <c r="L396" s="170"/>
      <c r="M396" s="170"/>
      <c r="N396" s="170"/>
      <c r="O396" s="171"/>
      <c r="P396" s="171"/>
      <c r="Q396" s="170"/>
      <c r="R396" s="170"/>
      <c r="S396" s="170"/>
      <c r="T396" s="171"/>
      <c r="U396" s="171"/>
      <c r="V396" s="171"/>
      <c r="W396" s="171"/>
      <c r="X396" s="171"/>
      <c r="Y396" s="171"/>
      <c r="Z396" s="171"/>
      <c r="AA396" s="171"/>
      <c r="AB396" s="171"/>
      <c r="AC396" s="170"/>
      <c r="AD396" s="170"/>
      <c r="AE396" s="170"/>
      <c r="AF396" s="170"/>
      <c r="AG396" s="170"/>
      <c r="AH396" s="170"/>
      <c r="AI396" s="170"/>
      <c r="AJ396" s="170"/>
      <c r="AK396" s="171"/>
      <c r="AL396" s="171"/>
      <c r="AM396" s="170"/>
      <c r="AN396" s="170"/>
      <c r="AO396" s="170"/>
      <c r="AP396" s="171"/>
      <c r="AQ396" s="171"/>
      <c r="AR396" s="170"/>
      <c r="AS396" s="170"/>
      <c r="AT396" s="170"/>
      <c r="AU396" s="171"/>
      <c r="AV396" s="171"/>
      <c r="AW396" s="171"/>
      <c r="AX396" s="171"/>
      <c r="AY396" s="171"/>
      <c r="AZ396" s="171"/>
      <c r="BA396" s="171"/>
      <c r="BB396" s="171"/>
      <c r="BC396" s="171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72"/>
      <c r="BP396" s="172"/>
      <c r="BQ396" s="172"/>
      <c r="BR396" s="172"/>
      <c r="BS396" s="172"/>
    </row>
    <row r="397" spans="1:71" ht="12.5" x14ac:dyDescent="0.25">
      <c r="A397" s="170"/>
      <c r="B397" s="170"/>
      <c r="C397" s="170"/>
      <c r="D397" s="170"/>
      <c r="E397" s="171"/>
      <c r="F397" s="171"/>
      <c r="G397" s="170"/>
      <c r="H397" s="170"/>
      <c r="I397" s="170"/>
      <c r="J397" s="171"/>
      <c r="K397" s="171"/>
      <c r="L397" s="170"/>
      <c r="M397" s="170"/>
      <c r="N397" s="170"/>
      <c r="O397" s="171"/>
      <c r="P397" s="171"/>
      <c r="Q397" s="170"/>
      <c r="R397" s="170"/>
      <c r="S397" s="170"/>
      <c r="T397" s="171"/>
      <c r="U397" s="171"/>
      <c r="V397" s="171"/>
      <c r="W397" s="171"/>
      <c r="X397" s="171"/>
      <c r="Y397" s="171"/>
      <c r="Z397" s="171"/>
      <c r="AA397" s="171"/>
      <c r="AB397" s="171"/>
      <c r="AC397" s="170"/>
      <c r="AD397" s="170"/>
      <c r="AE397" s="170"/>
      <c r="AF397" s="170"/>
      <c r="AG397" s="170"/>
      <c r="AH397" s="170"/>
      <c r="AI397" s="170"/>
      <c r="AJ397" s="170"/>
      <c r="AK397" s="171"/>
      <c r="AL397" s="171"/>
      <c r="AM397" s="170"/>
      <c r="AN397" s="170"/>
      <c r="AO397" s="170"/>
      <c r="AP397" s="171"/>
      <c r="AQ397" s="171"/>
      <c r="AR397" s="170"/>
      <c r="AS397" s="170"/>
      <c r="AT397" s="170"/>
      <c r="AU397" s="171"/>
      <c r="AV397" s="171"/>
      <c r="AW397" s="171"/>
      <c r="AX397" s="171"/>
      <c r="AY397" s="171"/>
      <c r="AZ397" s="171"/>
      <c r="BA397" s="171"/>
      <c r="BB397" s="171"/>
      <c r="BC397" s="171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72"/>
      <c r="BP397" s="172"/>
      <c r="BQ397" s="172"/>
      <c r="BR397" s="172"/>
      <c r="BS397" s="172"/>
    </row>
    <row r="398" spans="1:71" ht="12.5" x14ac:dyDescent="0.25">
      <c r="A398" s="170"/>
      <c r="B398" s="170"/>
      <c r="C398" s="170"/>
      <c r="D398" s="170"/>
      <c r="E398" s="171"/>
      <c r="F398" s="171"/>
      <c r="G398" s="170"/>
      <c r="H398" s="170"/>
      <c r="I398" s="170"/>
      <c r="J398" s="171"/>
      <c r="K398" s="171"/>
      <c r="L398" s="170"/>
      <c r="M398" s="170"/>
      <c r="N398" s="170"/>
      <c r="O398" s="171"/>
      <c r="P398" s="171"/>
      <c r="Q398" s="170"/>
      <c r="R398" s="170"/>
      <c r="S398" s="170"/>
      <c r="T398" s="171"/>
      <c r="U398" s="171"/>
      <c r="V398" s="171"/>
      <c r="W398" s="171"/>
      <c r="X398" s="171"/>
      <c r="Y398" s="171"/>
      <c r="Z398" s="171"/>
      <c r="AA398" s="171"/>
      <c r="AB398" s="171"/>
      <c r="AC398" s="170"/>
      <c r="AD398" s="170"/>
      <c r="AE398" s="170"/>
      <c r="AF398" s="170"/>
      <c r="AG398" s="170"/>
      <c r="AH398" s="170"/>
      <c r="AI398" s="170"/>
      <c r="AJ398" s="170"/>
      <c r="AK398" s="171"/>
      <c r="AL398" s="171"/>
      <c r="AM398" s="170"/>
      <c r="AN398" s="170"/>
      <c r="AO398" s="170"/>
      <c r="AP398" s="171"/>
      <c r="AQ398" s="171"/>
      <c r="AR398" s="170"/>
      <c r="AS398" s="170"/>
      <c r="AT398" s="170"/>
      <c r="AU398" s="171"/>
      <c r="AV398" s="171"/>
      <c r="AW398" s="171"/>
      <c r="AX398" s="171"/>
      <c r="AY398" s="171"/>
      <c r="AZ398" s="171"/>
      <c r="BA398" s="171"/>
      <c r="BB398" s="171"/>
      <c r="BC398" s="171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72"/>
      <c r="BP398" s="172"/>
      <c r="BQ398" s="172"/>
      <c r="BR398" s="172"/>
      <c r="BS398" s="172"/>
    </row>
    <row r="399" spans="1:71" ht="12.5" x14ac:dyDescent="0.25">
      <c r="A399" s="170"/>
      <c r="B399" s="170"/>
      <c r="C399" s="170"/>
      <c r="D399" s="170"/>
      <c r="E399" s="171"/>
      <c r="F399" s="171"/>
      <c r="G399" s="170"/>
      <c r="H399" s="170"/>
      <c r="I399" s="170"/>
      <c r="J399" s="171"/>
      <c r="K399" s="171"/>
      <c r="L399" s="170"/>
      <c r="M399" s="170"/>
      <c r="N399" s="170"/>
      <c r="O399" s="171"/>
      <c r="P399" s="171"/>
      <c r="Q399" s="170"/>
      <c r="R399" s="170"/>
      <c r="S399" s="170"/>
      <c r="T399" s="171"/>
      <c r="U399" s="171"/>
      <c r="V399" s="171"/>
      <c r="W399" s="171"/>
      <c r="X399" s="171"/>
      <c r="Y399" s="171"/>
      <c r="Z399" s="171"/>
      <c r="AA399" s="171"/>
      <c r="AB399" s="171"/>
      <c r="AC399" s="170"/>
      <c r="AD399" s="170"/>
      <c r="AE399" s="170"/>
      <c r="AF399" s="170"/>
      <c r="AG399" s="170"/>
      <c r="AH399" s="170"/>
      <c r="AI399" s="170"/>
      <c r="AJ399" s="170"/>
      <c r="AK399" s="171"/>
      <c r="AL399" s="171"/>
      <c r="AM399" s="170"/>
      <c r="AN399" s="170"/>
      <c r="AO399" s="170"/>
      <c r="AP399" s="171"/>
      <c r="AQ399" s="171"/>
      <c r="AR399" s="170"/>
      <c r="AS399" s="170"/>
      <c r="AT399" s="170"/>
      <c r="AU399" s="171"/>
      <c r="AV399" s="171"/>
      <c r="AW399" s="171"/>
      <c r="AX399" s="171"/>
      <c r="AY399" s="171"/>
      <c r="AZ399" s="171"/>
      <c r="BA399" s="171"/>
      <c r="BB399" s="171"/>
      <c r="BC399" s="171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72"/>
      <c r="BP399" s="172"/>
      <c r="BQ399" s="172"/>
      <c r="BR399" s="172"/>
      <c r="BS399" s="172"/>
    </row>
    <row r="400" spans="1:71" ht="12.5" x14ac:dyDescent="0.25">
      <c r="A400" s="170"/>
      <c r="B400" s="170"/>
      <c r="C400" s="170"/>
      <c r="D400" s="170"/>
      <c r="E400" s="171"/>
      <c r="F400" s="171"/>
      <c r="G400" s="170"/>
      <c r="H400" s="170"/>
      <c r="I400" s="170"/>
      <c r="J400" s="171"/>
      <c r="K400" s="171"/>
      <c r="L400" s="170"/>
      <c r="M400" s="170"/>
      <c r="N400" s="170"/>
      <c r="O400" s="171"/>
      <c r="P400" s="171"/>
      <c r="Q400" s="170"/>
      <c r="R400" s="170"/>
      <c r="S400" s="170"/>
      <c r="T400" s="171"/>
      <c r="U400" s="171"/>
      <c r="V400" s="171"/>
      <c r="W400" s="171"/>
      <c r="X400" s="171"/>
      <c r="Y400" s="171"/>
      <c r="Z400" s="171"/>
      <c r="AA400" s="171"/>
      <c r="AB400" s="171"/>
      <c r="AC400" s="170"/>
      <c r="AD400" s="170"/>
      <c r="AE400" s="170"/>
      <c r="AF400" s="170"/>
      <c r="AG400" s="170"/>
      <c r="AH400" s="170"/>
      <c r="AI400" s="170"/>
      <c r="AJ400" s="170"/>
      <c r="AK400" s="171"/>
      <c r="AL400" s="171"/>
      <c r="AM400" s="170"/>
      <c r="AN400" s="170"/>
      <c r="AO400" s="170"/>
      <c r="AP400" s="171"/>
      <c r="AQ400" s="171"/>
      <c r="AR400" s="170"/>
      <c r="AS400" s="170"/>
      <c r="AT400" s="170"/>
      <c r="AU400" s="171"/>
      <c r="AV400" s="171"/>
      <c r="AW400" s="171"/>
      <c r="AX400" s="171"/>
      <c r="AY400" s="171"/>
      <c r="AZ400" s="171"/>
      <c r="BA400" s="171"/>
      <c r="BB400" s="171"/>
      <c r="BC400" s="171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72"/>
      <c r="BR400" s="172"/>
      <c r="BS400" s="172"/>
    </row>
    <row r="401" spans="1:71" ht="12.5" x14ac:dyDescent="0.25">
      <c r="A401" s="170"/>
      <c r="B401" s="170"/>
      <c r="C401" s="170"/>
      <c r="D401" s="170"/>
      <c r="E401" s="171"/>
      <c r="F401" s="171"/>
      <c r="G401" s="170"/>
      <c r="H401" s="170"/>
      <c r="I401" s="170"/>
      <c r="J401" s="171"/>
      <c r="K401" s="171"/>
      <c r="L401" s="170"/>
      <c r="M401" s="170"/>
      <c r="N401" s="170"/>
      <c r="O401" s="171"/>
      <c r="P401" s="171"/>
      <c r="Q401" s="170"/>
      <c r="R401" s="170"/>
      <c r="S401" s="170"/>
      <c r="T401" s="171"/>
      <c r="U401" s="171"/>
      <c r="V401" s="171"/>
      <c r="W401" s="171"/>
      <c r="X401" s="171"/>
      <c r="Y401" s="171"/>
      <c r="Z401" s="171"/>
      <c r="AA401" s="171"/>
      <c r="AB401" s="171"/>
      <c r="AC401" s="170"/>
      <c r="AD401" s="170"/>
      <c r="AE401" s="170"/>
      <c r="AF401" s="170"/>
      <c r="AG401" s="170"/>
      <c r="AH401" s="170"/>
      <c r="AI401" s="170"/>
      <c r="AJ401" s="170"/>
      <c r="AK401" s="171"/>
      <c r="AL401" s="171"/>
      <c r="AM401" s="170"/>
      <c r="AN401" s="170"/>
      <c r="AO401" s="170"/>
      <c r="AP401" s="171"/>
      <c r="AQ401" s="171"/>
      <c r="AR401" s="170"/>
      <c r="AS401" s="170"/>
      <c r="AT401" s="170"/>
      <c r="AU401" s="171"/>
      <c r="AV401" s="171"/>
      <c r="AW401" s="171"/>
      <c r="AX401" s="171"/>
      <c r="AY401" s="171"/>
      <c r="AZ401" s="171"/>
      <c r="BA401" s="171"/>
      <c r="BB401" s="171"/>
      <c r="BC401" s="171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72"/>
      <c r="BP401" s="172"/>
      <c r="BQ401" s="172"/>
      <c r="BR401" s="172"/>
      <c r="BS401" s="172"/>
    </row>
    <row r="402" spans="1:71" ht="12.5" x14ac:dyDescent="0.25">
      <c r="A402" s="170"/>
      <c r="B402" s="170"/>
      <c r="C402" s="170"/>
      <c r="D402" s="170"/>
      <c r="E402" s="171"/>
      <c r="F402" s="171"/>
      <c r="G402" s="170"/>
      <c r="H402" s="170"/>
      <c r="I402" s="170"/>
      <c r="J402" s="171"/>
      <c r="K402" s="171"/>
      <c r="L402" s="170"/>
      <c r="M402" s="170"/>
      <c r="N402" s="170"/>
      <c r="O402" s="171"/>
      <c r="P402" s="171"/>
      <c r="Q402" s="170"/>
      <c r="R402" s="170"/>
      <c r="S402" s="170"/>
      <c r="T402" s="171"/>
      <c r="U402" s="171"/>
      <c r="V402" s="171"/>
      <c r="W402" s="171"/>
      <c r="X402" s="171"/>
      <c r="Y402" s="171"/>
      <c r="Z402" s="171"/>
      <c r="AA402" s="171"/>
      <c r="AB402" s="171"/>
      <c r="AC402" s="170"/>
      <c r="AD402" s="170"/>
      <c r="AE402" s="170"/>
      <c r="AF402" s="170"/>
      <c r="AG402" s="170"/>
      <c r="AH402" s="170"/>
      <c r="AI402" s="170"/>
      <c r="AJ402" s="170"/>
      <c r="AK402" s="171"/>
      <c r="AL402" s="171"/>
      <c r="AM402" s="170"/>
      <c r="AN402" s="170"/>
      <c r="AO402" s="170"/>
      <c r="AP402" s="171"/>
      <c r="AQ402" s="171"/>
      <c r="AR402" s="170"/>
      <c r="AS402" s="170"/>
      <c r="AT402" s="170"/>
      <c r="AU402" s="171"/>
      <c r="AV402" s="171"/>
      <c r="AW402" s="171"/>
      <c r="AX402" s="171"/>
      <c r="AY402" s="171"/>
      <c r="AZ402" s="171"/>
      <c r="BA402" s="171"/>
      <c r="BB402" s="171"/>
      <c r="BC402" s="171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72"/>
      <c r="BP402" s="172"/>
      <c r="BQ402" s="172"/>
      <c r="BR402" s="172"/>
      <c r="BS402" s="172"/>
    </row>
    <row r="403" spans="1:71" ht="12.5" x14ac:dyDescent="0.25">
      <c r="A403" s="170"/>
      <c r="B403" s="170"/>
      <c r="C403" s="170"/>
      <c r="D403" s="170"/>
      <c r="E403" s="171"/>
      <c r="F403" s="171"/>
      <c r="G403" s="170"/>
      <c r="H403" s="170"/>
      <c r="I403" s="170"/>
      <c r="J403" s="171"/>
      <c r="K403" s="171"/>
      <c r="L403" s="170"/>
      <c r="M403" s="170"/>
      <c r="N403" s="170"/>
      <c r="O403" s="171"/>
      <c r="P403" s="171"/>
      <c r="Q403" s="170"/>
      <c r="R403" s="170"/>
      <c r="S403" s="170"/>
      <c r="T403" s="171"/>
      <c r="U403" s="171"/>
      <c r="V403" s="171"/>
      <c r="W403" s="171"/>
      <c r="X403" s="171"/>
      <c r="Y403" s="171"/>
      <c r="Z403" s="171"/>
      <c r="AA403" s="171"/>
      <c r="AB403" s="171"/>
      <c r="AC403" s="170"/>
      <c r="AD403" s="170"/>
      <c r="AE403" s="170"/>
      <c r="AF403" s="170"/>
      <c r="AG403" s="170"/>
      <c r="AH403" s="170"/>
      <c r="AI403" s="170"/>
      <c r="AJ403" s="170"/>
      <c r="AK403" s="171"/>
      <c r="AL403" s="171"/>
      <c r="AM403" s="170"/>
      <c r="AN403" s="170"/>
      <c r="AO403" s="170"/>
      <c r="AP403" s="171"/>
      <c r="AQ403" s="171"/>
      <c r="AR403" s="170"/>
      <c r="AS403" s="170"/>
      <c r="AT403" s="170"/>
      <c r="AU403" s="171"/>
      <c r="AV403" s="171"/>
      <c r="AW403" s="171"/>
      <c r="AX403" s="171"/>
      <c r="AY403" s="171"/>
      <c r="AZ403" s="171"/>
      <c r="BA403" s="171"/>
      <c r="BB403" s="171"/>
      <c r="BC403" s="171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72"/>
      <c r="BP403" s="172"/>
      <c r="BQ403" s="172"/>
      <c r="BR403" s="172"/>
      <c r="BS403" s="172"/>
    </row>
    <row r="404" spans="1:71" ht="12.5" x14ac:dyDescent="0.25">
      <c r="A404" s="170"/>
      <c r="B404" s="170"/>
      <c r="C404" s="170"/>
      <c r="D404" s="170"/>
      <c r="E404" s="171"/>
      <c r="F404" s="171"/>
      <c r="G404" s="170"/>
      <c r="H404" s="170"/>
      <c r="I404" s="170"/>
      <c r="J404" s="171"/>
      <c r="K404" s="171"/>
      <c r="L404" s="170"/>
      <c r="M404" s="170"/>
      <c r="N404" s="170"/>
      <c r="O404" s="171"/>
      <c r="P404" s="171"/>
      <c r="Q404" s="170"/>
      <c r="R404" s="170"/>
      <c r="S404" s="170"/>
      <c r="T404" s="171"/>
      <c r="U404" s="171"/>
      <c r="V404" s="171"/>
      <c r="W404" s="171"/>
      <c r="X404" s="171"/>
      <c r="Y404" s="171"/>
      <c r="Z404" s="171"/>
      <c r="AA404" s="171"/>
      <c r="AB404" s="171"/>
      <c r="AC404" s="170"/>
      <c r="AD404" s="170"/>
      <c r="AE404" s="170"/>
      <c r="AF404" s="170"/>
      <c r="AG404" s="170"/>
      <c r="AH404" s="170"/>
      <c r="AI404" s="170"/>
      <c r="AJ404" s="170"/>
      <c r="AK404" s="171"/>
      <c r="AL404" s="171"/>
      <c r="AM404" s="170"/>
      <c r="AN404" s="170"/>
      <c r="AO404" s="170"/>
      <c r="AP404" s="171"/>
      <c r="AQ404" s="171"/>
      <c r="AR404" s="170"/>
      <c r="AS404" s="170"/>
      <c r="AT404" s="170"/>
      <c r="AU404" s="171"/>
      <c r="AV404" s="171"/>
      <c r="AW404" s="171"/>
      <c r="AX404" s="171"/>
      <c r="AY404" s="171"/>
      <c r="AZ404" s="171"/>
      <c r="BA404" s="171"/>
      <c r="BB404" s="171"/>
      <c r="BC404" s="171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72"/>
      <c r="BP404" s="172"/>
      <c r="BQ404" s="172"/>
      <c r="BR404" s="172"/>
      <c r="BS404" s="172"/>
    </row>
    <row r="405" spans="1:71" ht="12.5" x14ac:dyDescent="0.25">
      <c r="A405" s="170"/>
      <c r="B405" s="170"/>
      <c r="C405" s="170"/>
      <c r="D405" s="170"/>
      <c r="E405" s="171"/>
      <c r="F405" s="171"/>
      <c r="G405" s="170"/>
      <c r="H405" s="170"/>
      <c r="I405" s="170"/>
      <c r="J405" s="171"/>
      <c r="K405" s="171"/>
      <c r="L405" s="170"/>
      <c r="M405" s="170"/>
      <c r="N405" s="170"/>
      <c r="O405" s="171"/>
      <c r="P405" s="171"/>
      <c r="Q405" s="170"/>
      <c r="R405" s="170"/>
      <c r="S405" s="170"/>
      <c r="T405" s="171"/>
      <c r="U405" s="171"/>
      <c r="V405" s="171"/>
      <c r="W405" s="171"/>
      <c r="X405" s="171"/>
      <c r="Y405" s="171"/>
      <c r="Z405" s="171"/>
      <c r="AA405" s="171"/>
      <c r="AB405" s="171"/>
      <c r="AC405" s="170"/>
      <c r="AD405" s="170"/>
      <c r="AE405" s="170"/>
      <c r="AF405" s="170"/>
      <c r="AG405" s="170"/>
      <c r="AH405" s="170"/>
      <c r="AI405" s="170"/>
      <c r="AJ405" s="170"/>
      <c r="AK405" s="171"/>
      <c r="AL405" s="171"/>
      <c r="AM405" s="170"/>
      <c r="AN405" s="170"/>
      <c r="AO405" s="170"/>
      <c r="AP405" s="171"/>
      <c r="AQ405" s="171"/>
      <c r="AR405" s="170"/>
      <c r="AS405" s="170"/>
      <c r="AT405" s="170"/>
      <c r="AU405" s="171"/>
      <c r="AV405" s="171"/>
      <c r="AW405" s="171"/>
      <c r="AX405" s="171"/>
      <c r="AY405" s="171"/>
      <c r="AZ405" s="171"/>
      <c r="BA405" s="171"/>
      <c r="BB405" s="171"/>
      <c r="BC405" s="171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72"/>
      <c r="BR405" s="172"/>
      <c r="BS405" s="172"/>
    </row>
    <row r="406" spans="1:71" ht="12.5" x14ac:dyDescent="0.25">
      <c r="A406" s="170"/>
      <c r="B406" s="170"/>
      <c r="C406" s="170"/>
      <c r="D406" s="170"/>
      <c r="E406" s="171"/>
      <c r="F406" s="171"/>
      <c r="G406" s="170"/>
      <c r="H406" s="170"/>
      <c r="I406" s="170"/>
      <c r="J406" s="171"/>
      <c r="K406" s="171"/>
      <c r="L406" s="170"/>
      <c r="M406" s="170"/>
      <c r="N406" s="170"/>
      <c r="O406" s="171"/>
      <c r="P406" s="171"/>
      <c r="Q406" s="170"/>
      <c r="R406" s="170"/>
      <c r="S406" s="170"/>
      <c r="T406" s="171"/>
      <c r="U406" s="171"/>
      <c r="V406" s="171"/>
      <c r="W406" s="171"/>
      <c r="X406" s="171"/>
      <c r="Y406" s="171"/>
      <c r="Z406" s="171"/>
      <c r="AA406" s="171"/>
      <c r="AB406" s="171"/>
      <c r="AC406" s="170"/>
      <c r="AD406" s="170"/>
      <c r="AE406" s="170"/>
      <c r="AF406" s="170"/>
      <c r="AG406" s="170"/>
      <c r="AH406" s="170"/>
      <c r="AI406" s="170"/>
      <c r="AJ406" s="170"/>
      <c r="AK406" s="171"/>
      <c r="AL406" s="171"/>
      <c r="AM406" s="170"/>
      <c r="AN406" s="170"/>
      <c r="AO406" s="170"/>
      <c r="AP406" s="171"/>
      <c r="AQ406" s="171"/>
      <c r="AR406" s="170"/>
      <c r="AS406" s="170"/>
      <c r="AT406" s="170"/>
      <c r="AU406" s="171"/>
      <c r="AV406" s="171"/>
      <c r="AW406" s="171"/>
      <c r="AX406" s="171"/>
      <c r="AY406" s="171"/>
      <c r="AZ406" s="171"/>
      <c r="BA406" s="171"/>
      <c r="BB406" s="171"/>
      <c r="BC406" s="171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72"/>
      <c r="BP406" s="172"/>
      <c r="BQ406" s="172"/>
      <c r="BR406" s="172"/>
      <c r="BS406" s="172"/>
    </row>
    <row r="407" spans="1:71" ht="12.5" x14ac:dyDescent="0.25">
      <c r="A407" s="170"/>
      <c r="B407" s="170"/>
      <c r="C407" s="170"/>
      <c r="D407" s="170"/>
      <c r="E407" s="171"/>
      <c r="F407" s="171"/>
      <c r="G407" s="170"/>
      <c r="H407" s="170"/>
      <c r="I407" s="170"/>
      <c r="J407" s="171"/>
      <c r="K407" s="171"/>
      <c r="L407" s="170"/>
      <c r="M407" s="170"/>
      <c r="N407" s="170"/>
      <c r="O407" s="171"/>
      <c r="P407" s="171"/>
      <c r="Q407" s="170"/>
      <c r="R407" s="170"/>
      <c r="S407" s="170"/>
      <c r="T407" s="171"/>
      <c r="U407" s="171"/>
      <c r="V407" s="171"/>
      <c r="W407" s="171"/>
      <c r="X407" s="171"/>
      <c r="Y407" s="171"/>
      <c r="Z407" s="171"/>
      <c r="AA407" s="171"/>
      <c r="AB407" s="171"/>
      <c r="AC407" s="170"/>
      <c r="AD407" s="170"/>
      <c r="AE407" s="170"/>
      <c r="AF407" s="170"/>
      <c r="AG407" s="170"/>
      <c r="AH407" s="170"/>
      <c r="AI407" s="170"/>
      <c r="AJ407" s="170"/>
      <c r="AK407" s="171"/>
      <c r="AL407" s="171"/>
      <c r="AM407" s="170"/>
      <c r="AN407" s="170"/>
      <c r="AO407" s="170"/>
      <c r="AP407" s="171"/>
      <c r="AQ407" s="171"/>
      <c r="AR407" s="170"/>
      <c r="AS407" s="170"/>
      <c r="AT407" s="170"/>
      <c r="AU407" s="171"/>
      <c r="AV407" s="171"/>
      <c r="AW407" s="171"/>
      <c r="AX407" s="171"/>
      <c r="AY407" s="171"/>
      <c r="AZ407" s="171"/>
      <c r="BA407" s="171"/>
      <c r="BB407" s="171"/>
      <c r="BC407" s="171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72"/>
      <c r="BP407" s="172"/>
      <c r="BQ407" s="172"/>
      <c r="BR407" s="172"/>
      <c r="BS407" s="172"/>
    </row>
    <row r="408" spans="1:71" ht="12.5" x14ac:dyDescent="0.25">
      <c r="A408" s="170"/>
      <c r="B408" s="170"/>
      <c r="C408" s="170"/>
      <c r="D408" s="170"/>
      <c r="E408" s="171"/>
      <c r="F408" s="171"/>
      <c r="G408" s="170"/>
      <c r="H408" s="170"/>
      <c r="I408" s="170"/>
      <c r="J408" s="171"/>
      <c r="K408" s="171"/>
      <c r="L408" s="170"/>
      <c r="M408" s="170"/>
      <c r="N408" s="170"/>
      <c r="O408" s="171"/>
      <c r="P408" s="171"/>
      <c r="Q408" s="170"/>
      <c r="R408" s="170"/>
      <c r="S408" s="170"/>
      <c r="T408" s="171"/>
      <c r="U408" s="171"/>
      <c r="V408" s="171"/>
      <c r="W408" s="171"/>
      <c r="X408" s="171"/>
      <c r="Y408" s="171"/>
      <c r="Z408" s="171"/>
      <c r="AA408" s="171"/>
      <c r="AB408" s="171"/>
      <c r="AC408" s="170"/>
      <c r="AD408" s="170"/>
      <c r="AE408" s="170"/>
      <c r="AF408" s="170"/>
      <c r="AG408" s="170"/>
      <c r="AH408" s="170"/>
      <c r="AI408" s="170"/>
      <c r="AJ408" s="170"/>
      <c r="AK408" s="171"/>
      <c r="AL408" s="171"/>
      <c r="AM408" s="170"/>
      <c r="AN408" s="170"/>
      <c r="AO408" s="170"/>
      <c r="AP408" s="171"/>
      <c r="AQ408" s="171"/>
      <c r="AR408" s="170"/>
      <c r="AS408" s="170"/>
      <c r="AT408" s="170"/>
      <c r="AU408" s="171"/>
      <c r="AV408" s="171"/>
      <c r="AW408" s="171"/>
      <c r="AX408" s="171"/>
      <c r="AY408" s="171"/>
      <c r="AZ408" s="171"/>
      <c r="BA408" s="171"/>
      <c r="BB408" s="171"/>
      <c r="BC408" s="171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72"/>
      <c r="BR408" s="172"/>
      <c r="BS408" s="172"/>
    </row>
    <row r="409" spans="1:71" ht="12.5" x14ac:dyDescent="0.25">
      <c r="A409" s="170"/>
      <c r="B409" s="170"/>
      <c r="C409" s="170"/>
      <c r="D409" s="170"/>
      <c r="E409" s="171"/>
      <c r="F409" s="171"/>
      <c r="G409" s="170"/>
      <c r="H409" s="170"/>
      <c r="I409" s="170"/>
      <c r="J409" s="171"/>
      <c r="K409" s="171"/>
      <c r="L409" s="170"/>
      <c r="M409" s="170"/>
      <c r="N409" s="170"/>
      <c r="O409" s="171"/>
      <c r="P409" s="171"/>
      <c r="Q409" s="170"/>
      <c r="R409" s="170"/>
      <c r="S409" s="170"/>
      <c r="T409" s="171"/>
      <c r="U409" s="171"/>
      <c r="V409" s="171"/>
      <c r="W409" s="171"/>
      <c r="X409" s="171"/>
      <c r="Y409" s="171"/>
      <c r="Z409" s="171"/>
      <c r="AA409" s="171"/>
      <c r="AB409" s="171"/>
      <c r="AC409" s="170"/>
      <c r="AD409" s="170"/>
      <c r="AE409" s="170"/>
      <c r="AF409" s="170"/>
      <c r="AG409" s="170"/>
      <c r="AH409" s="170"/>
      <c r="AI409" s="170"/>
      <c r="AJ409" s="170"/>
      <c r="AK409" s="171"/>
      <c r="AL409" s="171"/>
      <c r="AM409" s="170"/>
      <c r="AN409" s="170"/>
      <c r="AO409" s="170"/>
      <c r="AP409" s="171"/>
      <c r="AQ409" s="171"/>
      <c r="AR409" s="170"/>
      <c r="AS409" s="170"/>
      <c r="AT409" s="170"/>
      <c r="AU409" s="171"/>
      <c r="AV409" s="171"/>
      <c r="AW409" s="171"/>
      <c r="AX409" s="171"/>
      <c r="AY409" s="171"/>
      <c r="AZ409" s="171"/>
      <c r="BA409" s="171"/>
      <c r="BB409" s="171"/>
      <c r="BC409" s="171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72"/>
      <c r="BP409" s="172"/>
      <c r="BQ409" s="172"/>
      <c r="BR409" s="172"/>
      <c r="BS409" s="172"/>
    </row>
    <row r="410" spans="1:71" ht="12.5" x14ac:dyDescent="0.25">
      <c r="A410" s="170"/>
      <c r="B410" s="170"/>
      <c r="C410" s="170"/>
      <c r="D410" s="170"/>
      <c r="E410" s="171"/>
      <c r="F410" s="171"/>
      <c r="G410" s="170"/>
      <c r="H410" s="170"/>
      <c r="I410" s="170"/>
      <c r="J410" s="171"/>
      <c r="K410" s="171"/>
      <c r="L410" s="170"/>
      <c r="M410" s="170"/>
      <c r="N410" s="170"/>
      <c r="O410" s="171"/>
      <c r="P410" s="171"/>
      <c r="Q410" s="170"/>
      <c r="R410" s="170"/>
      <c r="S410" s="170"/>
      <c r="T410" s="171"/>
      <c r="U410" s="171"/>
      <c r="V410" s="171"/>
      <c r="W410" s="171"/>
      <c r="X410" s="171"/>
      <c r="Y410" s="171"/>
      <c r="Z410" s="171"/>
      <c r="AA410" s="171"/>
      <c r="AB410" s="171"/>
      <c r="AC410" s="170"/>
      <c r="AD410" s="170"/>
      <c r="AE410" s="170"/>
      <c r="AF410" s="170"/>
      <c r="AG410" s="170"/>
      <c r="AH410" s="170"/>
      <c r="AI410" s="170"/>
      <c r="AJ410" s="170"/>
      <c r="AK410" s="171"/>
      <c r="AL410" s="171"/>
      <c r="AM410" s="170"/>
      <c r="AN410" s="170"/>
      <c r="AO410" s="170"/>
      <c r="AP410" s="171"/>
      <c r="AQ410" s="171"/>
      <c r="AR410" s="170"/>
      <c r="AS410" s="170"/>
      <c r="AT410" s="170"/>
      <c r="AU410" s="171"/>
      <c r="AV410" s="171"/>
      <c r="AW410" s="171"/>
      <c r="AX410" s="171"/>
      <c r="AY410" s="171"/>
      <c r="AZ410" s="171"/>
      <c r="BA410" s="171"/>
      <c r="BB410" s="171"/>
      <c r="BC410" s="171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72"/>
      <c r="BP410" s="172"/>
      <c r="BQ410" s="172"/>
      <c r="BR410" s="172"/>
      <c r="BS410" s="172"/>
    </row>
    <row r="411" spans="1:71" ht="12.5" x14ac:dyDescent="0.25">
      <c r="A411" s="170"/>
      <c r="B411" s="170"/>
      <c r="C411" s="170"/>
      <c r="D411" s="170"/>
      <c r="E411" s="171"/>
      <c r="F411" s="171"/>
      <c r="G411" s="170"/>
      <c r="H411" s="170"/>
      <c r="I411" s="170"/>
      <c r="J411" s="171"/>
      <c r="K411" s="171"/>
      <c r="L411" s="170"/>
      <c r="M411" s="170"/>
      <c r="N411" s="170"/>
      <c r="O411" s="171"/>
      <c r="P411" s="171"/>
      <c r="Q411" s="170"/>
      <c r="R411" s="170"/>
      <c r="S411" s="170"/>
      <c r="T411" s="171"/>
      <c r="U411" s="171"/>
      <c r="V411" s="171"/>
      <c r="W411" s="171"/>
      <c r="X411" s="171"/>
      <c r="Y411" s="171"/>
      <c r="Z411" s="171"/>
      <c r="AA411" s="171"/>
      <c r="AB411" s="171"/>
      <c r="AC411" s="170"/>
      <c r="AD411" s="170"/>
      <c r="AE411" s="170"/>
      <c r="AF411" s="170"/>
      <c r="AG411" s="170"/>
      <c r="AH411" s="170"/>
      <c r="AI411" s="170"/>
      <c r="AJ411" s="170"/>
      <c r="AK411" s="171"/>
      <c r="AL411" s="171"/>
      <c r="AM411" s="170"/>
      <c r="AN411" s="170"/>
      <c r="AO411" s="170"/>
      <c r="AP411" s="171"/>
      <c r="AQ411" s="171"/>
      <c r="AR411" s="170"/>
      <c r="AS411" s="170"/>
      <c r="AT411" s="170"/>
      <c r="AU411" s="171"/>
      <c r="AV411" s="171"/>
      <c r="AW411" s="171"/>
      <c r="AX411" s="171"/>
      <c r="AY411" s="171"/>
      <c r="AZ411" s="171"/>
      <c r="BA411" s="171"/>
      <c r="BB411" s="171"/>
      <c r="BC411" s="171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72"/>
      <c r="BP411" s="172"/>
      <c r="BQ411" s="172"/>
      <c r="BR411" s="172"/>
      <c r="BS411" s="172"/>
    </row>
    <row r="412" spans="1:71" ht="12.5" x14ac:dyDescent="0.25">
      <c r="A412" s="170"/>
      <c r="B412" s="170"/>
      <c r="C412" s="170"/>
      <c r="D412" s="170"/>
      <c r="E412" s="171"/>
      <c r="F412" s="171"/>
      <c r="G412" s="170"/>
      <c r="H412" s="170"/>
      <c r="I412" s="170"/>
      <c r="J412" s="171"/>
      <c r="K412" s="171"/>
      <c r="L412" s="170"/>
      <c r="M412" s="170"/>
      <c r="N412" s="170"/>
      <c r="O412" s="171"/>
      <c r="P412" s="171"/>
      <c r="Q412" s="170"/>
      <c r="R412" s="170"/>
      <c r="S412" s="170"/>
      <c r="T412" s="171"/>
      <c r="U412" s="171"/>
      <c r="V412" s="171"/>
      <c r="W412" s="171"/>
      <c r="X412" s="171"/>
      <c r="Y412" s="171"/>
      <c r="Z412" s="171"/>
      <c r="AA412" s="171"/>
      <c r="AB412" s="171"/>
      <c r="AC412" s="170"/>
      <c r="AD412" s="170"/>
      <c r="AE412" s="170"/>
      <c r="AF412" s="170"/>
      <c r="AG412" s="170"/>
      <c r="AH412" s="170"/>
      <c r="AI412" s="170"/>
      <c r="AJ412" s="170"/>
      <c r="AK412" s="171"/>
      <c r="AL412" s="171"/>
      <c r="AM412" s="170"/>
      <c r="AN412" s="170"/>
      <c r="AO412" s="170"/>
      <c r="AP412" s="171"/>
      <c r="AQ412" s="171"/>
      <c r="AR412" s="170"/>
      <c r="AS412" s="170"/>
      <c r="AT412" s="170"/>
      <c r="AU412" s="171"/>
      <c r="AV412" s="171"/>
      <c r="AW412" s="171"/>
      <c r="AX412" s="171"/>
      <c r="AY412" s="171"/>
      <c r="AZ412" s="171"/>
      <c r="BA412" s="171"/>
      <c r="BB412" s="171"/>
      <c r="BC412" s="171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72"/>
      <c r="BP412" s="172"/>
      <c r="BQ412" s="172"/>
      <c r="BR412" s="172"/>
      <c r="BS412" s="172"/>
    </row>
    <row r="413" spans="1:71" ht="12.5" x14ac:dyDescent="0.25">
      <c r="A413" s="170"/>
      <c r="B413" s="170"/>
      <c r="C413" s="170"/>
      <c r="D413" s="170"/>
      <c r="E413" s="171"/>
      <c r="F413" s="171"/>
      <c r="G413" s="170"/>
      <c r="H413" s="170"/>
      <c r="I413" s="170"/>
      <c r="J413" s="171"/>
      <c r="K413" s="171"/>
      <c r="L413" s="170"/>
      <c r="M413" s="170"/>
      <c r="N413" s="170"/>
      <c r="O413" s="171"/>
      <c r="P413" s="171"/>
      <c r="Q413" s="170"/>
      <c r="R413" s="170"/>
      <c r="S413" s="170"/>
      <c r="T413" s="171"/>
      <c r="U413" s="171"/>
      <c r="V413" s="171"/>
      <c r="W413" s="171"/>
      <c r="X413" s="171"/>
      <c r="Y413" s="171"/>
      <c r="Z413" s="171"/>
      <c r="AA413" s="171"/>
      <c r="AB413" s="171"/>
      <c r="AC413" s="170"/>
      <c r="AD413" s="170"/>
      <c r="AE413" s="170"/>
      <c r="AF413" s="170"/>
      <c r="AG413" s="170"/>
      <c r="AH413" s="170"/>
      <c r="AI413" s="170"/>
      <c r="AJ413" s="170"/>
      <c r="AK413" s="171"/>
      <c r="AL413" s="171"/>
      <c r="AM413" s="170"/>
      <c r="AN413" s="170"/>
      <c r="AO413" s="170"/>
      <c r="AP413" s="171"/>
      <c r="AQ413" s="171"/>
      <c r="AR413" s="170"/>
      <c r="AS413" s="170"/>
      <c r="AT413" s="170"/>
      <c r="AU413" s="171"/>
      <c r="AV413" s="171"/>
      <c r="AW413" s="171"/>
      <c r="AX413" s="171"/>
      <c r="AY413" s="171"/>
      <c r="AZ413" s="171"/>
      <c r="BA413" s="171"/>
      <c r="BB413" s="171"/>
      <c r="BC413" s="171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72"/>
      <c r="BP413" s="172"/>
      <c r="BQ413" s="172"/>
      <c r="BR413" s="172"/>
      <c r="BS413" s="172"/>
    </row>
    <row r="414" spans="1:71" ht="12.5" x14ac:dyDescent="0.25">
      <c r="A414" s="170"/>
      <c r="B414" s="170"/>
      <c r="C414" s="170"/>
      <c r="D414" s="170"/>
      <c r="E414" s="171"/>
      <c r="F414" s="171"/>
      <c r="G414" s="170"/>
      <c r="H414" s="170"/>
      <c r="I414" s="170"/>
      <c r="J414" s="171"/>
      <c r="K414" s="171"/>
      <c r="L414" s="170"/>
      <c r="M414" s="170"/>
      <c r="N414" s="170"/>
      <c r="O414" s="171"/>
      <c r="P414" s="171"/>
      <c r="Q414" s="170"/>
      <c r="R414" s="170"/>
      <c r="S414" s="170"/>
      <c r="T414" s="171"/>
      <c r="U414" s="171"/>
      <c r="V414" s="171"/>
      <c r="W414" s="171"/>
      <c r="X414" s="171"/>
      <c r="Y414" s="171"/>
      <c r="Z414" s="171"/>
      <c r="AA414" s="171"/>
      <c r="AB414" s="171"/>
      <c r="AC414" s="170"/>
      <c r="AD414" s="170"/>
      <c r="AE414" s="170"/>
      <c r="AF414" s="170"/>
      <c r="AG414" s="170"/>
      <c r="AH414" s="170"/>
      <c r="AI414" s="170"/>
      <c r="AJ414" s="170"/>
      <c r="AK414" s="171"/>
      <c r="AL414" s="171"/>
      <c r="AM414" s="170"/>
      <c r="AN414" s="170"/>
      <c r="AO414" s="170"/>
      <c r="AP414" s="171"/>
      <c r="AQ414" s="171"/>
      <c r="AR414" s="170"/>
      <c r="AS414" s="170"/>
      <c r="AT414" s="170"/>
      <c r="AU414" s="171"/>
      <c r="AV414" s="171"/>
      <c r="AW414" s="171"/>
      <c r="AX414" s="171"/>
      <c r="AY414" s="171"/>
      <c r="AZ414" s="171"/>
      <c r="BA414" s="171"/>
      <c r="BB414" s="171"/>
      <c r="BC414" s="171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72"/>
      <c r="BP414" s="172"/>
      <c r="BQ414" s="172"/>
      <c r="BR414" s="172"/>
      <c r="BS414" s="172"/>
    </row>
    <row r="415" spans="1:71" ht="12.5" x14ac:dyDescent="0.25">
      <c r="A415" s="170"/>
      <c r="B415" s="170"/>
      <c r="C415" s="170"/>
      <c r="D415" s="170"/>
      <c r="E415" s="171"/>
      <c r="F415" s="171"/>
      <c r="G415" s="170"/>
      <c r="H415" s="170"/>
      <c r="I415" s="170"/>
      <c r="J415" s="171"/>
      <c r="K415" s="171"/>
      <c r="L415" s="170"/>
      <c r="M415" s="170"/>
      <c r="N415" s="170"/>
      <c r="O415" s="171"/>
      <c r="P415" s="171"/>
      <c r="Q415" s="170"/>
      <c r="R415" s="170"/>
      <c r="S415" s="170"/>
      <c r="T415" s="171"/>
      <c r="U415" s="171"/>
      <c r="V415" s="171"/>
      <c r="W415" s="171"/>
      <c r="X415" s="171"/>
      <c r="Y415" s="171"/>
      <c r="Z415" s="171"/>
      <c r="AA415" s="171"/>
      <c r="AB415" s="171"/>
      <c r="AC415" s="170"/>
      <c r="AD415" s="170"/>
      <c r="AE415" s="170"/>
      <c r="AF415" s="170"/>
      <c r="AG415" s="170"/>
      <c r="AH415" s="170"/>
      <c r="AI415" s="170"/>
      <c r="AJ415" s="170"/>
      <c r="AK415" s="171"/>
      <c r="AL415" s="171"/>
      <c r="AM415" s="170"/>
      <c r="AN415" s="170"/>
      <c r="AO415" s="170"/>
      <c r="AP415" s="171"/>
      <c r="AQ415" s="171"/>
      <c r="AR415" s="170"/>
      <c r="AS415" s="170"/>
      <c r="AT415" s="170"/>
      <c r="AU415" s="171"/>
      <c r="AV415" s="171"/>
      <c r="AW415" s="171"/>
      <c r="AX415" s="171"/>
      <c r="AY415" s="171"/>
      <c r="AZ415" s="171"/>
      <c r="BA415" s="171"/>
      <c r="BB415" s="171"/>
      <c r="BC415" s="171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72"/>
      <c r="BP415" s="172"/>
      <c r="BQ415" s="172"/>
      <c r="BR415" s="172"/>
      <c r="BS415" s="172"/>
    </row>
    <row r="416" spans="1:71" ht="12.5" x14ac:dyDescent="0.25">
      <c r="A416" s="170"/>
      <c r="B416" s="170"/>
      <c r="C416" s="170"/>
      <c r="D416" s="170"/>
      <c r="E416" s="171"/>
      <c r="F416" s="171"/>
      <c r="G416" s="170"/>
      <c r="H416" s="170"/>
      <c r="I416" s="170"/>
      <c r="J416" s="171"/>
      <c r="K416" s="171"/>
      <c r="L416" s="170"/>
      <c r="M416" s="170"/>
      <c r="N416" s="170"/>
      <c r="O416" s="171"/>
      <c r="P416" s="171"/>
      <c r="Q416" s="170"/>
      <c r="R416" s="170"/>
      <c r="S416" s="170"/>
      <c r="T416" s="171"/>
      <c r="U416" s="171"/>
      <c r="V416" s="171"/>
      <c r="W416" s="171"/>
      <c r="X416" s="171"/>
      <c r="Y416" s="171"/>
      <c r="Z416" s="171"/>
      <c r="AA416" s="171"/>
      <c r="AB416" s="171"/>
      <c r="AC416" s="170"/>
      <c r="AD416" s="170"/>
      <c r="AE416" s="170"/>
      <c r="AF416" s="170"/>
      <c r="AG416" s="170"/>
      <c r="AH416" s="170"/>
      <c r="AI416" s="170"/>
      <c r="AJ416" s="170"/>
      <c r="AK416" s="171"/>
      <c r="AL416" s="171"/>
      <c r="AM416" s="170"/>
      <c r="AN416" s="170"/>
      <c r="AO416" s="170"/>
      <c r="AP416" s="171"/>
      <c r="AQ416" s="171"/>
      <c r="AR416" s="170"/>
      <c r="AS416" s="170"/>
      <c r="AT416" s="170"/>
      <c r="AU416" s="171"/>
      <c r="AV416" s="171"/>
      <c r="AW416" s="171"/>
      <c r="AX416" s="171"/>
      <c r="AY416" s="171"/>
      <c r="AZ416" s="171"/>
      <c r="BA416" s="171"/>
      <c r="BB416" s="171"/>
      <c r="BC416" s="171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72"/>
      <c r="BP416" s="172"/>
      <c r="BQ416" s="172"/>
      <c r="BR416" s="172"/>
      <c r="BS416" s="172"/>
    </row>
    <row r="417" spans="1:71" ht="12.5" x14ac:dyDescent="0.25">
      <c r="A417" s="170"/>
      <c r="B417" s="170"/>
      <c r="C417" s="170"/>
      <c r="D417" s="170"/>
      <c r="E417" s="171"/>
      <c r="F417" s="171"/>
      <c r="G417" s="170"/>
      <c r="H417" s="170"/>
      <c r="I417" s="170"/>
      <c r="J417" s="171"/>
      <c r="K417" s="171"/>
      <c r="L417" s="170"/>
      <c r="M417" s="170"/>
      <c r="N417" s="170"/>
      <c r="O417" s="171"/>
      <c r="P417" s="171"/>
      <c r="Q417" s="170"/>
      <c r="R417" s="170"/>
      <c r="S417" s="170"/>
      <c r="T417" s="171"/>
      <c r="U417" s="171"/>
      <c r="V417" s="171"/>
      <c r="W417" s="171"/>
      <c r="X417" s="171"/>
      <c r="Y417" s="171"/>
      <c r="Z417" s="171"/>
      <c r="AA417" s="171"/>
      <c r="AB417" s="171"/>
      <c r="AC417" s="170"/>
      <c r="AD417" s="170"/>
      <c r="AE417" s="170"/>
      <c r="AF417" s="170"/>
      <c r="AG417" s="170"/>
      <c r="AH417" s="170"/>
      <c r="AI417" s="170"/>
      <c r="AJ417" s="170"/>
      <c r="AK417" s="171"/>
      <c r="AL417" s="171"/>
      <c r="AM417" s="170"/>
      <c r="AN417" s="170"/>
      <c r="AO417" s="170"/>
      <c r="AP417" s="171"/>
      <c r="AQ417" s="171"/>
      <c r="AR417" s="170"/>
      <c r="AS417" s="170"/>
      <c r="AT417" s="170"/>
      <c r="AU417" s="171"/>
      <c r="AV417" s="171"/>
      <c r="AW417" s="171"/>
      <c r="AX417" s="171"/>
      <c r="AY417" s="171"/>
      <c r="AZ417" s="171"/>
      <c r="BA417" s="171"/>
      <c r="BB417" s="171"/>
      <c r="BC417" s="171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72"/>
      <c r="BP417" s="172"/>
      <c r="BQ417" s="172"/>
      <c r="BR417" s="172"/>
      <c r="BS417" s="172"/>
    </row>
    <row r="418" spans="1:71" ht="12.5" x14ac:dyDescent="0.25">
      <c r="A418" s="170"/>
      <c r="B418" s="170"/>
      <c r="C418" s="170"/>
      <c r="D418" s="170"/>
      <c r="E418" s="171"/>
      <c r="F418" s="171"/>
      <c r="G418" s="170"/>
      <c r="H418" s="170"/>
      <c r="I418" s="170"/>
      <c r="J418" s="171"/>
      <c r="K418" s="171"/>
      <c r="L418" s="170"/>
      <c r="M418" s="170"/>
      <c r="N418" s="170"/>
      <c r="O418" s="171"/>
      <c r="P418" s="171"/>
      <c r="Q418" s="170"/>
      <c r="R418" s="170"/>
      <c r="S418" s="170"/>
      <c r="T418" s="171"/>
      <c r="U418" s="171"/>
      <c r="V418" s="171"/>
      <c r="W418" s="171"/>
      <c r="X418" s="171"/>
      <c r="Y418" s="171"/>
      <c r="Z418" s="171"/>
      <c r="AA418" s="171"/>
      <c r="AB418" s="171"/>
      <c r="AC418" s="170"/>
      <c r="AD418" s="170"/>
      <c r="AE418" s="170"/>
      <c r="AF418" s="170"/>
      <c r="AG418" s="170"/>
      <c r="AH418" s="170"/>
      <c r="AI418" s="170"/>
      <c r="AJ418" s="170"/>
      <c r="AK418" s="171"/>
      <c r="AL418" s="171"/>
      <c r="AM418" s="170"/>
      <c r="AN418" s="170"/>
      <c r="AO418" s="170"/>
      <c r="AP418" s="171"/>
      <c r="AQ418" s="171"/>
      <c r="AR418" s="170"/>
      <c r="AS418" s="170"/>
      <c r="AT418" s="170"/>
      <c r="AU418" s="171"/>
      <c r="AV418" s="171"/>
      <c r="AW418" s="171"/>
      <c r="AX418" s="171"/>
      <c r="AY418" s="171"/>
      <c r="AZ418" s="171"/>
      <c r="BA418" s="171"/>
      <c r="BB418" s="171"/>
      <c r="BC418" s="171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72"/>
      <c r="BP418" s="172"/>
      <c r="BQ418" s="172"/>
      <c r="BR418" s="172"/>
      <c r="BS418" s="172"/>
    </row>
    <row r="419" spans="1:71" ht="12.5" x14ac:dyDescent="0.25">
      <c r="A419" s="170"/>
      <c r="B419" s="170"/>
      <c r="C419" s="170"/>
      <c r="D419" s="170"/>
      <c r="E419" s="171"/>
      <c r="F419" s="171"/>
      <c r="G419" s="170"/>
      <c r="H419" s="170"/>
      <c r="I419" s="170"/>
      <c r="J419" s="171"/>
      <c r="K419" s="171"/>
      <c r="L419" s="170"/>
      <c r="M419" s="170"/>
      <c r="N419" s="170"/>
      <c r="O419" s="171"/>
      <c r="P419" s="171"/>
      <c r="Q419" s="170"/>
      <c r="R419" s="170"/>
      <c r="S419" s="170"/>
      <c r="T419" s="171"/>
      <c r="U419" s="171"/>
      <c r="V419" s="171"/>
      <c r="W419" s="171"/>
      <c r="X419" s="171"/>
      <c r="Y419" s="171"/>
      <c r="Z419" s="171"/>
      <c r="AA419" s="171"/>
      <c r="AB419" s="171"/>
      <c r="AC419" s="170"/>
      <c r="AD419" s="170"/>
      <c r="AE419" s="170"/>
      <c r="AF419" s="170"/>
      <c r="AG419" s="170"/>
      <c r="AH419" s="170"/>
      <c r="AI419" s="170"/>
      <c r="AJ419" s="170"/>
      <c r="AK419" s="171"/>
      <c r="AL419" s="171"/>
      <c r="AM419" s="170"/>
      <c r="AN419" s="170"/>
      <c r="AO419" s="170"/>
      <c r="AP419" s="171"/>
      <c r="AQ419" s="171"/>
      <c r="AR419" s="170"/>
      <c r="AS419" s="170"/>
      <c r="AT419" s="170"/>
      <c r="AU419" s="171"/>
      <c r="AV419" s="171"/>
      <c r="AW419" s="171"/>
      <c r="AX419" s="171"/>
      <c r="AY419" s="171"/>
      <c r="AZ419" s="171"/>
      <c r="BA419" s="171"/>
      <c r="BB419" s="171"/>
      <c r="BC419" s="171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72"/>
      <c r="BR419" s="172"/>
      <c r="BS419" s="172"/>
    </row>
    <row r="420" spans="1:71" ht="12.5" x14ac:dyDescent="0.25">
      <c r="A420" s="170"/>
      <c r="B420" s="170"/>
      <c r="C420" s="170"/>
      <c r="D420" s="170"/>
      <c r="E420" s="171"/>
      <c r="F420" s="171"/>
      <c r="G420" s="170"/>
      <c r="H420" s="170"/>
      <c r="I420" s="170"/>
      <c r="J420" s="171"/>
      <c r="K420" s="171"/>
      <c r="L420" s="170"/>
      <c r="M420" s="170"/>
      <c r="N420" s="170"/>
      <c r="O420" s="171"/>
      <c r="P420" s="171"/>
      <c r="Q420" s="170"/>
      <c r="R420" s="170"/>
      <c r="S420" s="170"/>
      <c r="T420" s="171"/>
      <c r="U420" s="171"/>
      <c r="V420" s="171"/>
      <c r="W420" s="171"/>
      <c r="X420" s="171"/>
      <c r="Y420" s="171"/>
      <c r="Z420" s="171"/>
      <c r="AA420" s="171"/>
      <c r="AB420" s="171"/>
      <c r="AC420" s="170"/>
      <c r="AD420" s="170"/>
      <c r="AE420" s="170"/>
      <c r="AF420" s="170"/>
      <c r="AG420" s="170"/>
      <c r="AH420" s="170"/>
      <c r="AI420" s="170"/>
      <c r="AJ420" s="170"/>
      <c r="AK420" s="171"/>
      <c r="AL420" s="171"/>
      <c r="AM420" s="170"/>
      <c r="AN420" s="170"/>
      <c r="AO420" s="170"/>
      <c r="AP420" s="171"/>
      <c r="AQ420" s="171"/>
      <c r="AR420" s="170"/>
      <c r="AS420" s="170"/>
      <c r="AT420" s="170"/>
      <c r="AU420" s="171"/>
      <c r="AV420" s="171"/>
      <c r="AW420" s="171"/>
      <c r="AX420" s="171"/>
      <c r="AY420" s="171"/>
      <c r="AZ420" s="171"/>
      <c r="BA420" s="171"/>
      <c r="BB420" s="171"/>
      <c r="BC420" s="171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72"/>
      <c r="BR420" s="172"/>
      <c r="BS420" s="172"/>
    </row>
    <row r="421" spans="1:71" ht="12.5" x14ac:dyDescent="0.25">
      <c r="A421" s="170"/>
      <c r="B421" s="170"/>
      <c r="C421" s="170"/>
      <c r="D421" s="170"/>
      <c r="E421" s="171"/>
      <c r="F421" s="171"/>
      <c r="G421" s="170"/>
      <c r="H421" s="170"/>
      <c r="I421" s="170"/>
      <c r="J421" s="171"/>
      <c r="K421" s="171"/>
      <c r="L421" s="170"/>
      <c r="M421" s="170"/>
      <c r="N421" s="170"/>
      <c r="O421" s="171"/>
      <c r="P421" s="171"/>
      <c r="Q421" s="170"/>
      <c r="R421" s="170"/>
      <c r="S421" s="170"/>
      <c r="T421" s="171"/>
      <c r="U421" s="171"/>
      <c r="V421" s="171"/>
      <c r="W421" s="171"/>
      <c r="X421" s="171"/>
      <c r="Y421" s="171"/>
      <c r="Z421" s="171"/>
      <c r="AA421" s="171"/>
      <c r="AB421" s="171"/>
      <c r="AC421" s="170"/>
      <c r="AD421" s="170"/>
      <c r="AE421" s="170"/>
      <c r="AF421" s="170"/>
      <c r="AG421" s="170"/>
      <c r="AH421" s="170"/>
      <c r="AI421" s="170"/>
      <c r="AJ421" s="170"/>
      <c r="AK421" s="171"/>
      <c r="AL421" s="171"/>
      <c r="AM421" s="170"/>
      <c r="AN421" s="170"/>
      <c r="AO421" s="170"/>
      <c r="AP421" s="171"/>
      <c r="AQ421" s="171"/>
      <c r="AR421" s="170"/>
      <c r="AS421" s="170"/>
      <c r="AT421" s="170"/>
      <c r="AU421" s="171"/>
      <c r="AV421" s="171"/>
      <c r="AW421" s="171"/>
      <c r="AX421" s="171"/>
      <c r="AY421" s="171"/>
      <c r="AZ421" s="171"/>
      <c r="BA421" s="171"/>
      <c r="BB421" s="171"/>
      <c r="BC421" s="171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72"/>
      <c r="BP421" s="172"/>
      <c r="BQ421" s="172"/>
      <c r="BR421" s="172"/>
      <c r="BS421" s="172"/>
    </row>
    <row r="422" spans="1:71" ht="12.5" x14ac:dyDescent="0.25">
      <c r="A422" s="170"/>
      <c r="B422" s="170"/>
      <c r="C422" s="170"/>
      <c r="D422" s="170"/>
      <c r="E422" s="171"/>
      <c r="F422" s="171"/>
      <c r="G422" s="170"/>
      <c r="H422" s="170"/>
      <c r="I422" s="170"/>
      <c r="J422" s="171"/>
      <c r="K422" s="171"/>
      <c r="L422" s="170"/>
      <c r="M422" s="170"/>
      <c r="N422" s="170"/>
      <c r="O422" s="171"/>
      <c r="P422" s="171"/>
      <c r="Q422" s="170"/>
      <c r="R422" s="170"/>
      <c r="S422" s="170"/>
      <c r="T422" s="171"/>
      <c r="U422" s="171"/>
      <c r="V422" s="171"/>
      <c r="W422" s="171"/>
      <c r="X422" s="171"/>
      <c r="Y422" s="171"/>
      <c r="Z422" s="171"/>
      <c r="AA422" s="171"/>
      <c r="AB422" s="171"/>
      <c r="AC422" s="170"/>
      <c r="AD422" s="170"/>
      <c r="AE422" s="170"/>
      <c r="AF422" s="170"/>
      <c r="AG422" s="170"/>
      <c r="AH422" s="170"/>
      <c r="AI422" s="170"/>
      <c r="AJ422" s="170"/>
      <c r="AK422" s="171"/>
      <c r="AL422" s="171"/>
      <c r="AM422" s="170"/>
      <c r="AN422" s="170"/>
      <c r="AO422" s="170"/>
      <c r="AP422" s="171"/>
      <c r="AQ422" s="171"/>
      <c r="AR422" s="170"/>
      <c r="AS422" s="170"/>
      <c r="AT422" s="170"/>
      <c r="AU422" s="171"/>
      <c r="AV422" s="171"/>
      <c r="AW422" s="171"/>
      <c r="AX422" s="171"/>
      <c r="AY422" s="171"/>
      <c r="AZ422" s="171"/>
      <c r="BA422" s="171"/>
      <c r="BB422" s="171"/>
      <c r="BC422" s="171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72"/>
      <c r="BP422" s="172"/>
      <c r="BQ422" s="172"/>
      <c r="BR422" s="172"/>
      <c r="BS422" s="172"/>
    </row>
    <row r="423" spans="1:71" ht="12.5" x14ac:dyDescent="0.25">
      <c r="A423" s="170"/>
      <c r="B423" s="170"/>
      <c r="C423" s="170"/>
      <c r="D423" s="170"/>
      <c r="E423" s="171"/>
      <c r="F423" s="171"/>
      <c r="G423" s="170"/>
      <c r="H423" s="170"/>
      <c r="I423" s="170"/>
      <c r="J423" s="171"/>
      <c r="K423" s="171"/>
      <c r="L423" s="170"/>
      <c r="M423" s="170"/>
      <c r="N423" s="170"/>
      <c r="O423" s="171"/>
      <c r="P423" s="171"/>
      <c r="Q423" s="170"/>
      <c r="R423" s="170"/>
      <c r="S423" s="170"/>
      <c r="T423" s="171"/>
      <c r="U423" s="171"/>
      <c r="V423" s="171"/>
      <c r="W423" s="171"/>
      <c r="X423" s="171"/>
      <c r="Y423" s="171"/>
      <c r="Z423" s="171"/>
      <c r="AA423" s="171"/>
      <c r="AB423" s="171"/>
      <c r="AC423" s="170"/>
      <c r="AD423" s="170"/>
      <c r="AE423" s="170"/>
      <c r="AF423" s="170"/>
      <c r="AG423" s="170"/>
      <c r="AH423" s="170"/>
      <c r="AI423" s="170"/>
      <c r="AJ423" s="170"/>
      <c r="AK423" s="171"/>
      <c r="AL423" s="171"/>
      <c r="AM423" s="170"/>
      <c r="AN423" s="170"/>
      <c r="AO423" s="170"/>
      <c r="AP423" s="171"/>
      <c r="AQ423" s="171"/>
      <c r="AR423" s="170"/>
      <c r="AS423" s="170"/>
      <c r="AT423" s="170"/>
      <c r="AU423" s="171"/>
      <c r="AV423" s="171"/>
      <c r="AW423" s="171"/>
      <c r="AX423" s="171"/>
      <c r="AY423" s="171"/>
      <c r="AZ423" s="171"/>
      <c r="BA423" s="171"/>
      <c r="BB423" s="171"/>
      <c r="BC423" s="171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72"/>
      <c r="BP423" s="172"/>
      <c r="BQ423" s="172"/>
      <c r="BR423" s="172"/>
      <c r="BS423" s="172"/>
    </row>
    <row r="424" spans="1:71" ht="12.5" x14ac:dyDescent="0.25">
      <c r="A424" s="170"/>
      <c r="B424" s="170"/>
      <c r="C424" s="170"/>
      <c r="D424" s="170"/>
      <c r="E424" s="171"/>
      <c r="F424" s="171"/>
      <c r="G424" s="170"/>
      <c r="H424" s="170"/>
      <c r="I424" s="170"/>
      <c r="J424" s="171"/>
      <c r="K424" s="171"/>
      <c r="L424" s="170"/>
      <c r="M424" s="170"/>
      <c r="N424" s="170"/>
      <c r="O424" s="171"/>
      <c r="P424" s="171"/>
      <c r="Q424" s="170"/>
      <c r="R424" s="170"/>
      <c r="S424" s="170"/>
      <c r="T424" s="171"/>
      <c r="U424" s="171"/>
      <c r="V424" s="171"/>
      <c r="W424" s="171"/>
      <c r="X424" s="171"/>
      <c r="Y424" s="171"/>
      <c r="Z424" s="171"/>
      <c r="AA424" s="171"/>
      <c r="AB424" s="171"/>
      <c r="AC424" s="170"/>
      <c r="AD424" s="170"/>
      <c r="AE424" s="170"/>
      <c r="AF424" s="170"/>
      <c r="AG424" s="170"/>
      <c r="AH424" s="170"/>
      <c r="AI424" s="170"/>
      <c r="AJ424" s="170"/>
      <c r="AK424" s="171"/>
      <c r="AL424" s="171"/>
      <c r="AM424" s="170"/>
      <c r="AN424" s="170"/>
      <c r="AO424" s="170"/>
      <c r="AP424" s="171"/>
      <c r="AQ424" s="171"/>
      <c r="AR424" s="170"/>
      <c r="AS424" s="170"/>
      <c r="AT424" s="170"/>
      <c r="AU424" s="171"/>
      <c r="AV424" s="171"/>
      <c r="AW424" s="171"/>
      <c r="AX424" s="171"/>
      <c r="AY424" s="171"/>
      <c r="AZ424" s="171"/>
      <c r="BA424" s="171"/>
      <c r="BB424" s="171"/>
      <c r="BC424" s="171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72"/>
      <c r="BP424" s="172"/>
      <c r="BQ424" s="172"/>
      <c r="BR424" s="172"/>
      <c r="BS424" s="172"/>
    </row>
    <row r="425" spans="1:71" ht="12.5" x14ac:dyDescent="0.25">
      <c r="A425" s="170"/>
      <c r="B425" s="170"/>
      <c r="C425" s="170"/>
      <c r="D425" s="170"/>
      <c r="E425" s="171"/>
      <c r="F425" s="171"/>
      <c r="G425" s="170"/>
      <c r="H425" s="170"/>
      <c r="I425" s="170"/>
      <c r="J425" s="171"/>
      <c r="K425" s="171"/>
      <c r="L425" s="170"/>
      <c r="M425" s="170"/>
      <c r="N425" s="170"/>
      <c r="O425" s="171"/>
      <c r="P425" s="171"/>
      <c r="Q425" s="170"/>
      <c r="R425" s="170"/>
      <c r="S425" s="170"/>
      <c r="T425" s="171"/>
      <c r="U425" s="171"/>
      <c r="V425" s="171"/>
      <c r="W425" s="171"/>
      <c r="X425" s="171"/>
      <c r="Y425" s="171"/>
      <c r="Z425" s="171"/>
      <c r="AA425" s="171"/>
      <c r="AB425" s="171"/>
      <c r="AC425" s="170"/>
      <c r="AD425" s="170"/>
      <c r="AE425" s="170"/>
      <c r="AF425" s="170"/>
      <c r="AG425" s="170"/>
      <c r="AH425" s="170"/>
      <c r="AI425" s="170"/>
      <c r="AJ425" s="170"/>
      <c r="AK425" s="171"/>
      <c r="AL425" s="171"/>
      <c r="AM425" s="170"/>
      <c r="AN425" s="170"/>
      <c r="AO425" s="170"/>
      <c r="AP425" s="171"/>
      <c r="AQ425" s="171"/>
      <c r="AR425" s="170"/>
      <c r="AS425" s="170"/>
      <c r="AT425" s="170"/>
      <c r="AU425" s="171"/>
      <c r="AV425" s="171"/>
      <c r="AW425" s="171"/>
      <c r="AX425" s="171"/>
      <c r="AY425" s="171"/>
      <c r="AZ425" s="171"/>
      <c r="BA425" s="171"/>
      <c r="BB425" s="171"/>
      <c r="BC425" s="171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72"/>
      <c r="BP425" s="172"/>
      <c r="BQ425" s="172"/>
      <c r="BR425" s="172"/>
      <c r="BS425" s="172"/>
    </row>
    <row r="426" spans="1:71" ht="12.5" x14ac:dyDescent="0.25">
      <c r="A426" s="170"/>
      <c r="B426" s="170"/>
      <c r="C426" s="170"/>
      <c r="D426" s="170"/>
      <c r="E426" s="171"/>
      <c r="F426" s="171"/>
      <c r="G426" s="170"/>
      <c r="H426" s="170"/>
      <c r="I426" s="170"/>
      <c r="J426" s="171"/>
      <c r="K426" s="171"/>
      <c r="L426" s="170"/>
      <c r="M426" s="170"/>
      <c r="N426" s="170"/>
      <c r="O426" s="171"/>
      <c r="P426" s="171"/>
      <c r="Q426" s="170"/>
      <c r="R426" s="170"/>
      <c r="S426" s="170"/>
      <c r="T426" s="171"/>
      <c r="U426" s="171"/>
      <c r="V426" s="171"/>
      <c r="W426" s="171"/>
      <c r="X426" s="171"/>
      <c r="Y426" s="171"/>
      <c r="Z426" s="171"/>
      <c r="AA426" s="171"/>
      <c r="AB426" s="171"/>
      <c r="AC426" s="170"/>
      <c r="AD426" s="170"/>
      <c r="AE426" s="170"/>
      <c r="AF426" s="170"/>
      <c r="AG426" s="170"/>
      <c r="AH426" s="170"/>
      <c r="AI426" s="170"/>
      <c r="AJ426" s="170"/>
      <c r="AK426" s="171"/>
      <c r="AL426" s="171"/>
      <c r="AM426" s="170"/>
      <c r="AN426" s="170"/>
      <c r="AO426" s="170"/>
      <c r="AP426" s="171"/>
      <c r="AQ426" s="171"/>
      <c r="AR426" s="170"/>
      <c r="AS426" s="170"/>
      <c r="AT426" s="170"/>
      <c r="AU426" s="171"/>
      <c r="AV426" s="171"/>
      <c r="AW426" s="171"/>
      <c r="AX426" s="171"/>
      <c r="AY426" s="171"/>
      <c r="AZ426" s="171"/>
      <c r="BA426" s="171"/>
      <c r="BB426" s="171"/>
      <c r="BC426" s="171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72"/>
      <c r="BP426" s="172"/>
      <c r="BQ426" s="172"/>
      <c r="BR426" s="172"/>
      <c r="BS426" s="172"/>
    </row>
    <row r="427" spans="1:71" ht="12.5" x14ac:dyDescent="0.25">
      <c r="A427" s="170"/>
      <c r="B427" s="170"/>
      <c r="C427" s="170"/>
      <c r="D427" s="170"/>
      <c r="E427" s="171"/>
      <c r="F427" s="171"/>
      <c r="G427" s="170"/>
      <c r="H427" s="170"/>
      <c r="I427" s="170"/>
      <c r="J427" s="171"/>
      <c r="K427" s="171"/>
      <c r="L427" s="170"/>
      <c r="M427" s="170"/>
      <c r="N427" s="170"/>
      <c r="O427" s="171"/>
      <c r="P427" s="171"/>
      <c r="Q427" s="170"/>
      <c r="R427" s="170"/>
      <c r="S427" s="170"/>
      <c r="T427" s="171"/>
      <c r="U427" s="171"/>
      <c r="V427" s="171"/>
      <c r="W427" s="171"/>
      <c r="X427" s="171"/>
      <c r="Y427" s="171"/>
      <c r="Z427" s="171"/>
      <c r="AA427" s="171"/>
      <c r="AB427" s="171"/>
      <c r="AC427" s="170"/>
      <c r="AD427" s="170"/>
      <c r="AE427" s="170"/>
      <c r="AF427" s="170"/>
      <c r="AG427" s="170"/>
      <c r="AH427" s="170"/>
      <c r="AI427" s="170"/>
      <c r="AJ427" s="170"/>
      <c r="AK427" s="171"/>
      <c r="AL427" s="171"/>
      <c r="AM427" s="170"/>
      <c r="AN427" s="170"/>
      <c r="AO427" s="170"/>
      <c r="AP427" s="171"/>
      <c r="AQ427" s="171"/>
      <c r="AR427" s="170"/>
      <c r="AS427" s="170"/>
      <c r="AT427" s="170"/>
      <c r="AU427" s="171"/>
      <c r="AV427" s="171"/>
      <c r="AW427" s="171"/>
      <c r="AX427" s="171"/>
      <c r="AY427" s="171"/>
      <c r="AZ427" s="171"/>
      <c r="BA427" s="171"/>
      <c r="BB427" s="171"/>
      <c r="BC427" s="171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72"/>
      <c r="BP427" s="172"/>
      <c r="BQ427" s="172"/>
      <c r="BR427" s="172"/>
      <c r="BS427" s="172"/>
    </row>
    <row r="428" spans="1:71" ht="12.5" x14ac:dyDescent="0.25">
      <c r="A428" s="170"/>
      <c r="B428" s="170"/>
      <c r="C428" s="170"/>
      <c r="D428" s="170"/>
      <c r="E428" s="171"/>
      <c r="F428" s="171"/>
      <c r="G428" s="170"/>
      <c r="H428" s="170"/>
      <c r="I428" s="170"/>
      <c r="J428" s="171"/>
      <c r="K428" s="171"/>
      <c r="L428" s="170"/>
      <c r="M428" s="170"/>
      <c r="N428" s="170"/>
      <c r="O428" s="171"/>
      <c r="P428" s="171"/>
      <c r="Q428" s="170"/>
      <c r="R428" s="170"/>
      <c r="S428" s="170"/>
      <c r="T428" s="171"/>
      <c r="U428" s="171"/>
      <c r="V428" s="171"/>
      <c r="W428" s="171"/>
      <c r="X428" s="171"/>
      <c r="Y428" s="171"/>
      <c r="Z428" s="171"/>
      <c r="AA428" s="171"/>
      <c r="AB428" s="171"/>
      <c r="AC428" s="170"/>
      <c r="AD428" s="170"/>
      <c r="AE428" s="170"/>
      <c r="AF428" s="170"/>
      <c r="AG428" s="170"/>
      <c r="AH428" s="170"/>
      <c r="AI428" s="170"/>
      <c r="AJ428" s="170"/>
      <c r="AK428" s="171"/>
      <c r="AL428" s="171"/>
      <c r="AM428" s="170"/>
      <c r="AN428" s="170"/>
      <c r="AO428" s="170"/>
      <c r="AP428" s="171"/>
      <c r="AQ428" s="171"/>
      <c r="AR428" s="170"/>
      <c r="AS428" s="170"/>
      <c r="AT428" s="170"/>
      <c r="AU428" s="171"/>
      <c r="AV428" s="171"/>
      <c r="AW428" s="171"/>
      <c r="AX428" s="171"/>
      <c r="AY428" s="171"/>
      <c r="AZ428" s="171"/>
      <c r="BA428" s="171"/>
      <c r="BB428" s="171"/>
      <c r="BC428" s="171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72"/>
      <c r="BP428" s="172"/>
      <c r="BQ428" s="172"/>
      <c r="BR428" s="172"/>
      <c r="BS428" s="172"/>
    </row>
    <row r="429" spans="1:71" ht="12.5" x14ac:dyDescent="0.25">
      <c r="A429" s="170"/>
      <c r="B429" s="170"/>
      <c r="C429" s="170"/>
      <c r="D429" s="170"/>
      <c r="E429" s="171"/>
      <c r="F429" s="171"/>
      <c r="G429" s="170"/>
      <c r="H429" s="170"/>
      <c r="I429" s="170"/>
      <c r="J429" s="171"/>
      <c r="K429" s="171"/>
      <c r="L429" s="170"/>
      <c r="M429" s="170"/>
      <c r="N429" s="170"/>
      <c r="O429" s="171"/>
      <c r="P429" s="171"/>
      <c r="Q429" s="170"/>
      <c r="R429" s="170"/>
      <c r="S429" s="170"/>
      <c r="T429" s="171"/>
      <c r="U429" s="171"/>
      <c r="V429" s="171"/>
      <c r="W429" s="171"/>
      <c r="X429" s="171"/>
      <c r="Y429" s="171"/>
      <c r="Z429" s="171"/>
      <c r="AA429" s="171"/>
      <c r="AB429" s="171"/>
      <c r="AC429" s="170"/>
      <c r="AD429" s="170"/>
      <c r="AE429" s="170"/>
      <c r="AF429" s="170"/>
      <c r="AG429" s="170"/>
      <c r="AH429" s="170"/>
      <c r="AI429" s="170"/>
      <c r="AJ429" s="170"/>
      <c r="AK429" s="171"/>
      <c r="AL429" s="171"/>
      <c r="AM429" s="170"/>
      <c r="AN429" s="170"/>
      <c r="AO429" s="170"/>
      <c r="AP429" s="171"/>
      <c r="AQ429" s="171"/>
      <c r="AR429" s="170"/>
      <c r="AS429" s="170"/>
      <c r="AT429" s="170"/>
      <c r="AU429" s="171"/>
      <c r="AV429" s="171"/>
      <c r="AW429" s="171"/>
      <c r="AX429" s="171"/>
      <c r="AY429" s="171"/>
      <c r="AZ429" s="171"/>
      <c r="BA429" s="171"/>
      <c r="BB429" s="171"/>
      <c r="BC429" s="171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72"/>
      <c r="BP429" s="172"/>
      <c r="BQ429" s="172"/>
      <c r="BR429" s="172"/>
      <c r="BS429" s="172"/>
    </row>
    <row r="430" spans="1:71" ht="12.5" x14ac:dyDescent="0.25">
      <c r="A430" s="170"/>
      <c r="B430" s="170"/>
      <c r="C430" s="170"/>
      <c r="D430" s="170"/>
      <c r="E430" s="171"/>
      <c r="F430" s="171"/>
      <c r="G430" s="170"/>
      <c r="H430" s="170"/>
      <c r="I430" s="170"/>
      <c r="J430" s="171"/>
      <c r="K430" s="171"/>
      <c r="L430" s="170"/>
      <c r="M430" s="170"/>
      <c r="N430" s="170"/>
      <c r="O430" s="171"/>
      <c r="P430" s="171"/>
      <c r="Q430" s="170"/>
      <c r="R430" s="170"/>
      <c r="S430" s="170"/>
      <c r="T430" s="171"/>
      <c r="U430" s="171"/>
      <c r="V430" s="171"/>
      <c r="W430" s="171"/>
      <c r="X430" s="171"/>
      <c r="Y430" s="171"/>
      <c r="Z430" s="171"/>
      <c r="AA430" s="171"/>
      <c r="AB430" s="171"/>
      <c r="AC430" s="170"/>
      <c r="AD430" s="170"/>
      <c r="AE430" s="170"/>
      <c r="AF430" s="170"/>
      <c r="AG430" s="170"/>
      <c r="AH430" s="170"/>
      <c r="AI430" s="170"/>
      <c r="AJ430" s="170"/>
      <c r="AK430" s="171"/>
      <c r="AL430" s="171"/>
      <c r="AM430" s="170"/>
      <c r="AN430" s="170"/>
      <c r="AO430" s="170"/>
      <c r="AP430" s="171"/>
      <c r="AQ430" s="171"/>
      <c r="AR430" s="170"/>
      <c r="AS430" s="170"/>
      <c r="AT430" s="170"/>
      <c r="AU430" s="171"/>
      <c r="AV430" s="171"/>
      <c r="AW430" s="171"/>
      <c r="AX430" s="171"/>
      <c r="AY430" s="171"/>
      <c r="AZ430" s="171"/>
      <c r="BA430" s="171"/>
      <c r="BB430" s="171"/>
      <c r="BC430" s="171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72"/>
      <c r="BP430" s="172"/>
      <c r="BQ430" s="172"/>
      <c r="BR430" s="172"/>
      <c r="BS430" s="172"/>
    </row>
    <row r="431" spans="1:71" ht="12.5" x14ac:dyDescent="0.25">
      <c r="A431" s="170"/>
      <c r="B431" s="170"/>
      <c r="C431" s="170"/>
      <c r="D431" s="170"/>
      <c r="E431" s="171"/>
      <c r="F431" s="171"/>
      <c r="G431" s="170"/>
      <c r="H431" s="170"/>
      <c r="I431" s="170"/>
      <c r="J431" s="171"/>
      <c r="K431" s="171"/>
      <c r="L431" s="170"/>
      <c r="M431" s="170"/>
      <c r="N431" s="170"/>
      <c r="O431" s="171"/>
      <c r="P431" s="171"/>
      <c r="Q431" s="170"/>
      <c r="R431" s="170"/>
      <c r="S431" s="170"/>
      <c r="T431" s="171"/>
      <c r="U431" s="171"/>
      <c r="V431" s="171"/>
      <c r="W431" s="171"/>
      <c r="X431" s="171"/>
      <c r="Y431" s="171"/>
      <c r="Z431" s="171"/>
      <c r="AA431" s="171"/>
      <c r="AB431" s="171"/>
      <c r="AC431" s="170"/>
      <c r="AD431" s="170"/>
      <c r="AE431" s="170"/>
      <c r="AF431" s="170"/>
      <c r="AG431" s="170"/>
      <c r="AH431" s="170"/>
      <c r="AI431" s="170"/>
      <c r="AJ431" s="170"/>
      <c r="AK431" s="171"/>
      <c r="AL431" s="171"/>
      <c r="AM431" s="170"/>
      <c r="AN431" s="170"/>
      <c r="AO431" s="170"/>
      <c r="AP431" s="171"/>
      <c r="AQ431" s="171"/>
      <c r="AR431" s="170"/>
      <c r="AS431" s="170"/>
      <c r="AT431" s="170"/>
      <c r="AU431" s="171"/>
      <c r="AV431" s="171"/>
      <c r="AW431" s="171"/>
      <c r="AX431" s="171"/>
      <c r="AY431" s="171"/>
      <c r="AZ431" s="171"/>
      <c r="BA431" s="171"/>
      <c r="BB431" s="171"/>
      <c r="BC431" s="171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72"/>
      <c r="BP431" s="172"/>
      <c r="BQ431" s="172"/>
      <c r="BR431" s="172"/>
      <c r="BS431" s="172"/>
    </row>
    <row r="432" spans="1:71" ht="12.5" x14ac:dyDescent="0.25">
      <c r="A432" s="170"/>
      <c r="B432" s="170"/>
      <c r="C432" s="170"/>
      <c r="D432" s="170"/>
      <c r="E432" s="171"/>
      <c r="F432" s="171"/>
      <c r="G432" s="170"/>
      <c r="H432" s="170"/>
      <c r="I432" s="170"/>
      <c r="J432" s="171"/>
      <c r="K432" s="171"/>
      <c r="L432" s="170"/>
      <c r="M432" s="170"/>
      <c r="N432" s="170"/>
      <c r="O432" s="171"/>
      <c r="P432" s="171"/>
      <c r="Q432" s="170"/>
      <c r="R432" s="170"/>
      <c r="S432" s="170"/>
      <c r="T432" s="171"/>
      <c r="U432" s="171"/>
      <c r="V432" s="171"/>
      <c r="W432" s="171"/>
      <c r="X432" s="171"/>
      <c r="Y432" s="171"/>
      <c r="Z432" s="171"/>
      <c r="AA432" s="171"/>
      <c r="AB432" s="171"/>
      <c r="AC432" s="170"/>
      <c r="AD432" s="170"/>
      <c r="AE432" s="170"/>
      <c r="AF432" s="170"/>
      <c r="AG432" s="170"/>
      <c r="AH432" s="170"/>
      <c r="AI432" s="170"/>
      <c r="AJ432" s="170"/>
      <c r="AK432" s="171"/>
      <c r="AL432" s="171"/>
      <c r="AM432" s="170"/>
      <c r="AN432" s="170"/>
      <c r="AO432" s="170"/>
      <c r="AP432" s="171"/>
      <c r="AQ432" s="171"/>
      <c r="AR432" s="170"/>
      <c r="AS432" s="170"/>
      <c r="AT432" s="170"/>
      <c r="AU432" s="171"/>
      <c r="AV432" s="171"/>
      <c r="AW432" s="171"/>
      <c r="AX432" s="171"/>
      <c r="AY432" s="171"/>
      <c r="AZ432" s="171"/>
      <c r="BA432" s="171"/>
      <c r="BB432" s="171"/>
      <c r="BC432" s="171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72"/>
      <c r="BR432" s="172"/>
      <c r="BS432" s="172"/>
    </row>
    <row r="433" spans="1:71" ht="12.5" x14ac:dyDescent="0.25">
      <c r="A433" s="170"/>
      <c r="B433" s="170"/>
      <c r="C433" s="170"/>
      <c r="D433" s="170"/>
      <c r="E433" s="171"/>
      <c r="F433" s="171"/>
      <c r="G433" s="170"/>
      <c r="H433" s="170"/>
      <c r="I433" s="170"/>
      <c r="J433" s="171"/>
      <c r="K433" s="171"/>
      <c r="L433" s="170"/>
      <c r="M433" s="170"/>
      <c r="N433" s="170"/>
      <c r="O433" s="171"/>
      <c r="P433" s="171"/>
      <c r="Q433" s="170"/>
      <c r="R433" s="170"/>
      <c r="S433" s="170"/>
      <c r="T433" s="171"/>
      <c r="U433" s="171"/>
      <c r="V433" s="171"/>
      <c r="W433" s="171"/>
      <c r="X433" s="171"/>
      <c r="Y433" s="171"/>
      <c r="Z433" s="171"/>
      <c r="AA433" s="171"/>
      <c r="AB433" s="171"/>
      <c r="AC433" s="170"/>
      <c r="AD433" s="170"/>
      <c r="AE433" s="170"/>
      <c r="AF433" s="170"/>
      <c r="AG433" s="170"/>
      <c r="AH433" s="170"/>
      <c r="AI433" s="170"/>
      <c r="AJ433" s="170"/>
      <c r="AK433" s="171"/>
      <c r="AL433" s="171"/>
      <c r="AM433" s="170"/>
      <c r="AN433" s="170"/>
      <c r="AO433" s="170"/>
      <c r="AP433" s="171"/>
      <c r="AQ433" s="171"/>
      <c r="AR433" s="170"/>
      <c r="AS433" s="170"/>
      <c r="AT433" s="170"/>
      <c r="AU433" s="171"/>
      <c r="AV433" s="171"/>
      <c r="AW433" s="171"/>
      <c r="AX433" s="171"/>
      <c r="AY433" s="171"/>
      <c r="AZ433" s="171"/>
      <c r="BA433" s="171"/>
      <c r="BB433" s="171"/>
      <c r="BC433" s="171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72"/>
      <c r="BR433" s="172"/>
      <c r="BS433" s="172"/>
    </row>
    <row r="434" spans="1:71" ht="12.5" x14ac:dyDescent="0.25">
      <c r="A434" s="170"/>
      <c r="B434" s="170"/>
      <c r="C434" s="170"/>
      <c r="D434" s="170"/>
      <c r="E434" s="171"/>
      <c r="F434" s="171"/>
      <c r="G434" s="170"/>
      <c r="H434" s="170"/>
      <c r="I434" s="170"/>
      <c r="J434" s="171"/>
      <c r="K434" s="171"/>
      <c r="L434" s="170"/>
      <c r="M434" s="170"/>
      <c r="N434" s="170"/>
      <c r="O434" s="171"/>
      <c r="P434" s="171"/>
      <c r="Q434" s="170"/>
      <c r="R434" s="170"/>
      <c r="S434" s="170"/>
      <c r="T434" s="171"/>
      <c r="U434" s="171"/>
      <c r="V434" s="171"/>
      <c r="W434" s="171"/>
      <c r="X434" s="171"/>
      <c r="Y434" s="171"/>
      <c r="Z434" s="171"/>
      <c r="AA434" s="171"/>
      <c r="AB434" s="171"/>
      <c r="AC434" s="170"/>
      <c r="AD434" s="170"/>
      <c r="AE434" s="170"/>
      <c r="AF434" s="170"/>
      <c r="AG434" s="170"/>
      <c r="AH434" s="170"/>
      <c r="AI434" s="170"/>
      <c r="AJ434" s="170"/>
      <c r="AK434" s="171"/>
      <c r="AL434" s="171"/>
      <c r="AM434" s="170"/>
      <c r="AN434" s="170"/>
      <c r="AO434" s="170"/>
      <c r="AP434" s="171"/>
      <c r="AQ434" s="171"/>
      <c r="AR434" s="170"/>
      <c r="AS434" s="170"/>
      <c r="AT434" s="170"/>
      <c r="AU434" s="171"/>
      <c r="AV434" s="171"/>
      <c r="AW434" s="171"/>
      <c r="AX434" s="171"/>
      <c r="AY434" s="171"/>
      <c r="AZ434" s="171"/>
      <c r="BA434" s="171"/>
      <c r="BB434" s="171"/>
      <c r="BC434" s="171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72"/>
      <c r="BP434" s="172"/>
      <c r="BQ434" s="172"/>
      <c r="BR434" s="172"/>
      <c r="BS434" s="172"/>
    </row>
    <row r="435" spans="1:71" ht="12.5" x14ac:dyDescent="0.25">
      <c r="A435" s="170"/>
      <c r="B435" s="170"/>
      <c r="C435" s="170"/>
      <c r="D435" s="170"/>
      <c r="E435" s="171"/>
      <c r="F435" s="171"/>
      <c r="G435" s="170"/>
      <c r="H435" s="170"/>
      <c r="I435" s="170"/>
      <c r="J435" s="171"/>
      <c r="K435" s="171"/>
      <c r="L435" s="170"/>
      <c r="M435" s="170"/>
      <c r="N435" s="170"/>
      <c r="O435" s="171"/>
      <c r="P435" s="171"/>
      <c r="Q435" s="170"/>
      <c r="R435" s="170"/>
      <c r="S435" s="170"/>
      <c r="T435" s="171"/>
      <c r="U435" s="171"/>
      <c r="V435" s="171"/>
      <c r="W435" s="171"/>
      <c r="X435" s="171"/>
      <c r="Y435" s="171"/>
      <c r="Z435" s="171"/>
      <c r="AA435" s="171"/>
      <c r="AB435" s="171"/>
      <c r="AC435" s="170"/>
      <c r="AD435" s="170"/>
      <c r="AE435" s="170"/>
      <c r="AF435" s="170"/>
      <c r="AG435" s="170"/>
      <c r="AH435" s="170"/>
      <c r="AI435" s="170"/>
      <c r="AJ435" s="170"/>
      <c r="AK435" s="171"/>
      <c r="AL435" s="171"/>
      <c r="AM435" s="170"/>
      <c r="AN435" s="170"/>
      <c r="AO435" s="170"/>
      <c r="AP435" s="171"/>
      <c r="AQ435" s="171"/>
      <c r="AR435" s="170"/>
      <c r="AS435" s="170"/>
      <c r="AT435" s="170"/>
      <c r="AU435" s="171"/>
      <c r="AV435" s="171"/>
      <c r="AW435" s="171"/>
      <c r="AX435" s="171"/>
      <c r="AY435" s="171"/>
      <c r="AZ435" s="171"/>
      <c r="BA435" s="171"/>
      <c r="BB435" s="171"/>
      <c r="BC435" s="171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72"/>
      <c r="BP435" s="172"/>
      <c r="BQ435" s="172"/>
      <c r="BR435" s="172"/>
      <c r="BS435" s="172"/>
    </row>
    <row r="436" spans="1:71" ht="12.5" x14ac:dyDescent="0.25">
      <c r="A436" s="170"/>
      <c r="B436" s="170"/>
      <c r="C436" s="170"/>
      <c r="D436" s="170"/>
      <c r="E436" s="171"/>
      <c r="F436" s="171"/>
      <c r="G436" s="170"/>
      <c r="H436" s="170"/>
      <c r="I436" s="170"/>
      <c r="J436" s="171"/>
      <c r="K436" s="171"/>
      <c r="L436" s="170"/>
      <c r="M436" s="170"/>
      <c r="N436" s="170"/>
      <c r="O436" s="171"/>
      <c r="P436" s="171"/>
      <c r="Q436" s="170"/>
      <c r="R436" s="170"/>
      <c r="S436" s="170"/>
      <c r="T436" s="171"/>
      <c r="U436" s="171"/>
      <c r="V436" s="171"/>
      <c r="W436" s="171"/>
      <c r="X436" s="171"/>
      <c r="Y436" s="171"/>
      <c r="Z436" s="171"/>
      <c r="AA436" s="171"/>
      <c r="AB436" s="171"/>
      <c r="AC436" s="170"/>
      <c r="AD436" s="170"/>
      <c r="AE436" s="170"/>
      <c r="AF436" s="170"/>
      <c r="AG436" s="170"/>
      <c r="AH436" s="170"/>
      <c r="AI436" s="170"/>
      <c r="AJ436" s="170"/>
      <c r="AK436" s="171"/>
      <c r="AL436" s="171"/>
      <c r="AM436" s="170"/>
      <c r="AN436" s="170"/>
      <c r="AO436" s="170"/>
      <c r="AP436" s="171"/>
      <c r="AQ436" s="171"/>
      <c r="AR436" s="170"/>
      <c r="AS436" s="170"/>
      <c r="AT436" s="170"/>
      <c r="AU436" s="171"/>
      <c r="AV436" s="171"/>
      <c r="AW436" s="171"/>
      <c r="AX436" s="171"/>
      <c r="AY436" s="171"/>
      <c r="AZ436" s="171"/>
      <c r="BA436" s="171"/>
      <c r="BB436" s="171"/>
      <c r="BC436" s="171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72"/>
      <c r="BP436" s="172"/>
      <c r="BQ436" s="172"/>
      <c r="BR436" s="172"/>
      <c r="BS436" s="172"/>
    </row>
    <row r="437" spans="1:71" ht="12.5" x14ac:dyDescent="0.25">
      <c r="A437" s="170"/>
      <c r="B437" s="170"/>
      <c r="C437" s="170"/>
      <c r="D437" s="170"/>
      <c r="E437" s="171"/>
      <c r="F437" s="171"/>
      <c r="G437" s="170"/>
      <c r="H437" s="170"/>
      <c r="I437" s="170"/>
      <c r="J437" s="171"/>
      <c r="K437" s="171"/>
      <c r="L437" s="170"/>
      <c r="M437" s="170"/>
      <c r="N437" s="170"/>
      <c r="O437" s="171"/>
      <c r="P437" s="171"/>
      <c r="Q437" s="170"/>
      <c r="R437" s="170"/>
      <c r="S437" s="170"/>
      <c r="T437" s="171"/>
      <c r="U437" s="171"/>
      <c r="V437" s="171"/>
      <c r="W437" s="171"/>
      <c r="X437" s="171"/>
      <c r="Y437" s="171"/>
      <c r="Z437" s="171"/>
      <c r="AA437" s="171"/>
      <c r="AB437" s="171"/>
      <c r="AC437" s="170"/>
      <c r="AD437" s="170"/>
      <c r="AE437" s="170"/>
      <c r="AF437" s="170"/>
      <c r="AG437" s="170"/>
      <c r="AH437" s="170"/>
      <c r="AI437" s="170"/>
      <c r="AJ437" s="170"/>
      <c r="AK437" s="171"/>
      <c r="AL437" s="171"/>
      <c r="AM437" s="170"/>
      <c r="AN437" s="170"/>
      <c r="AO437" s="170"/>
      <c r="AP437" s="171"/>
      <c r="AQ437" s="171"/>
      <c r="AR437" s="170"/>
      <c r="AS437" s="170"/>
      <c r="AT437" s="170"/>
      <c r="AU437" s="171"/>
      <c r="AV437" s="171"/>
      <c r="AW437" s="171"/>
      <c r="AX437" s="171"/>
      <c r="AY437" s="171"/>
      <c r="AZ437" s="171"/>
      <c r="BA437" s="171"/>
      <c r="BB437" s="171"/>
      <c r="BC437" s="171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72"/>
      <c r="BP437" s="172"/>
      <c r="BQ437" s="172"/>
      <c r="BR437" s="172"/>
      <c r="BS437" s="172"/>
    </row>
    <row r="438" spans="1:71" ht="12.5" x14ac:dyDescent="0.25">
      <c r="A438" s="170"/>
      <c r="B438" s="170"/>
      <c r="C438" s="170"/>
      <c r="D438" s="170"/>
      <c r="E438" s="171"/>
      <c r="F438" s="171"/>
      <c r="G438" s="170"/>
      <c r="H438" s="170"/>
      <c r="I438" s="170"/>
      <c r="J438" s="171"/>
      <c r="K438" s="171"/>
      <c r="L438" s="170"/>
      <c r="M438" s="170"/>
      <c r="N438" s="170"/>
      <c r="O438" s="171"/>
      <c r="P438" s="171"/>
      <c r="Q438" s="170"/>
      <c r="R438" s="170"/>
      <c r="S438" s="170"/>
      <c r="T438" s="171"/>
      <c r="U438" s="171"/>
      <c r="V438" s="171"/>
      <c r="W438" s="171"/>
      <c r="X438" s="171"/>
      <c r="Y438" s="171"/>
      <c r="Z438" s="171"/>
      <c r="AA438" s="171"/>
      <c r="AB438" s="171"/>
      <c r="AC438" s="170"/>
      <c r="AD438" s="170"/>
      <c r="AE438" s="170"/>
      <c r="AF438" s="170"/>
      <c r="AG438" s="170"/>
      <c r="AH438" s="170"/>
      <c r="AI438" s="170"/>
      <c r="AJ438" s="170"/>
      <c r="AK438" s="171"/>
      <c r="AL438" s="171"/>
      <c r="AM438" s="170"/>
      <c r="AN438" s="170"/>
      <c r="AO438" s="170"/>
      <c r="AP438" s="171"/>
      <c r="AQ438" s="171"/>
      <c r="AR438" s="170"/>
      <c r="AS438" s="170"/>
      <c r="AT438" s="170"/>
      <c r="AU438" s="171"/>
      <c r="AV438" s="171"/>
      <c r="AW438" s="171"/>
      <c r="AX438" s="171"/>
      <c r="AY438" s="171"/>
      <c r="AZ438" s="171"/>
      <c r="BA438" s="171"/>
      <c r="BB438" s="171"/>
      <c r="BC438" s="171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72"/>
      <c r="BP438" s="172"/>
      <c r="BQ438" s="172"/>
      <c r="BR438" s="172"/>
      <c r="BS438" s="172"/>
    </row>
    <row r="439" spans="1:71" ht="12.5" x14ac:dyDescent="0.25">
      <c r="A439" s="170"/>
      <c r="B439" s="170"/>
      <c r="C439" s="170"/>
      <c r="D439" s="170"/>
      <c r="E439" s="171"/>
      <c r="F439" s="171"/>
      <c r="G439" s="170"/>
      <c r="H439" s="170"/>
      <c r="I439" s="170"/>
      <c r="J439" s="171"/>
      <c r="K439" s="171"/>
      <c r="L439" s="170"/>
      <c r="M439" s="170"/>
      <c r="N439" s="170"/>
      <c r="O439" s="171"/>
      <c r="P439" s="171"/>
      <c r="Q439" s="170"/>
      <c r="R439" s="170"/>
      <c r="S439" s="170"/>
      <c r="T439" s="171"/>
      <c r="U439" s="171"/>
      <c r="V439" s="171"/>
      <c r="W439" s="171"/>
      <c r="X439" s="171"/>
      <c r="Y439" s="171"/>
      <c r="Z439" s="171"/>
      <c r="AA439" s="171"/>
      <c r="AB439" s="171"/>
      <c r="AC439" s="170"/>
      <c r="AD439" s="170"/>
      <c r="AE439" s="170"/>
      <c r="AF439" s="170"/>
      <c r="AG439" s="170"/>
      <c r="AH439" s="170"/>
      <c r="AI439" s="170"/>
      <c r="AJ439" s="170"/>
      <c r="AK439" s="171"/>
      <c r="AL439" s="171"/>
      <c r="AM439" s="170"/>
      <c r="AN439" s="170"/>
      <c r="AO439" s="170"/>
      <c r="AP439" s="171"/>
      <c r="AQ439" s="171"/>
      <c r="AR439" s="170"/>
      <c r="AS439" s="170"/>
      <c r="AT439" s="170"/>
      <c r="AU439" s="171"/>
      <c r="AV439" s="171"/>
      <c r="AW439" s="171"/>
      <c r="AX439" s="171"/>
      <c r="AY439" s="171"/>
      <c r="AZ439" s="171"/>
      <c r="BA439" s="171"/>
      <c r="BB439" s="171"/>
      <c r="BC439" s="171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72"/>
      <c r="BP439" s="172"/>
      <c r="BQ439" s="172"/>
      <c r="BR439" s="172"/>
      <c r="BS439" s="172"/>
    </row>
    <row r="440" spans="1:71" ht="12.5" x14ac:dyDescent="0.25">
      <c r="A440" s="170"/>
      <c r="B440" s="170"/>
      <c r="C440" s="170"/>
      <c r="D440" s="170"/>
      <c r="E440" s="171"/>
      <c r="F440" s="171"/>
      <c r="G440" s="170"/>
      <c r="H440" s="170"/>
      <c r="I440" s="170"/>
      <c r="J440" s="171"/>
      <c r="K440" s="171"/>
      <c r="L440" s="170"/>
      <c r="M440" s="170"/>
      <c r="N440" s="170"/>
      <c r="O440" s="171"/>
      <c r="P440" s="171"/>
      <c r="Q440" s="170"/>
      <c r="R440" s="170"/>
      <c r="S440" s="170"/>
      <c r="T440" s="171"/>
      <c r="U440" s="171"/>
      <c r="V440" s="171"/>
      <c r="W440" s="171"/>
      <c r="X440" s="171"/>
      <c r="Y440" s="171"/>
      <c r="Z440" s="171"/>
      <c r="AA440" s="171"/>
      <c r="AB440" s="171"/>
      <c r="AC440" s="170"/>
      <c r="AD440" s="170"/>
      <c r="AE440" s="170"/>
      <c r="AF440" s="170"/>
      <c r="AG440" s="170"/>
      <c r="AH440" s="170"/>
      <c r="AI440" s="170"/>
      <c r="AJ440" s="170"/>
      <c r="AK440" s="171"/>
      <c r="AL440" s="171"/>
      <c r="AM440" s="170"/>
      <c r="AN440" s="170"/>
      <c r="AO440" s="170"/>
      <c r="AP440" s="171"/>
      <c r="AQ440" s="171"/>
      <c r="AR440" s="170"/>
      <c r="AS440" s="170"/>
      <c r="AT440" s="170"/>
      <c r="AU440" s="171"/>
      <c r="AV440" s="171"/>
      <c r="AW440" s="171"/>
      <c r="AX440" s="171"/>
      <c r="AY440" s="171"/>
      <c r="AZ440" s="171"/>
      <c r="BA440" s="171"/>
      <c r="BB440" s="171"/>
      <c r="BC440" s="171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72"/>
      <c r="BP440" s="172"/>
      <c r="BQ440" s="172"/>
      <c r="BR440" s="172"/>
      <c r="BS440" s="172"/>
    </row>
    <row r="441" spans="1:71" ht="12.5" x14ac:dyDescent="0.25">
      <c r="A441" s="170"/>
      <c r="B441" s="170"/>
      <c r="C441" s="170"/>
      <c r="D441" s="170"/>
      <c r="E441" s="171"/>
      <c r="F441" s="171"/>
      <c r="G441" s="170"/>
      <c r="H441" s="170"/>
      <c r="I441" s="170"/>
      <c r="J441" s="171"/>
      <c r="K441" s="171"/>
      <c r="L441" s="170"/>
      <c r="M441" s="170"/>
      <c r="N441" s="170"/>
      <c r="O441" s="171"/>
      <c r="P441" s="171"/>
      <c r="Q441" s="170"/>
      <c r="R441" s="170"/>
      <c r="S441" s="170"/>
      <c r="T441" s="171"/>
      <c r="U441" s="171"/>
      <c r="V441" s="171"/>
      <c r="W441" s="171"/>
      <c r="X441" s="171"/>
      <c r="Y441" s="171"/>
      <c r="Z441" s="171"/>
      <c r="AA441" s="171"/>
      <c r="AB441" s="171"/>
      <c r="AC441" s="170"/>
      <c r="AD441" s="170"/>
      <c r="AE441" s="170"/>
      <c r="AF441" s="170"/>
      <c r="AG441" s="170"/>
      <c r="AH441" s="170"/>
      <c r="AI441" s="170"/>
      <c r="AJ441" s="170"/>
      <c r="AK441" s="171"/>
      <c r="AL441" s="171"/>
      <c r="AM441" s="170"/>
      <c r="AN441" s="170"/>
      <c r="AO441" s="170"/>
      <c r="AP441" s="171"/>
      <c r="AQ441" s="171"/>
      <c r="AR441" s="170"/>
      <c r="AS441" s="170"/>
      <c r="AT441" s="170"/>
      <c r="AU441" s="171"/>
      <c r="AV441" s="171"/>
      <c r="AW441" s="171"/>
      <c r="AX441" s="171"/>
      <c r="AY441" s="171"/>
      <c r="AZ441" s="171"/>
      <c r="BA441" s="171"/>
      <c r="BB441" s="171"/>
      <c r="BC441" s="171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72"/>
      <c r="BP441" s="172"/>
      <c r="BQ441" s="172"/>
      <c r="BR441" s="172"/>
      <c r="BS441" s="172"/>
    </row>
    <row r="442" spans="1:71" ht="12.5" x14ac:dyDescent="0.25">
      <c r="A442" s="170"/>
      <c r="B442" s="170"/>
      <c r="C442" s="170"/>
      <c r="D442" s="170"/>
      <c r="E442" s="171"/>
      <c r="F442" s="171"/>
      <c r="G442" s="170"/>
      <c r="H442" s="170"/>
      <c r="I442" s="170"/>
      <c r="J442" s="171"/>
      <c r="K442" s="171"/>
      <c r="L442" s="170"/>
      <c r="M442" s="170"/>
      <c r="N442" s="170"/>
      <c r="O442" s="171"/>
      <c r="P442" s="171"/>
      <c r="Q442" s="170"/>
      <c r="R442" s="170"/>
      <c r="S442" s="170"/>
      <c r="T442" s="171"/>
      <c r="U442" s="171"/>
      <c r="V442" s="171"/>
      <c r="W442" s="171"/>
      <c r="X442" s="171"/>
      <c r="Y442" s="171"/>
      <c r="Z442" s="171"/>
      <c r="AA442" s="171"/>
      <c r="AB442" s="171"/>
      <c r="AC442" s="170"/>
      <c r="AD442" s="170"/>
      <c r="AE442" s="170"/>
      <c r="AF442" s="170"/>
      <c r="AG442" s="170"/>
      <c r="AH442" s="170"/>
      <c r="AI442" s="170"/>
      <c r="AJ442" s="170"/>
      <c r="AK442" s="171"/>
      <c r="AL442" s="171"/>
      <c r="AM442" s="170"/>
      <c r="AN442" s="170"/>
      <c r="AO442" s="170"/>
      <c r="AP442" s="171"/>
      <c r="AQ442" s="171"/>
      <c r="AR442" s="170"/>
      <c r="AS442" s="170"/>
      <c r="AT442" s="170"/>
      <c r="AU442" s="171"/>
      <c r="AV442" s="171"/>
      <c r="AW442" s="171"/>
      <c r="AX442" s="171"/>
      <c r="AY442" s="171"/>
      <c r="AZ442" s="171"/>
      <c r="BA442" s="171"/>
      <c r="BB442" s="171"/>
      <c r="BC442" s="171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72"/>
      <c r="BP442" s="172"/>
      <c r="BQ442" s="172"/>
      <c r="BR442" s="172"/>
      <c r="BS442" s="172"/>
    </row>
    <row r="443" spans="1:71" ht="12.5" x14ac:dyDescent="0.25">
      <c r="A443" s="170"/>
      <c r="B443" s="170"/>
      <c r="C443" s="170"/>
      <c r="D443" s="170"/>
      <c r="E443" s="171"/>
      <c r="F443" s="171"/>
      <c r="G443" s="170"/>
      <c r="H443" s="170"/>
      <c r="I443" s="170"/>
      <c r="J443" s="171"/>
      <c r="K443" s="171"/>
      <c r="L443" s="170"/>
      <c r="M443" s="170"/>
      <c r="N443" s="170"/>
      <c r="O443" s="171"/>
      <c r="P443" s="171"/>
      <c r="Q443" s="170"/>
      <c r="R443" s="170"/>
      <c r="S443" s="170"/>
      <c r="T443" s="171"/>
      <c r="U443" s="171"/>
      <c r="V443" s="171"/>
      <c r="W443" s="171"/>
      <c r="X443" s="171"/>
      <c r="Y443" s="171"/>
      <c r="Z443" s="171"/>
      <c r="AA443" s="171"/>
      <c r="AB443" s="171"/>
      <c r="AC443" s="170"/>
      <c r="AD443" s="170"/>
      <c r="AE443" s="170"/>
      <c r="AF443" s="170"/>
      <c r="AG443" s="170"/>
      <c r="AH443" s="170"/>
      <c r="AI443" s="170"/>
      <c r="AJ443" s="170"/>
      <c r="AK443" s="171"/>
      <c r="AL443" s="171"/>
      <c r="AM443" s="170"/>
      <c r="AN443" s="170"/>
      <c r="AO443" s="170"/>
      <c r="AP443" s="171"/>
      <c r="AQ443" s="171"/>
      <c r="AR443" s="170"/>
      <c r="AS443" s="170"/>
      <c r="AT443" s="170"/>
      <c r="AU443" s="171"/>
      <c r="AV443" s="171"/>
      <c r="AW443" s="171"/>
      <c r="AX443" s="171"/>
      <c r="AY443" s="171"/>
      <c r="AZ443" s="171"/>
      <c r="BA443" s="171"/>
      <c r="BB443" s="171"/>
      <c r="BC443" s="171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72"/>
      <c r="BP443" s="172"/>
      <c r="BQ443" s="172"/>
      <c r="BR443" s="172"/>
      <c r="BS443" s="172"/>
    </row>
    <row r="444" spans="1:71" ht="12.5" x14ac:dyDescent="0.25">
      <c r="A444" s="170"/>
      <c r="B444" s="170"/>
      <c r="C444" s="170"/>
      <c r="D444" s="170"/>
      <c r="E444" s="171"/>
      <c r="F444" s="171"/>
      <c r="G444" s="170"/>
      <c r="H444" s="170"/>
      <c r="I444" s="170"/>
      <c r="J444" s="171"/>
      <c r="K444" s="171"/>
      <c r="L444" s="170"/>
      <c r="M444" s="170"/>
      <c r="N444" s="170"/>
      <c r="O444" s="171"/>
      <c r="P444" s="171"/>
      <c r="Q444" s="170"/>
      <c r="R444" s="170"/>
      <c r="S444" s="170"/>
      <c r="T444" s="171"/>
      <c r="U444" s="171"/>
      <c r="V444" s="171"/>
      <c r="W444" s="171"/>
      <c r="X444" s="171"/>
      <c r="Y444" s="171"/>
      <c r="Z444" s="171"/>
      <c r="AA444" s="171"/>
      <c r="AB444" s="171"/>
      <c r="AC444" s="170"/>
      <c r="AD444" s="170"/>
      <c r="AE444" s="170"/>
      <c r="AF444" s="170"/>
      <c r="AG444" s="170"/>
      <c r="AH444" s="170"/>
      <c r="AI444" s="170"/>
      <c r="AJ444" s="170"/>
      <c r="AK444" s="171"/>
      <c r="AL444" s="171"/>
      <c r="AM444" s="170"/>
      <c r="AN444" s="170"/>
      <c r="AO444" s="170"/>
      <c r="AP444" s="171"/>
      <c r="AQ444" s="171"/>
      <c r="AR444" s="170"/>
      <c r="AS444" s="170"/>
      <c r="AT444" s="170"/>
      <c r="AU444" s="171"/>
      <c r="AV444" s="171"/>
      <c r="AW444" s="171"/>
      <c r="AX444" s="171"/>
      <c r="AY444" s="171"/>
      <c r="AZ444" s="171"/>
      <c r="BA444" s="171"/>
      <c r="BB444" s="171"/>
      <c r="BC444" s="171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72"/>
      <c r="BP444" s="172"/>
      <c r="BQ444" s="172"/>
      <c r="BR444" s="172"/>
      <c r="BS444" s="172"/>
    </row>
    <row r="445" spans="1:71" ht="12.5" x14ac:dyDescent="0.25">
      <c r="A445" s="170"/>
      <c r="B445" s="170"/>
      <c r="C445" s="170"/>
      <c r="D445" s="170"/>
      <c r="E445" s="171"/>
      <c r="F445" s="171"/>
      <c r="G445" s="170"/>
      <c r="H445" s="170"/>
      <c r="I445" s="170"/>
      <c r="J445" s="171"/>
      <c r="K445" s="171"/>
      <c r="L445" s="170"/>
      <c r="M445" s="170"/>
      <c r="N445" s="170"/>
      <c r="O445" s="171"/>
      <c r="P445" s="171"/>
      <c r="Q445" s="170"/>
      <c r="R445" s="170"/>
      <c r="S445" s="170"/>
      <c r="T445" s="171"/>
      <c r="U445" s="171"/>
      <c r="V445" s="171"/>
      <c r="W445" s="171"/>
      <c r="X445" s="171"/>
      <c r="Y445" s="171"/>
      <c r="Z445" s="171"/>
      <c r="AA445" s="171"/>
      <c r="AB445" s="171"/>
      <c r="AC445" s="170"/>
      <c r="AD445" s="170"/>
      <c r="AE445" s="170"/>
      <c r="AF445" s="170"/>
      <c r="AG445" s="170"/>
      <c r="AH445" s="170"/>
      <c r="AI445" s="170"/>
      <c r="AJ445" s="170"/>
      <c r="AK445" s="171"/>
      <c r="AL445" s="171"/>
      <c r="AM445" s="170"/>
      <c r="AN445" s="170"/>
      <c r="AO445" s="170"/>
      <c r="AP445" s="171"/>
      <c r="AQ445" s="171"/>
      <c r="AR445" s="170"/>
      <c r="AS445" s="170"/>
      <c r="AT445" s="170"/>
      <c r="AU445" s="171"/>
      <c r="AV445" s="171"/>
      <c r="AW445" s="171"/>
      <c r="AX445" s="171"/>
      <c r="AY445" s="171"/>
      <c r="AZ445" s="171"/>
      <c r="BA445" s="171"/>
      <c r="BB445" s="171"/>
      <c r="BC445" s="171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72"/>
      <c r="BP445" s="172"/>
      <c r="BQ445" s="172"/>
      <c r="BR445" s="172"/>
      <c r="BS445" s="172"/>
    </row>
    <row r="446" spans="1:71" ht="12.5" x14ac:dyDescent="0.25">
      <c r="A446" s="170"/>
      <c r="B446" s="170"/>
      <c r="C446" s="170"/>
      <c r="D446" s="170"/>
      <c r="E446" s="171"/>
      <c r="F446" s="171"/>
      <c r="G446" s="170"/>
      <c r="H446" s="170"/>
      <c r="I446" s="170"/>
      <c r="J446" s="171"/>
      <c r="K446" s="171"/>
      <c r="L446" s="170"/>
      <c r="M446" s="170"/>
      <c r="N446" s="170"/>
      <c r="O446" s="171"/>
      <c r="P446" s="171"/>
      <c r="Q446" s="170"/>
      <c r="R446" s="170"/>
      <c r="S446" s="170"/>
      <c r="T446" s="171"/>
      <c r="U446" s="171"/>
      <c r="V446" s="171"/>
      <c r="W446" s="171"/>
      <c r="X446" s="171"/>
      <c r="Y446" s="171"/>
      <c r="Z446" s="171"/>
      <c r="AA446" s="171"/>
      <c r="AB446" s="171"/>
      <c r="AC446" s="170"/>
      <c r="AD446" s="170"/>
      <c r="AE446" s="170"/>
      <c r="AF446" s="170"/>
      <c r="AG446" s="170"/>
      <c r="AH446" s="170"/>
      <c r="AI446" s="170"/>
      <c r="AJ446" s="170"/>
      <c r="AK446" s="171"/>
      <c r="AL446" s="171"/>
      <c r="AM446" s="170"/>
      <c r="AN446" s="170"/>
      <c r="AO446" s="170"/>
      <c r="AP446" s="171"/>
      <c r="AQ446" s="171"/>
      <c r="AR446" s="170"/>
      <c r="AS446" s="170"/>
      <c r="AT446" s="170"/>
      <c r="AU446" s="171"/>
      <c r="AV446" s="171"/>
      <c r="AW446" s="171"/>
      <c r="AX446" s="171"/>
      <c r="AY446" s="171"/>
      <c r="AZ446" s="171"/>
      <c r="BA446" s="171"/>
      <c r="BB446" s="171"/>
      <c r="BC446" s="171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72"/>
      <c r="BP446" s="172"/>
      <c r="BQ446" s="172"/>
      <c r="BR446" s="172"/>
      <c r="BS446" s="172"/>
    </row>
    <row r="447" spans="1:71" ht="12.5" x14ac:dyDescent="0.25">
      <c r="A447" s="170"/>
      <c r="B447" s="170"/>
      <c r="C447" s="170"/>
      <c r="D447" s="170"/>
      <c r="E447" s="171"/>
      <c r="F447" s="171"/>
      <c r="G447" s="170"/>
      <c r="H447" s="170"/>
      <c r="I447" s="170"/>
      <c r="J447" s="171"/>
      <c r="K447" s="171"/>
      <c r="L447" s="170"/>
      <c r="M447" s="170"/>
      <c r="N447" s="170"/>
      <c r="O447" s="171"/>
      <c r="P447" s="171"/>
      <c r="Q447" s="170"/>
      <c r="R447" s="170"/>
      <c r="S447" s="170"/>
      <c r="T447" s="171"/>
      <c r="U447" s="171"/>
      <c r="V447" s="171"/>
      <c r="W447" s="171"/>
      <c r="X447" s="171"/>
      <c r="Y447" s="171"/>
      <c r="Z447" s="171"/>
      <c r="AA447" s="171"/>
      <c r="AB447" s="171"/>
      <c r="AC447" s="170"/>
      <c r="AD447" s="170"/>
      <c r="AE447" s="170"/>
      <c r="AF447" s="170"/>
      <c r="AG447" s="170"/>
      <c r="AH447" s="170"/>
      <c r="AI447" s="170"/>
      <c r="AJ447" s="170"/>
      <c r="AK447" s="171"/>
      <c r="AL447" s="171"/>
      <c r="AM447" s="170"/>
      <c r="AN447" s="170"/>
      <c r="AO447" s="170"/>
      <c r="AP447" s="171"/>
      <c r="AQ447" s="171"/>
      <c r="AR447" s="170"/>
      <c r="AS447" s="170"/>
      <c r="AT447" s="170"/>
      <c r="AU447" s="171"/>
      <c r="AV447" s="171"/>
      <c r="AW447" s="171"/>
      <c r="AX447" s="171"/>
      <c r="AY447" s="171"/>
      <c r="AZ447" s="171"/>
      <c r="BA447" s="171"/>
      <c r="BB447" s="171"/>
      <c r="BC447" s="171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72"/>
      <c r="BP447" s="172"/>
      <c r="BQ447" s="172"/>
      <c r="BR447" s="172"/>
      <c r="BS447" s="172"/>
    </row>
    <row r="448" spans="1:71" ht="12.5" x14ac:dyDescent="0.25">
      <c r="A448" s="170"/>
      <c r="B448" s="170"/>
      <c r="C448" s="170"/>
      <c r="D448" s="170"/>
      <c r="E448" s="171"/>
      <c r="F448" s="171"/>
      <c r="G448" s="170"/>
      <c r="H448" s="170"/>
      <c r="I448" s="170"/>
      <c r="J448" s="171"/>
      <c r="K448" s="171"/>
      <c r="L448" s="170"/>
      <c r="M448" s="170"/>
      <c r="N448" s="170"/>
      <c r="O448" s="171"/>
      <c r="P448" s="171"/>
      <c r="Q448" s="170"/>
      <c r="R448" s="170"/>
      <c r="S448" s="170"/>
      <c r="T448" s="171"/>
      <c r="U448" s="171"/>
      <c r="V448" s="171"/>
      <c r="W448" s="171"/>
      <c r="X448" s="171"/>
      <c r="Y448" s="171"/>
      <c r="Z448" s="171"/>
      <c r="AA448" s="171"/>
      <c r="AB448" s="171"/>
      <c r="AC448" s="170"/>
      <c r="AD448" s="170"/>
      <c r="AE448" s="170"/>
      <c r="AF448" s="170"/>
      <c r="AG448" s="170"/>
      <c r="AH448" s="170"/>
      <c r="AI448" s="170"/>
      <c r="AJ448" s="170"/>
      <c r="AK448" s="171"/>
      <c r="AL448" s="171"/>
      <c r="AM448" s="170"/>
      <c r="AN448" s="170"/>
      <c r="AO448" s="170"/>
      <c r="AP448" s="171"/>
      <c r="AQ448" s="171"/>
      <c r="AR448" s="170"/>
      <c r="AS448" s="170"/>
      <c r="AT448" s="170"/>
      <c r="AU448" s="171"/>
      <c r="AV448" s="171"/>
      <c r="AW448" s="171"/>
      <c r="AX448" s="171"/>
      <c r="AY448" s="171"/>
      <c r="AZ448" s="171"/>
      <c r="BA448" s="171"/>
      <c r="BB448" s="171"/>
      <c r="BC448" s="171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72"/>
      <c r="BP448" s="172"/>
      <c r="BQ448" s="172"/>
      <c r="BR448" s="172"/>
      <c r="BS448" s="172"/>
    </row>
    <row r="449" spans="1:71" ht="12.5" x14ac:dyDescent="0.25">
      <c r="A449" s="170"/>
      <c r="B449" s="170"/>
      <c r="C449" s="170"/>
      <c r="D449" s="170"/>
      <c r="E449" s="171"/>
      <c r="F449" s="171"/>
      <c r="G449" s="170"/>
      <c r="H449" s="170"/>
      <c r="I449" s="170"/>
      <c r="J449" s="171"/>
      <c r="K449" s="171"/>
      <c r="L449" s="170"/>
      <c r="M449" s="170"/>
      <c r="N449" s="170"/>
      <c r="O449" s="171"/>
      <c r="P449" s="171"/>
      <c r="Q449" s="170"/>
      <c r="R449" s="170"/>
      <c r="S449" s="170"/>
      <c r="T449" s="171"/>
      <c r="U449" s="171"/>
      <c r="V449" s="171"/>
      <c r="W449" s="171"/>
      <c r="X449" s="171"/>
      <c r="Y449" s="171"/>
      <c r="Z449" s="171"/>
      <c r="AA449" s="171"/>
      <c r="AB449" s="171"/>
      <c r="AC449" s="170"/>
      <c r="AD449" s="170"/>
      <c r="AE449" s="170"/>
      <c r="AF449" s="170"/>
      <c r="AG449" s="170"/>
      <c r="AH449" s="170"/>
      <c r="AI449" s="170"/>
      <c r="AJ449" s="170"/>
      <c r="AK449" s="171"/>
      <c r="AL449" s="171"/>
      <c r="AM449" s="170"/>
      <c r="AN449" s="170"/>
      <c r="AO449" s="170"/>
      <c r="AP449" s="171"/>
      <c r="AQ449" s="171"/>
      <c r="AR449" s="170"/>
      <c r="AS449" s="170"/>
      <c r="AT449" s="170"/>
      <c r="AU449" s="171"/>
      <c r="AV449" s="171"/>
      <c r="AW449" s="171"/>
      <c r="AX449" s="171"/>
      <c r="AY449" s="171"/>
      <c r="AZ449" s="171"/>
      <c r="BA449" s="171"/>
      <c r="BB449" s="171"/>
      <c r="BC449" s="171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72"/>
      <c r="BP449" s="172"/>
      <c r="BQ449" s="172"/>
      <c r="BR449" s="172"/>
      <c r="BS449" s="172"/>
    </row>
    <row r="450" spans="1:71" ht="12.5" x14ac:dyDescent="0.25">
      <c r="A450" s="170"/>
      <c r="B450" s="170"/>
      <c r="C450" s="170"/>
      <c r="D450" s="170"/>
      <c r="E450" s="171"/>
      <c r="F450" s="171"/>
      <c r="G450" s="170"/>
      <c r="H450" s="170"/>
      <c r="I450" s="170"/>
      <c r="J450" s="171"/>
      <c r="K450" s="171"/>
      <c r="L450" s="170"/>
      <c r="M450" s="170"/>
      <c r="N450" s="170"/>
      <c r="O450" s="171"/>
      <c r="P450" s="171"/>
      <c r="Q450" s="170"/>
      <c r="R450" s="170"/>
      <c r="S450" s="170"/>
      <c r="T450" s="171"/>
      <c r="U450" s="171"/>
      <c r="V450" s="171"/>
      <c r="W450" s="171"/>
      <c r="X450" s="171"/>
      <c r="Y450" s="171"/>
      <c r="Z450" s="171"/>
      <c r="AA450" s="171"/>
      <c r="AB450" s="171"/>
      <c r="AC450" s="170"/>
      <c r="AD450" s="170"/>
      <c r="AE450" s="170"/>
      <c r="AF450" s="170"/>
      <c r="AG450" s="170"/>
      <c r="AH450" s="170"/>
      <c r="AI450" s="170"/>
      <c r="AJ450" s="170"/>
      <c r="AK450" s="171"/>
      <c r="AL450" s="171"/>
      <c r="AM450" s="170"/>
      <c r="AN450" s="170"/>
      <c r="AO450" s="170"/>
      <c r="AP450" s="171"/>
      <c r="AQ450" s="171"/>
      <c r="AR450" s="170"/>
      <c r="AS450" s="170"/>
      <c r="AT450" s="170"/>
      <c r="AU450" s="171"/>
      <c r="AV450" s="171"/>
      <c r="AW450" s="171"/>
      <c r="AX450" s="171"/>
      <c r="AY450" s="171"/>
      <c r="AZ450" s="171"/>
      <c r="BA450" s="171"/>
      <c r="BB450" s="171"/>
      <c r="BC450" s="171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72"/>
      <c r="BP450" s="172"/>
      <c r="BQ450" s="172"/>
      <c r="BR450" s="172"/>
      <c r="BS450" s="172"/>
    </row>
    <row r="451" spans="1:71" ht="12.5" x14ac:dyDescent="0.25">
      <c r="A451" s="170"/>
      <c r="B451" s="170"/>
      <c r="C451" s="170"/>
      <c r="D451" s="170"/>
      <c r="E451" s="171"/>
      <c r="F451" s="171"/>
      <c r="G451" s="170"/>
      <c r="H451" s="170"/>
      <c r="I451" s="170"/>
      <c r="J451" s="171"/>
      <c r="K451" s="171"/>
      <c r="L451" s="170"/>
      <c r="M451" s="170"/>
      <c r="N451" s="170"/>
      <c r="O451" s="171"/>
      <c r="P451" s="171"/>
      <c r="Q451" s="170"/>
      <c r="R451" s="170"/>
      <c r="S451" s="170"/>
      <c r="T451" s="171"/>
      <c r="U451" s="171"/>
      <c r="V451" s="171"/>
      <c r="W451" s="171"/>
      <c r="X451" s="171"/>
      <c r="Y451" s="171"/>
      <c r="Z451" s="171"/>
      <c r="AA451" s="171"/>
      <c r="AB451" s="171"/>
      <c r="AC451" s="170"/>
      <c r="AD451" s="170"/>
      <c r="AE451" s="170"/>
      <c r="AF451" s="170"/>
      <c r="AG451" s="170"/>
      <c r="AH451" s="170"/>
      <c r="AI451" s="170"/>
      <c r="AJ451" s="170"/>
      <c r="AK451" s="171"/>
      <c r="AL451" s="171"/>
      <c r="AM451" s="170"/>
      <c r="AN451" s="170"/>
      <c r="AO451" s="170"/>
      <c r="AP451" s="171"/>
      <c r="AQ451" s="171"/>
      <c r="AR451" s="170"/>
      <c r="AS451" s="170"/>
      <c r="AT451" s="170"/>
      <c r="AU451" s="171"/>
      <c r="AV451" s="171"/>
      <c r="AW451" s="171"/>
      <c r="AX451" s="171"/>
      <c r="AY451" s="171"/>
      <c r="AZ451" s="171"/>
      <c r="BA451" s="171"/>
      <c r="BB451" s="171"/>
      <c r="BC451" s="171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72"/>
      <c r="BR451" s="172"/>
      <c r="BS451" s="172"/>
    </row>
    <row r="452" spans="1:71" ht="12.5" x14ac:dyDescent="0.25">
      <c r="A452" s="170"/>
      <c r="B452" s="170"/>
      <c r="C452" s="170"/>
      <c r="D452" s="170"/>
      <c r="E452" s="171"/>
      <c r="F452" s="171"/>
      <c r="G452" s="170"/>
      <c r="H452" s="170"/>
      <c r="I452" s="170"/>
      <c r="J452" s="171"/>
      <c r="K452" s="171"/>
      <c r="L452" s="170"/>
      <c r="M452" s="170"/>
      <c r="N452" s="170"/>
      <c r="O452" s="171"/>
      <c r="P452" s="171"/>
      <c r="Q452" s="170"/>
      <c r="R452" s="170"/>
      <c r="S452" s="170"/>
      <c r="T452" s="171"/>
      <c r="U452" s="171"/>
      <c r="V452" s="171"/>
      <c r="W452" s="171"/>
      <c r="X452" s="171"/>
      <c r="Y452" s="171"/>
      <c r="Z452" s="171"/>
      <c r="AA452" s="171"/>
      <c r="AB452" s="171"/>
      <c r="AC452" s="170"/>
      <c r="AD452" s="170"/>
      <c r="AE452" s="170"/>
      <c r="AF452" s="170"/>
      <c r="AG452" s="170"/>
      <c r="AH452" s="170"/>
      <c r="AI452" s="170"/>
      <c r="AJ452" s="170"/>
      <c r="AK452" s="171"/>
      <c r="AL452" s="171"/>
      <c r="AM452" s="170"/>
      <c r="AN452" s="170"/>
      <c r="AO452" s="170"/>
      <c r="AP452" s="171"/>
      <c r="AQ452" s="171"/>
      <c r="AR452" s="170"/>
      <c r="AS452" s="170"/>
      <c r="AT452" s="170"/>
      <c r="AU452" s="171"/>
      <c r="AV452" s="171"/>
      <c r="AW452" s="171"/>
      <c r="AX452" s="171"/>
      <c r="AY452" s="171"/>
      <c r="AZ452" s="171"/>
      <c r="BA452" s="171"/>
      <c r="BB452" s="171"/>
      <c r="BC452" s="171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72"/>
      <c r="BP452" s="172"/>
      <c r="BQ452" s="172"/>
      <c r="BR452" s="172"/>
      <c r="BS452" s="172"/>
    </row>
    <row r="453" spans="1:71" ht="12.5" x14ac:dyDescent="0.25">
      <c r="A453" s="170"/>
      <c r="B453" s="170"/>
      <c r="C453" s="170"/>
      <c r="D453" s="170"/>
      <c r="E453" s="171"/>
      <c r="F453" s="171"/>
      <c r="G453" s="170"/>
      <c r="H453" s="170"/>
      <c r="I453" s="170"/>
      <c r="J453" s="171"/>
      <c r="K453" s="171"/>
      <c r="L453" s="170"/>
      <c r="M453" s="170"/>
      <c r="N453" s="170"/>
      <c r="O453" s="171"/>
      <c r="P453" s="171"/>
      <c r="Q453" s="170"/>
      <c r="R453" s="170"/>
      <c r="S453" s="170"/>
      <c r="T453" s="171"/>
      <c r="U453" s="171"/>
      <c r="V453" s="171"/>
      <c r="W453" s="171"/>
      <c r="X453" s="171"/>
      <c r="Y453" s="171"/>
      <c r="Z453" s="171"/>
      <c r="AA453" s="171"/>
      <c r="AB453" s="171"/>
      <c r="AC453" s="170"/>
      <c r="AD453" s="170"/>
      <c r="AE453" s="170"/>
      <c r="AF453" s="170"/>
      <c r="AG453" s="170"/>
      <c r="AH453" s="170"/>
      <c r="AI453" s="170"/>
      <c r="AJ453" s="170"/>
      <c r="AK453" s="171"/>
      <c r="AL453" s="171"/>
      <c r="AM453" s="170"/>
      <c r="AN453" s="170"/>
      <c r="AO453" s="170"/>
      <c r="AP453" s="171"/>
      <c r="AQ453" s="171"/>
      <c r="AR453" s="170"/>
      <c r="AS453" s="170"/>
      <c r="AT453" s="170"/>
      <c r="AU453" s="171"/>
      <c r="AV453" s="171"/>
      <c r="AW453" s="171"/>
      <c r="AX453" s="171"/>
      <c r="AY453" s="171"/>
      <c r="AZ453" s="171"/>
      <c r="BA453" s="171"/>
      <c r="BB453" s="171"/>
      <c r="BC453" s="171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72"/>
      <c r="BP453" s="172"/>
      <c r="BQ453" s="172"/>
      <c r="BR453" s="172"/>
      <c r="BS453" s="172"/>
    </row>
    <row r="454" spans="1:71" ht="12.5" x14ac:dyDescent="0.25">
      <c r="A454" s="170"/>
      <c r="B454" s="170"/>
      <c r="C454" s="170"/>
      <c r="D454" s="170"/>
      <c r="E454" s="171"/>
      <c r="F454" s="171"/>
      <c r="G454" s="170"/>
      <c r="H454" s="170"/>
      <c r="I454" s="170"/>
      <c r="J454" s="171"/>
      <c r="K454" s="171"/>
      <c r="L454" s="170"/>
      <c r="M454" s="170"/>
      <c r="N454" s="170"/>
      <c r="O454" s="171"/>
      <c r="P454" s="171"/>
      <c r="Q454" s="170"/>
      <c r="R454" s="170"/>
      <c r="S454" s="170"/>
      <c r="T454" s="171"/>
      <c r="U454" s="171"/>
      <c r="V454" s="171"/>
      <c r="W454" s="171"/>
      <c r="X454" s="171"/>
      <c r="Y454" s="171"/>
      <c r="Z454" s="171"/>
      <c r="AA454" s="171"/>
      <c r="AB454" s="171"/>
      <c r="AC454" s="170"/>
      <c r="AD454" s="170"/>
      <c r="AE454" s="170"/>
      <c r="AF454" s="170"/>
      <c r="AG454" s="170"/>
      <c r="AH454" s="170"/>
      <c r="AI454" s="170"/>
      <c r="AJ454" s="170"/>
      <c r="AK454" s="171"/>
      <c r="AL454" s="171"/>
      <c r="AM454" s="170"/>
      <c r="AN454" s="170"/>
      <c r="AO454" s="170"/>
      <c r="AP454" s="171"/>
      <c r="AQ454" s="171"/>
      <c r="AR454" s="170"/>
      <c r="AS454" s="170"/>
      <c r="AT454" s="170"/>
      <c r="AU454" s="171"/>
      <c r="AV454" s="171"/>
      <c r="AW454" s="171"/>
      <c r="AX454" s="171"/>
      <c r="AY454" s="171"/>
      <c r="AZ454" s="171"/>
      <c r="BA454" s="171"/>
      <c r="BB454" s="171"/>
      <c r="BC454" s="171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72"/>
      <c r="BP454" s="172"/>
      <c r="BQ454" s="172"/>
      <c r="BR454" s="172"/>
      <c r="BS454" s="172"/>
    </row>
    <row r="455" spans="1:71" ht="12.5" x14ac:dyDescent="0.25">
      <c r="A455" s="170"/>
      <c r="B455" s="170"/>
      <c r="C455" s="170"/>
      <c r="D455" s="170"/>
      <c r="E455" s="171"/>
      <c r="F455" s="171"/>
      <c r="G455" s="170"/>
      <c r="H455" s="170"/>
      <c r="I455" s="170"/>
      <c r="J455" s="171"/>
      <c r="K455" s="171"/>
      <c r="L455" s="170"/>
      <c r="M455" s="170"/>
      <c r="N455" s="170"/>
      <c r="O455" s="171"/>
      <c r="P455" s="171"/>
      <c r="Q455" s="170"/>
      <c r="R455" s="170"/>
      <c r="S455" s="170"/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0"/>
      <c r="AD455" s="170"/>
      <c r="AE455" s="170"/>
      <c r="AF455" s="170"/>
      <c r="AG455" s="170"/>
      <c r="AH455" s="170"/>
      <c r="AI455" s="170"/>
      <c r="AJ455" s="170"/>
      <c r="AK455" s="171"/>
      <c r="AL455" s="171"/>
      <c r="AM455" s="170"/>
      <c r="AN455" s="170"/>
      <c r="AO455" s="170"/>
      <c r="AP455" s="171"/>
      <c r="AQ455" s="171"/>
      <c r="AR455" s="170"/>
      <c r="AS455" s="170"/>
      <c r="AT455" s="170"/>
      <c r="AU455" s="171"/>
      <c r="AV455" s="171"/>
      <c r="AW455" s="171"/>
      <c r="AX455" s="171"/>
      <c r="AY455" s="171"/>
      <c r="AZ455" s="171"/>
      <c r="BA455" s="171"/>
      <c r="BB455" s="171"/>
      <c r="BC455" s="171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72"/>
      <c r="BP455" s="172"/>
      <c r="BQ455" s="172"/>
      <c r="BR455" s="172"/>
      <c r="BS455" s="172"/>
    </row>
    <row r="456" spans="1:71" ht="12.5" x14ac:dyDescent="0.25">
      <c r="A456" s="170"/>
      <c r="B456" s="170"/>
      <c r="C456" s="170"/>
      <c r="D456" s="170"/>
      <c r="E456" s="171"/>
      <c r="F456" s="171"/>
      <c r="G456" s="170"/>
      <c r="H456" s="170"/>
      <c r="I456" s="170"/>
      <c r="J456" s="171"/>
      <c r="K456" s="171"/>
      <c r="L456" s="170"/>
      <c r="M456" s="170"/>
      <c r="N456" s="170"/>
      <c r="O456" s="171"/>
      <c r="P456" s="171"/>
      <c r="Q456" s="170"/>
      <c r="R456" s="170"/>
      <c r="S456" s="170"/>
      <c r="T456" s="171"/>
      <c r="U456" s="171"/>
      <c r="V456" s="171"/>
      <c r="W456" s="171"/>
      <c r="X456" s="171"/>
      <c r="Y456" s="171"/>
      <c r="Z456" s="171"/>
      <c r="AA456" s="171"/>
      <c r="AB456" s="171"/>
      <c r="AC456" s="170"/>
      <c r="AD456" s="170"/>
      <c r="AE456" s="170"/>
      <c r="AF456" s="170"/>
      <c r="AG456" s="170"/>
      <c r="AH456" s="170"/>
      <c r="AI456" s="170"/>
      <c r="AJ456" s="170"/>
      <c r="AK456" s="171"/>
      <c r="AL456" s="171"/>
      <c r="AM456" s="170"/>
      <c r="AN456" s="170"/>
      <c r="AO456" s="170"/>
      <c r="AP456" s="171"/>
      <c r="AQ456" s="171"/>
      <c r="AR456" s="170"/>
      <c r="AS456" s="170"/>
      <c r="AT456" s="170"/>
      <c r="AU456" s="171"/>
      <c r="AV456" s="171"/>
      <c r="AW456" s="171"/>
      <c r="AX456" s="171"/>
      <c r="AY456" s="171"/>
      <c r="AZ456" s="171"/>
      <c r="BA456" s="171"/>
      <c r="BB456" s="171"/>
      <c r="BC456" s="171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72"/>
      <c r="BP456" s="172"/>
      <c r="BQ456" s="172"/>
      <c r="BR456" s="172"/>
      <c r="BS456" s="172"/>
    </row>
    <row r="457" spans="1:71" ht="12.5" x14ac:dyDescent="0.25">
      <c r="A457" s="170"/>
      <c r="B457" s="170"/>
      <c r="C457" s="170"/>
      <c r="D457" s="170"/>
      <c r="E457" s="171"/>
      <c r="F457" s="171"/>
      <c r="G457" s="170"/>
      <c r="H457" s="170"/>
      <c r="I457" s="170"/>
      <c r="J457" s="171"/>
      <c r="K457" s="171"/>
      <c r="L457" s="170"/>
      <c r="M457" s="170"/>
      <c r="N457" s="170"/>
      <c r="O457" s="171"/>
      <c r="P457" s="171"/>
      <c r="Q457" s="170"/>
      <c r="R457" s="170"/>
      <c r="S457" s="170"/>
      <c r="T457" s="171"/>
      <c r="U457" s="171"/>
      <c r="V457" s="171"/>
      <c r="W457" s="171"/>
      <c r="X457" s="171"/>
      <c r="Y457" s="171"/>
      <c r="Z457" s="171"/>
      <c r="AA457" s="171"/>
      <c r="AB457" s="171"/>
      <c r="AC457" s="170"/>
      <c r="AD457" s="170"/>
      <c r="AE457" s="170"/>
      <c r="AF457" s="170"/>
      <c r="AG457" s="170"/>
      <c r="AH457" s="170"/>
      <c r="AI457" s="170"/>
      <c r="AJ457" s="170"/>
      <c r="AK457" s="171"/>
      <c r="AL457" s="171"/>
      <c r="AM457" s="170"/>
      <c r="AN457" s="170"/>
      <c r="AO457" s="170"/>
      <c r="AP457" s="171"/>
      <c r="AQ457" s="171"/>
      <c r="AR457" s="170"/>
      <c r="AS457" s="170"/>
      <c r="AT457" s="170"/>
      <c r="AU457" s="171"/>
      <c r="AV457" s="171"/>
      <c r="AW457" s="171"/>
      <c r="AX457" s="171"/>
      <c r="AY457" s="171"/>
      <c r="AZ457" s="171"/>
      <c r="BA457" s="171"/>
      <c r="BB457" s="171"/>
      <c r="BC457" s="171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72"/>
      <c r="BP457" s="172"/>
      <c r="BQ457" s="172"/>
      <c r="BR457" s="172"/>
      <c r="BS457" s="172"/>
    </row>
    <row r="458" spans="1:71" ht="12.5" x14ac:dyDescent="0.25">
      <c r="A458" s="170"/>
      <c r="B458" s="170"/>
      <c r="C458" s="170"/>
      <c r="D458" s="170"/>
      <c r="E458" s="171"/>
      <c r="F458" s="171"/>
      <c r="G458" s="170"/>
      <c r="H458" s="170"/>
      <c r="I458" s="170"/>
      <c r="J458" s="171"/>
      <c r="K458" s="171"/>
      <c r="L458" s="170"/>
      <c r="M458" s="170"/>
      <c r="N458" s="170"/>
      <c r="O458" s="171"/>
      <c r="P458" s="171"/>
      <c r="Q458" s="170"/>
      <c r="R458" s="170"/>
      <c r="S458" s="170"/>
      <c r="T458" s="171"/>
      <c r="U458" s="171"/>
      <c r="V458" s="171"/>
      <c r="W458" s="171"/>
      <c r="X458" s="171"/>
      <c r="Y458" s="171"/>
      <c r="Z458" s="171"/>
      <c r="AA458" s="171"/>
      <c r="AB458" s="171"/>
      <c r="AC458" s="170"/>
      <c r="AD458" s="170"/>
      <c r="AE458" s="170"/>
      <c r="AF458" s="170"/>
      <c r="AG458" s="170"/>
      <c r="AH458" s="170"/>
      <c r="AI458" s="170"/>
      <c r="AJ458" s="170"/>
      <c r="AK458" s="171"/>
      <c r="AL458" s="171"/>
      <c r="AM458" s="170"/>
      <c r="AN458" s="170"/>
      <c r="AO458" s="170"/>
      <c r="AP458" s="171"/>
      <c r="AQ458" s="171"/>
      <c r="AR458" s="170"/>
      <c r="AS458" s="170"/>
      <c r="AT458" s="170"/>
      <c r="AU458" s="171"/>
      <c r="AV458" s="171"/>
      <c r="AW458" s="171"/>
      <c r="AX458" s="171"/>
      <c r="AY458" s="171"/>
      <c r="AZ458" s="171"/>
      <c r="BA458" s="171"/>
      <c r="BB458" s="171"/>
      <c r="BC458" s="171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72"/>
      <c r="BP458" s="172"/>
      <c r="BQ458" s="172"/>
      <c r="BR458" s="172"/>
      <c r="BS458" s="172"/>
    </row>
    <row r="459" spans="1:71" ht="12.5" x14ac:dyDescent="0.25">
      <c r="A459" s="170"/>
      <c r="B459" s="170"/>
      <c r="C459" s="170"/>
      <c r="D459" s="170"/>
      <c r="E459" s="171"/>
      <c r="F459" s="171"/>
      <c r="G459" s="170"/>
      <c r="H459" s="170"/>
      <c r="I459" s="170"/>
      <c r="J459" s="171"/>
      <c r="K459" s="171"/>
      <c r="L459" s="170"/>
      <c r="M459" s="170"/>
      <c r="N459" s="170"/>
      <c r="O459" s="171"/>
      <c r="P459" s="171"/>
      <c r="Q459" s="170"/>
      <c r="R459" s="170"/>
      <c r="S459" s="170"/>
      <c r="T459" s="171"/>
      <c r="U459" s="171"/>
      <c r="V459" s="171"/>
      <c r="W459" s="171"/>
      <c r="X459" s="171"/>
      <c r="Y459" s="171"/>
      <c r="Z459" s="171"/>
      <c r="AA459" s="171"/>
      <c r="AB459" s="171"/>
      <c r="AC459" s="170"/>
      <c r="AD459" s="170"/>
      <c r="AE459" s="170"/>
      <c r="AF459" s="170"/>
      <c r="AG459" s="170"/>
      <c r="AH459" s="170"/>
      <c r="AI459" s="170"/>
      <c r="AJ459" s="170"/>
      <c r="AK459" s="171"/>
      <c r="AL459" s="171"/>
      <c r="AM459" s="170"/>
      <c r="AN459" s="170"/>
      <c r="AO459" s="170"/>
      <c r="AP459" s="171"/>
      <c r="AQ459" s="171"/>
      <c r="AR459" s="170"/>
      <c r="AS459" s="170"/>
      <c r="AT459" s="170"/>
      <c r="AU459" s="171"/>
      <c r="AV459" s="171"/>
      <c r="AW459" s="171"/>
      <c r="AX459" s="171"/>
      <c r="AY459" s="171"/>
      <c r="AZ459" s="171"/>
      <c r="BA459" s="171"/>
      <c r="BB459" s="171"/>
      <c r="BC459" s="171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72"/>
      <c r="BP459" s="172"/>
      <c r="BQ459" s="172"/>
      <c r="BR459" s="172"/>
      <c r="BS459" s="172"/>
    </row>
    <row r="460" spans="1:71" ht="12.5" x14ac:dyDescent="0.25">
      <c r="A460" s="170"/>
      <c r="B460" s="170"/>
      <c r="C460" s="170"/>
      <c r="D460" s="170"/>
      <c r="E460" s="171"/>
      <c r="F460" s="171"/>
      <c r="G460" s="170"/>
      <c r="H460" s="170"/>
      <c r="I460" s="170"/>
      <c r="J460" s="171"/>
      <c r="K460" s="171"/>
      <c r="L460" s="170"/>
      <c r="M460" s="170"/>
      <c r="N460" s="170"/>
      <c r="O460" s="171"/>
      <c r="P460" s="171"/>
      <c r="Q460" s="170"/>
      <c r="R460" s="170"/>
      <c r="S460" s="170"/>
      <c r="T460" s="171"/>
      <c r="U460" s="171"/>
      <c r="V460" s="171"/>
      <c r="W460" s="171"/>
      <c r="X460" s="171"/>
      <c r="Y460" s="171"/>
      <c r="Z460" s="171"/>
      <c r="AA460" s="171"/>
      <c r="AB460" s="171"/>
      <c r="AC460" s="170"/>
      <c r="AD460" s="170"/>
      <c r="AE460" s="170"/>
      <c r="AF460" s="170"/>
      <c r="AG460" s="170"/>
      <c r="AH460" s="170"/>
      <c r="AI460" s="170"/>
      <c r="AJ460" s="170"/>
      <c r="AK460" s="171"/>
      <c r="AL460" s="171"/>
      <c r="AM460" s="170"/>
      <c r="AN460" s="170"/>
      <c r="AO460" s="170"/>
      <c r="AP460" s="171"/>
      <c r="AQ460" s="171"/>
      <c r="AR460" s="170"/>
      <c r="AS460" s="170"/>
      <c r="AT460" s="170"/>
      <c r="AU460" s="171"/>
      <c r="AV460" s="171"/>
      <c r="AW460" s="171"/>
      <c r="AX460" s="171"/>
      <c r="AY460" s="171"/>
      <c r="AZ460" s="171"/>
      <c r="BA460" s="171"/>
      <c r="BB460" s="171"/>
      <c r="BC460" s="171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72"/>
      <c r="BP460" s="172"/>
      <c r="BQ460" s="172"/>
      <c r="BR460" s="172"/>
      <c r="BS460" s="172"/>
    </row>
    <row r="461" spans="1:71" ht="12.5" x14ac:dyDescent="0.25">
      <c r="A461" s="170"/>
      <c r="B461" s="170"/>
      <c r="C461" s="170"/>
      <c r="D461" s="170"/>
      <c r="E461" s="171"/>
      <c r="F461" s="171"/>
      <c r="G461" s="170"/>
      <c r="H461" s="170"/>
      <c r="I461" s="170"/>
      <c r="J461" s="171"/>
      <c r="K461" s="171"/>
      <c r="L461" s="170"/>
      <c r="M461" s="170"/>
      <c r="N461" s="170"/>
      <c r="O461" s="171"/>
      <c r="P461" s="171"/>
      <c r="Q461" s="170"/>
      <c r="R461" s="170"/>
      <c r="S461" s="170"/>
      <c r="T461" s="171"/>
      <c r="U461" s="171"/>
      <c r="V461" s="171"/>
      <c r="W461" s="171"/>
      <c r="X461" s="171"/>
      <c r="Y461" s="171"/>
      <c r="Z461" s="171"/>
      <c r="AA461" s="171"/>
      <c r="AB461" s="171"/>
      <c r="AC461" s="170"/>
      <c r="AD461" s="170"/>
      <c r="AE461" s="170"/>
      <c r="AF461" s="170"/>
      <c r="AG461" s="170"/>
      <c r="AH461" s="170"/>
      <c r="AI461" s="170"/>
      <c r="AJ461" s="170"/>
      <c r="AK461" s="171"/>
      <c r="AL461" s="171"/>
      <c r="AM461" s="170"/>
      <c r="AN461" s="170"/>
      <c r="AO461" s="170"/>
      <c r="AP461" s="171"/>
      <c r="AQ461" s="171"/>
      <c r="AR461" s="170"/>
      <c r="AS461" s="170"/>
      <c r="AT461" s="170"/>
      <c r="AU461" s="171"/>
      <c r="AV461" s="171"/>
      <c r="AW461" s="171"/>
      <c r="AX461" s="171"/>
      <c r="AY461" s="171"/>
      <c r="AZ461" s="171"/>
      <c r="BA461" s="171"/>
      <c r="BB461" s="171"/>
      <c r="BC461" s="171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72"/>
      <c r="BP461" s="172"/>
      <c r="BQ461" s="172"/>
      <c r="BR461" s="172"/>
      <c r="BS461" s="172"/>
    </row>
    <row r="462" spans="1:71" ht="12.5" x14ac:dyDescent="0.25">
      <c r="A462" s="170"/>
      <c r="B462" s="170"/>
      <c r="C462" s="170"/>
      <c r="D462" s="170"/>
      <c r="E462" s="171"/>
      <c r="F462" s="171"/>
      <c r="G462" s="170"/>
      <c r="H462" s="170"/>
      <c r="I462" s="170"/>
      <c r="J462" s="171"/>
      <c r="K462" s="171"/>
      <c r="L462" s="170"/>
      <c r="M462" s="170"/>
      <c r="N462" s="170"/>
      <c r="O462" s="171"/>
      <c r="P462" s="171"/>
      <c r="Q462" s="170"/>
      <c r="R462" s="170"/>
      <c r="S462" s="170"/>
      <c r="T462" s="171"/>
      <c r="U462" s="171"/>
      <c r="V462" s="171"/>
      <c r="W462" s="171"/>
      <c r="X462" s="171"/>
      <c r="Y462" s="171"/>
      <c r="Z462" s="171"/>
      <c r="AA462" s="171"/>
      <c r="AB462" s="171"/>
      <c r="AC462" s="170"/>
      <c r="AD462" s="170"/>
      <c r="AE462" s="170"/>
      <c r="AF462" s="170"/>
      <c r="AG462" s="170"/>
      <c r="AH462" s="170"/>
      <c r="AI462" s="170"/>
      <c r="AJ462" s="170"/>
      <c r="AK462" s="171"/>
      <c r="AL462" s="171"/>
      <c r="AM462" s="170"/>
      <c r="AN462" s="170"/>
      <c r="AO462" s="170"/>
      <c r="AP462" s="171"/>
      <c r="AQ462" s="171"/>
      <c r="AR462" s="170"/>
      <c r="AS462" s="170"/>
      <c r="AT462" s="170"/>
      <c r="AU462" s="171"/>
      <c r="AV462" s="171"/>
      <c r="AW462" s="171"/>
      <c r="AX462" s="171"/>
      <c r="AY462" s="171"/>
      <c r="AZ462" s="171"/>
      <c r="BA462" s="171"/>
      <c r="BB462" s="171"/>
      <c r="BC462" s="171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72"/>
      <c r="BR462" s="172"/>
      <c r="BS462" s="172"/>
    </row>
    <row r="463" spans="1:71" ht="12.5" x14ac:dyDescent="0.25">
      <c r="A463" s="170"/>
      <c r="B463" s="170"/>
      <c r="C463" s="170"/>
      <c r="D463" s="170"/>
      <c r="E463" s="171"/>
      <c r="F463" s="171"/>
      <c r="G463" s="170"/>
      <c r="H463" s="170"/>
      <c r="I463" s="170"/>
      <c r="J463" s="171"/>
      <c r="K463" s="171"/>
      <c r="L463" s="170"/>
      <c r="M463" s="170"/>
      <c r="N463" s="170"/>
      <c r="O463" s="171"/>
      <c r="P463" s="171"/>
      <c r="Q463" s="170"/>
      <c r="R463" s="170"/>
      <c r="S463" s="170"/>
      <c r="T463" s="171"/>
      <c r="U463" s="171"/>
      <c r="V463" s="171"/>
      <c r="W463" s="171"/>
      <c r="X463" s="171"/>
      <c r="Y463" s="171"/>
      <c r="Z463" s="171"/>
      <c r="AA463" s="171"/>
      <c r="AB463" s="171"/>
      <c r="AC463" s="170"/>
      <c r="AD463" s="170"/>
      <c r="AE463" s="170"/>
      <c r="AF463" s="170"/>
      <c r="AG463" s="170"/>
      <c r="AH463" s="170"/>
      <c r="AI463" s="170"/>
      <c r="AJ463" s="170"/>
      <c r="AK463" s="171"/>
      <c r="AL463" s="171"/>
      <c r="AM463" s="170"/>
      <c r="AN463" s="170"/>
      <c r="AO463" s="170"/>
      <c r="AP463" s="171"/>
      <c r="AQ463" s="171"/>
      <c r="AR463" s="170"/>
      <c r="AS463" s="170"/>
      <c r="AT463" s="170"/>
      <c r="AU463" s="171"/>
      <c r="AV463" s="171"/>
      <c r="AW463" s="171"/>
      <c r="AX463" s="171"/>
      <c r="AY463" s="171"/>
      <c r="AZ463" s="171"/>
      <c r="BA463" s="171"/>
      <c r="BB463" s="171"/>
      <c r="BC463" s="171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72"/>
      <c r="BR463" s="172"/>
      <c r="BS463" s="172"/>
    </row>
    <row r="464" spans="1:71" ht="12.5" x14ac:dyDescent="0.25">
      <c r="A464" s="170"/>
      <c r="B464" s="170"/>
      <c r="C464" s="170"/>
      <c r="D464" s="170"/>
      <c r="E464" s="171"/>
      <c r="F464" s="171"/>
      <c r="G464" s="170"/>
      <c r="H464" s="170"/>
      <c r="I464" s="170"/>
      <c r="J464" s="171"/>
      <c r="K464" s="171"/>
      <c r="L464" s="170"/>
      <c r="M464" s="170"/>
      <c r="N464" s="170"/>
      <c r="O464" s="171"/>
      <c r="P464" s="171"/>
      <c r="Q464" s="170"/>
      <c r="R464" s="170"/>
      <c r="S464" s="170"/>
      <c r="T464" s="171"/>
      <c r="U464" s="171"/>
      <c r="V464" s="171"/>
      <c r="W464" s="171"/>
      <c r="X464" s="171"/>
      <c r="Y464" s="171"/>
      <c r="Z464" s="171"/>
      <c r="AA464" s="171"/>
      <c r="AB464" s="171"/>
      <c r="AC464" s="170"/>
      <c r="AD464" s="170"/>
      <c r="AE464" s="170"/>
      <c r="AF464" s="170"/>
      <c r="AG464" s="170"/>
      <c r="AH464" s="170"/>
      <c r="AI464" s="170"/>
      <c r="AJ464" s="170"/>
      <c r="AK464" s="171"/>
      <c r="AL464" s="171"/>
      <c r="AM464" s="170"/>
      <c r="AN464" s="170"/>
      <c r="AO464" s="170"/>
      <c r="AP464" s="171"/>
      <c r="AQ464" s="171"/>
      <c r="AR464" s="170"/>
      <c r="AS464" s="170"/>
      <c r="AT464" s="170"/>
      <c r="AU464" s="171"/>
      <c r="AV464" s="171"/>
      <c r="AW464" s="171"/>
      <c r="AX464" s="171"/>
      <c r="AY464" s="171"/>
      <c r="AZ464" s="171"/>
      <c r="BA464" s="171"/>
      <c r="BB464" s="171"/>
      <c r="BC464" s="171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72"/>
      <c r="BP464" s="172"/>
      <c r="BQ464" s="172"/>
      <c r="BR464" s="172"/>
      <c r="BS464" s="172"/>
    </row>
    <row r="465" spans="1:71" ht="12.5" x14ac:dyDescent="0.25">
      <c r="A465" s="170"/>
      <c r="B465" s="170"/>
      <c r="C465" s="170"/>
      <c r="D465" s="170"/>
      <c r="E465" s="171"/>
      <c r="F465" s="171"/>
      <c r="G465" s="170"/>
      <c r="H465" s="170"/>
      <c r="I465" s="170"/>
      <c r="J465" s="171"/>
      <c r="K465" s="171"/>
      <c r="L465" s="170"/>
      <c r="M465" s="170"/>
      <c r="N465" s="170"/>
      <c r="O465" s="171"/>
      <c r="P465" s="171"/>
      <c r="Q465" s="170"/>
      <c r="R465" s="170"/>
      <c r="S465" s="170"/>
      <c r="T465" s="171"/>
      <c r="U465" s="171"/>
      <c r="V465" s="171"/>
      <c r="W465" s="171"/>
      <c r="X465" s="171"/>
      <c r="Y465" s="171"/>
      <c r="Z465" s="171"/>
      <c r="AA465" s="171"/>
      <c r="AB465" s="171"/>
      <c r="AC465" s="170"/>
      <c r="AD465" s="170"/>
      <c r="AE465" s="170"/>
      <c r="AF465" s="170"/>
      <c r="AG465" s="170"/>
      <c r="AH465" s="170"/>
      <c r="AI465" s="170"/>
      <c r="AJ465" s="170"/>
      <c r="AK465" s="171"/>
      <c r="AL465" s="171"/>
      <c r="AM465" s="170"/>
      <c r="AN465" s="170"/>
      <c r="AO465" s="170"/>
      <c r="AP465" s="171"/>
      <c r="AQ465" s="171"/>
      <c r="AR465" s="170"/>
      <c r="AS465" s="170"/>
      <c r="AT465" s="170"/>
      <c r="AU465" s="171"/>
      <c r="AV465" s="171"/>
      <c r="AW465" s="171"/>
      <c r="AX465" s="171"/>
      <c r="AY465" s="171"/>
      <c r="AZ465" s="171"/>
      <c r="BA465" s="171"/>
      <c r="BB465" s="171"/>
      <c r="BC465" s="171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72"/>
      <c r="BP465" s="172"/>
      <c r="BQ465" s="172"/>
      <c r="BR465" s="172"/>
      <c r="BS465" s="172"/>
    </row>
    <row r="466" spans="1:71" ht="12.5" x14ac:dyDescent="0.25">
      <c r="A466" s="170"/>
      <c r="B466" s="170"/>
      <c r="C466" s="170"/>
      <c r="D466" s="170"/>
      <c r="E466" s="171"/>
      <c r="F466" s="171"/>
      <c r="G466" s="170"/>
      <c r="H466" s="170"/>
      <c r="I466" s="170"/>
      <c r="J466" s="171"/>
      <c r="K466" s="171"/>
      <c r="L466" s="170"/>
      <c r="M466" s="170"/>
      <c r="N466" s="170"/>
      <c r="O466" s="171"/>
      <c r="P466" s="171"/>
      <c r="Q466" s="170"/>
      <c r="R466" s="170"/>
      <c r="S466" s="170"/>
      <c r="T466" s="171"/>
      <c r="U466" s="171"/>
      <c r="V466" s="171"/>
      <c r="W466" s="171"/>
      <c r="X466" s="171"/>
      <c r="Y466" s="171"/>
      <c r="Z466" s="171"/>
      <c r="AA466" s="171"/>
      <c r="AB466" s="171"/>
      <c r="AC466" s="170"/>
      <c r="AD466" s="170"/>
      <c r="AE466" s="170"/>
      <c r="AF466" s="170"/>
      <c r="AG466" s="170"/>
      <c r="AH466" s="170"/>
      <c r="AI466" s="170"/>
      <c r="AJ466" s="170"/>
      <c r="AK466" s="171"/>
      <c r="AL466" s="171"/>
      <c r="AM466" s="170"/>
      <c r="AN466" s="170"/>
      <c r="AO466" s="170"/>
      <c r="AP466" s="171"/>
      <c r="AQ466" s="171"/>
      <c r="AR466" s="170"/>
      <c r="AS466" s="170"/>
      <c r="AT466" s="170"/>
      <c r="AU466" s="171"/>
      <c r="AV466" s="171"/>
      <c r="AW466" s="171"/>
      <c r="AX466" s="171"/>
      <c r="AY466" s="171"/>
      <c r="AZ466" s="171"/>
      <c r="BA466" s="171"/>
      <c r="BB466" s="171"/>
      <c r="BC466" s="171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72"/>
      <c r="BP466" s="172"/>
      <c r="BQ466" s="172"/>
      <c r="BR466" s="172"/>
      <c r="BS466" s="172"/>
    </row>
    <row r="467" spans="1:71" ht="12.5" x14ac:dyDescent="0.25">
      <c r="A467" s="170"/>
      <c r="B467" s="170"/>
      <c r="C467" s="170"/>
      <c r="D467" s="170"/>
      <c r="E467" s="171"/>
      <c r="F467" s="171"/>
      <c r="G467" s="170"/>
      <c r="H467" s="170"/>
      <c r="I467" s="170"/>
      <c r="J467" s="171"/>
      <c r="K467" s="171"/>
      <c r="L467" s="170"/>
      <c r="M467" s="170"/>
      <c r="N467" s="170"/>
      <c r="O467" s="171"/>
      <c r="P467" s="171"/>
      <c r="Q467" s="170"/>
      <c r="R467" s="170"/>
      <c r="S467" s="170"/>
      <c r="T467" s="171"/>
      <c r="U467" s="171"/>
      <c r="V467" s="171"/>
      <c r="W467" s="171"/>
      <c r="X467" s="171"/>
      <c r="Y467" s="171"/>
      <c r="Z467" s="171"/>
      <c r="AA467" s="171"/>
      <c r="AB467" s="171"/>
      <c r="AC467" s="170"/>
      <c r="AD467" s="170"/>
      <c r="AE467" s="170"/>
      <c r="AF467" s="170"/>
      <c r="AG467" s="170"/>
      <c r="AH467" s="170"/>
      <c r="AI467" s="170"/>
      <c r="AJ467" s="170"/>
      <c r="AK467" s="171"/>
      <c r="AL467" s="171"/>
      <c r="AM467" s="170"/>
      <c r="AN467" s="170"/>
      <c r="AO467" s="170"/>
      <c r="AP467" s="171"/>
      <c r="AQ467" s="171"/>
      <c r="AR467" s="170"/>
      <c r="AS467" s="170"/>
      <c r="AT467" s="170"/>
      <c r="AU467" s="171"/>
      <c r="AV467" s="171"/>
      <c r="AW467" s="171"/>
      <c r="AX467" s="171"/>
      <c r="AY467" s="171"/>
      <c r="AZ467" s="171"/>
      <c r="BA467" s="171"/>
      <c r="BB467" s="171"/>
      <c r="BC467" s="171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72"/>
      <c r="BP467" s="172"/>
      <c r="BQ467" s="172"/>
      <c r="BR467" s="172"/>
      <c r="BS467" s="172"/>
    </row>
    <row r="468" spans="1:71" ht="12.5" x14ac:dyDescent="0.25">
      <c r="A468" s="170"/>
      <c r="B468" s="170"/>
      <c r="C468" s="170"/>
      <c r="D468" s="170"/>
      <c r="E468" s="171"/>
      <c r="F468" s="171"/>
      <c r="G468" s="170"/>
      <c r="H468" s="170"/>
      <c r="I468" s="170"/>
      <c r="J468" s="171"/>
      <c r="K468" s="171"/>
      <c r="L468" s="170"/>
      <c r="M468" s="170"/>
      <c r="N468" s="170"/>
      <c r="O468" s="171"/>
      <c r="P468" s="171"/>
      <c r="Q468" s="170"/>
      <c r="R468" s="170"/>
      <c r="S468" s="170"/>
      <c r="T468" s="171"/>
      <c r="U468" s="171"/>
      <c r="V468" s="171"/>
      <c r="W468" s="171"/>
      <c r="X468" s="171"/>
      <c r="Y468" s="171"/>
      <c r="Z468" s="171"/>
      <c r="AA468" s="171"/>
      <c r="AB468" s="171"/>
      <c r="AC468" s="170"/>
      <c r="AD468" s="170"/>
      <c r="AE468" s="170"/>
      <c r="AF468" s="170"/>
      <c r="AG468" s="170"/>
      <c r="AH468" s="170"/>
      <c r="AI468" s="170"/>
      <c r="AJ468" s="170"/>
      <c r="AK468" s="171"/>
      <c r="AL468" s="171"/>
      <c r="AM468" s="170"/>
      <c r="AN468" s="170"/>
      <c r="AO468" s="170"/>
      <c r="AP468" s="171"/>
      <c r="AQ468" s="171"/>
      <c r="AR468" s="170"/>
      <c r="AS468" s="170"/>
      <c r="AT468" s="170"/>
      <c r="AU468" s="171"/>
      <c r="AV468" s="171"/>
      <c r="AW468" s="171"/>
      <c r="AX468" s="171"/>
      <c r="AY468" s="171"/>
      <c r="AZ468" s="171"/>
      <c r="BA468" s="171"/>
      <c r="BB468" s="171"/>
      <c r="BC468" s="171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72"/>
      <c r="BP468" s="172"/>
      <c r="BQ468" s="172"/>
      <c r="BR468" s="172"/>
      <c r="BS468" s="172"/>
    </row>
    <row r="469" spans="1:71" ht="12.5" x14ac:dyDescent="0.25">
      <c r="A469" s="170"/>
      <c r="B469" s="170"/>
      <c r="C469" s="170"/>
      <c r="D469" s="170"/>
      <c r="E469" s="171"/>
      <c r="F469" s="171"/>
      <c r="G469" s="170"/>
      <c r="H469" s="170"/>
      <c r="I469" s="170"/>
      <c r="J469" s="171"/>
      <c r="K469" s="171"/>
      <c r="L469" s="170"/>
      <c r="M469" s="170"/>
      <c r="N469" s="170"/>
      <c r="O469" s="171"/>
      <c r="P469" s="171"/>
      <c r="Q469" s="170"/>
      <c r="R469" s="170"/>
      <c r="S469" s="170"/>
      <c r="T469" s="171"/>
      <c r="U469" s="171"/>
      <c r="V469" s="171"/>
      <c r="W469" s="171"/>
      <c r="X469" s="171"/>
      <c r="Y469" s="171"/>
      <c r="Z469" s="171"/>
      <c r="AA469" s="171"/>
      <c r="AB469" s="171"/>
      <c r="AC469" s="170"/>
      <c r="AD469" s="170"/>
      <c r="AE469" s="170"/>
      <c r="AF469" s="170"/>
      <c r="AG469" s="170"/>
      <c r="AH469" s="170"/>
      <c r="AI469" s="170"/>
      <c r="AJ469" s="170"/>
      <c r="AK469" s="171"/>
      <c r="AL469" s="171"/>
      <c r="AM469" s="170"/>
      <c r="AN469" s="170"/>
      <c r="AO469" s="170"/>
      <c r="AP469" s="171"/>
      <c r="AQ469" s="171"/>
      <c r="AR469" s="170"/>
      <c r="AS469" s="170"/>
      <c r="AT469" s="170"/>
      <c r="AU469" s="171"/>
      <c r="AV469" s="171"/>
      <c r="AW469" s="171"/>
      <c r="AX469" s="171"/>
      <c r="AY469" s="171"/>
      <c r="AZ469" s="171"/>
      <c r="BA469" s="171"/>
      <c r="BB469" s="171"/>
      <c r="BC469" s="171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72"/>
      <c r="BP469" s="172"/>
      <c r="BQ469" s="172"/>
      <c r="BR469" s="172"/>
      <c r="BS469" s="172"/>
    </row>
    <row r="470" spans="1:71" ht="12.5" x14ac:dyDescent="0.25">
      <c r="A470" s="170"/>
      <c r="B470" s="170"/>
      <c r="C470" s="170"/>
      <c r="D470" s="170"/>
      <c r="E470" s="171"/>
      <c r="F470" s="171"/>
      <c r="G470" s="170"/>
      <c r="H470" s="170"/>
      <c r="I470" s="170"/>
      <c r="J470" s="171"/>
      <c r="K470" s="171"/>
      <c r="L470" s="170"/>
      <c r="M470" s="170"/>
      <c r="N470" s="170"/>
      <c r="O470" s="171"/>
      <c r="P470" s="171"/>
      <c r="Q470" s="170"/>
      <c r="R470" s="170"/>
      <c r="S470" s="170"/>
      <c r="T470" s="171"/>
      <c r="U470" s="171"/>
      <c r="V470" s="171"/>
      <c r="W470" s="171"/>
      <c r="X470" s="171"/>
      <c r="Y470" s="171"/>
      <c r="Z470" s="171"/>
      <c r="AA470" s="171"/>
      <c r="AB470" s="171"/>
      <c r="AC470" s="170"/>
      <c r="AD470" s="170"/>
      <c r="AE470" s="170"/>
      <c r="AF470" s="170"/>
      <c r="AG470" s="170"/>
      <c r="AH470" s="170"/>
      <c r="AI470" s="170"/>
      <c r="AJ470" s="170"/>
      <c r="AK470" s="171"/>
      <c r="AL470" s="171"/>
      <c r="AM470" s="170"/>
      <c r="AN470" s="170"/>
      <c r="AO470" s="170"/>
      <c r="AP470" s="171"/>
      <c r="AQ470" s="171"/>
      <c r="AR470" s="170"/>
      <c r="AS470" s="170"/>
      <c r="AT470" s="170"/>
      <c r="AU470" s="171"/>
      <c r="AV470" s="171"/>
      <c r="AW470" s="171"/>
      <c r="AX470" s="171"/>
      <c r="AY470" s="171"/>
      <c r="AZ470" s="171"/>
      <c r="BA470" s="171"/>
      <c r="BB470" s="171"/>
      <c r="BC470" s="171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72"/>
      <c r="BP470" s="172"/>
      <c r="BQ470" s="172"/>
      <c r="BR470" s="172"/>
      <c r="BS470" s="172"/>
    </row>
    <row r="471" spans="1:71" ht="12.5" x14ac:dyDescent="0.25">
      <c r="A471" s="170"/>
      <c r="B471" s="170"/>
      <c r="C471" s="170"/>
      <c r="D471" s="170"/>
      <c r="E471" s="171"/>
      <c r="F471" s="171"/>
      <c r="G471" s="170"/>
      <c r="H471" s="170"/>
      <c r="I471" s="170"/>
      <c r="J471" s="171"/>
      <c r="K471" s="171"/>
      <c r="L471" s="170"/>
      <c r="M471" s="170"/>
      <c r="N471" s="170"/>
      <c r="O471" s="171"/>
      <c r="P471" s="171"/>
      <c r="Q471" s="170"/>
      <c r="R471" s="170"/>
      <c r="S471" s="170"/>
      <c r="T471" s="171"/>
      <c r="U471" s="171"/>
      <c r="V471" s="171"/>
      <c r="W471" s="171"/>
      <c r="X471" s="171"/>
      <c r="Y471" s="171"/>
      <c r="Z471" s="171"/>
      <c r="AA471" s="171"/>
      <c r="AB471" s="171"/>
      <c r="AC471" s="170"/>
      <c r="AD471" s="170"/>
      <c r="AE471" s="170"/>
      <c r="AF471" s="170"/>
      <c r="AG471" s="170"/>
      <c r="AH471" s="170"/>
      <c r="AI471" s="170"/>
      <c r="AJ471" s="170"/>
      <c r="AK471" s="171"/>
      <c r="AL471" s="171"/>
      <c r="AM471" s="170"/>
      <c r="AN471" s="170"/>
      <c r="AO471" s="170"/>
      <c r="AP471" s="171"/>
      <c r="AQ471" s="171"/>
      <c r="AR471" s="170"/>
      <c r="AS471" s="170"/>
      <c r="AT471" s="170"/>
      <c r="AU471" s="171"/>
      <c r="AV471" s="171"/>
      <c r="AW471" s="171"/>
      <c r="AX471" s="171"/>
      <c r="AY471" s="171"/>
      <c r="AZ471" s="171"/>
      <c r="BA471" s="171"/>
      <c r="BB471" s="171"/>
      <c r="BC471" s="171"/>
      <c r="BD471" s="172"/>
      <c r="BE471" s="172"/>
      <c r="BF471" s="172"/>
      <c r="BG471" s="172"/>
      <c r="BH471" s="172"/>
      <c r="BI471" s="172"/>
      <c r="BJ471" s="172"/>
      <c r="BK471" s="172"/>
      <c r="BL471" s="172"/>
      <c r="BM471" s="172"/>
      <c r="BN471" s="172"/>
      <c r="BO471" s="172"/>
      <c r="BP471" s="172"/>
      <c r="BQ471" s="172"/>
      <c r="BR471" s="172"/>
      <c r="BS471" s="172"/>
    </row>
    <row r="472" spans="1:71" ht="12.5" x14ac:dyDescent="0.25">
      <c r="A472" s="170"/>
      <c r="B472" s="170"/>
      <c r="C472" s="170"/>
      <c r="D472" s="170"/>
      <c r="E472" s="171"/>
      <c r="F472" s="171"/>
      <c r="G472" s="170"/>
      <c r="H472" s="170"/>
      <c r="I472" s="170"/>
      <c r="J472" s="171"/>
      <c r="K472" s="171"/>
      <c r="L472" s="170"/>
      <c r="M472" s="170"/>
      <c r="N472" s="170"/>
      <c r="O472" s="171"/>
      <c r="P472" s="171"/>
      <c r="Q472" s="170"/>
      <c r="R472" s="170"/>
      <c r="S472" s="170"/>
      <c r="T472" s="171"/>
      <c r="U472" s="171"/>
      <c r="V472" s="171"/>
      <c r="W472" s="171"/>
      <c r="X472" s="171"/>
      <c r="Y472" s="171"/>
      <c r="Z472" s="171"/>
      <c r="AA472" s="171"/>
      <c r="AB472" s="171"/>
      <c r="AC472" s="170"/>
      <c r="AD472" s="170"/>
      <c r="AE472" s="170"/>
      <c r="AF472" s="170"/>
      <c r="AG472" s="170"/>
      <c r="AH472" s="170"/>
      <c r="AI472" s="170"/>
      <c r="AJ472" s="170"/>
      <c r="AK472" s="171"/>
      <c r="AL472" s="171"/>
      <c r="AM472" s="170"/>
      <c r="AN472" s="170"/>
      <c r="AO472" s="170"/>
      <c r="AP472" s="171"/>
      <c r="AQ472" s="171"/>
      <c r="AR472" s="170"/>
      <c r="AS472" s="170"/>
      <c r="AT472" s="170"/>
      <c r="AU472" s="171"/>
      <c r="AV472" s="171"/>
      <c r="AW472" s="171"/>
      <c r="AX472" s="171"/>
      <c r="AY472" s="171"/>
      <c r="AZ472" s="171"/>
      <c r="BA472" s="171"/>
      <c r="BB472" s="171"/>
      <c r="BC472" s="171"/>
      <c r="BD472" s="172"/>
      <c r="BE472" s="172"/>
      <c r="BF472" s="172"/>
      <c r="BG472" s="172"/>
      <c r="BH472" s="172"/>
      <c r="BI472" s="172"/>
      <c r="BJ472" s="172"/>
      <c r="BK472" s="172"/>
      <c r="BL472" s="172"/>
      <c r="BM472" s="172"/>
      <c r="BN472" s="172"/>
      <c r="BO472" s="172"/>
      <c r="BP472" s="172"/>
      <c r="BQ472" s="172"/>
      <c r="BR472" s="172"/>
      <c r="BS472" s="172"/>
    </row>
    <row r="473" spans="1:71" ht="12.5" x14ac:dyDescent="0.25">
      <c r="A473" s="170"/>
      <c r="B473" s="170"/>
      <c r="C473" s="170"/>
      <c r="D473" s="170"/>
      <c r="E473" s="171"/>
      <c r="F473" s="171"/>
      <c r="G473" s="170"/>
      <c r="H473" s="170"/>
      <c r="I473" s="170"/>
      <c r="J473" s="171"/>
      <c r="K473" s="171"/>
      <c r="L473" s="170"/>
      <c r="M473" s="170"/>
      <c r="N473" s="170"/>
      <c r="O473" s="171"/>
      <c r="P473" s="171"/>
      <c r="Q473" s="170"/>
      <c r="R473" s="170"/>
      <c r="S473" s="170"/>
      <c r="T473" s="171"/>
      <c r="U473" s="171"/>
      <c r="V473" s="171"/>
      <c r="W473" s="171"/>
      <c r="X473" s="171"/>
      <c r="Y473" s="171"/>
      <c r="Z473" s="171"/>
      <c r="AA473" s="171"/>
      <c r="AB473" s="171"/>
      <c r="AC473" s="170"/>
      <c r="AD473" s="170"/>
      <c r="AE473" s="170"/>
      <c r="AF473" s="170"/>
      <c r="AG473" s="170"/>
      <c r="AH473" s="170"/>
      <c r="AI473" s="170"/>
      <c r="AJ473" s="170"/>
      <c r="AK473" s="171"/>
      <c r="AL473" s="171"/>
      <c r="AM473" s="170"/>
      <c r="AN473" s="170"/>
      <c r="AO473" s="170"/>
      <c r="AP473" s="171"/>
      <c r="AQ473" s="171"/>
      <c r="AR473" s="170"/>
      <c r="AS473" s="170"/>
      <c r="AT473" s="170"/>
      <c r="AU473" s="171"/>
      <c r="AV473" s="171"/>
      <c r="AW473" s="171"/>
      <c r="AX473" s="171"/>
      <c r="AY473" s="171"/>
      <c r="AZ473" s="171"/>
      <c r="BA473" s="171"/>
      <c r="BB473" s="171"/>
      <c r="BC473" s="171"/>
      <c r="BD473" s="172"/>
      <c r="BE473" s="172"/>
      <c r="BF473" s="172"/>
      <c r="BG473" s="172"/>
      <c r="BH473" s="172"/>
      <c r="BI473" s="172"/>
      <c r="BJ473" s="172"/>
      <c r="BK473" s="172"/>
      <c r="BL473" s="172"/>
      <c r="BM473" s="172"/>
      <c r="BN473" s="172"/>
      <c r="BO473" s="172"/>
      <c r="BP473" s="172"/>
      <c r="BQ473" s="172"/>
      <c r="BR473" s="172"/>
      <c r="BS473" s="172"/>
    </row>
    <row r="474" spans="1:71" ht="12.5" x14ac:dyDescent="0.25">
      <c r="A474" s="170"/>
      <c r="B474" s="170"/>
      <c r="C474" s="170"/>
      <c r="D474" s="170"/>
      <c r="E474" s="171"/>
      <c r="F474" s="171"/>
      <c r="G474" s="170"/>
      <c r="H474" s="170"/>
      <c r="I474" s="170"/>
      <c r="J474" s="171"/>
      <c r="K474" s="171"/>
      <c r="L474" s="170"/>
      <c r="M474" s="170"/>
      <c r="N474" s="170"/>
      <c r="O474" s="171"/>
      <c r="P474" s="171"/>
      <c r="Q474" s="170"/>
      <c r="R474" s="170"/>
      <c r="S474" s="170"/>
      <c r="T474" s="171"/>
      <c r="U474" s="171"/>
      <c r="V474" s="171"/>
      <c r="W474" s="171"/>
      <c r="X474" s="171"/>
      <c r="Y474" s="171"/>
      <c r="Z474" s="171"/>
      <c r="AA474" s="171"/>
      <c r="AB474" s="171"/>
      <c r="AC474" s="170"/>
      <c r="AD474" s="170"/>
      <c r="AE474" s="170"/>
      <c r="AF474" s="170"/>
      <c r="AG474" s="170"/>
      <c r="AH474" s="170"/>
      <c r="AI474" s="170"/>
      <c r="AJ474" s="170"/>
      <c r="AK474" s="171"/>
      <c r="AL474" s="171"/>
      <c r="AM474" s="170"/>
      <c r="AN474" s="170"/>
      <c r="AO474" s="170"/>
      <c r="AP474" s="171"/>
      <c r="AQ474" s="171"/>
      <c r="AR474" s="170"/>
      <c r="AS474" s="170"/>
      <c r="AT474" s="170"/>
      <c r="AU474" s="171"/>
      <c r="AV474" s="171"/>
      <c r="AW474" s="171"/>
      <c r="AX474" s="171"/>
      <c r="AY474" s="171"/>
      <c r="AZ474" s="171"/>
      <c r="BA474" s="171"/>
      <c r="BB474" s="171"/>
      <c r="BC474" s="171"/>
      <c r="BD474" s="172"/>
      <c r="BE474" s="172"/>
      <c r="BF474" s="172"/>
      <c r="BG474" s="172"/>
      <c r="BH474" s="172"/>
      <c r="BI474" s="172"/>
      <c r="BJ474" s="172"/>
      <c r="BK474" s="172"/>
      <c r="BL474" s="172"/>
      <c r="BM474" s="172"/>
      <c r="BN474" s="172"/>
      <c r="BO474" s="172"/>
      <c r="BP474" s="172"/>
      <c r="BQ474" s="172"/>
      <c r="BR474" s="172"/>
      <c r="BS474" s="172"/>
    </row>
    <row r="475" spans="1:71" ht="12.5" x14ac:dyDescent="0.25">
      <c r="A475" s="170"/>
      <c r="B475" s="170"/>
      <c r="C475" s="170"/>
      <c r="D475" s="170"/>
      <c r="E475" s="171"/>
      <c r="F475" s="171"/>
      <c r="G475" s="170"/>
      <c r="H475" s="170"/>
      <c r="I475" s="170"/>
      <c r="J475" s="171"/>
      <c r="K475" s="171"/>
      <c r="L475" s="170"/>
      <c r="M475" s="170"/>
      <c r="N475" s="170"/>
      <c r="O475" s="171"/>
      <c r="P475" s="171"/>
      <c r="Q475" s="170"/>
      <c r="R475" s="170"/>
      <c r="S475" s="170"/>
      <c r="T475" s="171"/>
      <c r="U475" s="171"/>
      <c r="V475" s="171"/>
      <c r="W475" s="171"/>
      <c r="X475" s="171"/>
      <c r="Y475" s="171"/>
      <c r="Z475" s="171"/>
      <c r="AA475" s="171"/>
      <c r="AB475" s="171"/>
      <c r="AC475" s="170"/>
      <c r="AD475" s="170"/>
      <c r="AE475" s="170"/>
      <c r="AF475" s="170"/>
      <c r="AG475" s="170"/>
      <c r="AH475" s="170"/>
      <c r="AI475" s="170"/>
      <c r="AJ475" s="170"/>
      <c r="AK475" s="171"/>
      <c r="AL475" s="171"/>
      <c r="AM475" s="170"/>
      <c r="AN475" s="170"/>
      <c r="AO475" s="170"/>
      <c r="AP475" s="171"/>
      <c r="AQ475" s="171"/>
      <c r="AR475" s="170"/>
      <c r="AS475" s="170"/>
      <c r="AT475" s="170"/>
      <c r="AU475" s="171"/>
      <c r="AV475" s="171"/>
      <c r="AW475" s="171"/>
      <c r="AX475" s="171"/>
      <c r="AY475" s="171"/>
      <c r="AZ475" s="171"/>
      <c r="BA475" s="171"/>
      <c r="BB475" s="171"/>
      <c r="BC475" s="171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2"/>
      <c r="BO475" s="172"/>
      <c r="BP475" s="172"/>
      <c r="BQ475" s="172"/>
      <c r="BR475" s="172"/>
      <c r="BS475" s="172"/>
    </row>
    <row r="476" spans="1:71" ht="12.5" x14ac:dyDescent="0.25">
      <c r="A476" s="170"/>
      <c r="B476" s="170"/>
      <c r="C476" s="170"/>
      <c r="D476" s="170"/>
      <c r="E476" s="171"/>
      <c r="F476" s="171"/>
      <c r="G476" s="170"/>
      <c r="H476" s="170"/>
      <c r="I476" s="170"/>
      <c r="J476" s="171"/>
      <c r="K476" s="171"/>
      <c r="L476" s="170"/>
      <c r="M476" s="170"/>
      <c r="N476" s="170"/>
      <c r="O476" s="171"/>
      <c r="P476" s="171"/>
      <c r="Q476" s="170"/>
      <c r="R476" s="170"/>
      <c r="S476" s="170"/>
      <c r="T476" s="171"/>
      <c r="U476" s="171"/>
      <c r="V476" s="171"/>
      <c r="W476" s="171"/>
      <c r="X476" s="171"/>
      <c r="Y476" s="171"/>
      <c r="Z476" s="171"/>
      <c r="AA476" s="171"/>
      <c r="AB476" s="171"/>
      <c r="AC476" s="170"/>
      <c r="AD476" s="170"/>
      <c r="AE476" s="170"/>
      <c r="AF476" s="170"/>
      <c r="AG476" s="170"/>
      <c r="AH476" s="170"/>
      <c r="AI476" s="170"/>
      <c r="AJ476" s="170"/>
      <c r="AK476" s="171"/>
      <c r="AL476" s="171"/>
      <c r="AM476" s="170"/>
      <c r="AN476" s="170"/>
      <c r="AO476" s="170"/>
      <c r="AP476" s="171"/>
      <c r="AQ476" s="171"/>
      <c r="AR476" s="170"/>
      <c r="AS476" s="170"/>
      <c r="AT476" s="170"/>
      <c r="AU476" s="171"/>
      <c r="AV476" s="171"/>
      <c r="AW476" s="171"/>
      <c r="AX476" s="171"/>
      <c r="AY476" s="171"/>
      <c r="AZ476" s="171"/>
      <c r="BA476" s="171"/>
      <c r="BB476" s="171"/>
      <c r="BC476" s="171"/>
      <c r="BD476" s="172"/>
      <c r="BE476" s="172"/>
      <c r="BF476" s="172"/>
      <c r="BG476" s="172"/>
      <c r="BH476" s="172"/>
      <c r="BI476" s="172"/>
      <c r="BJ476" s="172"/>
      <c r="BK476" s="172"/>
      <c r="BL476" s="172"/>
      <c r="BM476" s="172"/>
      <c r="BN476" s="172"/>
      <c r="BO476" s="172"/>
      <c r="BP476" s="172"/>
      <c r="BQ476" s="172"/>
      <c r="BR476" s="172"/>
      <c r="BS476" s="172"/>
    </row>
    <row r="477" spans="1:71" ht="12.5" x14ac:dyDescent="0.25">
      <c r="A477" s="170"/>
      <c r="B477" s="170"/>
      <c r="C477" s="170"/>
      <c r="D477" s="170"/>
      <c r="E477" s="171"/>
      <c r="F477" s="171"/>
      <c r="G477" s="170"/>
      <c r="H477" s="170"/>
      <c r="I477" s="170"/>
      <c r="J477" s="171"/>
      <c r="K477" s="171"/>
      <c r="L477" s="170"/>
      <c r="M477" s="170"/>
      <c r="N477" s="170"/>
      <c r="O477" s="171"/>
      <c r="P477" s="171"/>
      <c r="Q477" s="170"/>
      <c r="R477" s="170"/>
      <c r="S477" s="170"/>
      <c r="T477" s="171"/>
      <c r="U477" s="171"/>
      <c r="V477" s="171"/>
      <c r="W477" s="171"/>
      <c r="X477" s="171"/>
      <c r="Y477" s="171"/>
      <c r="Z477" s="171"/>
      <c r="AA477" s="171"/>
      <c r="AB477" s="171"/>
      <c r="AC477" s="170"/>
      <c r="AD477" s="170"/>
      <c r="AE477" s="170"/>
      <c r="AF477" s="170"/>
      <c r="AG477" s="170"/>
      <c r="AH477" s="170"/>
      <c r="AI477" s="170"/>
      <c r="AJ477" s="170"/>
      <c r="AK477" s="171"/>
      <c r="AL477" s="171"/>
      <c r="AM477" s="170"/>
      <c r="AN477" s="170"/>
      <c r="AO477" s="170"/>
      <c r="AP477" s="171"/>
      <c r="AQ477" s="171"/>
      <c r="AR477" s="170"/>
      <c r="AS477" s="170"/>
      <c r="AT477" s="170"/>
      <c r="AU477" s="171"/>
      <c r="AV477" s="171"/>
      <c r="AW477" s="171"/>
      <c r="AX477" s="171"/>
      <c r="AY477" s="171"/>
      <c r="AZ477" s="171"/>
      <c r="BA477" s="171"/>
      <c r="BB477" s="171"/>
      <c r="BC477" s="171"/>
      <c r="BD477" s="172"/>
      <c r="BE477" s="172"/>
      <c r="BF477" s="172"/>
      <c r="BG477" s="172"/>
      <c r="BH477" s="172"/>
      <c r="BI477" s="172"/>
      <c r="BJ477" s="172"/>
      <c r="BK477" s="172"/>
      <c r="BL477" s="172"/>
      <c r="BM477" s="172"/>
      <c r="BN477" s="172"/>
      <c r="BO477" s="172"/>
      <c r="BP477" s="172"/>
      <c r="BQ477" s="172"/>
      <c r="BR477" s="172"/>
      <c r="BS477" s="172"/>
    </row>
    <row r="478" spans="1:71" ht="12.5" x14ac:dyDescent="0.25">
      <c r="A478" s="170"/>
      <c r="B478" s="170"/>
      <c r="C478" s="170"/>
      <c r="D478" s="170"/>
      <c r="E478" s="171"/>
      <c r="F478" s="171"/>
      <c r="G478" s="170"/>
      <c r="H478" s="170"/>
      <c r="I478" s="170"/>
      <c r="J478" s="171"/>
      <c r="K478" s="171"/>
      <c r="L478" s="170"/>
      <c r="M478" s="170"/>
      <c r="N478" s="170"/>
      <c r="O478" s="171"/>
      <c r="P478" s="171"/>
      <c r="Q478" s="170"/>
      <c r="R478" s="170"/>
      <c r="S478" s="170"/>
      <c r="T478" s="171"/>
      <c r="U478" s="171"/>
      <c r="V478" s="171"/>
      <c r="W478" s="171"/>
      <c r="X478" s="171"/>
      <c r="Y478" s="171"/>
      <c r="Z478" s="171"/>
      <c r="AA478" s="171"/>
      <c r="AB478" s="171"/>
      <c r="AC478" s="170"/>
      <c r="AD478" s="170"/>
      <c r="AE478" s="170"/>
      <c r="AF478" s="170"/>
      <c r="AG478" s="170"/>
      <c r="AH478" s="170"/>
      <c r="AI478" s="170"/>
      <c r="AJ478" s="170"/>
      <c r="AK478" s="171"/>
      <c r="AL478" s="171"/>
      <c r="AM478" s="170"/>
      <c r="AN478" s="170"/>
      <c r="AO478" s="170"/>
      <c r="AP478" s="171"/>
      <c r="AQ478" s="171"/>
      <c r="AR478" s="170"/>
      <c r="AS478" s="170"/>
      <c r="AT478" s="170"/>
      <c r="AU478" s="171"/>
      <c r="AV478" s="171"/>
      <c r="AW478" s="171"/>
      <c r="AX478" s="171"/>
      <c r="AY478" s="171"/>
      <c r="AZ478" s="171"/>
      <c r="BA478" s="171"/>
      <c r="BB478" s="171"/>
      <c r="BC478" s="171"/>
      <c r="BD478" s="172"/>
      <c r="BE478" s="172"/>
      <c r="BF478" s="172"/>
      <c r="BG478" s="172"/>
      <c r="BH478" s="172"/>
      <c r="BI478" s="172"/>
      <c r="BJ478" s="172"/>
      <c r="BK478" s="172"/>
      <c r="BL478" s="172"/>
      <c r="BM478" s="172"/>
      <c r="BN478" s="172"/>
      <c r="BO478" s="172"/>
      <c r="BP478" s="172"/>
      <c r="BQ478" s="172"/>
      <c r="BR478" s="172"/>
      <c r="BS478" s="172"/>
    </row>
    <row r="479" spans="1:71" ht="12.5" x14ac:dyDescent="0.25">
      <c r="A479" s="170"/>
      <c r="B479" s="170"/>
      <c r="C479" s="170"/>
      <c r="D479" s="170"/>
      <c r="E479" s="171"/>
      <c r="F479" s="171"/>
      <c r="G479" s="170"/>
      <c r="H479" s="170"/>
      <c r="I479" s="170"/>
      <c r="J479" s="171"/>
      <c r="K479" s="171"/>
      <c r="L479" s="170"/>
      <c r="M479" s="170"/>
      <c r="N479" s="170"/>
      <c r="O479" s="171"/>
      <c r="P479" s="171"/>
      <c r="Q479" s="170"/>
      <c r="R479" s="170"/>
      <c r="S479" s="170"/>
      <c r="T479" s="171"/>
      <c r="U479" s="171"/>
      <c r="V479" s="171"/>
      <c r="W479" s="171"/>
      <c r="X479" s="171"/>
      <c r="Y479" s="171"/>
      <c r="Z479" s="171"/>
      <c r="AA479" s="171"/>
      <c r="AB479" s="171"/>
      <c r="AC479" s="170"/>
      <c r="AD479" s="170"/>
      <c r="AE479" s="170"/>
      <c r="AF479" s="170"/>
      <c r="AG479" s="170"/>
      <c r="AH479" s="170"/>
      <c r="AI479" s="170"/>
      <c r="AJ479" s="170"/>
      <c r="AK479" s="171"/>
      <c r="AL479" s="171"/>
      <c r="AM479" s="170"/>
      <c r="AN479" s="170"/>
      <c r="AO479" s="170"/>
      <c r="AP479" s="171"/>
      <c r="AQ479" s="171"/>
      <c r="AR479" s="170"/>
      <c r="AS479" s="170"/>
      <c r="AT479" s="170"/>
      <c r="AU479" s="171"/>
      <c r="AV479" s="171"/>
      <c r="AW479" s="171"/>
      <c r="AX479" s="171"/>
      <c r="AY479" s="171"/>
      <c r="AZ479" s="171"/>
      <c r="BA479" s="171"/>
      <c r="BB479" s="171"/>
      <c r="BC479" s="171"/>
      <c r="BD479" s="172"/>
      <c r="BE479" s="172"/>
      <c r="BF479" s="172"/>
      <c r="BG479" s="172"/>
      <c r="BH479" s="172"/>
      <c r="BI479" s="172"/>
      <c r="BJ479" s="172"/>
      <c r="BK479" s="172"/>
      <c r="BL479" s="172"/>
      <c r="BM479" s="172"/>
      <c r="BN479" s="172"/>
      <c r="BO479" s="172"/>
      <c r="BP479" s="172"/>
      <c r="BQ479" s="172"/>
      <c r="BR479" s="172"/>
      <c r="BS479" s="172"/>
    </row>
    <row r="480" spans="1:71" ht="12.5" x14ac:dyDescent="0.25">
      <c r="A480" s="170"/>
      <c r="B480" s="170"/>
      <c r="C480" s="170"/>
      <c r="D480" s="170"/>
      <c r="E480" s="171"/>
      <c r="F480" s="171"/>
      <c r="G480" s="170"/>
      <c r="H480" s="170"/>
      <c r="I480" s="170"/>
      <c r="J480" s="171"/>
      <c r="K480" s="171"/>
      <c r="L480" s="170"/>
      <c r="M480" s="170"/>
      <c r="N480" s="170"/>
      <c r="O480" s="171"/>
      <c r="P480" s="171"/>
      <c r="Q480" s="170"/>
      <c r="R480" s="170"/>
      <c r="S480" s="170"/>
      <c r="T480" s="171"/>
      <c r="U480" s="171"/>
      <c r="V480" s="171"/>
      <c r="W480" s="171"/>
      <c r="X480" s="171"/>
      <c r="Y480" s="171"/>
      <c r="Z480" s="171"/>
      <c r="AA480" s="171"/>
      <c r="AB480" s="171"/>
      <c r="AC480" s="170"/>
      <c r="AD480" s="170"/>
      <c r="AE480" s="170"/>
      <c r="AF480" s="170"/>
      <c r="AG480" s="170"/>
      <c r="AH480" s="170"/>
      <c r="AI480" s="170"/>
      <c r="AJ480" s="170"/>
      <c r="AK480" s="171"/>
      <c r="AL480" s="171"/>
      <c r="AM480" s="170"/>
      <c r="AN480" s="170"/>
      <c r="AO480" s="170"/>
      <c r="AP480" s="171"/>
      <c r="AQ480" s="171"/>
      <c r="AR480" s="170"/>
      <c r="AS480" s="170"/>
      <c r="AT480" s="170"/>
      <c r="AU480" s="171"/>
      <c r="AV480" s="171"/>
      <c r="AW480" s="171"/>
      <c r="AX480" s="171"/>
      <c r="AY480" s="171"/>
      <c r="AZ480" s="171"/>
      <c r="BA480" s="171"/>
      <c r="BB480" s="171"/>
      <c r="BC480" s="171"/>
      <c r="BD480" s="172"/>
      <c r="BE480" s="172"/>
      <c r="BF480" s="172"/>
      <c r="BG480" s="172"/>
      <c r="BH480" s="172"/>
      <c r="BI480" s="172"/>
      <c r="BJ480" s="172"/>
      <c r="BK480" s="172"/>
      <c r="BL480" s="172"/>
      <c r="BM480" s="172"/>
      <c r="BN480" s="172"/>
      <c r="BO480" s="172"/>
      <c r="BP480" s="172"/>
      <c r="BQ480" s="172"/>
      <c r="BR480" s="172"/>
      <c r="BS480" s="172"/>
    </row>
    <row r="481" spans="1:71" ht="12.5" x14ac:dyDescent="0.25">
      <c r="A481" s="170"/>
      <c r="B481" s="170"/>
      <c r="C481" s="170"/>
      <c r="D481" s="170"/>
      <c r="E481" s="171"/>
      <c r="F481" s="171"/>
      <c r="G481" s="170"/>
      <c r="H481" s="170"/>
      <c r="I481" s="170"/>
      <c r="J481" s="171"/>
      <c r="K481" s="171"/>
      <c r="L481" s="170"/>
      <c r="M481" s="170"/>
      <c r="N481" s="170"/>
      <c r="O481" s="171"/>
      <c r="P481" s="171"/>
      <c r="Q481" s="170"/>
      <c r="R481" s="170"/>
      <c r="S481" s="170"/>
      <c r="T481" s="171"/>
      <c r="U481" s="171"/>
      <c r="V481" s="171"/>
      <c r="W481" s="171"/>
      <c r="X481" s="171"/>
      <c r="Y481" s="171"/>
      <c r="Z481" s="171"/>
      <c r="AA481" s="171"/>
      <c r="AB481" s="171"/>
      <c r="AC481" s="170"/>
      <c r="AD481" s="170"/>
      <c r="AE481" s="170"/>
      <c r="AF481" s="170"/>
      <c r="AG481" s="170"/>
      <c r="AH481" s="170"/>
      <c r="AI481" s="170"/>
      <c r="AJ481" s="170"/>
      <c r="AK481" s="171"/>
      <c r="AL481" s="171"/>
      <c r="AM481" s="170"/>
      <c r="AN481" s="170"/>
      <c r="AO481" s="170"/>
      <c r="AP481" s="171"/>
      <c r="AQ481" s="171"/>
      <c r="AR481" s="170"/>
      <c r="AS481" s="170"/>
      <c r="AT481" s="170"/>
      <c r="AU481" s="171"/>
      <c r="AV481" s="171"/>
      <c r="AW481" s="171"/>
      <c r="AX481" s="171"/>
      <c r="AY481" s="171"/>
      <c r="AZ481" s="171"/>
      <c r="BA481" s="171"/>
      <c r="BB481" s="171"/>
      <c r="BC481" s="171"/>
      <c r="BD481" s="172"/>
      <c r="BE481" s="172"/>
      <c r="BF481" s="172"/>
      <c r="BG481" s="172"/>
      <c r="BH481" s="172"/>
      <c r="BI481" s="172"/>
      <c r="BJ481" s="172"/>
      <c r="BK481" s="172"/>
      <c r="BL481" s="172"/>
      <c r="BM481" s="172"/>
      <c r="BN481" s="172"/>
      <c r="BO481" s="172"/>
      <c r="BP481" s="172"/>
      <c r="BQ481" s="172"/>
      <c r="BR481" s="172"/>
      <c r="BS481" s="172"/>
    </row>
    <row r="482" spans="1:71" ht="12.5" x14ac:dyDescent="0.25">
      <c r="A482" s="170"/>
      <c r="B482" s="170"/>
      <c r="C482" s="170"/>
      <c r="D482" s="170"/>
      <c r="E482" s="171"/>
      <c r="F482" s="171"/>
      <c r="G482" s="170"/>
      <c r="H482" s="170"/>
      <c r="I482" s="170"/>
      <c r="J482" s="171"/>
      <c r="K482" s="171"/>
      <c r="L482" s="170"/>
      <c r="M482" s="170"/>
      <c r="N482" s="170"/>
      <c r="O482" s="171"/>
      <c r="P482" s="171"/>
      <c r="Q482" s="170"/>
      <c r="R482" s="170"/>
      <c r="S482" s="170"/>
      <c r="T482" s="171"/>
      <c r="U482" s="171"/>
      <c r="V482" s="171"/>
      <c r="W482" s="171"/>
      <c r="X482" s="171"/>
      <c r="Y482" s="171"/>
      <c r="Z482" s="171"/>
      <c r="AA482" s="171"/>
      <c r="AB482" s="171"/>
      <c r="AC482" s="170"/>
      <c r="AD482" s="170"/>
      <c r="AE482" s="170"/>
      <c r="AF482" s="170"/>
      <c r="AG482" s="170"/>
      <c r="AH482" s="170"/>
      <c r="AI482" s="170"/>
      <c r="AJ482" s="170"/>
      <c r="AK482" s="171"/>
      <c r="AL482" s="171"/>
      <c r="AM482" s="170"/>
      <c r="AN482" s="170"/>
      <c r="AO482" s="170"/>
      <c r="AP482" s="171"/>
      <c r="AQ482" s="171"/>
      <c r="AR482" s="170"/>
      <c r="AS482" s="170"/>
      <c r="AT482" s="170"/>
      <c r="AU482" s="171"/>
      <c r="AV482" s="171"/>
      <c r="AW482" s="171"/>
      <c r="AX482" s="171"/>
      <c r="AY482" s="171"/>
      <c r="AZ482" s="171"/>
      <c r="BA482" s="171"/>
      <c r="BB482" s="171"/>
      <c r="BC482" s="171"/>
      <c r="BD482" s="172"/>
      <c r="BE482" s="172"/>
      <c r="BF482" s="172"/>
      <c r="BG482" s="172"/>
      <c r="BH482" s="172"/>
      <c r="BI482" s="172"/>
      <c r="BJ482" s="172"/>
      <c r="BK482" s="172"/>
      <c r="BL482" s="172"/>
      <c r="BM482" s="172"/>
      <c r="BN482" s="172"/>
      <c r="BO482" s="172"/>
      <c r="BP482" s="172"/>
      <c r="BQ482" s="172"/>
      <c r="BR482" s="172"/>
      <c r="BS482" s="172"/>
    </row>
    <row r="483" spans="1:71" ht="12.5" x14ac:dyDescent="0.25">
      <c r="A483" s="170"/>
      <c r="B483" s="170"/>
      <c r="C483" s="170"/>
      <c r="D483" s="170"/>
      <c r="E483" s="171"/>
      <c r="F483" s="171"/>
      <c r="G483" s="170"/>
      <c r="H483" s="170"/>
      <c r="I483" s="170"/>
      <c r="J483" s="171"/>
      <c r="K483" s="171"/>
      <c r="L483" s="170"/>
      <c r="M483" s="170"/>
      <c r="N483" s="170"/>
      <c r="O483" s="171"/>
      <c r="P483" s="171"/>
      <c r="Q483" s="170"/>
      <c r="R483" s="170"/>
      <c r="S483" s="170"/>
      <c r="T483" s="171"/>
      <c r="U483" s="171"/>
      <c r="V483" s="171"/>
      <c r="W483" s="171"/>
      <c r="X483" s="171"/>
      <c r="Y483" s="171"/>
      <c r="Z483" s="171"/>
      <c r="AA483" s="171"/>
      <c r="AB483" s="171"/>
      <c r="AC483" s="170"/>
      <c r="AD483" s="170"/>
      <c r="AE483" s="170"/>
      <c r="AF483" s="170"/>
      <c r="AG483" s="170"/>
      <c r="AH483" s="170"/>
      <c r="AI483" s="170"/>
      <c r="AJ483" s="170"/>
      <c r="AK483" s="171"/>
      <c r="AL483" s="171"/>
      <c r="AM483" s="170"/>
      <c r="AN483" s="170"/>
      <c r="AO483" s="170"/>
      <c r="AP483" s="171"/>
      <c r="AQ483" s="171"/>
      <c r="AR483" s="170"/>
      <c r="AS483" s="170"/>
      <c r="AT483" s="170"/>
      <c r="AU483" s="171"/>
      <c r="AV483" s="171"/>
      <c r="AW483" s="171"/>
      <c r="AX483" s="171"/>
      <c r="AY483" s="171"/>
      <c r="AZ483" s="171"/>
      <c r="BA483" s="171"/>
      <c r="BB483" s="171"/>
      <c r="BC483" s="171"/>
      <c r="BD483" s="172"/>
      <c r="BE483" s="172"/>
      <c r="BF483" s="172"/>
      <c r="BG483" s="172"/>
      <c r="BH483" s="172"/>
      <c r="BI483" s="172"/>
      <c r="BJ483" s="172"/>
      <c r="BK483" s="172"/>
      <c r="BL483" s="172"/>
      <c r="BM483" s="172"/>
      <c r="BN483" s="172"/>
      <c r="BO483" s="172"/>
      <c r="BP483" s="172"/>
      <c r="BQ483" s="172"/>
      <c r="BR483" s="172"/>
      <c r="BS483" s="172"/>
    </row>
    <row r="484" spans="1:71" ht="12.5" x14ac:dyDescent="0.25">
      <c r="A484" s="170"/>
      <c r="B484" s="170"/>
      <c r="C484" s="170"/>
      <c r="D484" s="170"/>
      <c r="E484" s="171"/>
      <c r="F484" s="171"/>
      <c r="G484" s="170"/>
      <c r="H484" s="170"/>
      <c r="I484" s="170"/>
      <c r="J484" s="171"/>
      <c r="K484" s="171"/>
      <c r="L484" s="170"/>
      <c r="M484" s="170"/>
      <c r="N484" s="170"/>
      <c r="O484" s="171"/>
      <c r="P484" s="171"/>
      <c r="Q484" s="170"/>
      <c r="R484" s="170"/>
      <c r="S484" s="170"/>
      <c r="T484" s="171"/>
      <c r="U484" s="171"/>
      <c r="V484" s="171"/>
      <c r="W484" s="171"/>
      <c r="X484" s="171"/>
      <c r="Y484" s="171"/>
      <c r="Z484" s="171"/>
      <c r="AA484" s="171"/>
      <c r="AB484" s="171"/>
      <c r="AC484" s="170"/>
      <c r="AD484" s="170"/>
      <c r="AE484" s="170"/>
      <c r="AF484" s="170"/>
      <c r="AG484" s="170"/>
      <c r="AH484" s="170"/>
      <c r="AI484" s="170"/>
      <c r="AJ484" s="170"/>
      <c r="AK484" s="171"/>
      <c r="AL484" s="171"/>
      <c r="AM484" s="170"/>
      <c r="AN484" s="170"/>
      <c r="AO484" s="170"/>
      <c r="AP484" s="171"/>
      <c r="AQ484" s="171"/>
      <c r="AR484" s="170"/>
      <c r="AS484" s="170"/>
      <c r="AT484" s="170"/>
      <c r="AU484" s="171"/>
      <c r="AV484" s="171"/>
      <c r="AW484" s="171"/>
      <c r="AX484" s="171"/>
      <c r="AY484" s="171"/>
      <c r="AZ484" s="171"/>
      <c r="BA484" s="171"/>
      <c r="BB484" s="171"/>
      <c r="BC484" s="171"/>
      <c r="BD484" s="172"/>
      <c r="BE484" s="172"/>
      <c r="BF484" s="172"/>
      <c r="BG484" s="172"/>
      <c r="BH484" s="172"/>
      <c r="BI484" s="172"/>
      <c r="BJ484" s="172"/>
      <c r="BK484" s="172"/>
      <c r="BL484" s="172"/>
      <c r="BM484" s="172"/>
      <c r="BN484" s="172"/>
      <c r="BO484" s="172"/>
      <c r="BP484" s="172"/>
      <c r="BQ484" s="172"/>
      <c r="BR484" s="172"/>
      <c r="BS484" s="172"/>
    </row>
    <row r="485" spans="1:71" ht="12.5" x14ac:dyDescent="0.25">
      <c r="A485" s="170"/>
      <c r="B485" s="170"/>
      <c r="C485" s="170"/>
      <c r="D485" s="170"/>
      <c r="E485" s="171"/>
      <c r="F485" s="171"/>
      <c r="G485" s="170"/>
      <c r="H485" s="170"/>
      <c r="I485" s="170"/>
      <c r="J485" s="171"/>
      <c r="K485" s="171"/>
      <c r="L485" s="170"/>
      <c r="M485" s="170"/>
      <c r="N485" s="170"/>
      <c r="O485" s="171"/>
      <c r="P485" s="171"/>
      <c r="Q485" s="170"/>
      <c r="R485" s="170"/>
      <c r="S485" s="170"/>
      <c r="T485" s="171"/>
      <c r="U485" s="171"/>
      <c r="V485" s="171"/>
      <c r="W485" s="171"/>
      <c r="X485" s="171"/>
      <c r="Y485" s="171"/>
      <c r="Z485" s="171"/>
      <c r="AA485" s="171"/>
      <c r="AB485" s="171"/>
      <c r="AC485" s="170"/>
      <c r="AD485" s="170"/>
      <c r="AE485" s="170"/>
      <c r="AF485" s="170"/>
      <c r="AG485" s="170"/>
      <c r="AH485" s="170"/>
      <c r="AI485" s="170"/>
      <c r="AJ485" s="170"/>
      <c r="AK485" s="171"/>
      <c r="AL485" s="171"/>
      <c r="AM485" s="170"/>
      <c r="AN485" s="170"/>
      <c r="AO485" s="170"/>
      <c r="AP485" s="171"/>
      <c r="AQ485" s="171"/>
      <c r="AR485" s="170"/>
      <c r="AS485" s="170"/>
      <c r="AT485" s="170"/>
      <c r="AU485" s="171"/>
      <c r="AV485" s="171"/>
      <c r="AW485" s="171"/>
      <c r="AX485" s="171"/>
      <c r="AY485" s="171"/>
      <c r="AZ485" s="171"/>
      <c r="BA485" s="171"/>
      <c r="BB485" s="171"/>
      <c r="BC485" s="171"/>
      <c r="BD485" s="172"/>
      <c r="BE485" s="172"/>
      <c r="BF485" s="172"/>
      <c r="BG485" s="172"/>
      <c r="BH485" s="172"/>
      <c r="BI485" s="172"/>
      <c r="BJ485" s="172"/>
      <c r="BK485" s="172"/>
      <c r="BL485" s="172"/>
      <c r="BM485" s="172"/>
      <c r="BN485" s="172"/>
      <c r="BO485" s="172"/>
      <c r="BP485" s="172"/>
      <c r="BQ485" s="172"/>
      <c r="BR485" s="172"/>
      <c r="BS485" s="172"/>
    </row>
    <row r="486" spans="1:71" ht="12.5" x14ac:dyDescent="0.25">
      <c r="A486" s="170"/>
      <c r="B486" s="170"/>
      <c r="C486" s="170"/>
      <c r="D486" s="170"/>
      <c r="E486" s="171"/>
      <c r="F486" s="171"/>
      <c r="G486" s="170"/>
      <c r="H486" s="170"/>
      <c r="I486" s="170"/>
      <c r="J486" s="171"/>
      <c r="K486" s="171"/>
      <c r="L486" s="170"/>
      <c r="M486" s="170"/>
      <c r="N486" s="170"/>
      <c r="O486" s="171"/>
      <c r="P486" s="171"/>
      <c r="Q486" s="170"/>
      <c r="R486" s="170"/>
      <c r="S486" s="170"/>
      <c r="T486" s="171"/>
      <c r="U486" s="171"/>
      <c r="V486" s="171"/>
      <c r="W486" s="171"/>
      <c r="X486" s="171"/>
      <c r="Y486" s="171"/>
      <c r="Z486" s="171"/>
      <c r="AA486" s="171"/>
      <c r="AB486" s="171"/>
      <c r="AC486" s="170"/>
      <c r="AD486" s="170"/>
      <c r="AE486" s="170"/>
      <c r="AF486" s="170"/>
      <c r="AG486" s="170"/>
      <c r="AH486" s="170"/>
      <c r="AI486" s="170"/>
      <c r="AJ486" s="170"/>
      <c r="AK486" s="171"/>
      <c r="AL486" s="171"/>
      <c r="AM486" s="170"/>
      <c r="AN486" s="170"/>
      <c r="AO486" s="170"/>
      <c r="AP486" s="171"/>
      <c r="AQ486" s="171"/>
      <c r="AR486" s="170"/>
      <c r="AS486" s="170"/>
      <c r="AT486" s="170"/>
      <c r="AU486" s="171"/>
      <c r="AV486" s="171"/>
      <c r="AW486" s="171"/>
      <c r="AX486" s="171"/>
      <c r="AY486" s="171"/>
      <c r="AZ486" s="171"/>
      <c r="BA486" s="171"/>
      <c r="BB486" s="171"/>
      <c r="BC486" s="171"/>
      <c r="BD486" s="172"/>
      <c r="BE486" s="172"/>
      <c r="BF486" s="172"/>
      <c r="BG486" s="172"/>
      <c r="BH486" s="172"/>
      <c r="BI486" s="172"/>
      <c r="BJ486" s="172"/>
      <c r="BK486" s="172"/>
      <c r="BL486" s="172"/>
      <c r="BM486" s="172"/>
      <c r="BN486" s="172"/>
      <c r="BO486" s="172"/>
      <c r="BP486" s="172"/>
      <c r="BQ486" s="172"/>
      <c r="BR486" s="172"/>
      <c r="BS486" s="172"/>
    </row>
    <row r="487" spans="1:71" ht="12.5" x14ac:dyDescent="0.25">
      <c r="A487" s="170"/>
      <c r="B487" s="170"/>
      <c r="C487" s="170"/>
      <c r="D487" s="170"/>
      <c r="E487" s="171"/>
      <c r="F487" s="171"/>
      <c r="G487" s="170"/>
      <c r="H487" s="170"/>
      <c r="I487" s="170"/>
      <c r="J487" s="171"/>
      <c r="K487" s="171"/>
      <c r="L487" s="170"/>
      <c r="M487" s="170"/>
      <c r="N487" s="170"/>
      <c r="O487" s="171"/>
      <c r="P487" s="171"/>
      <c r="Q487" s="170"/>
      <c r="R487" s="170"/>
      <c r="S487" s="170"/>
      <c r="T487" s="171"/>
      <c r="U487" s="171"/>
      <c r="V487" s="171"/>
      <c r="W487" s="171"/>
      <c r="X487" s="171"/>
      <c r="Y487" s="171"/>
      <c r="Z487" s="171"/>
      <c r="AA487" s="171"/>
      <c r="AB487" s="171"/>
      <c r="AC487" s="170"/>
      <c r="AD487" s="170"/>
      <c r="AE487" s="170"/>
      <c r="AF487" s="170"/>
      <c r="AG487" s="170"/>
      <c r="AH487" s="170"/>
      <c r="AI487" s="170"/>
      <c r="AJ487" s="170"/>
      <c r="AK487" s="171"/>
      <c r="AL487" s="171"/>
      <c r="AM487" s="170"/>
      <c r="AN487" s="170"/>
      <c r="AO487" s="170"/>
      <c r="AP487" s="171"/>
      <c r="AQ487" s="171"/>
      <c r="AR487" s="170"/>
      <c r="AS487" s="170"/>
      <c r="AT487" s="170"/>
      <c r="AU487" s="171"/>
      <c r="AV487" s="171"/>
      <c r="AW487" s="171"/>
      <c r="AX487" s="171"/>
      <c r="AY487" s="171"/>
      <c r="AZ487" s="171"/>
      <c r="BA487" s="171"/>
      <c r="BB487" s="171"/>
      <c r="BC487" s="171"/>
      <c r="BD487" s="172"/>
      <c r="BE487" s="172"/>
      <c r="BF487" s="172"/>
      <c r="BG487" s="172"/>
      <c r="BH487" s="172"/>
      <c r="BI487" s="172"/>
      <c r="BJ487" s="172"/>
      <c r="BK487" s="172"/>
      <c r="BL487" s="172"/>
      <c r="BM487" s="172"/>
      <c r="BN487" s="172"/>
      <c r="BO487" s="172"/>
      <c r="BP487" s="172"/>
      <c r="BQ487" s="172"/>
      <c r="BR487" s="172"/>
      <c r="BS487" s="172"/>
    </row>
    <row r="488" spans="1:71" ht="12.5" x14ac:dyDescent="0.25">
      <c r="A488" s="170"/>
      <c r="B488" s="170"/>
      <c r="C488" s="170"/>
      <c r="D488" s="170"/>
      <c r="E488" s="171"/>
      <c r="F488" s="171"/>
      <c r="G488" s="170"/>
      <c r="H488" s="170"/>
      <c r="I488" s="170"/>
      <c r="J488" s="171"/>
      <c r="K488" s="171"/>
      <c r="L488" s="170"/>
      <c r="M488" s="170"/>
      <c r="N488" s="170"/>
      <c r="O488" s="171"/>
      <c r="P488" s="171"/>
      <c r="Q488" s="170"/>
      <c r="R488" s="170"/>
      <c r="S488" s="170"/>
      <c r="T488" s="171"/>
      <c r="U488" s="171"/>
      <c r="V488" s="171"/>
      <c r="W488" s="171"/>
      <c r="X488" s="171"/>
      <c r="Y488" s="171"/>
      <c r="Z488" s="171"/>
      <c r="AA488" s="171"/>
      <c r="AB488" s="171"/>
      <c r="AC488" s="170"/>
      <c r="AD488" s="170"/>
      <c r="AE488" s="170"/>
      <c r="AF488" s="170"/>
      <c r="AG488" s="170"/>
      <c r="AH488" s="170"/>
      <c r="AI488" s="170"/>
      <c r="AJ488" s="170"/>
      <c r="AK488" s="171"/>
      <c r="AL488" s="171"/>
      <c r="AM488" s="170"/>
      <c r="AN488" s="170"/>
      <c r="AO488" s="170"/>
      <c r="AP488" s="171"/>
      <c r="AQ488" s="171"/>
      <c r="AR488" s="170"/>
      <c r="AS488" s="170"/>
      <c r="AT488" s="170"/>
      <c r="AU488" s="171"/>
      <c r="AV488" s="171"/>
      <c r="AW488" s="171"/>
      <c r="AX488" s="171"/>
      <c r="AY488" s="171"/>
      <c r="AZ488" s="171"/>
      <c r="BA488" s="171"/>
      <c r="BB488" s="171"/>
      <c r="BC488" s="171"/>
      <c r="BD488" s="172"/>
      <c r="BE488" s="172"/>
      <c r="BF488" s="172"/>
      <c r="BG488" s="172"/>
      <c r="BH488" s="172"/>
      <c r="BI488" s="172"/>
      <c r="BJ488" s="172"/>
      <c r="BK488" s="172"/>
      <c r="BL488" s="172"/>
      <c r="BM488" s="172"/>
      <c r="BN488" s="172"/>
      <c r="BO488" s="172"/>
      <c r="BP488" s="172"/>
      <c r="BQ488" s="172"/>
      <c r="BR488" s="172"/>
      <c r="BS488" s="172"/>
    </row>
    <row r="489" spans="1:71" ht="12.5" x14ac:dyDescent="0.25">
      <c r="A489" s="170"/>
      <c r="B489" s="170"/>
      <c r="C489" s="170"/>
      <c r="D489" s="170"/>
      <c r="E489" s="171"/>
      <c r="F489" s="171"/>
      <c r="G489" s="170"/>
      <c r="H489" s="170"/>
      <c r="I489" s="170"/>
      <c r="J489" s="171"/>
      <c r="K489" s="171"/>
      <c r="L489" s="170"/>
      <c r="M489" s="170"/>
      <c r="N489" s="170"/>
      <c r="O489" s="171"/>
      <c r="P489" s="171"/>
      <c r="Q489" s="170"/>
      <c r="R489" s="170"/>
      <c r="S489" s="170"/>
      <c r="T489" s="171"/>
      <c r="U489" s="171"/>
      <c r="V489" s="171"/>
      <c r="W489" s="171"/>
      <c r="X489" s="171"/>
      <c r="Y489" s="171"/>
      <c r="Z489" s="171"/>
      <c r="AA489" s="171"/>
      <c r="AB489" s="171"/>
      <c r="AC489" s="170"/>
      <c r="AD489" s="170"/>
      <c r="AE489" s="170"/>
      <c r="AF489" s="170"/>
      <c r="AG489" s="170"/>
      <c r="AH489" s="170"/>
      <c r="AI489" s="170"/>
      <c r="AJ489" s="170"/>
      <c r="AK489" s="171"/>
      <c r="AL489" s="171"/>
      <c r="AM489" s="170"/>
      <c r="AN489" s="170"/>
      <c r="AO489" s="170"/>
      <c r="AP489" s="171"/>
      <c r="AQ489" s="171"/>
      <c r="AR489" s="170"/>
      <c r="AS489" s="170"/>
      <c r="AT489" s="170"/>
      <c r="AU489" s="171"/>
      <c r="AV489" s="171"/>
      <c r="AW489" s="171"/>
      <c r="AX489" s="171"/>
      <c r="AY489" s="171"/>
      <c r="AZ489" s="171"/>
      <c r="BA489" s="171"/>
      <c r="BB489" s="171"/>
      <c r="BC489" s="171"/>
      <c r="BD489" s="172"/>
      <c r="BE489" s="172"/>
      <c r="BF489" s="172"/>
      <c r="BG489" s="172"/>
      <c r="BH489" s="172"/>
      <c r="BI489" s="172"/>
      <c r="BJ489" s="172"/>
      <c r="BK489" s="172"/>
      <c r="BL489" s="172"/>
      <c r="BM489" s="172"/>
      <c r="BN489" s="172"/>
      <c r="BO489" s="172"/>
      <c r="BP489" s="172"/>
      <c r="BQ489" s="172"/>
      <c r="BR489" s="172"/>
      <c r="BS489" s="172"/>
    </row>
    <row r="490" spans="1:71" ht="12.5" x14ac:dyDescent="0.25">
      <c r="A490" s="170"/>
      <c r="B490" s="170"/>
      <c r="C490" s="170"/>
      <c r="D490" s="170"/>
      <c r="E490" s="171"/>
      <c r="F490" s="171"/>
      <c r="G490" s="170"/>
      <c r="H490" s="170"/>
      <c r="I490" s="170"/>
      <c r="J490" s="171"/>
      <c r="K490" s="171"/>
      <c r="L490" s="170"/>
      <c r="M490" s="170"/>
      <c r="N490" s="170"/>
      <c r="O490" s="171"/>
      <c r="P490" s="171"/>
      <c r="Q490" s="170"/>
      <c r="R490" s="170"/>
      <c r="S490" s="170"/>
      <c r="T490" s="171"/>
      <c r="U490" s="171"/>
      <c r="V490" s="171"/>
      <c r="W490" s="171"/>
      <c r="X490" s="171"/>
      <c r="Y490" s="171"/>
      <c r="Z490" s="171"/>
      <c r="AA490" s="171"/>
      <c r="AB490" s="171"/>
      <c r="AC490" s="170"/>
      <c r="AD490" s="170"/>
      <c r="AE490" s="170"/>
      <c r="AF490" s="170"/>
      <c r="AG490" s="170"/>
      <c r="AH490" s="170"/>
      <c r="AI490" s="170"/>
      <c r="AJ490" s="170"/>
      <c r="AK490" s="171"/>
      <c r="AL490" s="171"/>
      <c r="AM490" s="170"/>
      <c r="AN490" s="170"/>
      <c r="AO490" s="170"/>
      <c r="AP490" s="171"/>
      <c r="AQ490" s="171"/>
      <c r="AR490" s="170"/>
      <c r="AS490" s="170"/>
      <c r="AT490" s="170"/>
      <c r="AU490" s="171"/>
      <c r="AV490" s="171"/>
      <c r="AW490" s="171"/>
      <c r="AX490" s="171"/>
      <c r="AY490" s="171"/>
      <c r="AZ490" s="171"/>
      <c r="BA490" s="171"/>
      <c r="BB490" s="171"/>
      <c r="BC490" s="171"/>
      <c r="BD490" s="172"/>
      <c r="BE490" s="172"/>
      <c r="BF490" s="172"/>
      <c r="BG490" s="172"/>
      <c r="BH490" s="172"/>
      <c r="BI490" s="172"/>
      <c r="BJ490" s="172"/>
      <c r="BK490" s="172"/>
      <c r="BL490" s="172"/>
      <c r="BM490" s="172"/>
      <c r="BN490" s="172"/>
      <c r="BO490" s="172"/>
      <c r="BP490" s="172"/>
      <c r="BQ490" s="172"/>
      <c r="BR490" s="172"/>
      <c r="BS490" s="172"/>
    </row>
    <row r="491" spans="1:71" ht="12.5" x14ac:dyDescent="0.25">
      <c r="A491" s="170"/>
      <c r="B491" s="170"/>
      <c r="C491" s="170"/>
      <c r="D491" s="170"/>
      <c r="E491" s="171"/>
      <c r="F491" s="171"/>
      <c r="G491" s="170"/>
      <c r="H491" s="170"/>
      <c r="I491" s="170"/>
      <c r="J491" s="171"/>
      <c r="K491" s="171"/>
      <c r="L491" s="170"/>
      <c r="M491" s="170"/>
      <c r="N491" s="170"/>
      <c r="O491" s="171"/>
      <c r="P491" s="171"/>
      <c r="Q491" s="170"/>
      <c r="R491" s="170"/>
      <c r="S491" s="170"/>
      <c r="T491" s="171"/>
      <c r="U491" s="171"/>
      <c r="V491" s="171"/>
      <c r="W491" s="171"/>
      <c r="X491" s="171"/>
      <c r="Y491" s="171"/>
      <c r="Z491" s="171"/>
      <c r="AA491" s="171"/>
      <c r="AB491" s="171"/>
      <c r="AC491" s="170"/>
      <c r="AD491" s="170"/>
      <c r="AE491" s="170"/>
      <c r="AF491" s="170"/>
      <c r="AG491" s="170"/>
      <c r="AH491" s="170"/>
      <c r="AI491" s="170"/>
      <c r="AJ491" s="170"/>
      <c r="AK491" s="171"/>
      <c r="AL491" s="171"/>
      <c r="AM491" s="170"/>
      <c r="AN491" s="170"/>
      <c r="AO491" s="170"/>
      <c r="AP491" s="171"/>
      <c r="AQ491" s="171"/>
      <c r="AR491" s="170"/>
      <c r="AS491" s="170"/>
      <c r="AT491" s="170"/>
      <c r="AU491" s="171"/>
      <c r="AV491" s="171"/>
      <c r="AW491" s="171"/>
      <c r="AX491" s="171"/>
      <c r="AY491" s="171"/>
      <c r="AZ491" s="171"/>
      <c r="BA491" s="171"/>
      <c r="BB491" s="171"/>
      <c r="BC491" s="171"/>
      <c r="BD491" s="172"/>
      <c r="BE491" s="172"/>
      <c r="BF491" s="172"/>
      <c r="BG491" s="172"/>
      <c r="BH491" s="172"/>
      <c r="BI491" s="172"/>
      <c r="BJ491" s="172"/>
      <c r="BK491" s="172"/>
      <c r="BL491" s="172"/>
      <c r="BM491" s="172"/>
      <c r="BN491" s="172"/>
      <c r="BO491" s="172"/>
      <c r="BP491" s="172"/>
      <c r="BQ491" s="172"/>
      <c r="BR491" s="172"/>
      <c r="BS491" s="172"/>
    </row>
    <row r="492" spans="1:71" ht="12.5" x14ac:dyDescent="0.25">
      <c r="A492" s="170"/>
      <c r="B492" s="170"/>
      <c r="C492" s="170"/>
      <c r="D492" s="170"/>
      <c r="E492" s="171"/>
      <c r="F492" s="171"/>
      <c r="G492" s="170"/>
      <c r="H492" s="170"/>
      <c r="I492" s="170"/>
      <c r="J492" s="171"/>
      <c r="K492" s="171"/>
      <c r="L492" s="170"/>
      <c r="M492" s="170"/>
      <c r="N492" s="170"/>
      <c r="O492" s="171"/>
      <c r="P492" s="171"/>
      <c r="Q492" s="170"/>
      <c r="R492" s="170"/>
      <c r="S492" s="170"/>
      <c r="T492" s="171"/>
      <c r="U492" s="171"/>
      <c r="V492" s="171"/>
      <c r="W492" s="171"/>
      <c r="X492" s="171"/>
      <c r="Y492" s="171"/>
      <c r="Z492" s="171"/>
      <c r="AA492" s="171"/>
      <c r="AB492" s="171"/>
      <c r="AC492" s="170"/>
      <c r="AD492" s="170"/>
      <c r="AE492" s="170"/>
      <c r="AF492" s="170"/>
      <c r="AG492" s="170"/>
      <c r="AH492" s="170"/>
      <c r="AI492" s="170"/>
      <c r="AJ492" s="170"/>
      <c r="AK492" s="171"/>
      <c r="AL492" s="171"/>
      <c r="AM492" s="170"/>
      <c r="AN492" s="170"/>
      <c r="AO492" s="170"/>
      <c r="AP492" s="171"/>
      <c r="AQ492" s="171"/>
      <c r="AR492" s="170"/>
      <c r="AS492" s="170"/>
      <c r="AT492" s="170"/>
      <c r="AU492" s="171"/>
      <c r="AV492" s="171"/>
      <c r="AW492" s="171"/>
      <c r="AX492" s="171"/>
      <c r="AY492" s="171"/>
      <c r="AZ492" s="171"/>
      <c r="BA492" s="171"/>
      <c r="BB492" s="171"/>
      <c r="BC492" s="171"/>
      <c r="BD492" s="172"/>
      <c r="BE492" s="172"/>
      <c r="BF492" s="172"/>
      <c r="BG492" s="172"/>
      <c r="BH492" s="172"/>
      <c r="BI492" s="172"/>
      <c r="BJ492" s="172"/>
      <c r="BK492" s="172"/>
      <c r="BL492" s="172"/>
      <c r="BM492" s="172"/>
      <c r="BN492" s="172"/>
      <c r="BO492" s="172"/>
      <c r="BP492" s="172"/>
      <c r="BQ492" s="172"/>
      <c r="BR492" s="172"/>
      <c r="BS492" s="172"/>
    </row>
    <row r="493" spans="1:71" ht="12.5" x14ac:dyDescent="0.25">
      <c r="A493" s="170"/>
      <c r="B493" s="170"/>
      <c r="C493" s="170"/>
      <c r="D493" s="170"/>
      <c r="E493" s="171"/>
      <c r="F493" s="171"/>
      <c r="G493" s="170"/>
      <c r="H493" s="170"/>
      <c r="I493" s="170"/>
      <c r="J493" s="171"/>
      <c r="K493" s="171"/>
      <c r="L493" s="170"/>
      <c r="M493" s="170"/>
      <c r="N493" s="170"/>
      <c r="O493" s="171"/>
      <c r="P493" s="171"/>
      <c r="Q493" s="170"/>
      <c r="R493" s="170"/>
      <c r="S493" s="170"/>
      <c r="T493" s="171"/>
      <c r="U493" s="171"/>
      <c r="V493" s="171"/>
      <c r="W493" s="171"/>
      <c r="X493" s="171"/>
      <c r="Y493" s="171"/>
      <c r="Z493" s="171"/>
      <c r="AA493" s="171"/>
      <c r="AB493" s="171"/>
      <c r="AC493" s="170"/>
      <c r="AD493" s="170"/>
      <c r="AE493" s="170"/>
      <c r="AF493" s="170"/>
      <c r="AG493" s="170"/>
      <c r="AH493" s="170"/>
      <c r="AI493" s="170"/>
      <c r="AJ493" s="170"/>
      <c r="AK493" s="171"/>
      <c r="AL493" s="171"/>
      <c r="AM493" s="170"/>
      <c r="AN493" s="170"/>
      <c r="AO493" s="170"/>
      <c r="AP493" s="171"/>
      <c r="AQ493" s="171"/>
      <c r="AR493" s="170"/>
      <c r="AS493" s="170"/>
      <c r="AT493" s="170"/>
      <c r="AU493" s="171"/>
      <c r="AV493" s="171"/>
      <c r="AW493" s="171"/>
      <c r="AX493" s="171"/>
      <c r="AY493" s="171"/>
      <c r="AZ493" s="171"/>
      <c r="BA493" s="171"/>
      <c r="BB493" s="171"/>
      <c r="BC493" s="171"/>
      <c r="BD493" s="172"/>
      <c r="BE493" s="172"/>
      <c r="BF493" s="172"/>
      <c r="BG493" s="172"/>
      <c r="BH493" s="172"/>
      <c r="BI493" s="172"/>
      <c r="BJ493" s="172"/>
      <c r="BK493" s="172"/>
      <c r="BL493" s="172"/>
      <c r="BM493" s="172"/>
      <c r="BN493" s="172"/>
      <c r="BO493" s="172"/>
      <c r="BP493" s="172"/>
      <c r="BQ493" s="172"/>
      <c r="BR493" s="172"/>
      <c r="BS493" s="172"/>
    </row>
    <row r="494" spans="1:71" ht="12.5" x14ac:dyDescent="0.25">
      <c r="A494" s="170"/>
      <c r="B494" s="170"/>
      <c r="C494" s="170"/>
      <c r="D494" s="170"/>
      <c r="E494" s="171"/>
      <c r="F494" s="171"/>
      <c r="G494" s="170"/>
      <c r="H494" s="170"/>
      <c r="I494" s="170"/>
      <c r="J494" s="171"/>
      <c r="K494" s="171"/>
      <c r="L494" s="170"/>
      <c r="M494" s="170"/>
      <c r="N494" s="170"/>
      <c r="O494" s="171"/>
      <c r="P494" s="171"/>
      <c r="Q494" s="170"/>
      <c r="R494" s="170"/>
      <c r="S494" s="170"/>
      <c r="T494" s="171"/>
      <c r="U494" s="171"/>
      <c r="V494" s="171"/>
      <c r="W494" s="171"/>
      <c r="X494" s="171"/>
      <c r="Y494" s="171"/>
      <c r="Z494" s="171"/>
      <c r="AA494" s="171"/>
      <c r="AB494" s="171"/>
      <c r="AC494" s="170"/>
      <c r="AD494" s="170"/>
      <c r="AE494" s="170"/>
      <c r="AF494" s="170"/>
      <c r="AG494" s="170"/>
      <c r="AH494" s="170"/>
      <c r="AI494" s="170"/>
      <c r="AJ494" s="170"/>
      <c r="AK494" s="171"/>
      <c r="AL494" s="171"/>
      <c r="AM494" s="170"/>
      <c r="AN494" s="170"/>
      <c r="AO494" s="170"/>
      <c r="AP494" s="171"/>
      <c r="AQ494" s="171"/>
      <c r="AR494" s="170"/>
      <c r="AS494" s="170"/>
      <c r="AT494" s="170"/>
      <c r="AU494" s="171"/>
      <c r="AV494" s="171"/>
      <c r="AW494" s="171"/>
      <c r="AX494" s="171"/>
      <c r="AY494" s="171"/>
      <c r="AZ494" s="171"/>
      <c r="BA494" s="171"/>
      <c r="BB494" s="171"/>
      <c r="BC494" s="171"/>
      <c r="BD494" s="172"/>
      <c r="BE494" s="172"/>
      <c r="BF494" s="172"/>
      <c r="BG494" s="172"/>
      <c r="BH494" s="172"/>
      <c r="BI494" s="172"/>
      <c r="BJ494" s="172"/>
      <c r="BK494" s="172"/>
      <c r="BL494" s="172"/>
      <c r="BM494" s="172"/>
      <c r="BN494" s="172"/>
      <c r="BO494" s="172"/>
      <c r="BP494" s="172"/>
      <c r="BQ494" s="172"/>
      <c r="BR494" s="172"/>
      <c r="BS494" s="172"/>
    </row>
    <row r="495" spans="1:71" ht="12.5" x14ac:dyDescent="0.25">
      <c r="A495" s="170"/>
      <c r="B495" s="170"/>
      <c r="C495" s="170"/>
      <c r="D495" s="170"/>
      <c r="E495" s="171"/>
      <c r="F495" s="171"/>
      <c r="G495" s="170"/>
      <c r="H495" s="170"/>
      <c r="I495" s="170"/>
      <c r="J495" s="171"/>
      <c r="K495" s="171"/>
      <c r="L495" s="170"/>
      <c r="M495" s="170"/>
      <c r="N495" s="170"/>
      <c r="O495" s="171"/>
      <c r="P495" s="171"/>
      <c r="Q495" s="170"/>
      <c r="R495" s="170"/>
      <c r="S495" s="170"/>
      <c r="T495" s="171"/>
      <c r="U495" s="171"/>
      <c r="V495" s="171"/>
      <c r="W495" s="171"/>
      <c r="X495" s="171"/>
      <c r="Y495" s="171"/>
      <c r="Z495" s="171"/>
      <c r="AA495" s="171"/>
      <c r="AB495" s="171"/>
      <c r="AC495" s="170"/>
      <c r="AD495" s="170"/>
      <c r="AE495" s="170"/>
      <c r="AF495" s="170"/>
      <c r="AG495" s="170"/>
      <c r="AH495" s="170"/>
      <c r="AI495" s="170"/>
      <c r="AJ495" s="170"/>
      <c r="AK495" s="171"/>
      <c r="AL495" s="171"/>
      <c r="AM495" s="170"/>
      <c r="AN495" s="170"/>
      <c r="AO495" s="170"/>
      <c r="AP495" s="171"/>
      <c r="AQ495" s="171"/>
      <c r="AR495" s="170"/>
      <c r="AS495" s="170"/>
      <c r="AT495" s="170"/>
      <c r="AU495" s="171"/>
      <c r="AV495" s="171"/>
      <c r="AW495" s="171"/>
      <c r="AX495" s="171"/>
      <c r="AY495" s="171"/>
      <c r="AZ495" s="171"/>
      <c r="BA495" s="171"/>
      <c r="BB495" s="171"/>
      <c r="BC495" s="171"/>
      <c r="BD495" s="172"/>
      <c r="BE495" s="172"/>
      <c r="BF495" s="172"/>
      <c r="BG495" s="172"/>
      <c r="BH495" s="172"/>
      <c r="BI495" s="172"/>
      <c r="BJ495" s="172"/>
      <c r="BK495" s="172"/>
      <c r="BL495" s="172"/>
      <c r="BM495" s="172"/>
      <c r="BN495" s="172"/>
      <c r="BO495" s="172"/>
      <c r="BP495" s="172"/>
      <c r="BQ495" s="172"/>
      <c r="BR495" s="172"/>
      <c r="BS495" s="172"/>
    </row>
    <row r="496" spans="1:71" ht="12.5" x14ac:dyDescent="0.25">
      <c r="A496" s="170"/>
      <c r="B496" s="170"/>
      <c r="C496" s="170"/>
      <c r="D496" s="170"/>
      <c r="E496" s="171"/>
      <c r="F496" s="171"/>
      <c r="G496" s="170"/>
      <c r="H496" s="170"/>
      <c r="I496" s="170"/>
      <c r="J496" s="171"/>
      <c r="K496" s="171"/>
      <c r="L496" s="170"/>
      <c r="M496" s="170"/>
      <c r="N496" s="170"/>
      <c r="O496" s="171"/>
      <c r="P496" s="171"/>
      <c r="Q496" s="170"/>
      <c r="R496" s="170"/>
      <c r="S496" s="170"/>
      <c r="T496" s="171"/>
      <c r="U496" s="171"/>
      <c r="V496" s="171"/>
      <c r="W496" s="171"/>
      <c r="X496" s="171"/>
      <c r="Y496" s="171"/>
      <c r="Z496" s="171"/>
      <c r="AA496" s="171"/>
      <c r="AB496" s="171"/>
      <c r="AC496" s="170"/>
      <c r="AD496" s="170"/>
      <c r="AE496" s="170"/>
      <c r="AF496" s="170"/>
      <c r="AG496" s="170"/>
      <c r="AH496" s="170"/>
      <c r="AI496" s="170"/>
      <c r="AJ496" s="170"/>
      <c r="AK496" s="171"/>
      <c r="AL496" s="171"/>
      <c r="AM496" s="170"/>
      <c r="AN496" s="170"/>
      <c r="AO496" s="170"/>
      <c r="AP496" s="171"/>
      <c r="AQ496" s="171"/>
      <c r="AR496" s="170"/>
      <c r="AS496" s="170"/>
      <c r="AT496" s="170"/>
      <c r="AU496" s="171"/>
      <c r="AV496" s="171"/>
      <c r="AW496" s="171"/>
      <c r="AX496" s="171"/>
      <c r="AY496" s="171"/>
      <c r="AZ496" s="171"/>
      <c r="BA496" s="171"/>
      <c r="BB496" s="171"/>
      <c r="BC496" s="171"/>
      <c r="BD496" s="172"/>
      <c r="BE496" s="172"/>
      <c r="BF496" s="172"/>
      <c r="BG496" s="172"/>
      <c r="BH496" s="172"/>
      <c r="BI496" s="172"/>
      <c r="BJ496" s="172"/>
      <c r="BK496" s="172"/>
      <c r="BL496" s="172"/>
      <c r="BM496" s="172"/>
      <c r="BN496" s="172"/>
      <c r="BO496" s="172"/>
      <c r="BP496" s="172"/>
      <c r="BQ496" s="172"/>
      <c r="BR496" s="172"/>
      <c r="BS496" s="172"/>
    </row>
    <row r="497" spans="1:71" ht="12.5" x14ac:dyDescent="0.25">
      <c r="A497" s="170"/>
      <c r="B497" s="170"/>
      <c r="C497" s="170"/>
      <c r="D497" s="170"/>
      <c r="E497" s="171"/>
      <c r="F497" s="171"/>
      <c r="G497" s="170"/>
      <c r="H497" s="170"/>
      <c r="I497" s="170"/>
      <c r="J497" s="171"/>
      <c r="K497" s="171"/>
      <c r="L497" s="170"/>
      <c r="M497" s="170"/>
      <c r="N497" s="170"/>
      <c r="O497" s="171"/>
      <c r="P497" s="171"/>
      <c r="Q497" s="170"/>
      <c r="R497" s="170"/>
      <c r="S497" s="170"/>
      <c r="T497" s="171"/>
      <c r="U497" s="171"/>
      <c r="V497" s="171"/>
      <c r="W497" s="171"/>
      <c r="X497" s="171"/>
      <c r="Y497" s="171"/>
      <c r="Z497" s="171"/>
      <c r="AA497" s="171"/>
      <c r="AB497" s="171"/>
      <c r="AC497" s="170"/>
      <c r="AD497" s="170"/>
      <c r="AE497" s="170"/>
      <c r="AF497" s="170"/>
      <c r="AG497" s="170"/>
      <c r="AH497" s="170"/>
      <c r="AI497" s="170"/>
      <c r="AJ497" s="170"/>
      <c r="AK497" s="171"/>
      <c r="AL497" s="171"/>
      <c r="AM497" s="170"/>
      <c r="AN497" s="170"/>
      <c r="AO497" s="170"/>
      <c r="AP497" s="171"/>
      <c r="AQ497" s="171"/>
      <c r="AR497" s="170"/>
      <c r="AS497" s="170"/>
      <c r="AT497" s="170"/>
      <c r="AU497" s="171"/>
      <c r="AV497" s="171"/>
      <c r="AW497" s="171"/>
      <c r="AX497" s="171"/>
      <c r="AY497" s="171"/>
      <c r="AZ497" s="171"/>
      <c r="BA497" s="171"/>
      <c r="BB497" s="171"/>
      <c r="BC497" s="171"/>
      <c r="BD497" s="172"/>
      <c r="BE497" s="172"/>
      <c r="BF497" s="172"/>
      <c r="BG497" s="172"/>
      <c r="BH497" s="172"/>
      <c r="BI497" s="172"/>
      <c r="BJ497" s="172"/>
      <c r="BK497" s="172"/>
      <c r="BL497" s="172"/>
      <c r="BM497" s="172"/>
      <c r="BN497" s="172"/>
      <c r="BO497" s="172"/>
      <c r="BP497" s="172"/>
      <c r="BQ497" s="172"/>
      <c r="BR497" s="172"/>
      <c r="BS497" s="172"/>
    </row>
    <row r="498" spans="1:71" ht="12.5" x14ac:dyDescent="0.25">
      <c r="A498" s="170"/>
      <c r="B498" s="170"/>
      <c r="C498" s="170"/>
      <c r="D498" s="170"/>
      <c r="E498" s="171"/>
      <c r="F498" s="171"/>
      <c r="G498" s="170"/>
      <c r="H498" s="170"/>
      <c r="I498" s="170"/>
      <c r="J498" s="171"/>
      <c r="K498" s="171"/>
      <c r="L498" s="170"/>
      <c r="M498" s="170"/>
      <c r="N498" s="170"/>
      <c r="O498" s="171"/>
      <c r="P498" s="171"/>
      <c r="Q498" s="170"/>
      <c r="R498" s="170"/>
      <c r="S498" s="170"/>
      <c r="T498" s="171"/>
      <c r="U498" s="171"/>
      <c r="V498" s="171"/>
      <c r="W498" s="171"/>
      <c r="X498" s="171"/>
      <c r="Y498" s="171"/>
      <c r="Z498" s="171"/>
      <c r="AA498" s="171"/>
      <c r="AB498" s="171"/>
      <c r="AC498" s="170"/>
      <c r="AD498" s="170"/>
      <c r="AE498" s="170"/>
      <c r="AF498" s="170"/>
      <c r="AG498" s="170"/>
      <c r="AH498" s="170"/>
      <c r="AI498" s="170"/>
      <c r="AJ498" s="170"/>
      <c r="AK498" s="171"/>
      <c r="AL498" s="171"/>
      <c r="AM498" s="170"/>
      <c r="AN498" s="170"/>
      <c r="AO498" s="170"/>
      <c r="AP498" s="171"/>
      <c r="AQ498" s="171"/>
      <c r="AR498" s="170"/>
      <c r="AS498" s="170"/>
      <c r="AT498" s="170"/>
      <c r="AU498" s="171"/>
      <c r="AV498" s="171"/>
      <c r="AW498" s="171"/>
      <c r="AX498" s="171"/>
      <c r="AY498" s="171"/>
      <c r="AZ498" s="171"/>
      <c r="BA498" s="171"/>
      <c r="BB498" s="171"/>
      <c r="BC498" s="171"/>
      <c r="BD498" s="172"/>
      <c r="BE498" s="172"/>
      <c r="BF498" s="172"/>
      <c r="BG498" s="172"/>
      <c r="BH498" s="172"/>
      <c r="BI498" s="172"/>
      <c r="BJ498" s="172"/>
      <c r="BK498" s="172"/>
      <c r="BL498" s="172"/>
      <c r="BM498" s="172"/>
      <c r="BN498" s="172"/>
      <c r="BO498" s="172"/>
      <c r="BP498" s="172"/>
      <c r="BQ498" s="172"/>
      <c r="BR498" s="172"/>
      <c r="BS498" s="172"/>
    </row>
    <row r="499" spans="1:71" ht="12.5" x14ac:dyDescent="0.25">
      <c r="A499" s="170"/>
      <c r="B499" s="170"/>
      <c r="C499" s="170"/>
      <c r="D499" s="170"/>
      <c r="E499" s="171"/>
      <c r="F499" s="171"/>
      <c r="G499" s="170"/>
      <c r="H499" s="170"/>
      <c r="I499" s="170"/>
      <c r="J499" s="171"/>
      <c r="K499" s="171"/>
      <c r="L499" s="170"/>
      <c r="M499" s="170"/>
      <c r="N499" s="170"/>
      <c r="O499" s="171"/>
      <c r="P499" s="171"/>
      <c r="Q499" s="170"/>
      <c r="R499" s="170"/>
      <c r="S499" s="170"/>
      <c r="T499" s="171"/>
      <c r="U499" s="171"/>
      <c r="V499" s="171"/>
      <c r="W499" s="171"/>
      <c r="X499" s="171"/>
      <c r="Y499" s="171"/>
      <c r="Z499" s="171"/>
      <c r="AA499" s="171"/>
      <c r="AB499" s="171"/>
      <c r="AC499" s="170"/>
      <c r="AD499" s="170"/>
      <c r="AE499" s="170"/>
      <c r="AF499" s="170"/>
      <c r="AG499" s="170"/>
      <c r="AH499" s="170"/>
      <c r="AI499" s="170"/>
      <c r="AJ499" s="170"/>
      <c r="AK499" s="171"/>
      <c r="AL499" s="171"/>
      <c r="AM499" s="170"/>
      <c r="AN499" s="170"/>
      <c r="AO499" s="170"/>
      <c r="AP499" s="171"/>
      <c r="AQ499" s="171"/>
      <c r="AR499" s="170"/>
      <c r="AS499" s="170"/>
      <c r="AT499" s="170"/>
      <c r="AU499" s="171"/>
      <c r="AV499" s="171"/>
      <c r="AW499" s="171"/>
      <c r="AX499" s="171"/>
      <c r="AY499" s="171"/>
      <c r="AZ499" s="171"/>
      <c r="BA499" s="171"/>
      <c r="BB499" s="171"/>
      <c r="BC499" s="171"/>
      <c r="BD499" s="172"/>
      <c r="BE499" s="172"/>
      <c r="BF499" s="172"/>
      <c r="BG499" s="172"/>
      <c r="BH499" s="172"/>
      <c r="BI499" s="172"/>
      <c r="BJ499" s="172"/>
      <c r="BK499" s="172"/>
      <c r="BL499" s="172"/>
      <c r="BM499" s="172"/>
      <c r="BN499" s="172"/>
      <c r="BO499" s="172"/>
      <c r="BP499" s="172"/>
      <c r="BQ499" s="172"/>
      <c r="BR499" s="172"/>
      <c r="BS499" s="172"/>
    </row>
    <row r="500" spans="1:71" ht="12.5" x14ac:dyDescent="0.25">
      <c r="A500" s="170"/>
      <c r="B500" s="170"/>
      <c r="C500" s="170"/>
      <c r="D500" s="170"/>
      <c r="E500" s="171"/>
      <c r="F500" s="171"/>
      <c r="G500" s="170"/>
      <c r="H500" s="170"/>
      <c r="I500" s="170"/>
      <c r="J500" s="171"/>
      <c r="K500" s="171"/>
      <c r="L500" s="170"/>
      <c r="M500" s="170"/>
      <c r="N500" s="170"/>
      <c r="O500" s="171"/>
      <c r="P500" s="171"/>
      <c r="Q500" s="170"/>
      <c r="R500" s="170"/>
      <c r="S500" s="170"/>
      <c r="T500" s="171"/>
      <c r="U500" s="171"/>
      <c r="V500" s="171"/>
      <c r="W500" s="171"/>
      <c r="X500" s="171"/>
      <c r="Y500" s="171"/>
      <c r="Z500" s="171"/>
      <c r="AA500" s="171"/>
      <c r="AB500" s="171"/>
      <c r="AC500" s="170"/>
      <c r="AD500" s="170"/>
      <c r="AE500" s="170"/>
      <c r="AF500" s="170"/>
      <c r="AG500" s="170"/>
      <c r="AH500" s="170"/>
      <c r="AI500" s="170"/>
      <c r="AJ500" s="170"/>
      <c r="AK500" s="171"/>
      <c r="AL500" s="171"/>
      <c r="AM500" s="170"/>
      <c r="AN500" s="170"/>
      <c r="AO500" s="170"/>
      <c r="AP500" s="171"/>
      <c r="AQ500" s="171"/>
      <c r="AR500" s="170"/>
      <c r="AS500" s="170"/>
      <c r="AT500" s="170"/>
      <c r="AU500" s="171"/>
      <c r="AV500" s="171"/>
      <c r="AW500" s="171"/>
      <c r="AX500" s="171"/>
      <c r="AY500" s="171"/>
      <c r="AZ500" s="171"/>
      <c r="BA500" s="171"/>
      <c r="BB500" s="171"/>
      <c r="BC500" s="171"/>
      <c r="BD500" s="172"/>
      <c r="BE500" s="172"/>
      <c r="BF500" s="172"/>
      <c r="BG500" s="172"/>
      <c r="BH500" s="172"/>
      <c r="BI500" s="172"/>
      <c r="BJ500" s="172"/>
      <c r="BK500" s="172"/>
      <c r="BL500" s="172"/>
      <c r="BM500" s="172"/>
      <c r="BN500" s="172"/>
      <c r="BO500" s="172"/>
      <c r="BP500" s="172"/>
      <c r="BQ500" s="172"/>
      <c r="BR500" s="172"/>
      <c r="BS500" s="172"/>
    </row>
    <row r="501" spans="1:71" ht="12.5" x14ac:dyDescent="0.25">
      <c r="A501" s="170"/>
      <c r="B501" s="170"/>
      <c r="C501" s="170"/>
      <c r="D501" s="170"/>
      <c r="E501" s="171"/>
      <c r="F501" s="171"/>
      <c r="G501" s="170"/>
      <c r="H501" s="170"/>
      <c r="I501" s="170"/>
      <c r="J501" s="171"/>
      <c r="K501" s="171"/>
      <c r="L501" s="170"/>
      <c r="M501" s="170"/>
      <c r="N501" s="170"/>
      <c r="O501" s="171"/>
      <c r="P501" s="171"/>
      <c r="Q501" s="170"/>
      <c r="R501" s="170"/>
      <c r="S501" s="170"/>
      <c r="T501" s="171"/>
      <c r="U501" s="171"/>
      <c r="V501" s="171"/>
      <c r="W501" s="171"/>
      <c r="X501" s="171"/>
      <c r="Y501" s="171"/>
      <c r="Z501" s="171"/>
      <c r="AA501" s="171"/>
      <c r="AB501" s="171"/>
      <c r="AC501" s="170"/>
      <c r="AD501" s="170"/>
      <c r="AE501" s="170"/>
      <c r="AF501" s="170"/>
      <c r="AG501" s="170"/>
      <c r="AH501" s="170"/>
      <c r="AI501" s="170"/>
      <c r="AJ501" s="170"/>
      <c r="AK501" s="171"/>
      <c r="AL501" s="171"/>
      <c r="AM501" s="170"/>
      <c r="AN501" s="170"/>
      <c r="AO501" s="170"/>
      <c r="AP501" s="171"/>
      <c r="AQ501" s="171"/>
      <c r="AR501" s="170"/>
      <c r="AS501" s="170"/>
      <c r="AT501" s="170"/>
      <c r="AU501" s="171"/>
      <c r="AV501" s="171"/>
      <c r="AW501" s="171"/>
      <c r="AX501" s="171"/>
      <c r="AY501" s="171"/>
      <c r="AZ501" s="171"/>
      <c r="BA501" s="171"/>
      <c r="BB501" s="171"/>
      <c r="BC501" s="171"/>
      <c r="BD501" s="172"/>
      <c r="BE501" s="172"/>
      <c r="BF501" s="172"/>
      <c r="BG501" s="172"/>
      <c r="BH501" s="172"/>
      <c r="BI501" s="172"/>
      <c r="BJ501" s="172"/>
      <c r="BK501" s="172"/>
      <c r="BL501" s="172"/>
      <c r="BM501" s="172"/>
      <c r="BN501" s="172"/>
      <c r="BO501" s="172"/>
      <c r="BP501" s="172"/>
      <c r="BQ501" s="172"/>
      <c r="BR501" s="172"/>
      <c r="BS501" s="172"/>
    </row>
    <row r="502" spans="1:71" ht="12.5" x14ac:dyDescent="0.25">
      <c r="A502" s="170"/>
      <c r="B502" s="170"/>
      <c r="C502" s="170"/>
      <c r="D502" s="170"/>
      <c r="E502" s="171"/>
      <c r="F502" s="171"/>
      <c r="G502" s="170"/>
      <c r="H502" s="170"/>
      <c r="I502" s="170"/>
      <c r="J502" s="171"/>
      <c r="K502" s="171"/>
      <c r="L502" s="170"/>
      <c r="M502" s="170"/>
      <c r="N502" s="170"/>
      <c r="O502" s="171"/>
      <c r="P502" s="171"/>
      <c r="Q502" s="170"/>
      <c r="R502" s="170"/>
      <c r="S502" s="170"/>
      <c r="T502" s="171"/>
      <c r="U502" s="171"/>
      <c r="V502" s="171"/>
      <c r="W502" s="171"/>
      <c r="X502" s="171"/>
      <c r="Y502" s="171"/>
      <c r="Z502" s="171"/>
      <c r="AA502" s="171"/>
      <c r="AB502" s="171"/>
      <c r="AC502" s="170"/>
      <c r="AD502" s="170"/>
      <c r="AE502" s="170"/>
      <c r="AF502" s="170"/>
      <c r="AG502" s="170"/>
      <c r="AH502" s="170"/>
      <c r="AI502" s="170"/>
      <c r="AJ502" s="170"/>
      <c r="AK502" s="171"/>
      <c r="AL502" s="171"/>
      <c r="AM502" s="170"/>
      <c r="AN502" s="170"/>
      <c r="AO502" s="170"/>
      <c r="AP502" s="171"/>
      <c r="AQ502" s="171"/>
      <c r="AR502" s="170"/>
      <c r="AS502" s="170"/>
      <c r="AT502" s="170"/>
      <c r="AU502" s="171"/>
      <c r="AV502" s="171"/>
      <c r="AW502" s="171"/>
      <c r="AX502" s="171"/>
      <c r="AY502" s="171"/>
      <c r="AZ502" s="171"/>
      <c r="BA502" s="171"/>
      <c r="BB502" s="171"/>
      <c r="BC502" s="171"/>
      <c r="BD502" s="172"/>
      <c r="BE502" s="172"/>
      <c r="BF502" s="172"/>
      <c r="BG502" s="172"/>
      <c r="BH502" s="172"/>
      <c r="BI502" s="172"/>
      <c r="BJ502" s="172"/>
      <c r="BK502" s="172"/>
      <c r="BL502" s="172"/>
      <c r="BM502" s="172"/>
      <c r="BN502" s="172"/>
      <c r="BO502" s="172"/>
      <c r="BP502" s="172"/>
      <c r="BQ502" s="172"/>
      <c r="BR502" s="172"/>
      <c r="BS502" s="172"/>
    </row>
    <row r="503" spans="1:71" ht="12.5" x14ac:dyDescent="0.25">
      <c r="A503" s="170"/>
      <c r="B503" s="170"/>
      <c r="C503" s="170"/>
      <c r="D503" s="170"/>
      <c r="E503" s="171"/>
      <c r="F503" s="171"/>
      <c r="G503" s="170"/>
      <c r="H503" s="170"/>
      <c r="I503" s="170"/>
      <c r="J503" s="171"/>
      <c r="K503" s="171"/>
      <c r="L503" s="170"/>
      <c r="M503" s="170"/>
      <c r="N503" s="170"/>
      <c r="O503" s="171"/>
      <c r="P503" s="171"/>
      <c r="Q503" s="170"/>
      <c r="R503" s="170"/>
      <c r="S503" s="170"/>
      <c r="T503" s="171"/>
      <c r="U503" s="171"/>
      <c r="V503" s="171"/>
      <c r="W503" s="171"/>
      <c r="X503" s="171"/>
      <c r="Y503" s="171"/>
      <c r="Z503" s="171"/>
      <c r="AA503" s="171"/>
      <c r="AB503" s="171"/>
      <c r="AC503" s="170"/>
      <c r="AD503" s="170"/>
      <c r="AE503" s="170"/>
      <c r="AF503" s="170"/>
      <c r="AG503" s="170"/>
      <c r="AH503" s="170"/>
      <c r="AI503" s="170"/>
      <c r="AJ503" s="170"/>
      <c r="AK503" s="171"/>
      <c r="AL503" s="171"/>
      <c r="AM503" s="170"/>
      <c r="AN503" s="170"/>
      <c r="AO503" s="170"/>
      <c r="AP503" s="171"/>
      <c r="AQ503" s="171"/>
      <c r="AR503" s="170"/>
      <c r="AS503" s="170"/>
      <c r="AT503" s="170"/>
      <c r="AU503" s="171"/>
      <c r="AV503" s="171"/>
      <c r="AW503" s="171"/>
      <c r="AX503" s="171"/>
      <c r="AY503" s="171"/>
      <c r="AZ503" s="171"/>
      <c r="BA503" s="171"/>
      <c r="BB503" s="171"/>
      <c r="BC503" s="171"/>
      <c r="BD503" s="172"/>
      <c r="BE503" s="172"/>
      <c r="BF503" s="172"/>
      <c r="BG503" s="172"/>
      <c r="BH503" s="172"/>
      <c r="BI503" s="172"/>
      <c r="BJ503" s="172"/>
      <c r="BK503" s="172"/>
      <c r="BL503" s="172"/>
      <c r="BM503" s="172"/>
      <c r="BN503" s="172"/>
      <c r="BO503" s="172"/>
      <c r="BP503" s="172"/>
      <c r="BQ503" s="172"/>
      <c r="BR503" s="172"/>
      <c r="BS503" s="172"/>
    </row>
    <row r="504" spans="1:71" ht="12.5" x14ac:dyDescent="0.25">
      <c r="A504" s="170"/>
      <c r="B504" s="170"/>
      <c r="C504" s="170"/>
      <c r="D504" s="170"/>
      <c r="E504" s="171"/>
      <c r="F504" s="171"/>
      <c r="G504" s="170"/>
      <c r="H504" s="170"/>
      <c r="I504" s="170"/>
      <c r="J504" s="171"/>
      <c r="K504" s="171"/>
      <c r="L504" s="170"/>
      <c r="M504" s="170"/>
      <c r="N504" s="170"/>
      <c r="O504" s="171"/>
      <c r="P504" s="171"/>
      <c r="Q504" s="170"/>
      <c r="R504" s="170"/>
      <c r="S504" s="170"/>
      <c r="T504" s="171"/>
      <c r="U504" s="171"/>
      <c r="V504" s="171"/>
      <c r="W504" s="171"/>
      <c r="X504" s="171"/>
      <c r="Y504" s="171"/>
      <c r="Z504" s="171"/>
      <c r="AA504" s="171"/>
      <c r="AB504" s="171"/>
      <c r="AC504" s="170"/>
      <c r="AD504" s="170"/>
      <c r="AE504" s="170"/>
      <c r="AF504" s="170"/>
      <c r="AG504" s="170"/>
      <c r="AH504" s="170"/>
      <c r="AI504" s="170"/>
      <c r="AJ504" s="170"/>
      <c r="AK504" s="171"/>
      <c r="AL504" s="171"/>
      <c r="AM504" s="170"/>
      <c r="AN504" s="170"/>
      <c r="AO504" s="170"/>
      <c r="AP504" s="171"/>
      <c r="AQ504" s="171"/>
      <c r="AR504" s="170"/>
      <c r="AS504" s="170"/>
      <c r="AT504" s="170"/>
      <c r="AU504" s="171"/>
      <c r="AV504" s="171"/>
      <c r="AW504" s="171"/>
      <c r="AX504" s="171"/>
      <c r="AY504" s="171"/>
      <c r="AZ504" s="171"/>
      <c r="BA504" s="171"/>
      <c r="BB504" s="171"/>
      <c r="BC504" s="171"/>
      <c r="BD504" s="172"/>
      <c r="BE504" s="172"/>
      <c r="BF504" s="172"/>
      <c r="BG504" s="172"/>
      <c r="BH504" s="172"/>
      <c r="BI504" s="172"/>
      <c r="BJ504" s="172"/>
      <c r="BK504" s="172"/>
      <c r="BL504" s="172"/>
      <c r="BM504" s="172"/>
      <c r="BN504" s="172"/>
      <c r="BO504" s="172"/>
      <c r="BP504" s="172"/>
      <c r="BQ504" s="172"/>
      <c r="BR504" s="172"/>
      <c r="BS504" s="172"/>
    </row>
    <row r="505" spans="1:71" ht="12.5" x14ac:dyDescent="0.25">
      <c r="A505" s="170"/>
      <c r="B505" s="170"/>
      <c r="C505" s="170"/>
      <c r="D505" s="170"/>
      <c r="E505" s="171"/>
      <c r="F505" s="171"/>
      <c r="G505" s="170"/>
      <c r="H505" s="170"/>
      <c r="I505" s="170"/>
      <c r="J505" s="171"/>
      <c r="K505" s="171"/>
      <c r="L505" s="170"/>
      <c r="M505" s="170"/>
      <c r="N505" s="170"/>
      <c r="O505" s="171"/>
      <c r="P505" s="171"/>
      <c r="Q505" s="170"/>
      <c r="R505" s="170"/>
      <c r="S505" s="170"/>
      <c r="T505" s="171"/>
      <c r="U505" s="171"/>
      <c r="V505" s="171"/>
      <c r="W505" s="171"/>
      <c r="X505" s="171"/>
      <c r="Y505" s="171"/>
      <c r="Z505" s="171"/>
      <c r="AA505" s="171"/>
      <c r="AB505" s="171"/>
      <c r="AC505" s="170"/>
      <c r="AD505" s="170"/>
      <c r="AE505" s="170"/>
      <c r="AF505" s="170"/>
      <c r="AG505" s="170"/>
      <c r="AH505" s="170"/>
      <c r="AI505" s="170"/>
      <c r="AJ505" s="170"/>
      <c r="AK505" s="171"/>
      <c r="AL505" s="171"/>
      <c r="AM505" s="170"/>
      <c r="AN505" s="170"/>
      <c r="AO505" s="170"/>
      <c r="AP505" s="171"/>
      <c r="AQ505" s="171"/>
      <c r="AR505" s="170"/>
      <c r="AS505" s="170"/>
      <c r="AT505" s="170"/>
      <c r="AU505" s="171"/>
      <c r="AV505" s="171"/>
      <c r="AW505" s="171"/>
      <c r="AX505" s="171"/>
      <c r="AY505" s="171"/>
      <c r="AZ505" s="171"/>
      <c r="BA505" s="171"/>
      <c r="BB505" s="171"/>
      <c r="BC505" s="171"/>
      <c r="BD505" s="172"/>
      <c r="BE505" s="172"/>
      <c r="BF505" s="172"/>
      <c r="BG505" s="172"/>
      <c r="BH505" s="172"/>
      <c r="BI505" s="172"/>
      <c r="BJ505" s="172"/>
      <c r="BK505" s="172"/>
      <c r="BL505" s="172"/>
      <c r="BM505" s="172"/>
      <c r="BN505" s="172"/>
      <c r="BO505" s="172"/>
      <c r="BP505" s="172"/>
      <c r="BQ505" s="172"/>
      <c r="BR505" s="172"/>
      <c r="BS505" s="172"/>
    </row>
    <row r="506" spans="1:71" ht="12.5" x14ac:dyDescent="0.25">
      <c r="A506" s="170"/>
      <c r="B506" s="170"/>
      <c r="C506" s="170"/>
      <c r="D506" s="170"/>
      <c r="E506" s="171"/>
      <c r="F506" s="171"/>
      <c r="G506" s="170"/>
      <c r="H506" s="170"/>
      <c r="I506" s="170"/>
      <c r="J506" s="171"/>
      <c r="K506" s="171"/>
      <c r="L506" s="170"/>
      <c r="M506" s="170"/>
      <c r="N506" s="170"/>
      <c r="O506" s="171"/>
      <c r="P506" s="171"/>
      <c r="Q506" s="170"/>
      <c r="R506" s="170"/>
      <c r="S506" s="170"/>
      <c r="T506" s="171"/>
      <c r="U506" s="171"/>
      <c r="V506" s="171"/>
      <c r="W506" s="171"/>
      <c r="X506" s="171"/>
      <c r="Y506" s="171"/>
      <c r="Z506" s="171"/>
      <c r="AA506" s="171"/>
      <c r="AB506" s="171"/>
      <c r="AC506" s="170"/>
      <c r="AD506" s="170"/>
      <c r="AE506" s="170"/>
      <c r="AF506" s="170"/>
      <c r="AG506" s="170"/>
      <c r="AH506" s="170"/>
      <c r="AI506" s="170"/>
      <c r="AJ506" s="170"/>
      <c r="AK506" s="171"/>
      <c r="AL506" s="171"/>
      <c r="AM506" s="170"/>
      <c r="AN506" s="170"/>
      <c r="AO506" s="170"/>
      <c r="AP506" s="171"/>
      <c r="AQ506" s="171"/>
      <c r="AR506" s="170"/>
      <c r="AS506" s="170"/>
      <c r="AT506" s="170"/>
      <c r="AU506" s="171"/>
      <c r="AV506" s="171"/>
      <c r="AW506" s="171"/>
      <c r="AX506" s="171"/>
      <c r="AY506" s="171"/>
      <c r="AZ506" s="171"/>
      <c r="BA506" s="171"/>
      <c r="BB506" s="171"/>
      <c r="BC506" s="171"/>
      <c r="BD506" s="172"/>
      <c r="BE506" s="172"/>
      <c r="BF506" s="172"/>
      <c r="BG506" s="172"/>
      <c r="BH506" s="172"/>
      <c r="BI506" s="172"/>
      <c r="BJ506" s="172"/>
      <c r="BK506" s="172"/>
      <c r="BL506" s="172"/>
      <c r="BM506" s="172"/>
      <c r="BN506" s="172"/>
      <c r="BO506" s="172"/>
      <c r="BP506" s="172"/>
      <c r="BQ506" s="172"/>
      <c r="BR506" s="172"/>
      <c r="BS506" s="172"/>
    </row>
    <row r="507" spans="1:71" ht="12.5" x14ac:dyDescent="0.25">
      <c r="A507" s="170"/>
      <c r="B507" s="170"/>
      <c r="C507" s="170"/>
      <c r="D507" s="170"/>
      <c r="E507" s="171"/>
      <c r="F507" s="171"/>
      <c r="G507" s="170"/>
      <c r="H507" s="170"/>
      <c r="I507" s="170"/>
      <c r="J507" s="171"/>
      <c r="K507" s="171"/>
      <c r="L507" s="170"/>
      <c r="M507" s="170"/>
      <c r="N507" s="170"/>
      <c r="O507" s="171"/>
      <c r="P507" s="171"/>
      <c r="Q507" s="170"/>
      <c r="R507" s="170"/>
      <c r="S507" s="170"/>
      <c r="T507" s="171"/>
      <c r="U507" s="171"/>
      <c r="V507" s="171"/>
      <c r="W507" s="171"/>
      <c r="X507" s="171"/>
      <c r="Y507" s="171"/>
      <c r="Z507" s="171"/>
      <c r="AA507" s="171"/>
      <c r="AB507" s="171"/>
      <c r="AC507" s="170"/>
      <c r="AD507" s="170"/>
      <c r="AE507" s="170"/>
      <c r="AF507" s="170"/>
      <c r="AG507" s="170"/>
      <c r="AH507" s="170"/>
      <c r="AI507" s="170"/>
      <c r="AJ507" s="170"/>
      <c r="AK507" s="171"/>
      <c r="AL507" s="171"/>
      <c r="AM507" s="170"/>
      <c r="AN507" s="170"/>
      <c r="AO507" s="170"/>
      <c r="AP507" s="171"/>
      <c r="AQ507" s="171"/>
      <c r="AR507" s="170"/>
      <c r="AS507" s="170"/>
      <c r="AT507" s="170"/>
      <c r="AU507" s="171"/>
      <c r="AV507" s="171"/>
      <c r="AW507" s="171"/>
      <c r="AX507" s="171"/>
      <c r="AY507" s="171"/>
      <c r="AZ507" s="171"/>
      <c r="BA507" s="171"/>
      <c r="BB507" s="171"/>
      <c r="BC507" s="171"/>
      <c r="BD507" s="172"/>
      <c r="BE507" s="172"/>
      <c r="BF507" s="172"/>
      <c r="BG507" s="172"/>
      <c r="BH507" s="172"/>
      <c r="BI507" s="172"/>
      <c r="BJ507" s="172"/>
      <c r="BK507" s="172"/>
      <c r="BL507" s="172"/>
      <c r="BM507" s="172"/>
      <c r="BN507" s="172"/>
      <c r="BO507" s="172"/>
      <c r="BP507" s="172"/>
      <c r="BQ507" s="172"/>
      <c r="BR507" s="172"/>
      <c r="BS507" s="172"/>
    </row>
    <row r="508" spans="1:71" ht="12.5" x14ac:dyDescent="0.25">
      <c r="A508" s="170"/>
      <c r="B508" s="170"/>
      <c r="C508" s="170"/>
      <c r="D508" s="170"/>
      <c r="E508" s="171"/>
      <c r="F508" s="171"/>
      <c r="G508" s="170"/>
      <c r="H508" s="170"/>
      <c r="I508" s="170"/>
      <c r="J508" s="171"/>
      <c r="K508" s="171"/>
      <c r="L508" s="170"/>
      <c r="M508" s="170"/>
      <c r="N508" s="170"/>
      <c r="O508" s="171"/>
      <c r="P508" s="171"/>
      <c r="Q508" s="170"/>
      <c r="R508" s="170"/>
      <c r="S508" s="170"/>
      <c r="T508" s="171"/>
      <c r="U508" s="171"/>
      <c r="V508" s="171"/>
      <c r="W508" s="171"/>
      <c r="X508" s="171"/>
      <c r="Y508" s="171"/>
      <c r="Z508" s="171"/>
      <c r="AA508" s="171"/>
      <c r="AB508" s="171"/>
      <c r="AC508" s="170"/>
      <c r="AD508" s="170"/>
      <c r="AE508" s="170"/>
      <c r="AF508" s="170"/>
      <c r="AG508" s="170"/>
      <c r="AH508" s="170"/>
      <c r="AI508" s="170"/>
      <c r="AJ508" s="170"/>
      <c r="AK508" s="171"/>
      <c r="AL508" s="171"/>
      <c r="AM508" s="170"/>
      <c r="AN508" s="170"/>
      <c r="AO508" s="170"/>
      <c r="AP508" s="171"/>
      <c r="AQ508" s="171"/>
      <c r="AR508" s="170"/>
      <c r="AS508" s="170"/>
      <c r="AT508" s="170"/>
      <c r="AU508" s="171"/>
      <c r="AV508" s="171"/>
      <c r="AW508" s="171"/>
      <c r="AX508" s="171"/>
      <c r="AY508" s="171"/>
      <c r="AZ508" s="171"/>
      <c r="BA508" s="171"/>
      <c r="BB508" s="171"/>
      <c r="BC508" s="171"/>
      <c r="BD508" s="172"/>
      <c r="BE508" s="172"/>
      <c r="BF508" s="172"/>
      <c r="BG508" s="172"/>
      <c r="BH508" s="172"/>
      <c r="BI508" s="172"/>
      <c r="BJ508" s="172"/>
      <c r="BK508" s="172"/>
      <c r="BL508" s="172"/>
      <c r="BM508" s="172"/>
      <c r="BN508" s="172"/>
      <c r="BO508" s="172"/>
      <c r="BP508" s="172"/>
      <c r="BQ508" s="172"/>
      <c r="BR508" s="172"/>
      <c r="BS508" s="172"/>
    </row>
    <row r="509" spans="1:71" ht="12.5" x14ac:dyDescent="0.25">
      <c r="A509" s="170"/>
      <c r="B509" s="170"/>
      <c r="C509" s="170"/>
      <c r="D509" s="170"/>
      <c r="E509" s="171"/>
      <c r="F509" s="171"/>
      <c r="G509" s="170"/>
      <c r="H509" s="170"/>
      <c r="I509" s="170"/>
      <c r="J509" s="171"/>
      <c r="K509" s="171"/>
      <c r="L509" s="170"/>
      <c r="M509" s="170"/>
      <c r="N509" s="170"/>
      <c r="O509" s="171"/>
      <c r="P509" s="171"/>
      <c r="Q509" s="170"/>
      <c r="R509" s="170"/>
      <c r="S509" s="170"/>
      <c r="T509" s="171"/>
      <c r="U509" s="171"/>
      <c r="V509" s="171"/>
      <c r="W509" s="171"/>
      <c r="X509" s="171"/>
      <c r="Y509" s="171"/>
      <c r="Z509" s="171"/>
      <c r="AA509" s="171"/>
      <c r="AB509" s="171"/>
      <c r="AC509" s="170"/>
      <c r="AD509" s="170"/>
      <c r="AE509" s="170"/>
      <c r="AF509" s="170"/>
      <c r="AG509" s="170"/>
      <c r="AH509" s="170"/>
      <c r="AI509" s="170"/>
      <c r="AJ509" s="170"/>
      <c r="AK509" s="171"/>
      <c r="AL509" s="171"/>
      <c r="AM509" s="170"/>
      <c r="AN509" s="170"/>
      <c r="AO509" s="170"/>
      <c r="AP509" s="171"/>
      <c r="AQ509" s="171"/>
      <c r="AR509" s="170"/>
      <c r="AS509" s="170"/>
      <c r="AT509" s="170"/>
      <c r="AU509" s="171"/>
      <c r="AV509" s="171"/>
      <c r="AW509" s="171"/>
      <c r="AX509" s="171"/>
      <c r="AY509" s="171"/>
      <c r="AZ509" s="171"/>
      <c r="BA509" s="171"/>
      <c r="BB509" s="171"/>
      <c r="BC509" s="171"/>
      <c r="BD509" s="172"/>
      <c r="BE509" s="172"/>
      <c r="BF509" s="172"/>
      <c r="BG509" s="172"/>
      <c r="BH509" s="172"/>
      <c r="BI509" s="172"/>
      <c r="BJ509" s="172"/>
      <c r="BK509" s="172"/>
      <c r="BL509" s="172"/>
      <c r="BM509" s="172"/>
      <c r="BN509" s="172"/>
      <c r="BO509" s="172"/>
      <c r="BP509" s="172"/>
      <c r="BQ509" s="172"/>
      <c r="BR509" s="172"/>
      <c r="BS509" s="172"/>
    </row>
    <row r="510" spans="1:71" ht="12.5" x14ac:dyDescent="0.25">
      <c r="A510" s="170"/>
      <c r="B510" s="170"/>
      <c r="C510" s="170"/>
      <c r="D510" s="170"/>
      <c r="E510" s="171"/>
      <c r="F510" s="171"/>
      <c r="G510" s="170"/>
      <c r="H510" s="170"/>
      <c r="I510" s="170"/>
      <c r="J510" s="171"/>
      <c r="K510" s="171"/>
      <c r="L510" s="170"/>
      <c r="M510" s="170"/>
      <c r="N510" s="170"/>
      <c r="O510" s="171"/>
      <c r="P510" s="171"/>
      <c r="Q510" s="170"/>
      <c r="R510" s="170"/>
      <c r="S510" s="170"/>
      <c r="T510" s="171"/>
      <c r="U510" s="171"/>
      <c r="V510" s="171"/>
      <c r="W510" s="171"/>
      <c r="X510" s="171"/>
      <c r="Y510" s="171"/>
      <c r="Z510" s="171"/>
      <c r="AA510" s="171"/>
      <c r="AB510" s="171"/>
      <c r="AC510" s="170"/>
      <c r="AD510" s="170"/>
      <c r="AE510" s="170"/>
      <c r="AF510" s="170"/>
      <c r="AG510" s="170"/>
      <c r="AH510" s="170"/>
      <c r="AI510" s="170"/>
      <c r="AJ510" s="170"/>
      <c r="AK510" s="171"/>
      <c r="AL510" s="171"/>
      <c r="AM510" s="170"/>
      <c r="AN510" s="170"/>
      <c r="AO510" s="170"/>
      <c r="AP510" s="171"/>
      <c r="AQ510" s="171"/>
      <c r="AR510" s="170"/>
      <c r="AS510" s="170"/>
      <c r="AT510" s="170"/>
      <c r="AU510" s="171"/>
      <c r="AV510" s="171"/>
      <c r="AW510" s="171"/>
      <c r="AX510" s="171"/>
      <c r="AY510" s="171"/>
      <c r="AZ510" s="171"/>
      <c r="BA510" s="171"/>
      <c r="BB510" s="171"/>
      <c r="BC510" s="171"/>
      <c r="BD510" s="172"/>
      <c r="BE510" s="172"/>
      <c r="BF510" s="172"/>
      <c r="BG510" s="172"/>
      <c r="BH510" s="172"/>
      <c r="BI510" s="172"/>
      <c r="BJ510" s="172"/>
      <c r="BK510" s="172"/>
      <c r="BL510" s="172"/>
      <c r="BM510" s="172"/>
      <c r="BN510" s="172"/>
      <c r="BO510" s="172"/>
      <c r="BP510" s="172"/>
      <c r="BQ510" s="172"/>
      <c r="BR510" s="172"/>
      <c r="BS510" s="172"/>
    </row>
    <row r="511" spans="1:71" ht="12.5" x14ac:dyDescent="0.25">
      <c r="A511" s="170"/>
      <c r="B511" s="170"/>
      <c r="C511" s="170"/>
      <c r="D511" s="170"/>
      <c r="E511" s="171"/>
      <c r="F511" s="171"/>
      <c r="G511" s="170"/>
      <c r="H511" s="170"/>
      <c r="I511" s="170"/>
      <c r="J511" s="171"/>
      <c r="K511" s="171"/>
      <c r="L511" s="170"/>
      <c r="M511" s="170"/>
      <c r="N511" s="170"/>
      <c r="O511" s="171"/>
      <c r="P511" s="171"/>
      <c r="Q511" s="170"/>
      <c r="R511" s="170"/>
      <c r="S511" s="170"/>
      <c r="T511" s="171"/>
      <c r="U511" s="171"/>
      <c r="V511" s="171"/>
      <c r="W511" s="171"/>
      <c r="X511" s="171"/>
      <c r="Y511" s="171"/>
      <c r="Z511" s="171"/>
      <c r="AA511" s="171"/>
      <c r="AB511" s="171"/>
      <c r="AC511" s="170"/>
      <c r="AD511" s="170"/>
      <c r="AE511" s="170"/>
      <c r="AF511" s="170"/>
      <c r="AG511" s="170"/>
      <c r="AH511" s="170"/>
      <c r="AI511" s="170"/>
      <c r="AJ511" s="170"/>
      <c r="AK511" s="171"/>
      <c r="AL511" s="171"/>
      <c r="AM511" s="170"/>
      <c r="AN511" s="170"/>
      <c r="AO511" s="170"/>
      <c r="AP511" s="171"/>
      <c r="AQ511" s="171"/>
      <c r="AR511" s="170"/>
      <c r="AS511" s="170"/>
      <c r="AT511" s="170"/>
      <c r="AU511" s="171"/>
      <c r="AV511" s="171"/>
      <c r="AW511" s="171"/>
      <c r="AX511" s="171"/>
      <c r="AY511" s="171"/>
      <c r="AZ511" s="171"/>
      <c r="BA511" s="171"/>
      <c r="BB511" s="171"/>
      <c r="BC511" s="171"/>
      <c r="BD511" s="172"/>
      <c r="BE511" s="172"/>
      <c r="BF511" s="172"/>
      <c r="BG511" s="172"/>
      <c r="BH511" s="172"/>
      <c r="BI511" s="172"/>
      <c r="BJ511" s="172"/>
      <c r="BK511" s="172"/>
      <c r="BL511" s="172"/>
      <c r="BM511" s="172"/>
      <c r="BN511" s="172"/>
      <c r="BO511" s="172"/>
      <c r="BP511" s="172"/>
      <c r="BQ511" s="172"/>
      <c r="BR511" s="172"/>
      <c r="BS511" s="172"/>
    </row>
    <row r="512" spans="1:71" ht="12.5" x14ac:dyDescent="0.25">
      <c r="A512" s="170"/>
      <c r="B512" s="170"/>
      <c r="C512" s="170"/>
      <c r="D512" s="170"/>
      <c r="E512" s="171"/>
      <c r="F512" s="171"/>
      <c r="G512" s="170"/>
      <c r="H512" s="170"/>
      <c r="I512" s="170"/>
      <c r="J512" s="171"/>
      <c r="K512" s="171"/>
      <c r="L512" s="170"/>
      <c r="M512" s="170"/>
      <c r="N512" s="170"/>
      <c r="O512" s="171"/>
      <c r="P512" s="171"/>
      <c r="Q512" s="170"/>
      <c r="R512" s="170"/>
      <c r="S512" s="170"/>
      <c r="T512" s="171"/>
      <c r="U512" s="171"/>
      <c r="V512" s="171"/>
      <c r="W512" s="171"/>
      <c r="X512" s="171"/>
      <c r="Y512" s="171"/>
      <c r="Z512" s="171"/>
      <c r="AA512" s="171"/>
      <c r="AB512" s="171"/>
      <c r="AC512" s="170"/>
      <c r="AD512" s="170"/>
      <c r="AE512" s="170"/>
      <c r="AF512" s="170"/>
      <c r="AG512" s="170"/>
      <c r="AH512" s="170"/>
      <c r="AI512" s="170"/>
      <c r="AJ512" s="170"/>
      <c r="AK512" s="171"/>
      <c r="AL512" s="171"/>
      <c r="AM512" s="170"/>
      <c r="AN512" s="170"/>
      <c r="AO512" s="170"/>
      <c r="AP512" s="171"/>
      <c r="AQ512" s="171"/>
      <c r="AR512" s="170"/>
      <c r="AS512" s="170"/>
      <c r="AT512" s="170"/>
      <c r="AU512" s="171"/>
      <c r="AV512" s="171"/>
      <c r="AW512" s="171"/>
      <c r="AX512" s="171"/>
      <c r="AY512" s="171"/>
      <c r="AZ512" s="171"/>
      <c r="BA512" s="171"/>
      <c r="BB512" s="171"/>
      <c r="BC512" s="171"/>
      <c r="BD512" s="172"/>
      <c r="BE512" s="172"/>
      <c r="BF512" s="172"/>
      <c r="BG512" s="172"/>
      <c r="BH512" s="172"/>
      <c r="BI512" s="172"/>
      <c r="BJ512" s="172"/>
      <c r="BK512" s="172"/>
      <c r="BL512" s="172"/>
      <c r="BM512" s="172"/>
      <c r="BN512" s="172"/>
      <c r="BO512" s="172"/>
      <c r="BP512" s="172"/>
      <c r="BQ512" s="172"/>
      <c r="BR512" s="172"/>
      <c r="BS512" s="172"/>
    </row>
    <row r="513" spans="1:71" ht="12.5" x14ac:dyDescent="0.25">
      <c r="A513" s="170"/>
      <c r="B513" s="170"/>
      <c r="C513" s="170"/>
      <c r="D513" s="170"/>
      <c r="E513" s="171"/>
      <c r="F513" s="171"/>
      <c r="G513" s="170"/>
      <c r="H513" s="170"/>
      <c r="I513" s="170"/>
      <c r="J513" s="171"/>
      <c r="K513" s="171"/>
      <c r="L513" s="170"/>
      <c r="M513" s="170"/>
      <c r="N513" s="170"/>
      <c r="O513" s="171"/>
      <c r="P513" s="171"/>
      <c r="Q513" s="170"/>
      <c r="R513" s="170"/>
      <c r="S513" s="170"/>
      <c r="T513" s="171"/>
      <c r="U513" s="171"/>
      <c r="V513" s="171"/>
      <c r="W513" s="171"/>
      <c r="X513" s="171"/>
      <c r="Y513" s="171"/>
      <c r="Z513" s="171"/>
      <c r="AA513" s="171"/>
      <c r="AB513" s="171"/>
      <c r="AC513" s="170"/>
      <c r="AD513" s="170"/>
      <c r="AE513" s="170"/>
      <c r="AF513" s="170"/>
      <c r="AG513" s="170"/>
      <c r="AH513" s="170"/>
      <c r="AI513" s="170"/>
      <c r="AJ513" s="170"/>
      <c r="AK513" s="171"/>
      <c r="AL513" s="171"/>
      <c r="AM513" s="170"/>
      <c r="AN513" s="170"/>
      <c r="AO513" s="170"/>
      <c r="AP513" s="171"/>
      <c r="AQ513" s="171"/>
      <c r="AR513" s="170"/>
      <c r="AS513" s="170"/>
      <c r="AT513" s="170"/>
      <c r="AU513" s="171"/>
      <c r="AV513" s="171"/>
      <c r="AW513" s="171"/>
      <c r="AX513" s="171"/>
      <c r="AY513" s="171"/>
      <c r="AZ513" s="171"/>
      <c r="BA513" s="171"/>
      <c r="BB513" s="171"/>
      <c r="BC513" s="171"/>
      <c r="BD513" s="172"/>
      <c r="BE513" s="172"/>
      <c r="BF513" s="172"/>
      <c r="BG513" s="172"/>
      <c r="BH513" s="172"/>
      <c r="BI513" s="172"/>
      <c r="BJ513" s="172"/>
      <c r="BK513" s="172"/>
      <c r="BL513" s="172"/>
      <c r="BM513" s="172"/>
      <c r="BN513" s="172"/>
      <c r="BO513" s="172"/>
      <c r="BP513" s="172"/>
      <c r="BQ513" s="172"/>
      <c r="BR513" s="172"/>
      <c r="BS513" s="172"/>
    </row>
    <row r="514" spans="1:71" ht="12.5" x14ac:dyDescent="0.25">
      <c r="A514" s="170"/>
      <c r="B514" s="170"/>
      <c r="C514" s="170"/>
      <c r="D514" s="170"/>
      <c r="E514" s="171"/>
      <c r="F514" s="171"/>
      <c r="G514" s="170"/>
      <c r="H514" s="170"/>
      <c r="I514" s="170"/>
      <c r="J514" s="171"/>
      <c r="K514" s="171"/>
      <c r="L514" s="170"/>
      <c r="M514" s="170"/>
      <c r="N514" s="170"/>
      <c r="O514" s="171"/>
      <c r="P514" s="171"/>
      <c r="Q514" s="170"/>
      <c r="R514" s="170"/>
      <c r="S514" s="170"/>
      <c r="T514" s="171"/>
      <c r="U514" s="171"/>
      <c r="V514" s="171"/>
      <c r="W514" s="171"/>
      <c r="X514" s="171"/>
      <c r="Y514" s="171"/>
      <c r="Z514" s="171"/>
      <c r="AA514" s="171"/>
      <c r="AB514" s="171"/>
      <c r="AC514" s="170"/>
      <c r="AD514" s="170"/>
      <c r="AE514" s="170"/>
      <c r="AF514" s="170"/>
      <c r="AG514" s="170"/>
      <c r="AH514" s="170"/>
      <c r="AI514" s="170"/>
      <c r="AJ514" s="170"/>
      <c r="AK514" s="171"/>
      <c r="AL514" s="171"/>
      <c r="AM514" s="170"/>
      <c r="AN514" s="170"/>
      <c r="AO514" s="170"/>
      <c r="AP514" s="171"/>
      <c r="AQ514" s="171"/>
      <c r="AR514" s="170"/>
      <c r="AS514" s="170"/>
      <c r="AT514" s="170"/>
      <c r="AU514" s="171"/>
      <c r="AV514" s="171"/>
      <c r="AW514" s="171"/>
      <c r="AX514" s="171"/>
      <c r="AY514" s="171"/>
      <c r="AZ514" s="171"/>
      <c r="BA514" s="171"/>
      <c r="BB514" s="171"/>
      <c r="BC514" s="171"/>
      <c r="BD514" s="172"/>
      <c r="BE514" s="172"/>
      <c r="BF514" s="172"/>
      <c r="BG514" s="172"/>
      <c r="BH514" s="172"/>
      <c r="BI514" s="172"/>
      <c r="BJ514" s="172"/>
      <c r="BK514" s="172"/>
      <c r="BL514" s="172"/>
      <c r="BM514" s="172"/>
      <c r="BN514" s="172"/>
      <c r="BO514" s="172"/>
      <c r="BP514" s="172"/>
      <c r="BQ514" s="172"/>
      <c r="BR514" s="172"/>
      <c r="BS514" s="172"/>
    </row>
    <row r="515" spans="1:71" ht="12.5" x14ac:dyDescent="0.25">
      <c r="A515" s="170"/>
      <c r="B515" s="170"/>
      <c r="C515" s="170"/>
      <c r="D515" s="170"/>
      <c r="E515" s="171"/>
      <c r="F515" s="171"/>
      <c r="G515" s="170"/>
      <c r="H515" s="170"/>
      <c r="I515" s="170"/>
      <c r="J515" s="171"/>
      <c r="K515" s="171"/>
      <c r="L515" s="170"/>
      <c r="M515" s="170"/>
      <c r="N515" s="170"/>
      <c r="O515" s="171"/>
      <c r="P515" s="171"/>
      <c r="Q515" s="170"/>
      <c r="R515" s="170"/>
      <c r="S515" s="170"/>
      <c r="T515" s="171"/>
      <c r="U515" s="171"/>
      <c r="V515" s="171"/>
      <c r="W515" s="171"/>
      <c r="X515" s="171"/>
      <c r="Y515" s="171"/>
      <c r="Z515" s="171"/>
      <c r="AA515" s="171"/>
      <c r="AB515" s="171"/>
      <c r="AC515" s="170"/>
      <c r="AD515" s="170"/>
      <c r="AE515" s="170"/>
      <c r="AF515" s="170"/>
      <c r="AG515" s="170"/>
      <c r="AH515" s="170"/>
      <c r="AI515" s="170"/>
      <c r="AJ515" s="170"/>
      <c r="AK515" s="171"/>
      <c r="AL515" s="171"/>
      <c r="AM515" s="170"/>
      <c r="AN515" s="170"/>
      <c r="AO515" s="170"/>
      <c r="AP515" s="171"/>
      <c r="AQ515" s="171"/>
      <c r="AR515" s="170"/>
      <c r="AS515" s="170"/>
      <c r="AT515" s="170"/>
      <c r="AU515" s="171"/>
      <c r="AV515" s="171"/>
      <c r="AW515" s="171"/>
      <c r="AX515" s="171"/>
      <c r="AY515" s="171"/>
      <c r="AZ515" s="171"/>
      <c r="BA515" s="171"/>
      <c r="BB515" s="171"/>
      <c r="BC515" s="171"/>
      <c r="BD515" s="172"/>
      <c r="BE515" s="172"/>
      <c r="BF515" s="172"/>
      <c r="BG515" s="172"/>
      <c r="BH515" s="172"/>
      <c r="BI515" s="172"/>
      <c r="BJ515" s="172"/>
      <c r="BK515" s="172"/>
      <c r="BL515" s="172"/>
      <c r="BM515" s="172"/>
      <c r="BN515" s="172"/>
      <c r="BO515" s="172"/>
      <c r="BP515" s="172"/>
      <c r="BQ515" s="172"/>
      <c r="BR515" s="172"/>
      <c r="BS515" s="172"/>
    </row>
    <row r="516" spans="1:71" ht="12.5" x14ac:dyDescent="0.25">
      <c r="A516" s="170"/>
      <c r="B516" s="170"/>
      <c r="C516" s="170"/>
      <c r="D516" s="170"/>
      <c r="E516" s="171"/>
      <c r="F516" s="171"/>
      <c r="G516" s="170"/>
      <c r="H516" s="170"/>
      <c r="I516" s="170"/>
      <c r="J516" s="171"/>
      <c r="K516" s="171"/>
      <c r="L516" s="170"/>
      <c r="M516" s="170"/>
      <c r="N516" s="170"/>
      <c r="O516" s="171"/>
      <c r="P516" s="171"/>
      <c r="Q516" s="170"/>
      <c r="R516" s="170"/>
      <c r="S516" s="170"/>
      <c r="T516" s="171"/>
      <c r="U516" s="171"/>
      <c r="V516" s="171"/>
      <c r="W516" s="171"/>
      <c r="X516" s="171"/>
      <c r="Y516" s="171"/>
      <c r="Z516" s="171"/>
      <c r="AA516" s="171"/>
      <c r="AB516" s="171"/>
      <c r="AC516" s="170"/>
      <c r="AD516" s="170"/>
      <c r="AE516" s="170"/>
      <c r="AF516" s="170"/>
      <c r="AG516" s="170"/>
      <c r="AH516" s="170"/>
      <c r="AI516" s="170"/>
      <c r="AJ516" s="170"/>
      <c r="AK516" s="171"/>
      <c r="AL516" s="171"/>
      <c r="AM516" s="170"/>
      <c r="AN516" s="170"/>
      <c r="AO516" s="170"/>
      <c r="AP516" s="171"/>
      <c r="AQ516" s="171"/>
      <c r="AR516" s="170"/>
      <c r="AS516" s="170"/>
      <c r="AT516" s="170"/>
      <c r="AU516" s="171"/>
      <c r="AV516" s="171"/>
      <c r="AW516" s="171"/>
      <c r="AX516" s="171"/>
      <c r="AY516" s="171"/>
      <c r="AZ516" s="171"/>
      <c r="BA516" s="171"/>
      <c r="BB516" s="171"/>
      <c r="BC516" s="171"/>
      <c r="BD516" s="172"/>
      <c r="BE516" s="172"/>
      <c r="BF516" s="172"/>
      <c r="BG516" s="172"/>
      <c r="BH516" s="172"/>
      <c r="BI516" s="172"/>
      <c r="BJ516" s="172"/>
      <c r="BK516" s="172"/>
      <c r="BL516" s="172"/>
      <c r="BM516" s="172"/>
      <c r="BN516" s="172"/>
      <c r="BO516" s="172"/>
      <c r="BP516" s="172"/>
      <c r="BQ516" s="172"/>
      <c r="BR516" s="172"/>
      <c r="BS516" s="172"/>
    </row>
    <row r="517" spans="1:71" ht="12.5" x14ac:dyDescent="0.25">
      <c r="A517" s="170"/>
      <c r="B517" s="170"/>
      <c r="C517" s="170"/>
      <c r="D517" s="170"/>
      <c r="E517" s="171"/>
      <c r="F517" s="171"/>
      <c r="G517" s="170"/>
      <c r="H517" s="170"/>
      <c r="I517" s="170"/>
      <c r="J517" s="171"/>
      <c r="K517" s="171"/>
      <c r="L517" s="170"/>
      <c r="M517" s="170"/>
      <c r="N517" s="170"/>
      <c r="O517" s="171"/>
      <c r="P517" s="171"/>
      <c r="Q517" s="170"/>
      <c r="R517" s="170"/>
      <c r="S517" s="170"/>
      <c r="T517" s="171"/>
      <c r="U517" s="171"/>
      <c r="V517" s="171"/>
      <c r="W517" s="171"/>
      <c r="X517" s="171"/>
      <c r="Y517" s="171"/>
      <c r="Z517" s="171"/>
      <c r="AA517" s="171"/>
      <c r="AB517" s="171"/>
      <c r="AC517" s="170"/>
      <c r="AD517" s="170"/>
      <c r="AE517" s="170"/>
      <c r="AF517" s="170"/>
      <c r="AG517" s="170"/>
      <c r="AH517" s="170"/>
      <c r="AI517" s="170"/>
      <c r="AJ517" s="170"/>
      <c r="AK517" s="171"/>
      <c r="AL517" s="171"/>
      <c r="AM517" s="170"/>
      <c r="AN517" s="170"/>
      <c r="AO517" s="170"/>
      <c r="AP517" s="171"/>
      <c r="AQ517" s="171"/>
      <c r="AR517" s="170"/>
      <c r="AS517" s="170"/>
      <c r="AT517" s="170"/>
      <c r="AU517" s="171"/>
      <c r="AV517" s="171"/>
      <c r="AW517" s="171"/>
      <c r="AX517" s="171"/>
      <c r="AY517" s="171"/>
      <c r="AZ517" s="171"/>
      <c r="BA517" s="171"/>
      <c r="BB517" s="171"/>
      <c r="BC517" s="171"/>
      <c r="BD517" s="172"/>
      <c r="BE517" s="172"/>
      <c r="BF517" s="172"/>
      <c r="BG517" s="172"/>
      <c r="BH517" s="172"/>
      <c r="BI517" s="172"/>
      <c r="BJ517" s="172"/>
      <c r="BK517" s="172"/>
      <c r="BL517" s="172"/>
      <c r="BM517" s="172"/>
      <c r="BN517" s="172"/>
      <c r="BO517" s="172"/>
      <c r="BP517" s="172"/>
      <c r="BQ517" s="172"/>
      <c r="BR517" s="172"/>
      <c r="BS517" s="172"/>
    </row>
    <row r="518" spans="1:71" ht="12.5" x14ac:dyDescent="0.25">
      <c r="A518" s="170"/>
      <c r="B518" s="170"/>
      <c r="C518" s="170"/>
      <c r="D518" s="170"/>
      <c r="E518" s="171"/>
      <c r="F518" s="171"/>
      <c r="G518" s="170"/>
      <c r="H518" s="170"/>
      <c r="I518" s="170"/>
      <c r="J518" s="171"/>
      <c r="K518" s="171"/>
      <c r="L518" s="170"/>
      <c r="M518" s="170"/>
      <c r="N518" s="170"/>
      <c r="O518" s="171"/>
      <c r="P518" s="171"/>
      <c r="Q518" s="170"/>
      <c r="R518" s="170"/>
      <c r="S518" s="170"/>
      <c r="T518" s="171"/>
      <c r="U518" s="171"/>
      <c r="V518" s="171"/>
      <c r="W518" s="171"/>
      <c r="X518" s="171"/>
      <c r="Y518" s="171"/>
      <c r="Z518" s="171"/>
      <c r="AA518" s="171"/>
      <c r="AB518" s="171"/>
      <c r="AC518" s="170"/>
      <c r="AD518" s="170"/>
      <c r="AE518" s="170"/>
      <c r="AF518" s="170"/>
      <c r="AG518" s="170"/>
      <c r="AH518" s="170"/>
      <c r="AI518" s="170"/>
      <c r="AJ518" s="170"/>
      <c r="AK518" s="171"/>
      <c r="AL518" s="171"/>
      <c r="AM518" s="170"/>
      <c r="AN518" s="170"/>
      <c r="AO518" s="170"/>
      <c r="AP518" s="171"/>
      <c r="AQ518" s="171"/>
      <c r="AR518" s="170"/>
      <c r="AS518" s="170"/>
      <c r="AT518" s="170"/>
      <c r="AU518" s="171"/>
      <c r="AV518" s="171"/>
      <c r="AW518" s="171"/>
      <c r="AX518" s="171"/>
      <c r="AY518" s="171"/>
      <c r="AZ518" s="171"/>
      <c r="BA518" s="171"/>
      <c r="BB518" s="171"/>
      <c r="BC518" s="171"/>
      <c r="BD518" s="172"/>
      <c r="BE518" s="172"/>
      <c r="BF518" s="172"/>
      <c r="BG518" s="172"/>
      <c r="BH518" s="172"/>
      <c r="BI518" s="172"/>
      <c r="BJ518" s="172"/>
      <c r="BK518" s="172"/>
      <c r="BL518" s="172"/>
      <c r="BM518" s="172"/>
      <c r="BN518" s="172"/>
      <c r="BO518" s="172"/>
      <c r="BP518" s="172"/>
      <c r="BQ518" s="172"/>
      <c r="BR518" s="172"/>
      <c r="BS518" s="172"/>
    </row>
    <row r="519" spans="1:71" ht="12.5" x14ac:dyDescent="0.25">
      <c r="A519" s="170"/>
      <c r="B519" s="170"/>
      <c r="C519" s="170"/>
      <c r="D519" s="170"/>
      <c r="E519" s="171"/>
      <c r="F519" s="171"/>
      <c r="G519" s="170"/>
      <c r="H519" s="170"/>
      <c r="I519" s="170"/>
      <c r="J519" s="171"/>
      <c r="K519" s="171"/>
      <c r="L519" s="170"/>
      <c r="M519" s="170"/>
      <c r="N519" s="170"/>
      <c r="O519" s="171"/>
      <c r="P519" s="171"/>
      <c r="Q519" s="170"/>
      <c r="R519" s="170"/>
      <c r="S519" s="170"/>
      <c r="T519" s="171"/>
      <c r="U519" s="171"/>
      <c r="V519" s="171"/>
      <c r="W519" s="171"/>
      <c r="X519" s="171"/>
      <c r="Y519" s="171"/>
      <c r="Z519" s="171"/>
      <c r="AA519" s="171"/>
      <c r="AB519" s="171"/>
      <c r="AC519" s="170"/>
      <c r="AD519" s="170"/>
      <c r="AE519" s="170"/>
      <c r="AF519" s="170"/>
      <c r="AG519" s="170"/>
      <c r="AH519" s="170"/>
      <c r="AI519" s="170"/>
      <c r="AJ519" s="170"/>
      <c r="AK519" s="171"/>
      <c r="AL519" s="171"/>
      <c r="AM519" s="170"/>
      <c r="AN519" s="170"/>
      <c r="AO519" s="170"/>
      <c r="AP519" s="171"/>
      <c r="AQ519" s="171"/>
      <c r="AR519" s="170"/>
      <c r="AS519" s="170"/>
      <c r="AT519" s="170"/>
      <c r="AU519" s="171"/>
      <c r="AV519" s="171"/>
      <c r="AW519" s="171"/>
      <c r="AX519" s="171"/>
      <c r="AY519" s="171"/>
      <c r="AZ519" s="171"/>
      <c r="BA519" s="171"/>
      <c r="BB519" s="171"/>
      <c r="BC519" s="171"/>
      <c r="BD519" s="172"/>
      <c r="BE519" s="172"/>
      <c r="BF519" s="172"/>
      <c r="BG519" s="172"/>
      <c r="BH519" s="172"/>
      <c r="BI519" s="172"/>
      <c r="BJ519" s="172"/>
      <c r="BK519" s="172"/>
      <c r="BL519" s="172"/>
      <c r="BM519" s="172"/>
      <c r="BN519" s="172"/>
      <c r="BO519" s="172"/>
      <c r="BP519" s="172"/>
      <c r="BQ519" s="172"/>
      <c r="BR519" s="172"/>
      <c r="BS519" s="172"/>
    </row>
    <row r="520" spans="1:71" ht="12.5" x14ac:dyDescent="0.25">
      <c r="A520" s="170"/>
      <c r="B520" s="170"/>
      <c r="C520" s="170"/>
      <c r="D520" s="170"/>
      <c r="E520" s="171"/>
      <c r="F520" s="171"/>
      <c r="G520" s="170"/>
      <c r="H520" s="170"/>
      <c r="I520" s="170"/>
      <c r="J520" s="171"/>
      <c r="K520" s="171"/>
      <c r="L520" s="170"/>
      <c r="M520" s="170"/>
      <c r="N520" s="170"/>
      <c r="O520" s="171"/>
      <c r="P520" s="171"/>
      <c r="Q520" s="170"/>
      <c r="R520" s="170"/>
      <c r="S520" s="170"/>
      <c r="T520" s="171"/>
      <c r="U520" s="171"/>
      <c r="V520" s="171"/>
      <c r="W520" s="171"/>
      <c r="X520" s="171"/>
      <c r="Y520" s="171"/>
      <c r="Z520" s="171"/>
      <c r="AA520" s="171"/>
      <c r="AB520" s="171"/>
      <c r="AC520" s="170"/>
      <c r="AD520" s="170"/>
      <c r="AE520" s="170"/>
      <c r="AF520" s="170"/>
      <c r="AG520" s="170"/>
      <c r="AH520" s="170"/>
      <c r="AI520" s="170"/>
      <c r="AJ520" s="170"/>
      <c r="AK520" s="171"/>
      <c r="AL520" s="171"/>
      <c r="AM520" s="170"/>
      <c r="AN520" s="170"/>
      <c r="AO520" s="170"/>
      <c r="AP520" s="171"/>
      <c r="AQ520" s="171"/>
      <c r="AR520" s="170"/>
      <c r="AS520" s="170"/>
      <c r="AT520" s="170"/>
      <c r="AU520" s="171"/>
      <c r="AV520" s="171"/>
      <c r="AW520" s="171"/>
      <c r="AX520" s="171"/>
      <c r="AY520" s="171"/>
      <c r="AZ520" s="171"/>
      <c r="BA520" s="171"/>
      <c r="BB520" s="171"/>
      <c r="BC520" s="171"/>
      <c r="BD520" s="172"/>
      <c r="BE520" s="172"/>
      <c r="BF520" s="172"/>
      <c r="BG520" s="172"/>
      <c r="BH520" s="172"/>
      <c r="BI520" s="172"/>
      <c r="BJ520" s="172"/>
      <c r="BK520" s="172"/>
      <c r="BL520" s="172"/>
      <c r="BM520" s="172"/>
      <c r="BN520" s="172"/>
      <c r="BO520" s="172"/>
      <c r="BP520" s="172"/>
      <c r="BQ520" s="172"/>
      <c r="BR520" s="172"/>
      <c r="BS520" s="172"/>
    </row>
    <row r="521" spans="1:71" ht="12.5" x14ac:dyDescent="0.25">
      <c r="A521" s="170"/>
      <c r="B521" s="170"/>
      <c r="C521" s="170"/>
      <c r="D521" s="170"/>
      <c r="E521" s="171"/>
      <c r="F521" s="171"/>
      <c r="G521" s="170"/>
      <c r="H521" s="170"/>
      <c r="I521" s="170"/>
      <c r="J521" s="171"/>
      <c r="K521" s="171"/>
      <c r="L521" s="170"/>
      <c r="M521" s="170"/>
      <c r="N521" s="170"/>
      <c r="O521" s="171"/>
      <c r="P521" s="171"/>
      <c r="Q521" s="170"/>
      <c r="R521" s="170"/>
      <c r="S521" s="170"/>
      <c r="T521" s="171"/>
      <c r="U521" s="171"/>
      <c r="V521" s="171"/>
      <c r="W521" s="171"/>
      <c r="X521" s="171"/>
      <c r="Y521" s="171"/>
      <c r="Z521" s="171"/>
      <c r="AA521" s="171"/>
      <c r="AB521" s="171"/>
      <c r="AC521" s="170"/>
      <c r="AD521" s="170"/>
      <c r="AE521" s="170"/>
      <c r="AF521" s="170"/>
      <c r="AG521" s="170"/>
      <c r="AH521" s="170"/>
      <c r="AI521" s="170"/>
      <c r="AJ521" s="170"/>
      <c r="AK521" s="171"/>
      <c r="AL521" s="171"/>
      <c r="AM521" s="170"/>
      <c r="AN521" s="170"/>
      <c r="AO521" s="170"/>
      <c r="AP521" s="171"/>
      <c r="AQ521" s="171"/>
      <c r="AR521" s="170"/>
      <c r="AS521" s="170"/>
      <c r="AT521" s="170"/>
      <c r="AU521" s="171"/>
      <c r="AV521" s="171"/>
      <c r="AW521" s="171"/>
      <c r="AX521" s="171"/>
      <c r="AY521" s="171"/>
      <c r="AZ521" s="171"/>
      <c r="BA521" s="171"/>
      <c r="BB521" s="171"/>
      <c r="BC521" s="171"/>
      <c r="BD521" s="172"/>
      <c r="BE521" s="172"/>
      <c r="BF521" s="172"/>
      <c r="BG521" s="172"/>
      <c r="BH521" s="172"/>
      <c r="BI521" s="172"/>
      <c r="BJ521" s="172"/>
      <c r="BK521" s="172"/>
      <c r="BL521" s="172"/>
      <c r="BM521" s="172"/>
      <c r="BN521" s="172"/>
      <c r="BO521" s="172"/>
      <c r="BP521" s="172"/>
      <c r="BQ521" s="172"/>
      <c r="BR521" s="172"/>
      <c r="BS521" s="172"/>
    </row>
    <row r="522" spans="1:71" ht="12.5" x14ac:dyDescent="0.25">
      <c r="A522" s="170"/>
      <c r="B522" s="170"/>
      <c r="C522" s="170"/>
      <c r="D522" s="170"/>
      <c r="E522" s="171"/>
      <c r="F522" s="171"/>
      <c r="G522" s="170"/>
      <c r="H522" s="170"/>
      <c r="I522" s="170"/>
      <c r="J522" s="171"/>
      <c r="K522" s="171"/>
      <c r="L522" s="170"/>
      <c r="M522" s="170"/>
      <c r="N522" s="170"/>
      <c r="O522" s="171"/>
      <c r="P522" s="171"/>
      <c r="Q522" s="170"/>
      <c r="R522" s="170"/>
      <c r="S522" s="170"/>
      <c r="T522" s="171"/>
      <c r="U522" s="171"/>
      <c r="V522" s="171"/>
      <c r="W522" s="171"/>
      <c r="X522" s="171"/>
      <c r="Y522" s="171"/>
      <c r="Z522" s="171"/>
      <c r="AA522" s="171"/>
      <c r="AB522" s="171"/>
      <c r="AC522" s="170"/>
      <c r="AD522" s="170"/>
      <c r="AE522" s="170"/>
      <c r="AF522" s="170"/>
      <c r="AG522" s="170"/>
      <c r="AH522" s="170"/>
      <c r="AI522" s="170"/>
      <c r="AJ522" s="170"/>
      <c r="AK522" s="171"/>
      <c r="AL522" s="171"/>
      <c r="AM522" s="170"/>
      <c r="AN522" s="170"/>
      <c r="AO522" s="170"/>
      <c r="AP522" s="171"/>
      <c r="AQ522" s="171"/>
      <c r="AR522" s="170"/>
      <c r="AS522" s="170"/>
      <c r="AT522" s="170"/>
      <c r="AU522" s="171"/>
      <c r="AV522" s="171"/>
      <c r="AW522" s="171"/>
      <c r="AX522" s="171"/>
      <c r="AY522" s="171"/>
      <c r="AZ522" s="171"/>
      <c r="BA522" s="171"/>
      <c r="BB522" s="171"/>
      <c r="BC522" s="171"/>
      <c r="BD522" s="172"/>
      <c r="BE522" s="172"/>
      <c r="BF522" s="172"/>
      <c r="BG522" s="172"/>
      <c r="BH522" s="172"/>
      <c r="BI522" s="172"/>
      <c r="BJ522" s="172"/>
      <c r="BK522" s="172"/>
      <c r="BL522" s="172"/>
      <c r="BM522" s="172"/>
      <c r="BN522" s="172"/>
      <c r="BO522" s="172"/>
      <c r="BP522" s="172"/>
      <c r="BQ522" s="172"/>
      <c r="BR522" s="172"/>
      <c r="BS522" s="172"/>
    </row>
    <row r="523" spans="1:71" ht="12.5" x14ac:dyDescent="0.25">
      <c r="A523" s="170"/>
      <c r="B523" s="170"/>
      <c r="C523" s="170"/>
      <c r="D523" s="170"/>
      <c r="E523" s="171"/>
      <c r="F523" s="171"/>
      <c r="G523" s="170"/>
      <c r="H523" s="170"/>
      <c r="I523" s="170"/>
      <c r="J523" s="171"/>
      <c r="K523" s="171"/>
      <c r="L523" s="170"/>
      <c r="M523" s="170"/>
      <c r="N523" s="170"/>
      <c r="O523" s="171"/>
      <c r="P523" s="171"/>
      <c r="Q523" s="170"/>
      <c r="R523" s="170"/>
      <c r="S523" s="170"/>
      <c r="T523" s="171"/>
      <c r="U523" s="171"/>
      <c r="V523" s="171"/>
      <c r="W523" s="171"/>
      <c r="X523" s="171"/>
      <c r="Y523" s="171"/>
      <c r="Z523" s="171"/>
      <c r="AA523" s="171"/>
      <c r="AB523" s="171"/>
      <c r="AC523" s="170"/>
      <c r="AD523" s="170"/>
      <c r="AE523" s="170"/>
      <c r="AF523" s="170"/>
      <c r="AG523" s="170"/>
      <c r="AH523" s="170"/>
      <c r="AI523" s="170"/>
      <c r="AJ523" s="170"/>
      <c r="AK523" s="171"/>
      <c r="AL523" s="171"/>
      <c r="AM523" s="170"/>
      <c r="AN523" s="170"/>
      <c r="AO523" s="170"/>
      <c r="AP523" s="171"/>
      <c r="AQ523" s="171"/>
      <c r="AR523" s="170"/>
      <c r="AS523" s="170"/>
      <c r="AT523" s="170"/>
      <c r="AU523" s="171"/>
      <c r="AV523" s="171"/>
      <c r="AW523" s="171"/>
      <c r="AX523" s="171"/>
      <c r="AY523" s="171"/>
      <c r="AZ523" s="171"/>
      <c r="BA523" s="171"/>
      <c r="BB523" s="171"/>
      <c r="BC523" s="171"/>
      <c r="BD523" s="172"/>
      <c r="BE523" s="172"/>
      <c r="BF523" s="172"/>
      <c r="BG523" s="172"/>
      <c r="BH523" s="172"/>
      <c r="BI523" s="172"/>
      <c r="BJ523" s="172"/>
      <c r="BK523" s="172"/>
      <c r="BL523" s="172"/>
      <c r="BM523" s="172"/>
      <c r="BN523" s="172"/>
      <c r="BO523" s="172"/>
      <c r="BP523" s="172"/>
      <c r="BQ523" s="172"/>
      <c r="BR523" s="172"/>
      <c r="BS523" s="172"/>
    </row>
    <row r="524" spans="1:71" ht="12.5" x14ac:dyDescent="0.25">
      <c r="A524" s="170"/>
      <c r="B524" s="170"/>
      <c r="C524" s="170"/>
      <c r="D524" s="170"/>
      <c r="E524" s="171"/>
      <c r="F524" s="171"/>
      <c r="G524" s="170"/>
      <c r="H524" s="170"/>
      <c r="I524" s="170"/>
      <c r="J524" s="171"/>
      <c r="K524" s="171"/>
      <c r="L524" s="170"/>
      <c r="M524" s="170"/>
      <c r="N524" s="170"/>
      <c r="O524" s="171"/>
      <c r="P524" s="171"/>
      <c r="Q524" s="170"/>
      <c r="R524" s="170"/>
      <c r="S524" s="170"/>
      <c r="T524" s="171"/>
      <c r="U524" s="171"/>
      <c r="V524" s="171"/>
      <c r="W524" s="171"/>
      <c r="X524" s="171"/>
      <c r="Y524" s="171"/>
      <c r="Z524" s="171"/>
      <c r="AA524" s="171"/>
      <c r="AB524" s="171"/>
      <c r="AC524" s="170"/>
      <c r="AD524" s="170"/>
      <c r="AE524" s="170"/>
      <c r="AF524" s="170"/>
      <c r="AG524" s="170"/>
      <c r="AH524" s="170"/>
      <c r="AI524" s="170"/>
      <c r="AJ524" s="170"/>
      <c r="AK524" s="171"/>
      <c r="AL524" s="171"/>
      <c r="AM524" s="170"/>
      <c r="AN524" s="170"/>
      <c r="AO524" s="170"/>
      <c r="AP524" s="171"/>
      <c r="AQ524" s="171"/>
      <c r="AR524" s="170"/>
      <c r="AS524" s="170"/>
      <c r="AT524" s="170"/>
      <c r="AU524" s="171"/>
      <c r="AV524" s="171"/>
      <c r="AW524" s="171"/>
      <c r="AX524" s="171"/>
      <c r="AY524" s="171"/>
      <c r="AZ524" s="171"/>
      <c r="BA524" s="171"/>
      <c r="BB524" s="171"/>
      <c r="BC524" s="171"/>
      <c r="BD524" s="172"/>
      <c r="BE524" s="172"/>
      <c r="BF524" s="172"/>
      <c r="BG524" s="172"/>
      <c r="BH524" s="172"/>
      <c r="BI524" s="172"/>
      <c r="BJ524" s="172"/>
      <c r="BK524" s="172"/>
      <c r="BL524" s="172"/>
      <c r="BM524" s="172"/>
      <c r="BN524" s="172"/>
      <c r="BO524" s="172"/>
      <c r="BP524" s="172"/>
      <c r="BQ524" s="172"/>
      <c r="BR524" s="172"/>
      <c r="BS524" s="172"/>
    </row>
    <row r="525" spans="1:71" ht="12.5" x14ac:dyDescent="0.25">
      <c r="A525" s="170"/>
      <c r="B525" s="170"/>
      <c r="C525" s="170"/>
      <c r="D525" s="170"/>
      <c r="E525" s="171"/>
      <c r="F525" s="171"/>
      <c r="G525" s="170"/>
      <c r="H525" s="170"/>
      <c r="I525" s="170"/>
      <c r="J525" s="171"/>
      <c r="K525" s="171"/>
      <c r="L525" s="170"/>
      <c r="M525" s="170"/>
      <c r="N525" s="170"/>
      <c r="O525" s="171"/>
      <c r="P525" s="171"/>
      <c r="Q525" s="170"/>
      <c r="R525" s="170"/>
      <c r="S525" s="170"/>
      <c r="T525" s="171"/>
      <c r="U525" s="171"/>
      <c r="V525" s="171"/>
      <c r="W525" s="171"/>
      <c r="X525" s="171"/>
      <c r="Y525" s="171"/>
      <c r="Z525" s="171"/>
      <c r="AA525" s="171"/>
      <c r="AB525" s="171"/>
      <c r="AC525" s="170"/>
      <c r="AD525" s="170"/>
      <c r="AE525" s="170"/>
      <c r="AF525" s="170"/>
      <c r="AG525" s="170"/>
      <c r="AH525" s="170"/>
      <c r="AI525" s="170"/>
      <c r="AJ525" s="170"/>
      <c r="AK525" s="171"/>
      <c r="AL525" s="171"/>
      <c r="AM525" s="170"/>
      <c r="AN525" s="170"/>
      <c r="AO525" s="170"/>
      <c r="AP525" s="171"/>
      <c r="AQ525" s="171"/>
      <c r="AR525" s="170"/>
      <c r="AS525" s="170"/>
      <c r="AT525" s="170"/>
      <c r="AU525" s="171"/>
      <c r="AV525" s="171"/>
      <c r="AW525" s="171"/>
      <c r="AX525" s="171"/>
      <c r="AY525" s="171"/>
      <c r="AZ525" s="171"/>
      <c r="BA525" s="171"/>
      <c r="BB525" s="171"/>
      <c r="BC525" s="171"/>
      <c r="BD525" s="172"/>
      <c r="BE525" s="172"/>
      <c r="BF525" s="172"/>
      <c r="BG525" s="172"/>
      <c r="BH525" s="172"/>
      <c r="BI525" s="172"/>
      <c r="BJ525" s="172"/>
      <c r="BK525" s="172"/>
      <c r="BL525" s="172"/>
      <c r="BM525" s="172"/>
      <c r="BN525" s="172"/>
      <c r="BO525" s="172"/>
      <c r="BP525" s="172"/>
      <c r="BQ525" s="172"/>
      <c r="BR525" s="172"/>
      <c r="BS525" s="172"/>
    </row>
    <row r="526" spans="1:71" ht="12.5" x14ac:dyDescent="0.25">
      <c r="A526" s="170"/>
      <c r="B526" s="170"/>
      <c r="C526" s="170"/>
      <c r="D526" s="170"/>
      <c r="E526" s="171"/>
      <c r="F526" s="171"/>
      <c r="G526" s="170"/>
      <c r="H526" s="170"/>
      <c r="I526" s="170"/>
      <c r="J526" s="171"/>
      <c r="K526" s="171"/>
      <c r="L526" s="170"/>
      <c r="M526" s="170"/>
      <c r="N526" s="170"/>
      <c r="O526" s="171"/>
      <c r="P526" s="171"/>
      <c r="Q526" s="170"/>
      <c r="R526" s="170"/>
      <c r="S526" s="170"/>
      <c r="T526" s="171"/>
      <c r="U526" s="171"/>
      <c r="V526" s="171"/>
      <c r="W526" s="171"/>
      <c r="X526" s="171"/>
      <c r="Y526" s="171"/>
      <c r="Z526" s="171"/>
      <c r="AA526" s="171"/>
      <c r="AB526" s="171"/>
      <c r="AC526" s="170"/>
      <c r="AD526" s="170"/>
      <c r="AE526" s="170"/>
      <c r="AF526" s="170"/>
      <c r="AG526" s="170"/>
      <c r="AH526" s="170"/>
      <c r="AI526" s="170"/>
      <c r="AJ526" s="170"/>
      <c r="AK526" s="171"/>
      <c r="AL526" s="171"/>
      <c r="AM526" s="170"/>
      <c r="AN526" s="170"/>
      <c r="AO526" s="170"/>
      <c r="AP526" s="171"/>
      <c r="AQ526" s="171"/>
      <c r="AR526" s="170"/>
      <c r="AS526" s="170"/>
      <c r="AT526" s="170"/>
      <c r="AU526" s="171"/>
      <c r="AV526" s="171"/>
      <c r="AW526" s="171"/>
      <c r="AX526" s="171"/>
      <c r="AY526" s="171"/>
      <c r="AZ526" s="171"/>
      <c r="BA526" s="171"/>
      <c r="BB526" s="171"/>
      <c r="BC526" s="171"/>
      <c r="BD526" s="172"/>
      <c r="BE526" s="172"/>
      <c r="BF526" s="172"/>
      <c r="BG526" s="172"/>
      <c r="BH526" s="172"/>
      <c r="BI526" s="172"/>
      <c r="BJ526" s="172"/>
      <c r="BK526" s="172"/>
      <c r="BL526" s="172"/>
      <c r="BM526" s="172"/>
      <c r="BN526" s="172"/>
      <c r="BO526" s="172"/>
      <c r="BP526" s="172"/>
      <c r="BQ526" s="172"/>
      <c r="BR526" s="172"/>
      <c r="BS526" s="172"/>
    </row>
    <row r="527" spans="1:71" ht="12.5" x14ac:dyDescent="0.25">
      <c r="A527" s="170"/>
      <c r="B527" s="170"/>
      <c r="C527" s="170"/>
      <c r="D527" s="170"/>
      <c r="E527" s="171"/>
      <c r="F527" s="171"/>
      <c r="G527" s="170"/>
      <c r="H527" s="170"/>
      <c r="I527" s="170"/>
      <c r="J527" s="171"/>
      <c r="K527" s="171"/>
      <c r="L527" s="170"/>
      <c r="M527" s="170"/>
      <c r="N527" s="170"/>
      <c r="O527" s="171"/>
      <c r="P527" s="171"/>
      <c r="Q527" s="170"/>
      <c r="R527" s="170"/>
      <c r="S527" s="170"/>
      <c r="T527" s="171"/>
      <c r="U527" s="171"/>
      <c r="V527" s="171"/>
      <c r="W527" s="171"/>
      <c r="X527" s="171"/>
      <c r="Y527" s="171"/>
      <c r="Z527" s="171"/>
      <c r="AA527" s="171"/>
      <c r="AB527" s="171"/>
      <c r="AC527" s="170"/>
      <c r="AD527" s="170"/>
      <c r="AE527" s="170"/>
      <c r="AF527" s="170"/>
      <c r="AG527" s="170"/>
      <c r="AH527" s="170"/>
      <c r="AI527" s="170"/>
      <c r="AJ527" s="170"/>
      <c r="AK527" s="171"/>
      <c r="AL527" s="171"/>
      <c r="AM527" s="170"/>
      <c r="AN527" s="170"/>
      <c r="AO527" s="170"/>
      <c r="AP527" s="171"/>
      <c r="AQ527" s="171"/>
      <c r="AR527" s="170"/>
      <c r="AS527" s="170"/>
      <c r="AT527" s="170"/>
      <c r="AU527" s="171"/>
      <c r="AV527" s="171"/>
      <c r="AW527" s="171"/>
      <c r="AX527" s="171"/>
      <c r="AY527" s="171"/>
      <c r="AZ527" s="171"/>
      <c r="BA527" s="171"/>
      <c r="BB527" s="171"/>
      <c r="BC527" s="171"/>
      <c r="BD527" s="172"/>
      <c r="BE527" s="172"/>
      <c r="BF527" s="172"/>
      <c r="BG527" s="172"/>
      <c r="BH527" s="172"/>
      <c r="BI527" s="172"/>
      <c r="BJ527" s="172"/>
      <c r="BK527" s="172"/>
      <c r="BL527" s="172"/>
      <c r="BM527" s="172"/>
      <c r="BN527" s="172"/>
      <c r="BO527" s="172"/>
      <c r="BP527" s="172"/>
      <c r="BQ527" s="172"/>
      <c r="BR527" s="172"/>
      <c r="BS527" s="172"/>
    </row>
    <row r="528" spans="1:71" ht="12.5" x14ac:dyDescent="0.25">
      <c r="A528" s="170"/>
      <c r="B528" s="170"/>
      <c r="C528" s="170"/>
      <c r="D528" s="170"/>
      <c r="E528" s="171"/>
      <c r="F528" s="171"/>
      <c r="G528" s="170"/>
      <c r="H528" s="170"/>
      <c r="I528" s="170"/>
      <c r="J528" s="171"/>
      <c r="K528" s="171"/>
      <c r="L528" s="170"/>
      <c r="M528" s="170"/>
      <c r="N528" s="170"/>
      <c r="O528" s="171"/>
      <c r="P528" s="171"/>
      <c r="Q528" s="170"/>
      <c r="R528" s="170"/>
      <c r="S528" s="170"/>
      <c r="T528" s="171"/>
      <c r="U528" s="171"/>
      <c r="V528" s="171"/>
      <c r="W528" s="171"/>
      <c r="X528" s="171"/>
      <c r="Y528" s="171"/>
      <c r="Z528" s="171"/>
      <c r="AA528" s="171"/>
      <c r="AB528" s="171"/>
      <c r="AC528" s="170"/>
      <c r="AD528" s="170"/>
      <c r="AE528" s="170"/>
      <c r="AF528" s="170"/>
      <c r="AG528" s="170"/>
      <c r="AH528" s="170"/>
      <c r="AI528" s="170"/>
      <c r="AJ528" s="170"/>
      <c r="AK528" s="171"/>
      <c r="AL528" s="171"/>
      <c r="AM528" s="170"/>
      <c r="AN528" s="170"/>
      <c r="AO528" s="170"/>
      <c r="AP528" s="171"/>
      <c r="AQ528" s="171"/>
      <c r="AR528" s="170"/>
      <c r="AS528" s="170"/>
      <c r="AT528" s="170"/>
      <c r="AU528" s="171"/>
      <c r="AV528" s="171"/>
      <c r="AW528" s="171"/>
      <c r="AX528" s="171"/>
      <c r="AY528" s="171"/>
      <c r="AZ528" s="171"/>
      <c r="BA528" s="171"/>
      <c r="BB528" s="171"/>
      <c r="BC528" s="171"/>
      <c r="BD528" s="172"/>
      <c r="BE528" s="172"/>
      <c r="BF528" s="172"/>
      <c r="BG528" s="172"/>
      <c r="BH528" s="172"/>
      <c r="BI528" s="172"/>
      <c r="BJ528" s="172"/>
      <c r="BK528" s="172"/>
      <c r="BL528" s="172"/>
      <c r="BM528" s="172"/>
      <c r="BN528" s="172"/>
      <c r="BO528" s="172"/>
      <c r="BP528" s="172"/>
      <c r="BQ528" s="172"/>
      <c r="BR528" s="172"/>
      <c r="BS528" s="172"/>
    </row>
    <row r="529" spans="1:71" ht="12.5" x14ac:dyDescent="0.25">
      <c r="A529" s="170"/>
      <c r="B529" s="170"/>
      <c r="C529" s="170"/>
      <c r="D529" s="170"/>
      <c r="E529" s="171"/>
      <c r="F529" s="171"/>
      <c r="G529" s="170"/>
      <c r="H529" s="170"/>
      <c r="I529" s="170"/>
      <c r="J529" s="171"/>
      <c r="K529" s="171"/>
      <c r="L529" s="170"/>
      <c r="M529" s="170"/>
      <c r="N529" s="170"/>
      <c r="O529" s="171"/>
      <c r="P529" s="171"/>
      <c r="Q529" s="170"/>
      <c r="R529" s="170"/>
      <c r="S529" s="170"/>
      <c r="T529" s="171"/>
      <c r="U529" s="171"/>
      <c r="V529" s="171"/>
      <c r="W529" s="171"/>
      <c r="X529" s="171"/>
      <c r="Y529" s="171"/>
      <c r="Z529" s="171"/>
      <c r="AA529" s="171"/>
      <c r="AB529" s="171"/>
      <c r="AC529" s="170"/>
      <c r="AD529" s="170"/>
      <c r="AE529" s="170"/>
      <c r="AF529" s="170"/>
      <c r="AG529" s="170"/>
      <c r="AH529" s="170"/>
      <c r="AI529" s="170"/>
      <c r="AJ529" s="170"/>
      <c r="AK529" s="171"/>
      <c r="AL529" s="171"/>
      <c r="AM529" s="170"/>
      <c r="AN529" s="170"/>
      <c r="AO529" s="170"/>
      <c r="AP529" s="171"/>
      <c r="AQ529" s="171"/>
      <c r="AR529" s="170"/>
      <c r="AS529" s="170"/>
      <c r="AT529" s="170"/>
      <c r="AU529" s="171"/>
      <c r="AV529" s="171"/>
      <c r="AW529" s="171"/>
      <c r="AX529" s="171"/>
      <c r="AY529" s="171"/>
      <c r="AZ529" s="171"/>
      <c r="BA529" s="171"/>
      <c r="BB529" s="171"/>
      <c r="BC529" s="171"/>
      <c r="BD529" s="172"/>
      <c r="BE529" s="172"/>
      <c r="BF529" s="172"/>
      <c r="BG529" s="172"/>
      <c r="BH529" s="172"/>
      <c r="BI529" s="172"/>
      <c r="BJ529" s="172"/>
      <c r="BK529" s="172"/>
      <c r="BL529" s="172"/>
      <c r="BM529" s="172"/>
      <c r="BN529" s="172"/>
      <c r="BO529" s="172"/>
      <c r="BP529" s="172"/>
      <c r="BQ529" s="172"/>
      <c r="BR529" s="172"/>
      <c r="BS529" s="172"/>
    </row>
    <row r="530" spans="1:71" ht="12.5" x14ac:dyDescent="0.25">
      <c r="A530" s="170"/>
      <c r="B530" s="170"/>
      <c r="C530" s="170"/>
      <c r="D530" s="170"/>
      <c r="E530" s="171"/>
      <c r="F530" s="171"/>
      <c r="G530" s="170"/>
      <c r="H530" s="170"/>
      <c r="I530" s="170"/>
      <c r="J530" s="171"/>
      <c r="K530" s="171"/>
      <c r="L530" s="170"/>
      <c r="M530" s="170"/>
      <c r="N530" s="170"/>
      <c r="O530" s="171"/>
      <c r="P530" s="171"/>
      <c r="Q530" s="170"/>
      <c r="R530" s="170"/>
      <c r="S530" s="170"/>
      <c r="T530" s="171"/>
      <c r="U530" s="171"/>
      <c r="V530" s="171"/>
      <c r="W530" s="171"/>
      <c r="X530" s="171"/>
      <c r="Y530" s="171"/>
      <c r="Z530" s="171"/>
      <c r="AA530" s="171"/>
      <c r="AB530" s="171"/>
      <c r="AC530" s="170"/>
      <c r="AD530" s="170"/>
      <c r="AE530" s="170"/>
      <c r="AF530" s="170"/>
      <c r="AG530" s="170"/>
      <c r="AH530" s="170"/>
      <c r="AI530" s="170"/>
      <c r="AJ530" s="170"/>
      <c r="AK530" s="171"/>
      <c r="AL530" s="171"/>
      <c r="AM530" s="170"/>
      <c r="AN530" s="170"/>
      <c r="AO530" s="170"/>
      <c r="AP530" s="171"/>
      <c r="AQ530" s="171"/>
      <c r="AR530" s="170"/>
      <c r="AS530" s="170"/>
      <c r="AT530" s="170"/>
      <c r="AU530" s="171"/>
      <c r="AV530" s="171"/>
      <c r="AW530" s="171"/>
      <c r="AX530" s="171"/>
      <c r="AY530" s="171"/>
      <c r="AZ530" s="171"/>
      <c r="BA530" s="171"/>
      <c r="BB530" s="171"/>
      <c r="BC530" s="171"/>
      <c r="BD530" s="172"/>
      <c r="BE530" s="172"/>
      <c r="BF530" s="172"/>
      <c r="BG530" s="172"/>
      <c r="BH530" s="172"/>
      <c r="BI530" s="172"/>
      <c r="BJ530" s="172"/>
      <c r="BK530" s="172"/>
      <c r="BL530" s="172"/>
      <c r="BM530" s="172"/>
      <c r="BN530" s="172"/>
      <c r="BO530" s="172"/>
      <c r="BP530" s="172"/>
      <c r="BQ530" s="172"/>
      <c r="BR530" s="172"/>
      <c r="BS530" s="172"/>
    </row>
    <row r="531" spans="1:71" ht="12.5" x14ac:dyDescent="0.25">
      <c r="A531" s="170"/>
      <c r="B531" s="170"/>
      <c r="C531" s="170"/>
      <c r="D531" s="170"/>
      <c r="E531" s="171"/>
      <c r="F531" s="171"/>
      <c r="G531" s="170"/>
      <c r="H531" s="170"/>
      <c r="I531" s="170"/>
      <c r="J531" s="171"/>
      <c r="K531" s="171"/>
      <c r="L531" s="170"/>
      <c r="M531" s="170"/>
      <c r="N531" s="170"/>
      <c r="O531" s="171"/>
      <c r="P531" s="171"/>
      <c r="Q531" s="170"/>
      <c r="R531" s="170"/>
      <c r="S531" s="170"/>
      <c r="T531" s="171"/>
      <c r="U531" s="171"/>
      <c r="V531" s="171"/>
      <c r="W531" s="171"/>
      <c r="X531" s="171"/>
      <c r="Y531" s="171"/>
      <c r="Z531" s="171"/>
      <c r="AA531" s="171"/>
      <c r="AB531" s="171"/>
      <c r="AC531" s="170"/>
      <c r="AD531" s="170"/>
      <c r="AE531" s="170"/>
      <c r="AF531" s="170"/>
      <c r="AG531" s="170"/>
      <c r="AH531" s="170"/>
      <c r="AI531" s="170"/>
      <c r="AJ531" s="170"/>
      <c r="AK531" s="171"/>
      <c r="AL531" s="171"/>
      <c r="AM531" s="170"/>
      <c r="AN531" s="170"/>
      <c r="AO531" s="170"/>
      <c r="AP531" s="171"/>
      <c r="AQ531" s="171"/>
      <c r="AR531" s="170"/>
      <c r="AS531" s="170"/>
      <c r="AT531" s="170"/>
      <c r="AU531" s="171"/>
      <c r="AV531" s="171"/>
      <c r="AW531" s="171"/>
      <c r="AX531" s="171"/>
      <c r="AY531" s="171"/>
      <c r="AZ531" s="171"/>
      <c r="BA531" s="171"/>
      <c r="BB531" s="171"/>
      <c r="BC531" s="171"/>
      <c r="BD531" s="172"/>
      <c r="BE531" s="172"/>
      <c r="BF531" s="172"/>
      <c r="BG531" s="172"/>
      <c r="BH531" s="172"/>
      <c r="BI531" s="172"/>
      <c r="BJ531" s="172"/>
      <c r="BK531" s="172"/>
      <c r="BL531" s="172"/>
      <c r="BM531" s="172"/>
      <c r="BN531" s="172"/>
      <c r="BO531" s="172"/>
      <c r="BP531" s="172"/>
      <c r="BQ531" s="172"/>
      <c r="BR531" s="172"/>
      <c r="BS531" s="172"/>
    </row>
    <row r="532" spans="1:71" ht="12.5" x14ac:dyDescent="0.25">
      <c r="A532" s="170"/>
      <c r="B532" s="170"/>
      <c r="C532" s="170"/>
      <c r="D532" s="170"/>
      <c r="E532" s="171"/>
      <c r="F532" s="171"/>
      <c r="G532" s="170"/>
      <c r="H532" s="170"/>
      <c r="I532" s="170"/>
      <c r="J532" s="171"/>
      <c r="K532" s="171"/>
      <c r="L532" s="170"/>
      <c r="M532" s="170"/>
      <c r="N532" s="170"/>
      <c r="O532" s="171"/>
      <c r="P532" s="171"/>
      <c r="Q532" s="170"/>
      <c r="R532" s="170"/>
      <c r="S532" s="170"/>
      <c r="T532" s="171"/>
      <c r="U532" s="171"/>
      <c r="V532" s="171"/>
      <c r="W532" s="171"/>
      <c r="X532" s="171"/>
      <c r="Y532" s="171"/>
      <c r="Z532" s="171"/>
      <c r="AA532" s="171"/>
      <c r="AB532" s="171"/>
      <c r="AC532" s="170"/>
      <c r="AD532" s="170"/>
      <c r="AE532" s="170"/>
      <c r="AF532" s="170"/>
      <c r="AG532" s="170"/>
      <c r="AH532" s="170"/>
      <c r="AI532" s="170"/>
      <c r="AJ532" s="170"/>
      <c r="AK532" s="171"/>
      <c r="AL532" s="171"/>
      <c r="AM532" s="170"/>
      <c r="AN532" s="170"/>
      <c r="AO532" s="170"/>
      <c r="AP532" s="171"/>
      <c r="AQ532" s="171"/>
      <c r="AR532" s="170"/>
      <c r="AS532" s="170"/>
      <c r="AT532" s="170"/>
      <c r="AU532" s="171"/>
      <c r="AV532" s="171"/>
      <c r="AW532" s="171"/>
      <c r="AX532" s="171"/>
      <c r="AY532" s="171"/>
      <c r="AZ532" s="171"/>
      <c r="BA532" s="171"/>
      <c r="BB532" s="171"/>
      <c r="BC532" s="171"/>
      <c r="BD532" s="172"/>
      <c r="BE532" s="172"/>
      <c r="BF532" s="172"/>
      <c r="BG532" s="172"/>
      <c r="BH532" s="172"/>
      <c r="BI532" s="172"/>
      <c r="BJ532" s="172"/>
      <c r="BK532" s="172"/>
      <c r="BL532" s="172"/>
      <c r="BM532" s="172"/>
      <c r="BN532" s="172"/>
      <c r="BO532" s="172"/>
      <c r="BP532" s="172"/>
      <c r="BQ532" s="172"/>
      <c r="BR532" s="172"/>
      <c r="BS532" s="172"/>
    </row>
    <row r="533" spans="1:71" ht="12.5" x14ac:dyDescent="0.25">
      <c r="A533" s="170"/>
      <c r="B533" s="170"/>
      <c r="C533" s="170"/>
      <c r="D533" s="170"/>
      <c r="E533" s="171"/>
      <c r="F533" s="171"/>
      <c r="G533" s="170"/>
      <c r="H533" s="170"/>
      <c r="I533" s="170"/>
      <c r="J533" s="171"/>
      <c r="K533" s="171"/>
      <c r="L533" s="170"/>
      <c r="M533" s="170"/>
      <c r="N533" s="170"/>
      <c r="O533" s="171"/>
      <c r="P533" s="171"/>
      <c r="Q533" s="170"/>
      <c r="R533" s="170"/>
      <c r="S533" s="170"/>
      <c r="T533" s="171"/>
      <c r="U533" s="171"/>
      <c r="V533" s="171"/>
      <c r="W533" s="171"/>
      <c r="X533" s="171"/>
      <c r="Y533" s="171"/>
      <c r="Z533" s="171"/>
      <c r="AA533" s="171"/>
      <c r="AB533" s="171"/>
      <c r="AC533" s="170"/>
      <c r="AD533" s="170"/>
      <c r="AE533" s="170"/>
      <c r="AF533" s="170"/>
      <c r="AG533" s="170"/>
      <c r="AH533" s="170"/>
      <c r="AI533" s="170"/>
      <c r="AJ533" s="170"/>
      <c r="AK533" s="171"/>
      <c r="AL533" s="171"/>
      <c r="AM533" s="170"/>
      <c r="AN533" s="170"/>
      <c r="AO533" s="170"/>
      <c r="AP533" s="171"/>
      <c r="AQ533" s="171"/>
      <c r="AR533" s="170"/>
      <c r="AS533" s="170"/>
      <c r="AT533" s="170"/>
      <c r="AU533" s="171"/>
      <c r="AV533" s="171"/>
      <c r="AW533" s="171"/>
      <c r="AX533" s="171"/>
      <c r="AY533" s="171"/>
      <c r="AZ533" s="171"/>
      <c r="BA533" s="171"/>
      <c r="BB533" s="171"/>
      <c r="BC533" s="171"/>
      <c r="BD533" s="172"/>
      <c r="BE533" s="172"/>
      <c r="BF533" s="172"/>
      <c r="BG533" s="172"/>
      <c r="BH533" s="172"/>
      <c r="BI533" s="172"/>
      <c r="BJ533" s="172"/>
      <c r="BK533" s="172"/>
      <c r="BL533" s="172"/>
      <c r="BM533" s="172"/>
      <c r="BN533" s="172"/>
      <c r="BO533" s="172"/>
      <c r="BP533" s="172"/>
      <c r="BQ533" s="172"/>
      <c r="BR533" s="172"/>
      <c r="BS533" s="172"/>
    </row>
    <row r="534" spans="1:71" ht="12.5" x14ac:dyDescent="0.25">
      <c r="A534" s="170"/>
      <c r="B534" s="170"/>
      <c r="C534" s="170"/>
      <c r="D534" s="170"/>
      <c r="E534" s="171"/>
      <c r="F534" s="171"/>
      <c r="G534" s="170"/>
      <c r="H534" s="170"/>
      <c r="I534" s="170"/>
      <c r="J534" s="171"/>
      <c r="K534" s="171"/>
      <c r="L534" s="170"/>
      <c r="M534" s="170"/>
      <c r="N534" s="170"/>
      <c r="O534" s="171"/>
      <c r="P534" s="171"/>
      <c r="Q534" s="170"/>
      <c r="R534" s="170"/>
      <c r="S534" s="170"/>
      <c r="T534" s="171"/>
      <c r="U534" s="171"/>
      <c r="V534" s="171"/>
      <c r="W534" s="171"/>
      <c r="X534" s="171"/>
      <c r="Y534" s="171"/>
      <c r="Z534" s="171"/>
      <c r="AA534" s="171"/>
      <c r="AB534" s="171"/>
      <c r="AC534" s="170"/>
      <c r="AD534" s="170"/>
      <c r="AE534" s="170"/>
      <c r="AF534" s="170"/>
      <c r="AG534" s="170"/>
      <c r="AH534" s="170"/>
      <c r="AI534" s="170"/>
      <c r="AJ534" s="170"/>
      <c r="AK534" s="171"/>
      <c r="AL534" s="171"/>
      <c r="AM534" s="170"/>
      <c r="AN534" s="170"/>
      <c r="AO534" s="170"/>
      <c r="AP534" s="171"/>
      <c r="AQ534" s="171"/>
      <c r="AR534" s="170"/>
      <c r="AS534" s="170"/>
      <c r="AT534" s="170"/>
      <c r="AU534" s="171"/>
      <c r="AV534" s="171"/>
      <c r="AW534" s="171"/>
      <c r="AX534" s="171"/>
      <c r="AY534" s="171"/>
      <c r="AZ534" s="171"/>
      <c r="BA534" s="171"/>
      <c r="BB534" s="171"/>
      <c r="BC534" s="171"/>
      <c r="BD534" s="172"/>
      <c r="BE534" s="172"/>
      <c r="BF534" s="172"/>
      <c r="BG534" s="172"/>
      <c r="BH534" s="172"/>
      <c r="BI534" s="172"/>
      <c r="BJ534" s="172"/>
      <c r="BK534" s="172"/>
      <c r="BL534" s="172"/>
      <c r="BM534" s="172"/>
      <c r="BN534" s="172"/>
      <c r="BO534" s="172"/>
      <c r="BP534" s="172"/>
      <c r="BQ534" s="172"/>
      <c r="BR534" s="172"/>
      <c r="BS534" s="172"/>
    </row>
    <row r="535" spans="1:71" ht="12.5" x14ac:dyDescent="0.25">
      <c r="A535" s="170"/>
      <c r="B535" s="170"/>
      <c r="C535" s="170"/>
      <c r="D535" s="170"/>
      <c r="E535" s="171"/>
      <c r="F535" s="171"/>
      <c r="G535" s="170"/>
      <c r="H535" s="170"/>
      <c r="I535" s="170"/>
      <c r="J535" s="171"/>
      <c r="K535" s="171"/>
      <c r="L535" s="170"/>
      <c r="M535" s="170"/>
      <c r="N535" s="170"/>
      <c r="O535" s="171"/>
      <c r="P535" s="171"/>
      <c r="Q535" s="170"/>
      <c r="R535" s="170"/>
      <c r="S535" s="170"/>
      <c r="T535" s="171"/>
      <c r="U535" s="171"/>
      <c r="V535" s="171"/>
      <c r="W535" s="171"/>
      <c r="X535" s="171"/>
      <c r="Y535" s="171"/>
      <c r="Z535" s="171"/>
      <c r="AA535" s="171"/>
      <c r="AB535" s="171"/>
      <c r="AC535" s="170"/>
      <c r="AD535" s="170"/>
      <c r="AE535" s="170"/>
      <c r="AF535" s="170"/>
      <c r="AG535" s="170"/>
      <c r="AH535" s="170"/>
      <c r="AI535" s="170"/>
      <c r="AJ535" s="170"/>
      <c r="AK535" s="171"/>
      <c r="AL535" s="171"/>
      <c r="AM535" s="170"/>
      <c r="AN535" s="170"/>
      <c r="AO535" s="170"/>
      <c r="AP535" s="171"/>
      <c r="AQ535" s="171"/>
      <c r="AR535" s="170"/>
      <c r="AS535" s="170"/>
      <c r="AT535" s="170"/>
      <c r="AU535" s="171"/>
      <c r="AV535" s="171"/>
      <c r="AW535" s="171"/>
      <c r="AX535" s="171"/>
      <c r="AY535" s="171"/>
      <c r="AZ535" s="171"/>
      <c r="BA535" s="171"/>
      <c r="BB535" s="171"/>
      <c r="BC535" s="171"/>
      <c r="BD535" s="172"/>
      <c r="BE535" s="172"/>
      <c r="BF535" s="172"/>
      <c r="BG535" s="172"/>
      <c r="BH535" s="172"/>
      <c r="BI535" s="172"/>
      <c r="BJ535" s="172"/>
      <c r="BK535" s="172"/>
      <c r="BL535" s="172"/>
      <c r="BM535" s="172"/>
      <c r="BN535" s="172"/>
      <c r="BO535" s="172"/>
      <c r="BP535" s="172"/>
      <c r="BQ535" s="172"/>
      <c r="BR535" s="172"/>
      <c r="BS535" s="172"/>
    </row>
    <row r="536" spans="1:71" ht="12.5" x14ac:dyDescent="0.25">
      <c r="A536" s="170"/>
      <c r="B536" s="170"/>
      <c r="C536" s="170"/>
      <c r="D536" s="170"/>
      <c r="E536" s="171"/>
      <c r="F536" s="171"/>
      <c r="G536" s="170"/>
      <c r="H536" s="170"/>
      <c r="I536" s="170"/>
      <c r="J536" s="171"/>
      <c r="K536" s="171"/>
      <c r="L536" s="170"/>
      <c r="M536" s="170"/>
      <c r="N536" s="170"/>
      <c r="O536" s="171"/>
      <c r="P536" s="171"/>
      <c r="Q536" s="170"/>
      <c r="R536" s="170"/>
      <c r="S536" s="170"/>
      <c r="T536" s="171"/>
      <c r="U536" s="171"/>
      <c r="V536" s="171"/>
      <c r="W536" s="171"/>
      <c r="X536" s="171"/>
      <c r="Y536" s="171"/>
      <c r="Z536" s="171"/>
      <c r="AA536" s="171"/>
      <c r="AB536" s="171"/>
      <c r="AC536" s="170"/>
      <c r="AD536" s="170"/>
      <c r="AE536" s="170"/>
      <c r="AF536" s="170"/>
      <c r="AG536" s="170"/>
      <c r="AH536" s="170"/>
      <c r="AI536" s="170"/>
      <c r="AJ536" s="170"/>
      <c r="AK536" s="171"/>
      <c r="AL536" s="171"/>
      <c r="AM536" s="170"/>
      <c r="AN536" s="170"/>
      <c r="AO536" s="170"/>
      <c r="AP536" s="171"/>
      <c r="AQ536" s="171"/>
      <c r="AR536" s="170"/>
      <c r="AS536" s="170"/>
      <c r="AT536" s="170"/>
      <c r="AU536" s="171"/>
      <c r="AV536" s="171"/>
      <c r="AW536" s="171"/>
      <c r="AX536" s="171"/>
      <c r="AY536" s="171"/>
      <c r="AZ536" s="171"/>
      <c r="BA536" s="171"/>
      <c r="BB536" s="171"/>
      <c r="BC536" s="171"/>
      <c r="BD536" s="172"/>
      <c r="BE536" s="172"/>
      <c r="BF536" s="172"/>
      <c r="BG536" s="172"/>
      <c r="BH536" s="172"/>
      <c r="BI536" s="172"/>
      <c r="BJ536" s="172"/>
      <c r="BK536" s="172"/>
      <c r="BL536" s="172"/>
      <c r="BM536" s="172"/>
      <c r="BN536" s="172"/>
      <c r="BO536" s="172"/>
      <c r="BP536" s="172"/>
      <c r="BQ536" s="172"/>
      <c r="BR536" s="172"/>
      <c r="BS536" s="172"/>
    </row>
    <row r="537" spans="1:71" ht="12.5" x14ac:dyDescent="0.25">
      <c r="A537" s="170"/>
      <c r="B537" s="170"/>
      <c r="C537" s="170"/>
      <c r="D537" s="170"/>
      <c r="E537" s="171"/>
      <c r="F537" s="171"/>
      <c r="G537" s="170"/>
      <c r="H537" s="170"/>
      <c r="I537" s="170"/>
      <c r="J537" s="171"/>
      <c r="K537" s="171"/>
      <c r="L537" s="170"/>
      <c r="M537" s="170"/>
      <c r="N537" s="170"/>
      <c r="O537" s="171"/>
      <c r="P537" s="171"/>
      <c r="Q537" s="170"/>
      <c r="R537" s="170"/>
      <c r="S537" s="170"/>
      <c r="T537" s="171"/>
      <c r="U537" s="171"/>
      <c r="V537" s="171"/>
      <c r="W537" s="171"/>
      <c r="X537" s="171"/>
      <c r="Y537" s="171"/>
      <c r="Z537" s="171"/>
      <c r="AA537" s="171"/>
      <c r="AB537" s="171"/>
      <c r="AC537" s="170"/>
      <c r="AD537" s="170"/>
      <c r="AE537" s="170"/>
      <c r="AF537" s="170"/>
      <c r="AG537" s="170"/>
      <c r="AH537" s="170"/>
      <c r="AI537" s="170"/>
      <c r="AJ537" s="170"/>
      <c r="AK537" s="171"/>
      <c r="AL537" s="171"/>
      <c r="AM537" s="170"/>
      <c r="AN537" s="170"/>
      <c r="AO537" s="170"/>
      <c r="AP537" s="171"/>
      <c r="AQ537" s="171"/>
      <c r="AR537" s="170"/>
      <c r="AS537" s="170"/>
      <c r="AT537" s="170"/>
      <c r="AU537" s="171"/>
      <c r="AV537" s="171"/>
      <c r="AW537" s="171"/>
      <c r="AX537" s="171"/>
      <c r="AY537" s="171"/>
      <c r="AZ537" s="171"/>
      <c r="BA537" s="171"/>
      <c r="BB537" s="171"/>
      <c r="BC537" s="171"/>
      <c r="BD537" s="172"/>
      <c r="BE537" s="172"/>
      <c r="BF537" s="172"/>
      <c r="BG537" s="172"/>
      <c r="BH537" s="172"/>
      <c r="BI537" s="172"/>
      <c r="BJ537" s="172"/>
      <c r="BK537" s="172"/>
      <c r="BL537" s="172"/>
      <c r="BM537" s="172"/>
      <c r="BN537" s="172"/>
      <c r="BO537" s="172"/>
      <c r="BP537" s="172"/>
      <c r="BQ537" s="172"/>
      <c r="BR537" s="172"/>
      <c r="BS537" s="172"/>
    </row>
    <row r="538" spans="1:71" ht="12.5" x14ac:dyDescent="0.25">
      <c r="A538" s="170"/>
      <c r="B538" s="170"/>
      <c r="C538" s="170"/>
      <c r="D538" s="170"/>
      <c r="E538" s="171"/>
      <c r="F538" s="171"/>
      <c r="G538" s="170"/>
      <c r="H538" s="170"/>
      <c r="I538" s="170"/>
      <c r="J538" s="171"/>
      <c r="K538" s="171"/>
      <c r="L538" s="170"/>
      <c r="M538" s="170"/>
      <c r="N538" s="170"/>
      <c r="O538" s="171"/>
      <c r="P538" s="171"/>
      <c r="Q538" s="170"/>
      <c r="R538" s="170"/>
      <c r="S538" s="170"/>
      <c r="T538" s="171"/>
      <c r="U538" s="171"/>
      <c r="V538" s="171"/>
      <c r="W538" s="171"/>
      <c r="X538" s="171"/>
      <c r="Y538" s="171"/>
      <c r="Z538" s="171"/>
      <c r="AA538" s="171"/>
      <c r="AB538" s="171"/>
      <c r="AC538" s="170"/>
      <c r="AD538" s="170"/>
      <c r="AE538" s="170"/>
      <c r="AF538" s="170"/>
      <c r="AG538" s="170"/>
      <c r="AH538" s="170"/>
      <c r="AI538" s="170"/>
      <c r="AJ538" s="170"/>
      <c r="AK538" s="171"/>
      <c r="AL538" s="171"/>
      <c r="AM538" s="170"/>
      <c r="AN538" s="170"/>
      <c r="AO538" s="170"/>
      <c r="AP538" s="171"/>
      <c r="AQ538" s="171"/>
      <c r="AR538" s="170"/>
      <c r="AS538" s="170"/>
      <c r="AT538" s="170"/>
      <c r="AU538" s="171"/>
      <c r="AV538" s="171"/>
      <c r="AW538" s="171"/>
      <c r="AX538" s="171"/>
      <c r="AY538" s="171"/>
      <c r="AZ538" s="171"/>
      <c r="BA538" s="171"/>
      <c r="BB538" s="171"/>
      <c r="BC538" s="171"/>
      <c r="BD538" s="172"/>
      <c r="BE538" s="172"/>
      <c r="BF538" s="172"/>
      <c r="BG538" s="172"/>
      <c r="BH538" s="172"/>
      <c r="BI538" s="172"/>
      <c r="BJ538" s="172"/>
      <c r="BK538" s="172"/>
      <c r="BL538" s="172"/>
      <c r="BM538" s="172"/>
      <c r="BN538" s="172"/>
      <c r="BO538" s="172"/>
      <c r="BP538" s="172"/>
      <c r="BQ538" s="172"/>
      <c r="BR538" s="172"/>
      <c r="BS538" s="172"/>
    </row>
    <row r="539" spans="1:71" ht="12.5" x14ac:dyDescent="0.25">
      <c r="A539" s="170"/>
      <c r="B539" s="170"/>
      <c r="C539" s="170"/>
      <c r="D539" s="170"/>
      <c r="E539" s="171"/>
      <c r="F539" s="171"/>
      <c r="G539" s="170"/>
      <c r="H539" s="170"/>
      <c r="I539" s="170"/>
      <c r="J539" s="171"/>
      <c r="K539" s="171"/>
      <c r="L539" s="170"/>
      <c r="M539" s="170"/>
      <c r="N539" s="170"/>
      <c r="O539" s="171"/>
      <c r="P539" s="171"/>
      <c r="Q539" s="170"/>
      <c r="R539" s="170"/>
      <c r="S539" s="170"/>
      <c r="T539" s="171"/>
      <c r="U539" s="171"/>
      <c r="V539" s="171"/>
      <c r="W539" s="171"/>
      <c r="X539" s="171"/>
      <c r="Y539" s="171"/>
      <c r="Z539" s="171"/>
      <c r="AA539" s="171"/>
      <c r="AB539" s="171"/>
      <c r="AC539" s="170"/>
      <c r="AD539" s="170"/>
      <c r="AE539" s="170"/>
      <c r="AF539" s="170"/>
      <c r="AG539" s="170"/>
      <c r="AH539" s="170"/>
      <c r="AI539" s="170"/>
      <c r="AJ539" s="170"/>
      <c r="AK539" s="171"/>
      <c r="AL539" s="171"/>
      <c r="AM539" s="170"/>
      <c r="AN539" s="170"/>
      <c r="AO539" s="170"/>
      <c r="AP539" s="171"/>
      <c r="AQ539" s="171"/>
      <c r="AR539" s="170"/>
      <c r="AS539" s="170"/>
      <c r="AT539" s="170"/>
      <c r="AU539" s="171"/>
      <c r="AV539" s="171"/>
      <c r="AW539" s="171"/>
      <c r="AX539" s="171"/>
      <c r="AY539" s="171"/>
      <c r="AZ539" s="171"/>
      <c r="BA539" s="171"/>
      <c r="BB539" s="171"/>
      <c r="BC539" s="171"/>
      <c r="BD539" s="172"/>
      <c r="BE539" s="172"/>
      <c r="BF539" s="172"/>
      <c r="BG539" s="172"/>
      <c r="BH539" s="172"/>
      <c r="BI539" s="172"/>
      <c r="BJ539" s="172"/>
      <c r="BK539" s="172"/>
      <c r="BL539" s="172"/>
      <c r="BM539" s="172"/>
      <c r="BN539" s="172"/>
      <c r="BO539" s="172"/>
      <c r="BP539" s="172"/>
      <c r="BQ539" s="172"/>
      <c r="BR539" s="172"/>
      <c r="BS539" s="172"/>
    </row>
    <row r="540" spans="1:71" ht="12.5" x14ac:dyDescent="0.25">
      <c r="A540" s="170"/>
      <c r="B540" s="170"/>
      <c r="C540" s="170"/>
      <c r="D540" s="170"/>
      <c r="E540" s="171"/>
      <c r="F540" s="171"/>
      <c r="G540" s="170"/>
      <c r="H540" s="170"/>
      <c r="I540" s="170"/>
      <c r="J540" s="171"/>
      <c r="K540" s="171"/>
      <c r="L540" s="170"/>
      <c r="M540" s="170"/>
      <c r="N540" s="170"/>
      <c r="O540" s="171"/>
      <c r="P540" s="171"/>
      <c r="Q540" s="170"/>
      <c r="R540" s="170"/>
      <c r="S540" s="170"/>
      <c r="T540" s="171"/>
      <c r="U540" s="171"/>
      <c r="V540" s="171"/>
      <c r="W540" s="171"/>
      <c r="X540" s="171"/>
      <c r="Y540" s="171"/>
      <c r="Z540" s="171"/>
      <c r="AA540" s="171"/>
      <c r="AB540" s="171"/>
      <c r="AC540" s="170"/>
      <c r="AD540" s="170"/>
      <c r="AE540" s="170"/>
      <c r="AF540" s="170"/>
      <c r="AG540" s="170"/>
      <c r="AH540" s="170"/>
      <c r="AI540" s="170"/>
      <c r="AJ540" s="170"/>
      <c r="AK540" s="171"/>
      <c r="AL540" s="171"/>
      <c r="AM540" s="170"/>
      <c r="AN540" s="170"/>
      <c r="AO540" s="170"/>
      <c r="AP540" s="171"/>
      <c r="AQ540" s="171"/>
      <c r="AR540" s="170"/>
      <c r="AS540" s="170"/>
      <c r="AT540" s="170"/>
      <c r="AU540" s="171"/>
      <c r="AV540" s="171"/>
      <c r="AW540" s="171"/>
      <c r="AX540" s="171"/>
      <c r="AY540" s="171"/>
      <c r="AZ540" s="171"/>
      <c r="BA540" s="171"/>
      <c r="BB540" s="171"/>
      <c r="BC540" s="171"/>
      <c r="BD540" s="172"/>
      <c r="BE540" s="172"/>
      <c r="BF540" s="172"/>
      <c r="BG540" s="172"/>
      <c r="BH540" s="172"/>
      <c r="BI540" s="172"/>
      <c r="BJ540" s="172"/>
      <c r="BK540" s="172"/>
      <c r="BL540" s="172"/>
      <c r="BM540" s="172"/>
      <c r="BN540" s="172"/>
      <c r="BO540" s="172"/>
      <c r="BP540" s="172"/>
      <c r="BQ540" s="172"/>
      <c r="BR540" s="172"/>
      <c r="BS540" s="172"/>
    </row>
    <row r="541" spans="1:71" ht="12.5" x14ac:dyDescent="0.25">
      <c r="A541" s="170"/>
      <c r="B541" s="170"/>
      <c r="C541" s="170"/>
      <c r="D541" s="170"/>
      <c r="E541" s="171"/>
      <c r="F541" s="171"/>
      <c r="G541" s="170"/>
      <c r="H541" s="170"/>
      <c r="I541" s="170"/>
      <c r="J541" s="171"/>
      <c r="K541" s="171"/>
      <c r="L541" s="170"/>
      <c r="M541" s="170"/>
      <c r="N541" s="170"/>
      <c r="O541" s="171"/>
      <c r="P541" s="171"/>
      <c r="Q541" s="170"/>
      <c r="R541" s="170"/>
      <c r="S541" s="170"/>
      <c r="T541" s="171"/>
      <c r="U541" s="171"/>
      <c r="V541" s="171"/>
      <c r="W541" s="171"/>
      <c r="X541" s="171"/>
      <c r="Y541" s="171"/>
      <c r="Z541" s="171"/>
      <c r="AA541" s="171"/>
      <c r="AB541" s="171"/>
      <c r="AC541" s="170"/>
      <c r="AD541" s="170"/>
      <c r="AE541" s="170"/>
      <c r="AF541" s="170"/>
      <c r="AG541" s="170"/>
      <c r="AH541" s="170"/>
      <c r="AI541" s="170"/>
      <c r="AJ541" s="170"/>
      <c r="AK541" s="171"/>
      <c r="AL541" s="171"/>
      <c r="AM541" s="170"/>
      <c r="AN541" s="170"/>
      <c r="AO541" s="170"/>
      <c r="AP541" s="171"/>
      <c r="AQ541" s="171"/>
      <c r="AR541" s="170"/>
      <c r="AS541" s="170"/>
      <c r="AT541" s="170"/>
      <c r="AU541" s="171"/>
      <c r="AV541" s="171"/>
      <c r="AW541" s="171"/>
      <c r="AX541" s="171"/>
      <c r="AY541" s="171"/>
      <c r="AZ541" s="171"/>
      <c r="BA541" s="171"/>
      <c r="BB541" s="171"/>
      <c r="BC541" s="171"/>
      <c r="BD541" s="172"/>
      <c r="BE541" s="172"/>
      <c r="BF541" s="172"/>
      <c r="BG541" s="172"/>
      <c r="BH541" s="172"/>
      <c r="BI541" s="172"/>
      <c r="BJ541" s="172"/>
      <c r="BK541" s="172"/>
      <c r="BL541" s="172"/>
      <c r="BM541" s="172"/>
      <c r="BN541" s="172"/>
      <c r="BO541" s="172"/>
      <c r="BP541" s="172"/>
      <c r="BQ541" s="172"/>
      <c r="BR541" s="172"/>
      <c r="BS541" s="172"/>
    </row>
    <row r="542" spans="1:71" ht="12.5" x14ac:dyDescent="0.25">
      <c r="A542" s="170"/>
      <c r="B542" s="170"/>
      <c r="C542" s="170"/>
      <c r="D542" s="170"/>
      <c r="E542" s="171"/>
      <c r="F542" s="171"/>
      <c r="G542" s="170"/>
      <c r="H542" s="170"/>
      <c r="I542" s="170"/>
      <c r="J542" s="171"/>
      <c r="K542" s="171"/>
      <c r="L542" s="170"/>
      <c r="M542" s="170"/>
      <c r="N542" s="170"/>
      <c r="O542" s="171"/>
      <c r="P542" s="171"/>
      <c r="Q542" s="170"/>
      <c r="R542" s="170"/>
      <c r="S542" s="170"/>
      <c r="T542" s="171"/>
      <c r="U542" s="171"/>
      <c r="V542" s="171"/>
      <c r="W542" s="171"/>
      <c r="X542" s="171"/>
      <c r="Y542" s="171"/>
      <c r="Z542" s="171"/>
      <c r="AA542" s="171"/>
      <c r="AB542" s="171"/>
      <c r="AC542" s="170"/>
      <c r="AD542" s="170"/>
      <c r="AE542" s="170"/>
      <c r="AF542" s="170"/>
      <c r="AG542" s="170"/>
      <c r="AH542" s="170"/>
      <c r="AI542" s="170"/>
      <c r="AJ542" s="170"/>
      <c r="AK542" s="171"/>
      <c r="AL542" s="171"/>
      <c r="AM542" s="170"/>
      <c r="AN542" s="170"/>
      <c r="AO542" s="170"/>
      <c r="AP542" s="171"/>
      <c r="AQ542" s="171"/>
      <c r="AR542" s="170"/>
      <c r="AS542" s="170"/>
      <c r="AT542" s="170"/>
      <c r="AU542" s="171"/>
      <c r="AV542" s="171"/>
      <c r="AW542" s="171"/>
      <c r="AX542" s="171"/>
      <c r="AY542" s="171"/>
      <c r="AZ542" s="171"/>
      <c r="BA542" s="171"/>
      <c r="BB542" s="171"/>
      <c r="BC542" s="171"/>
      <c r="BD542" s="172"/>
      <c r="BE542" s="172"/>
      <c r="BF542" s="172"/>
      <c r="BG542" s="172"/>
      <c r="BH542" s="172"/>
      <c r="BI542" s="172"/>
      <c r="BJ542" s="172"/>
      <c r="BK542" s="172"/>
      <c r="BL542" s="172"/>
      <c r="BM542" s="172"/>
      <c r="BN542" s="172"/>
      <c r="BO542" s="172"/>
      <c r="BP542" s="172"/>
      <c r="BQ542" s="172"/>
      <c r="BR542" s="172"/>
      <c r="BS542" s="172"/>
    </row>
    <row r="543" spans="1:71" ht="12.5" x14ac:dyDescent="0.25">
      <c r="A543" s="170"/>
      <c r="B543" s="170"/>
      <c r="C543" s="170"/>
      <c r="D543" s="170"/>
      <c r="E543" s="171"/>
      <c r="F543" s="171"/>
      <c r="G543" s="170"/>
      <c r="H543" s="170"/>
      <c r="I543" s="170"/>
      <c r="J543" s="171"/>
      <c r="K543" s="171"/>
      <c r="L543" s="170"/>
      <c r="M543" s="170"/>
      <c r="N543" s="170"/>
      <c r="O543" s="171"/>
      <c r="P543" s="171"/>
      <c r="Q543" s="170"/>
      <c r="R543" s="170"/>
      <c r="S543" s="170"/>
      <c r="T543" s="171"/>
      <c r="U543" s="171"/>
      <c r="V543" s="171"/>
      <c r="W543" s="171"/>
      <c r="X543" s="171"/>
      <c r="Y543" s="171"/>
      <c r="Z543" s="171"/>
      <c r="AA543" s="171"/>
      <c r="AB543" s="171"/>
      <c r="AC543" s="170"/>
      <c r="AD543" s="170"/>
      <c r="AE543" s="170"/>
      <c r="AF543" s="170"/>
      <c r="AG543" s="170"/>
      <c r="AH543" s="170"/>
      <c r="AI543" s="170"/>
      <c r="AJ543" s="170"/>
      <c r="AK543" s="171"/>
      <c r="AL543" s="171"/>
      <c r="AM543" s="170"/>
      <c r="AN543" s="170"/>
      <c r="AO543" s="170"/>
      <c r="AP543" s="171"/>
      <c r="AQ543" s="171"/>
      <c r="AR543" s="170"/>
      <c r="AS543" s="170"/>
      <c r="AT543" s="170"/>
      <c r="AU543" s="171"/>
      <c r="AV543" s="171"/>
      <c r="AW543" s="171"/>
      <c r="AX543" s="171"/>
      <c r="AY543" s="171"/>
      <c r="AZ543" s="171"/>
      <c r="BA543" s="171"/>
      <c r="BB543" s="171"/>
      <c r="BC543" s="171"/>
      <c r="BD543" s="172"/>
      <c r="BE543" s="172"/>
      <c r="BF543" s="172"/>
      <c r="BG543" s="172"/>
      <c r="BH543" s="172"/>
      <c r="BI543" s="172"/>
      <c r="BJ543" s="172"/>
      <c r="BK543" s="172"/>
      <c r="BL543" s="172"/>
      <c r="BM543" s="172"/>
      <c r="BN543" s="172"/>
      <c r="BO543" s="172"/>
      <c r="BP543" s="172"/>
      <c r="BQ543" s="172"/>
      <c r="BR543" s="172"/>
      <c r="BS543" s="172"/>
    </row>
    <row r="544" spans="1:71" ht="12.5" x14ac:dyDescent="0.25">
      <c r="A544" s="170"/>
      <c r="B544" s="170"/>
      <c r="C544" s="170"/>
      <c r="D544" s="170"/>
      <c r="E544" s="171"/>
      <c r="F544" s="171"/>
      <c r="G544" s="170"/>
      <c r="H544" s="170"/>
      <c r="I544" s="170"/>
      <c r="J544" s="171"/>
      <c r="K544" s="171"/>
      <c r="L544" s="170"/>
      <c r="M544" s="170"/>
      <c r="N544" s="170"/>
      <c r="O544" s="171"/>
      <c r="P544" s="171"/>
      <c r="Q544" s="170"/>
      <c r="R544" s="170"/>
      <c r="S544" s="170"/>
      <c r="T544" s="171"/>
      <c r="U544" s="171"/>
      <c r="V544" s="171"/>
      <c r="W544" s="171"/>
      <c r="X544" s="171"/>
      <c r="Y544" s="171"/>
      <c r="Z544" s="171"/>
      <c r="AA544" s="171"/>
      <c r="AB544" s="171"/>
      <c r="AC544" s="170"/>
      <c r="AD544" s="170"/>
      <c r="AE544" s="170"/>
      <c r="AF544" s="170"/>
      <c r="AG544" s="170"/>
      <c r="AH544" s="170"/>
      <c r="AI544" s="170"/>
      <c r="AJ544" s="170"/>
      <c r="AK544" s="171"/>
      <c r="AL544" s="171"/>
      <c r="AM544" s="170"/>
      <c r="AN544" s="170"/>
      <c r="AO544" s="170"/>
      <c r="AP544" s="171"/>
      <c r="AQ544" s="171"/>
      <c r="AR544" s="170"/>
      <c r="AS544" s="170"/>
      <c r="AT544" s="170"/>
      <c r="AU544" s="171"/>
      <c r="AV544" s="171"/>
      <c r="AW544" s="171"/>
      <c r="AX544" s="171"/>
      <c r="AY544" s="171"/>
      <c r="AZ544" s="171"/>
      <c r="BA544" s="171"/>
      <c r="BB544" s="171"/>
      <c r="BC544" s="171"/>
      <c r="BD544" s="172"/>
      <c r="BE544" s="172"/>
      <c r="BF544" s="172"/>
      <c r="BG544" s="172"/>
      <c r="BH544" s="172"/>
      <c r="BI544" s="172"/>
      <c r="BJ544" s="172"/>
      <c r="BK544" s="172"/>
      <c r="BL544" s="172"/>
      <c r="BM544" s="172"/>
      <c r="BN544" s="172"/>
      <c r="BO544" s="172"/>
      <c r="BP544" s="172"/>
      <c r="BQ544" s="172"/>
      <c r="BR544" s="172"/>
      <c r="BS544" s="172"/>
    </row>
    <row r="545" spans="1:71" ht="12.5" x14ac:dyDescent="0.25">
      <c r="A545" s="170"/>
      <c r="B545" s="170"/>
      <c r="C545" s="170"/>
      <c r="D545" s="170"/>
      <c r="E545" s="171"/>
      <c r="F545" s="171"/>
      <c r="G545" s="170"/>
      <c r="H545" s="170"/>
      <c r="I545" s="170"/>
      <c r="J545" s="171"/>
      <c r="K545" s="171"/>
      <c r="L545" s="170"/>
      <c r="M545" s="170"/>
      <c r="N545" s="170"/>
      <c r="O545" s="171"/>
      <c r="P545" s="171"/>
      <c r="Q545" s="170"/>
      <c r="R545" s="170"/>
      <c r="S545" s="170"/>
      <c r="T545" s="171"/>
      <c r="U545" s="171"/>
      <c r="V545" s="171"/>
      <c r="W545" s="171"/>
      <c r="X545" s="171"/>
      <c r="Y545" s="171"/>
      <c r="Z545" s="171"/>
      <c r="AA545" s="171"/>
      <c r="AB545" s="171"/>
      <c r="AC545" s="170"/>
      <c r="AD545" s="170"/>
      <c r="AE545" s="170"/>
      <c r="AF545" s="170"/>
      <c r="AG545" s="170"/>
      <c r="AH545" s="170"/>
      <c r="AI545" s="170"/>
      <c r="AJ545" s="170"/>
      <c r="AK545" s="171"/>
      <c r="AL545" s="171"/>
      <c r="AM545" s="170"/>
      <c r="AN545" s="170"/>
      <c r="AO545" s="170"/>
      <c r="AP545" s="171"/>
      <c r="AQ545" s="171"/>
      <c r="AR545" s="170"/>
      <c r="AS545" s="170"/>
      <c r="AT545" s="170"/>
      <c r="AU545" s="171"/>
      <c r="AV545" s="171"/>
      <c r="AW545" s="171"/>
      <c r="AX545" s="171"/>
      <c r="AY545" s="171"/>
      <c r="AZ545" s="171"/>
      <c r="BA545" s="171"/>
      <c r="BB545" s="171"/>
      <c r="BC545" s="171"/>
      <c r="BD545" s="172"/>
      <c r="BE545" s="172"/>
      <c r="BF545" s="172"/>
      <c r="BG545" s="172"/>
      <c r="BH545" s="172"/>
      <c r="BI545" s="172"/>
      <c r="BJ545" s="172"/>
      <c r="BK545" s="172"/>
      <c r="BL545" s="172"/>
      <c r="BM545" s="172"/>
      <c r="BN545" s="172"/>
      <c r="BO545" s="172"/>
      <c r="BP545" s="172"/>
      <c r="BQ545" s="172"/>
      <c r="BR545" s="172"/>
      <c r="BS545" s="172"/>
    </row>
    <row r="546" spans="1:71" ht="12.5" x14ac:dyDescent="0.25">
      <c r="A546" s="170"/>
      <c r="B546" s="170"/>
      <c r="C546" s="170"/>
      <c r="D546" s="170"/>
      <c r="E546" s="171"/>
      <c r="F546" s="171"/>
      <c r="G546" s="170"/>
      <c r="H546" s="170"/>
      <c r="I546" s="170"/>
      <c r="J546" s="171"/>
      <c r="K546" s="171"/>
      <c r="L546" s="170"/>
      <c r="M546" s="170"/>
      <c r="N546" s="170"/>
      <c r="O546" s="171"/>
      <c r="P546" s="171"/>
      <c r="Q546" s="170"/>
      <c r="R546" s="170"/>
      <c r="S546" s="170"/>
      <c r="T546" s="171"/>
      <c r="U546" s="171"/>
      <c r="V546" s="171"/>
      <c r="W546" s="171"/>
      <c r="X546" s="171"/>
      <c r="Y546" s="171"/>
      <c r="Z546" s="171"/>
      <c r="AA546" s="171"/>
      <c r="AB546" s="171"/>
      <c r="AC546" s="170"/>
      <c r="AD546" s="170"/>
      <c r="AE546" s="170"/>
      <c r="AF546" s="170"/>
      <c r="AG546" s="170"/>
      <c r="AH546" s="170"/>
      <c r="AI546" s="170"/>
      <c r="AJ546" s="170"/>
      <c r="AK546" s="171"/>
      <c r="AL546" s="171"/>
      <c r="AM546" s="170"/>
      <c r="AN546" s="170"/>
      <c r="AO546" s="170"/>
      <c r="AP546" s="171"/>
      <c r="AQ546" s="171"/>
      <c r="AR546" s="170"/>
      <c r="AS546" s="170"/>
      <c r="AT546" s="170"/>
      <c r="AU546" s="171"/>
      <c r="AV546" s="171"/>
      <c r="AW546" s="171"/>
      <c r="AX546" s="171"/>
      <c r="AY546" s="171"/>
      <c r="AZ546" s="171"/>
      <c r="BA546" s="171"/>
      <c r="BB546" s="171"/>
      <c r="BC546" s="171"/>
      <c r="BD546" s="172"/>
      <c r="BE546" s="172"/>
      <c r="BF546" s="172"/>
      <c r="BG546" s="172"/>
      <c r="BH546" s="172"/>
      <c r="BI546" s="172"/>
      <c r="BJ546" s="172"/>
      <c r="BK546" s="172"/>
      <c r="BL546" s="172"/>
      <c r="BM546" s="172"/>
      <c r="BN546" s="172"/>
      <c r="BO546" s="172"/>
      <c r="BP546" s="172"/>
      <c r="BQ546" s="172"/>
      <c r="BR546" s="172"/>
      <c r="BS546" s="172"/>
    </row>
    <row r="547" spans="1:71" ht="12.5" x14ac:dyDescent="0.25">
      <c r="A547" s="170"/>
      <c r="B547" s="170"/>
      <c r="C547" s="170"/>
      <c r="D547" s="170"/>
      <c r="E547" s="171"/>
      <c r="F547" s="171"/>
      <c r="G547" s="170"/>
      <c r="H547" s="170"/>
      <c r="I547" s="170"/>
      <c r="J547" s="171"/>
      <c r="K547" s="171"/>
      <c r="L547" s="170"/>
      <c r="M547" s="170"/>
      <c r="N547" s="170"/>
      <c r="O547" s="171"/>
      <c r="P547" s="171"/>
      <c r="Q547" s="170"/>
      <c r="R547" s="170"/>
      <c r="S547" s="170"/>
      <c r="T547" s="171"/>
      <c r="U547" s="171"/>
      <c r="V547" s="171"/>
      <c r="W547" s="171"/>
      <c r="X547" s="171"/>
      <c r="Y547" s="171"/>
      <c r="Z547" s="171"/>
      <c r="AA547" s="171"/>
      <c r="AB547" s="171"/>
      <c r="AC547" s="170"/>
      <c r="AD547" s="170"/>
      <c r="AE547" s="170"/>
      <c r="AF547" s="170"/>
      <c r="AG547" s="170"/>
      <c r="AH547" s="170"/>
      <c r="AI547" s="170"/>
      <c r="AJ547" s="170"/>
      <c r="AK547" s="171"/>
      <c r="AL547" s="171"/>
      <c r="AM547" s="170"/>
      <c r="AN547" s="170"/>
      <c r="AO547" s="170"/>
      <c r="AP547" s="171"/>
      <c r="AQ547" s="171"/>
      <c r="AR547" s="170"/>
      <c r="AS547" s="170"/>
      <c r="AT547" s="170"/>
      <c r="AU547" s="171"/>
      <c r="AV547" s="171"/>
      <c r="AW547" s="171"/>
      <c r="AX547" s="171"/>
      <c r="AY547" s="171"/>
      <c r="AZ547" s="171"/>
      <c r="BA547" s="171"/>
      <c r="BB547" s="171"/>
      <c r="BC547" s="171"/>
      <c r="BD547" s="172"/>
      <c r="BE547" s="172"/>
      <c r="BF547" s="172"/>
      <c r="BG547" s="172"/>
      <c r="BH547" s="172"/>
      <c r="BI547" s="172"/>
      <c r="BJ547" s="172"/>
      <c r="BK547" s="172"/>
      <c r="BL547" s="172"/>
      <c r="BM547" s="172"/>
      <c r="BN547" s="172"/>
      <c r="BO547" s="172"/>
      <c r="BP547" s="172"/>
      <c r="BQ547" s="172"/>
      <c r="BR547" s="172"/>
      <c r="BS547" s="172"/>
    </row>
    <row r="548" spans="1:71" ht="12.5" x14ac:dyDescent="0.25">
      <c r="A548" s="170"/>
      <c r="B548" s="170"/>
      <c r="C548" s="170"/>
      <c r="D548" s="170"/>
      <c r="E548" s="171"/>
      <c r="F548" s="171"/>
      <c r="G548" s="170"/>
      <c r="H548" s="170"/>
      <c r="I548" s="170"/>
      <c r="J548" s="171"/>
      <c r="K548" s="171"/>
      <c r="L548" s="170"/>
      <c r="M548" s="170"/>
      <c r="N548" s="170"/>
      <c r="O548" s="171"/>
      <c r="P548" s="171"/>
      <c r="Q548" s="170"/>
      <c r="R548" s="170"/>
      <c r="S548" s="170"/>
      <c r="T548" s="171"/>
      <c r="U548" s="171"/>
      <c r="V548" s="171"/>
      <c r="W548" s="171"/>
      <c r="X548" s="171"/>
      <c r="Y548" s="171"/>
      <c r="Z548" s="171"/>
      <c r="AA548" s="171"/>
      <c r="AB548" s="171"/>
      <c r="AC548" s="170"/>
      <c r="AD548" s="170"/>
      <c r="AE548" s="170"/>
      <c r="AF548" s="170"/>
      <c r="AG548" s="170"/>
      <c r="AH548" s="170"/>
      <c r="AI548" s="170"/>
      <c r="AJ548" s="170"/>
      <c r="AK548" s="171"/>
      <c r="AL548" s="171"/>
      <c r="AM548" s="170"/>
      <c r="AN548" s="170"/>
      <c r="AO548" s="170"/>
      <c r="AP548" s="171"/>
      <c r="AQ548" s="171"/>
      <c r="AR548" s="170"/>
      <c r="AS548" s="170"/>
      <c r="AT548" s="170"/>
      <c r="AU548" s="171"/>
      <c r="AV548" s="171"/>
      <c r="AW548" s="171"/>
      <c r="AX548" s="171"/>
      <c r="AY548" s="171"/>
      <c r="AZ548" s="171"/>
      <c r="BA548" s="171"/>
      <c r="BB548" s="171"/>
      <c r="BC548" s="171"/>
      <c r="BD548" s="172"/>
      <c r="BE548" s="172"/>
      <c r="BF548" s="172"/>
      <c r="BG548" s="172"/>
      <c r="BH548" s="172"/>
      <c r="BI548" s="172"/>
      <c r="BJ548" s="172"/>
      <c r="BK548" s="172"/>
      <c r="BL548" s="172"/>
      <c r="BM548" s="172"/>
      <c r="BN548" s="172"/>
      <c r="BO548" s="172"/>
      <c r="BP548" s="172"/>
      <c r="BQ548" s="172"/>
      <c r="BR548" s="172"/>
      <c r="BS548" s="172"/>
    </row>
    <row r="549" spans="1:71" ht="12.5" x14ac:dyDescent="0.25">
      <c r="A549" s="170"/>
      <c r="B549" s="170"/>
      <c r="C549" s="170"/>
      <c r="D549" s="170"/>
      <c r="E549" s="171"/>
      <c r="F549" s="171"/>
      <c r="G549" s="170"/>
      <c r="H549" s="170"/>
      <c r="I549" s="170"/>
      <c r="J549" s="171"/>
      <c r="K549" s="171"/>
      <c r="L549" s="170"/>
      <c r="M549" s="170"/>
      <c r="N549" s="170"/>
      <c r="O549" s="171"/>
      <c r="P549" s="171"/>
      <c r="Q549" s="170"/>
      <c r="R549" s="170"/>
      <c r="S549" s="170"/>
      <c r="T549" s="171"/>
      <c r="U549" s="171"/>
      <c r="V549" s="171"/>
      <c r="W549" s="171"/>
      <c r="X549" s="171"/>
      <c r="Y549" s="171"/>
      <c r="Z549" s="171"/>
      <c r="AA549" s="171"/>
      <c r="AB549" s="171"/>
      <c r="AC549" s="170"/>
      <c r="AD549" s="170"/>
      <c r="AE549" s="170"/>
      <c r="AF549" s="170"/>
      <c r="AG549" s="170"/>
      <c r="AH549" s="170"/>
      <c r="AI549" s="170"/>
      <c r="AJ549" s="170"/>
      <c r="AK549" s="171"/>
      <c r="AL549" s="171"/>
      <c r="AM549" s="170"/>
      <c r="AN549" s="170"/>
      <c r="AO549" s="170"/>
      <c r="AP549" s="171"/>
      <c r="AQ549" s="171"/>
      <c r="AR549" s="170"/>
      <c r="AS549" s="170"/>
      <c r="AT549" s="170"/>
      <c r="AU549" s="171"/>
      <c r="AV549" s="171"/>
      <c r="AW549" s="171"/>
      <c r="AX549" s="171"/>
      <c r="AY549" s="171"/>
      <c r="AZ549" s="171"/>
      <c r="BA549" s="171"/>
      <c r="BB549" s="171"/>
      <c r="BC549" s="171"/>
      <c r="BD549" s="172"/>
      <c r="BE549" s="172"/>
      <c r="BF549" s="172"/>
      <c r="BG549" s="172"/>
      <c r="BH549" s="172"/>
      <c r="BI549" s="172"/>
      <c r="BJ549" s="172"/>
      <c r="BK549" s="172"/>
      <c r="BL549" s="172"/>
      <c r="BM549" s="172"/>
      <c r="BN549" s="172"/>
      <c r="BO549" s="172"/>
      <c r="BP549" s="172"/>
      <c r="BQ549" s="172"/>
      <c r="BR549" s="172"/>
      <c r="BS549" s="172"/>
    </row>
    <row r="550" spans="1:71" ht="12.5" x14ac:dyDescent="0.25">
      <c r="A550" s="170"/>
      <c r="B550" s="170"/>
      <c r="C550" s="170"/>
      <c r="D550" s="170"/>
      <c r="E550" s="171"/>
      <c r="F550" s="171"/>
      <c r="G550" s="170"/>
      <c r="H550" s="170"/>
      <c r="I550" s="170"/>
      <c r="J550" s="171"/>
      <c r="K550" s="171"/>
      <c r="L550" s="170"/>
      <c r="M550" s="170"/>
      <c r="N550" s="170"/>
      <c r="O550" s="171"/>
      <c r="P550" s="171"/>
      <c r="Q550" s="170"/>
      <c r="R550" s="170"/>
      <c r="S550" s="170"/>
      <c r="T550" s="171"/>
      <c r="U550" s="171"/>
      <c r="V550" s="171"/>
      <c r="W550" s="171"/>
      <c r="X550" s="171"/>
      <c r="Y550" s="171"/>
      <c r="Z550" s="171"/>
      <c r="AA550" s="171"/>
      <c r="AB550" s="171"/>
      <c r="AC550" s="170"/>
      <c r="AD550" s="170"/>
      <c r="AE550" s="170"/>
      <c r="AF550" s="170"/>
      <c r="AG550" s="170"/>
      <c r="AH550" s="170"/>
      <c r="AI550" s="170"/>
      <c r="AJ550" s="170"/>
      <c r="AK550" s="171"/>
      <c r="AL550" s="171"/>
      <c r="AM550" s="170"/>
      <c r="AN550" s="170"/>
      <c r="AO550" s="170"/>
      <c r="AP550" s="171"/>
      <c r="AQ550" s="171"/>
      <c r="AR550" s="170"/>
      <c r="AS550" s="170"/>
      <c r="AT550" s="170"/>
      <c r="AU550" s="171"/>
      <c r="AV550" s="171"/>
      <c r="AW550" s="171"/>
      <c r="AX550" s="171"/>
      <c r="AY550" s="171"/>
      <c r="AZ550" s="171"/>
      <c r="BA550" s="171"/>
      <c r="BB550" s="171"/>
      <c r="BC550" s="171"/>
      <c r="BD550" s="172"/>
      <c r="BE550" s="172"/>
      <c r="BF550" s="172"/>
      <c r="BG550" s="172"/>
      <c r="BH550" s="172"/>
      <c r="BI550" s="172"/>
      <c r="BJ550" s="172"/>
      <c r="BK550" s="172"/>
      <c r="BL550" s="172"/>
      <c r="BM550" s="172"/>
      <c r="BN550" s="172"/>
      <c r="BO550" s="172"/>
      <c r="BP550" s="172"/>
      <c r="BQ550" s="172"/>
      <c r="BR550" s="172"/>
      <c r="BS550" s="172"/>
    </row>
    <row r="551" spans="1:71" ht="12.5" x14ac:dyDescent="0.25">
      <c r="A551" s="170"/>
      <c r="B551" s="170"/>
      <c r="C551" s="170"/>
      <c r="D551" s="170"/>
      <c r="E551" s="171"/>
      <c r="F551" s="171"/>
      <c r="G551" s="170"/>
      <c r="H551" s="170"/>
      <c r="I551" s="170"/>
      <c r="J551" s="171"/>
      <c r="K551" s="171"/>
      <c r="L551" s="170"/>
      <c r="M551" s="170"/>
      <c r="N551" s="170"/>
      <c r="O551" s="171"/>
      <c r="P551" s="171"/>
      <c r="Q551" s="170"/>
      <c r="R551" s="170"/>
      <c r="S551" s="170"/>
      <c r="T551" s="171"/>
      <c r="U551" s="171"/>
      <c r="V551" s="171"/>
      <c r="W551" s="171"/>
      <c r="X551" s="171"/>
      <c r="Y551" s="171"/>
      <c r="Z551" s="171"/>
      <c r="AA551" s="171"/>
      <c r="AB551" s="171"/>
      <c r="AC551" s="170"/>
      <c r="AD551" s="170"/>
      <c r="AE551" s="170"/>
      <c r="AF551" s="170"/>
      <c r="AG551" s="170"/>
      <c r="AH551" s="170"/>
      <c r="AI551" s="170"/>
      <c r="AJ551" s="170"/>
      <c r="AK551" s="171"/>
      <c r="AL551" s="171"/>
      <c r="AM551" s="170"/>
      <c r="AN551" s="170"/>
      <c r="AO551" s="170"/>
      <c r="AP551" s="171"/>
      <c r="AQ551" s="171"/>
      <c r="AR551" s="170"/>
      <c r="AS551" s="170"/>
      <c r="AT551" s="170"/>
      <c r="AU551" s="171"/>
      <c r="AV551" s="171"/>
      <c r="AW551" s="171"/>
      <c r="AX551" s="171"/>
      <c r="AY551" s="171"/>
      <c r="AZ551" s="171"/>
      <c r="BA551" s="171"/>
      <c r="BB551" s="171"/>
      <c r="BC551" s="171"/>
      <c r="BD551" s="172"/>
      <c r="BE551" s="172"/>
      <c r="BF551" s="172"/>
      <c r="BG551" s="172"/>
      <c r="BH551" s="172"/>
      <c r="BI551" s="172"/>
      <c r="BJ551" s="172"/>
      <c r="BK551" s="172"/>
      <c r="BL551" s="172"/>
      <c r="BM551" s="172"/>
      <c r="BN551" s="172"/>
      <c r="BO551" s="172"/>
      <c r="BP551" s="172"/>
      <c r="BQ551" s="172"/>
      <c r="BR551" s="172"/>
      <c r="BS551" s="172"/>
    </row>
    <row r="552" spans="1:71" ht="12.5" x14ac:dyDescent="0.25">
      <c r="A552" s="170"/>
      <c r="B552" s="170"/>
      <c r="C552" s="170"/>
      <c r="D552" s="170"/>
      <c r="E552" s="171"/>
      <c r="F552" s="171"/>
      <c r="G552" s="170"/>
      <c r="H552" s="170"/>
      <c r="I552" s="170"/>
      <c r="J552" s="171"/>
      <c r="K552" s="171"/>
      <c r="L552" s="170"/>
      <c r="M552" s="170"/>
      <c r="N552" s="170"/>
      <c r="O552" s="171"/>
      <c r="P552" s="171"/>
      <c r="Q552" s="170"/>
      <c r="R552" s="170"/>
      <c r="S552" s="170"/>
      <c r="T552" s="171"/>
      <c r="U552" s="171"/>
      <c r="V552" s="171"/>
      <c r="W552" s="171"/>
      <c r="X552" s="171"/>
      <c r="Y552" s="171"/>
      <c r="Z552" s="171"/>
      <c r="AA552" s="171"/>
      <c r="AB552" s="171"/>
      <c r="AC552" s="170"/>
      <c r="AD552" s="170"/>
      <c r="AE552" s="170"/>
      <c r="AF552" s="170"/>
      <c r="AG552" s="170"/>
      <c r="AH552" s="170"/>
      <c r="AI552" s="170"/>
      <c r="AJ552" s="170"/>
      <c r="AK552" s="171"/>
      <c r="AL552" s="171"/>
      <c r="AM552" s="170"/>
      <c r="AN552" s="170"/>
      <c r="AO552" s="170"/>
      <c r="AP552" s="171"/>
      <c r="AQ552" s="171"/>
      <c r="AR552" s="170"/>
      <c r="AS552" s="170"/>
      <c r="AT552" s="170"/>
      <c r="AU552" s="171"/>
      <c r="AV552" s="171"/>
      <c r="AW552" s="171"/>
      <c r="AX552" s="171"/>
      <c r="AY552" s="171"/>
      <c r="AZ552" s="171"/>
      <c r="BA552" s="171"/>
      <c r="BB552" s="171"/>
      <c r="BC552" s="171"/>
      <c r="BD552" s="172"/>
      <c r="BE552" s="172"/>
      <c r="BF552" s="172"/>
      <c r="BG552" s="172"/>
      <c r="BH552" s="172"/>
      <c r="BI552" s="172"/>
      <c r="BJ552" s="172"/>
      <c r="BK552" s="172"/>
      <c r="BL552" s="172"/>
      <c r="BM552" s="172"/>
      <c r="BN552" s="172"/>
      <c r="BO552" s="172"/>
      <c r="BP552" s="172"/>
      <c r="BQ552" s="172"/>
      <c r="BR552" s="172"/>
      <c r="BS552" s="172"/>
    </row>
    <row r="553" spans="1:71" ht="12.5" x14ac:dyDescent="0.25">
      <c r="A553" s="170"/>
      <c r="B553" s="170"/>
      <c r="C553" s="170"/>
      <c r="D553" s="170"/>
      <c r="E553" s="171"/>
      <c r="F553" s="171"/>
      <c r="G553" s="170"/>
      <c r="H553" s="170"/>
      <c r="I553" s="170"/>
      <c r="J553" s="171"/>
      <c r="K553" s="171"/>
      <c r="L553" s="170"/>
      <c r="M553" s="170"/>
      <c r="N553" s="170"/>
      <c r="O553" s="171"/>
      <c r="P553" s="171"/>
      <c r="Q553" s="170"/>
      <c r="R553" s="170"/>
      <c r="S553" s="170"/>
      <c r="T553" s="171"/>
      <c r="U553" s="171"/>
      <c r="V553" s="171"/>
      <c r="W553" s="171"/>
      <c r="X553" s="171"/>
      <c r="Y553" s="171"/>
      <c r="Z553" s="171"/>
      <c r="AA553" s="171"/>
      <c r="AB553" s="171"/>
      <c r="AC553" s="170"/>
      <c r="AD553" s="170"/>
      <c r="AE553" s="170"/>
      <c r="AF553" s="170"/>
      <c r="AG553" s="170"/>
      <c r="AH553" s="170"/>
      <c r="AI553" s="170"/>
      <c r="AJ553" s="170"/>
      <c r="AK553" s="171"/>
      <c r="AL553" s="171"/>
      <c r="AM553" s="170"/>
      <c r="AN553" s="170"/>
      <c r="AO553" s="170"/>
      <c r="AP553" s="171"/>
      <c r="AQ553" s="171"/>
      <c r="AR553" s="170"/>
      <c r="AS553" s="170"/>
      <c r="AT553" s="170"/>
      <c r="AU553" s="171"/>
      <c r="AV553" s="171"/>
      <c r="AW553" s="171"/>
      <c r="AX553" s="171"/>
      <c r="AY553" s="171"/>
      <c r="AZ553" s="171"/>
      <c r="BA553" s="171"/>
      <c r="BB553" s="171"/>
      <c r="BC553" s="171"/>
      <c r="BD553" s="172"/>
      <c r="BE553" s="172"/>
      <c r="BF553" s="172"/>
      <c r="BG553" s="172"/>
      <c r="BH553" s="172"/>
      <c r="BI553" s="172"/>
      <c r="BJ553" s="172"/>
      <c r="BK553" s="172"/>
      <c r="BL553" s="172"/>
      <c r="BM553" s="172"/>
      <c r="BN553" s="172"/>
      <c r="BO553" s="172"/>
      <c r="BP553" s="172"/>
      <c r="BQ553" s="172"/>
      <c r="BR553" s="172"/>
      <c r="BS553" s="172"/>
    </row>
    <row r="554" spans="1:71" ht="12.5" x14ac:dyDescent="0.25">
      <c r="A554" s="170"/>
      <c r="B554" s="170"/>
      <c r="C554" s="170"/>
      <c r="D554" s="170"/>
      <c r="E554" s="171"/>
      <c r="F554" s="171"/>
      <c r="G554" s="170"/>
      <c r="H554" s="170"/>
      <c r="I554" s="170"/>
      <c r="J554" s="171"/>
      <c r="K554" s="171"/>
      <c r="L554" s="170"/>
      <c r="M554" s="170"/>
      <c r="N554" s="170"/>
      <c r="O554" s="171"/>
      <c r="P554" s="171"/>
      <c r="Q554" s="170"/>
      <c r="R554" s="170"/>
      <c r="S554" s="170"/>
      <c r="T554" s="171"/>
      <c r="U554" s="171"/>
      <c r="V554" s="171"/>
      <c r="W554" s="171"/>
      <c r="X554" s="171"/>
      <c r="Y554" s="171"/>
      <c r="Z554" s="171"/>
      <c r="AA554" s="171"/>
      <c r="AB554" s="171"/>
      <c r="AC554" s="170"/>
      <c r="AD554" s="170"/>
      <c r="AE554" s="170"/>
      <c r="AF554" s="170"/>
      <c r="AG554" s="170"/>
      <c r="AH554" s="170"/>
      <c r="AI554" s="170"/>
      <c r="AJ554" s="170"/>
      <c r="AK554" s="171"/>
      <c r="AL554" s="171"/>
      <c r="AM554" s="170"/>
      <c r="AN554" s="170"/>
      <c r="AO554" s="170"/>
      <c r="AP554" s="171"/>
      <c r="AQ554" s="171"/>
      <c r="AR554" s="170"/>
      <c r="AS554" s="170"/>
      <c r="AT554" s="170"/>
      <c r="AU554" s="171"/>
      <c r="AV554" s="171"/>
      <c r="AW554" s="171"/>
      <c r="AX554" s="171"/>
      <c r="AY554" s="171"/>
      <c r="AZ554" s="171"/>
      <c r="BA554" s="171"/>
      <c r="BB554" s="171"/>
      <c r="BC554" s="171"/>
      <c r="BD554" s="172"/>
      <c r="BE554" s="172"/>
      <c r="BF554" s="172"/>
      <c r="BG554" s="172"/>
      <c r="BH554" s="172"/>
      <c r="BI554" s="172"/>
      <c r="BJ554" s="172"/>
      <c r="BK554" s="172"/>
      <c r="BL554" s="172"/>
      <c r="BM554" s="172"/>
      <c r="BN554" s="172"/>
      <c r="BO554" s="172"/>
      <c r="BP554" s="172"/>
      <c r="BQ554" s="172"/>
      <c r="BR554" s="172"/>
      <c r="BS554" s="172"/>
    </row>
    <row r="555" spans="1:71" ht="12.5" x14ac:dyDescent="0.25">
      <c r="A555" s="170"/>
      <c r="B555" s="170"/>
      <c r="C555" s="170"/>
      <c r="D555" s="170"/>
      <c r="E555" s="171"/>
      <c r="F555" s="171"/>
      <c r="G555" s="170"/>
      <c r="H555" s="170"/>
      <c r="I555" s="170"/>
      <c r="J555" s="171"/>
      <c r="K555" s="171"/>
      <c r="L555" s="170"/>
      <c r="M555" s="170"/>
      <c r="N555" s="170"/>
      <c r="O555" s="171"/>
      <c r="P555" s="171"/>
      <c r="Q555" s="170"/>
      <c r="R555" s="170"/>
      <c r="S555" s="170"/>
      <c r="T555" s="171"/>
      <c r="U555" s="171"/>
      <c r="V555" s="171"/>
      <c r="W555" s="171"/>
      <c r="X555" s="171"/>
      <c r="Y555" s="171"/>
      <c r="Z555" s="171"/>
      <c r="AA555" s="171"/>
      <c r="AB555" s="171"/>
      <c r="AC555" s="170"/>
      <c r="AD555" s="170"/>
      <c r="AE555" s="170"/>
      <c r="AF555" s="170"/>
      <c r="AG555" s="170"/>
      <c r="AH555" s="170"/>
      <c r="AI555" s="170"/>
      <c r="AJ555" s="170"/>
      <c r="AK555" s="171"/>
      <c r="AL555" s="171"/>
      <c r="AM555" s="170"/>
      <c r="AN555" s="170"/>
      <c r="AO555" s="170"/>
      <c r="AP555" s="171"/>
      <c r="AQ555" s="171"/>
      <c r="AR555" s="170"/>
      <c r="AS555" s="170"/>
      <c r="AT555" s="170"/>
      <c r="AU555" s="171"/>
      <c r="AV555" s="171"/>
      <c r="AW555" s="171"/>
      <c r="AX555" s="171"/>
      <c r="AY555" s="171"/>
      <c r="AZ555" s="171"/>
      <c r="BA555" s="171"/>
      <c r="BB555" s="171"/>
      <c r="BC555" s="171"/>
      <c r="BD555" s="172"/>
      <c r="BE555" s="172"/>
      <c r="BF555" s="172"/>
      <c r="BG555" s="172"/>
      <c r="BH555" s="172"/>
      <c r="BI555" s="172"/>
      <c r="BJ555" s="172"/>
      <c r="BK555" s="172"/>
      <c r="BL555" s="172"/>
      <c r="BM555" s="172"/>
      <c r="BN555" s="172"/>
      <c r="BO555" s="172"/>
      <c r="BP555" s="172"/>
      <c r="BQ555" s="172"/>
      <c r="BR555" s="172"/>
      <c r="BS555" s="172"/>
    </row>
    <row r="556" spans="1:71" ht="12.5" x14ac:dyDescent="0.25">
      <c r="A556" s="170"/>
      <c r="B556" s="170"/>
      <c r="C556" s="170"/>
      <c r="D556" s="170"/>
      <c r="E556" s="171"/>
      <c r="F556" s="171"/>
      <c r="G556" s="170"/>
      <c r="H556" s="170"/>
      <c r="I556" s="170"/>
      <c r="J556" s="171"/>
      <c r="K556" s="171"/>
      <c r="L556" s="170"/>
      <c r="M556" s="170"/>
      <c r="N556" s="170"/>
      <c r="O556" s="171"/>
      <c r="P556" s="171"/>
      <c r="Q556" s="170"/>
      <c r="R556" s="170"/>
      <c r="S556" s="170"/>
      <c r="T556" s="171"/>
      <c r="U556" s="171"/>
      <c r="V556" s="171"/>
      <c r="W556" s="171"/>
      <c r="X556" s="171"/>
      <c r="Y556" s="171"/>
      <c r="Z556" s="171"/>
      <c r="AA556" s="171"/>
      <c r="AB556" s="171"/>
      <c r="AC556" s="170"/>
      <c r="AD556" s="170"/>
      <c r="AE556" s="170"/>
      <c r="AF556" s="170"/>
      <c r="AG556" s="170"/>
      <c r="AH556" s="170"/>
      <c r="AI556" s="170"/>
      <c r="AJ556" s="170"/>
      <c r="AK556" s="171"/>
      <c r="AL556" s="171"/>
      <c r="AM556" s="170"/>
      <c r="AN556" s="170"/>
      <c r="AO556" s="170"/>
      <c r="AP556" s="171"/>
      <c r="AQ556" s="171"/>
      <c r="AR556" s="170"/>
      <c r="AS556" s="170"/>
      <c r="AT556" s="170"/>
      <c r="AU556" s="171"/>
      <c r="AV556" s="171"/>
      <c r="AW556" s="171"/>
      <c r="AX556" s="171"/>
      <c r="AY556" s="171"/>
      <c r="AZ556" s="171"/>
      <c r="BA556" s="171"/>
      <c r="BB556" s="171"/>
      <c r="BC556" s="171"/>
      <c r="BD556" s="172"/>
      <c r="BE556" s="172"/>
      <c r="BF556" s="172"/>
      <c r="BG556" s="172"/>
      <c r="BH556" s="172"/>
      <c r="BI556" s="172"/>
      <c r="BJ556" s="172"/>
      <c r="BK556" s="172"/>
      <c r="BL556" s="172"/>
      <c r="BM556" s="172"/>
      <c r="BN556" s="172"/>
      <c r="BO556" s="172"/>
      <c r="BP556" s="172"/>
      <c r="BQ556" s="172"/>
      <c r="BR556" s="172"/>
      <c r="BS556" s="172"/>
    </row>
    <row r="557" spans="1:71" ht="12.5" x14ac:dyDescent="0.25">
      <c r="A557" s="170"/>
      <c r="B557" s="170"/>
      <c r="C557" s="170"/>
      <c r="D557" s="170"/>
      <c r="E557" s="171"/>
      <c r="F557" s="171"/>
      <c r="G557" s="170"/>
      <c r="H557" s="170"/>
      <c r="I557" s="170"/>
      <c r="J557" s="171"/>
      <c r="K557" s="171"/>
      <c r="L557" s="170"/>
      <c r="M557" s="170"/>
      <c r="N557" s="170"/>
      <c r="O557" s="171"/>
      <c r="P557" s="171"/>
      <c r="Q557" s="170"/>
      <c r="R557" s="170"/>
      <c r="S557" s="170"/>
      <c r="T557" s="171"/>
      <c r="U557" s="171"/>
      <c r="V557" s="171"/>
      <c r="W557" s="171"/>
      <c r="X557" s="171"/>
      <c r="Y557" s="171"/>
      <c r="Z557" s="171"/>
      <c r="AA557" s="171"/>
      <c r="AB557" s="171"/>
      <c r="AC557" s="170"/>
      <c r="AD557" s="170"/>
      <c r="AE557" s="170"/>
      <c r="AF557" s="170"/>
      <c r="AG557" s="170"/>
      <c r="AH557" s="170"/>
      <c r="AI557" s="170"/>
      <c r="AJ557" s="170"/>
      <c r="AK557" s="171"/>
      <c r="AL557" s="171"/>
      <c r="AM557" s="170"/>
      <c r="AN557" s="170"/>
      <c r="AO557" s="170"/>
      <c r="AP557" s="171"/>
      <c r="AQ557" s="171"/>
      <c r="AR557" s="170"/>
      <c r="AS557" s="170"/>
      <c r="AT557" s="170"/>
      <c r="AU557" s="171"/>
      <c r="AV557" s="171"/>
      <c r="AW557" s="171"/>
      <c r="AX557" s="171"/>
      <c r="AY557" s="171"/>
      <c r="AZ557" s="171"/>
      <c r="BA557" s="171"/>
      <c r="BB557" s="171"/>
      <c r="BC557" s="171"/>
      <c r="BD557" s="172"/>
      <c r="BE557" s="172"/>
      <c r="BF557" s="172"/>
      <c r="BG557" s="172"/>
      <c r="BH557" s="172"/>
      <c r="BI557" s="172"/>
      <c r="BJ557" s="172"/>
      <c r="BK557" s="172"/>
      <c r="BL557" s="172"/>
      <c r="BM557" s="172"/>
      <c r="BN557" s="172"/>
      <c r="BO557" s="172"/>
      <c r="BP557" s="172"/>
      <c r="BQ557" s="172"/>
      <c r="BR557" s="172"/>
      <c r="BS557" s="172"/>
    </row>
    <row r="558" spans="1:71" ht="12.5" x14ac:dyDescent="0.25">
      <c r="A558" s="170"/>
      <c r="B558" s="170"/>
      <c r="C558" s="170"/>
      <c r="D558" s="170"/>
      <c r="E558" s="171"/>
      <c r="F558" s="171"/>
      <c r="G558" s="170"/>
      <c r="H558" s="170"/>
      <c r="I558" s="170"/>
      <c r="J558" s="171"/>
      <c r="K558" s="171"/>
      <c r="L558" s="170"/>
      <c r="M558" s="170"/>
      <c r="N558" s="170"/>
      <c r="O558" s="171"/>
      <c r="P558" s="171"/>
      <c r="Q558" s="170"/>
      <c r="R558" s="170"/>
      <c r="S558" s="170"/>
      <c r="T558" s="171"/>
      <c r="U558" s="171"/>
      <c r="V558" s="171"/>
      <c r="W558" s="171"/>
      <c r="X558" s="171"/>
      <c r="Y558" s="171"/>
      <c r="Z558" s="171"/>
      <c r="AA558" s="171"/>
      <c r="AB558" s="171"/>
      <c r="AC558" s="170"/>
      <c r="AD558" s="170"/>
      <c r="AE558" s="170"/>
      <c r="AF558" s="170"/>
      <c r="AG558" s="170"/>
      <c r="AH558" s="170"/>
      <c r="AI558" s="170"/>
      <c r="AJ558" s="170"/>
      <c r="AK558" s="171"/>
      <c r="AL558" s="171"/>
      <c r="AM558" s="170"/>
      <c r="AN558" s="170"/>
      <c r="AO558" s="170"/>
      <c r="AP558" s="171"/>
      <c r="AQ558" s="171"/>
      <c r="AR558" s="170"/>
      <c r="AS558" s="170"/>
      <c r="AT558" s="170"/>
      <c r="AU558" s="171"/>
      <c r="AV558" s="171"/>
      <c r="AW558" s="171"/>
      <c r="AX558" s="171"/>
      <c r="AY558" s="171"/>
      <c r="AZ558" s="171"/>
      <c r="BA558" s="171"/>
      <c r="BB558" s="171"/>
      <c r="BC558" s="171"/>
      <c r="BD558" s="172"/>
      <c r="BE558" s="172"/>
      <c r="BF558" s="172"/>
      <c r="BG558" s="172"/>
      <c r="BH558" s="172"/>
      <c r="BI558" s="172"/>
      <c r="BJ558" s="172"/>
      <c r="BK558" s="172"/>
      <c r="BL558" s="172"/>
      <c r="BM558" s="172"/>
      <c r="BN558" s="172"/>
      <c r="BO558" s="172"/>
      <c r="BP558" s="172"/>
      <c r="BQ558" s="172"/>
      <c r="BR558" s="172"/>
      <c r="BS558" s="172"/>
    </row>
    <row r="559" spans="1:71" ht="12.5" x14ac:dyDescent="0.25">
      <c r="A559" s="170"/>
      <c r="B559" s="170"/>
      <c r="C559" s="170"/>
      <c r="D559" s="170"/>
      <c r="E559" s="171"/>
      <c r="F559" s="171"/>
      <c r="G559" s="170"/>
      <c r="H559" s="170"/>
      <c r="I559" s="170"/>
      <c r="J559" s="171"/>
      <c r="K559" s="171"/>
      <c r="L559" s="170"/>
      <c r="M559" s="170"/>
      <c r="N559" s="170"/>
      <c r="O559" s="171"/>
      <c r="P559" s="171"/>
      <c r="Q559" s="170"/>
      <c r="R559" s="170"/>
      <c r="S559" s="170"/>
      <c r="T559" s="171"/>
      <c r="U559" s="171"/>
      <c r="V559" s="171"/>
      <c r="W559" s="171"/>
      <c r="X559" s="171"/>
      <c r="Y559" s="171"/>
      <c r="Z559" s="171"/>
      <c r="AA559" s="171"/>
      <c r="AB559" s="171"/>
      <c r="AC559" s="170"/>
      <c r="AD559" s="170"/>
      <c r="AE559" s="170"/>
      <c r="AF559" s="170"/>
      <c r="AG559" s="170"/>
      <c r="AH559" s="170"/>
      <c r="AI559" s="170"/>
      <c r="AJ559" s="170"/>
      <c r="AK559" s="171"/>
      <c r="AL559" s="171"/>
      <c r="AM559" s="170"/>
      <c r="AN559" s="170"/>
      <c r="AO559" s="170"/>
      <c r="AP559" s="171"/>
      <c r="AQ559" s="171"/>
      <c r="AR559" s="170"/>
      <c r="AS559" s="170"/>
      <c r="AT559" s="170"/>
      <c r="AU559" s="171"/>
      <c r="AV559" s="171"/>
      <c r="AW559" s="171"/>
      <c r="AX559" s="171"/>
      <c r="AY559" s="171"/>
      <c r="AZ559" s="171"/>
      <c r="BA559" s="171"/>
      <c r="BB559" s="171"/>
      <c r="BC559" s="171"/>
      <c r="BD559" s="172"/>
      <c r="BE559" s="172"/>
      <c r="BF559" s="172"/>
      <c r="BG559" s="172"/>
      <c r="BH559" s="172"/>
      <c r="BI559" s="172"/>
      <c r="BJ559" s="172"/>
      <c r="BK559" s="172"/>
      <c r="BL559" s="172"/>
      <c r="BM559" s="172"/>
      <c r="BN559" s="172"/>
      <c r="BO559" s="172"/>
      <c r="BP559" s="172"/>
      <c r="BQ559" s="172"/>
      <c r="BR559" s="172"/>
      <c r="BS559" s="172"/>
    </row>
    <row r="560" spans="1:71" ht="12.5" x14ac:dyDescent="0.25">
      <c r="A560" s="170"/>
      <c r="B560" s="170"/>
      <c r="C560" s="170"/>
      <c r="D560" s="170"/>
      <c r="E560" s="171"/>
      <c r="F560" s="171"/>
      <c r="G560" s="170"/>
      <c r="H560" s="170"/>
      <c r="I560" s="170"/>
      <c r="J560" s="171"/>
      <c r="K560" s="171"/>
      <c r="L560" s="170"/>
      <c r="M560" s="170"/>
      <c r="N560" s="170"/>
      <c r="O560" s="171"/>
      <c r="P560" s="171"/>
      <c r="Q560" s="170"/>
      <c r="R560" s="170"/>
      <c r="S560" s="170"/>
      <c r="T560" s="171"/>
      <c r="U560" s="171"/>
      <c r="V560" s="171"/>
      <c r="W560" s="171"/>
      <c r="X560" s="171"/>
      <c r="Y560" s="171"/>
      <c r="Z560" s="171"/>
      <c r="AA560" s="171"/>
      <c r="AB560" s="171"/>
      <c r="AC560" s="170"/>
      <c r="AD560" s="170"/>
      <c r="AE560" s="170"/>
      <c r="AF560" s="170"/>
      <c r="AG560" s="170"/>
      <c r="AH560" s="170"/>
      <c r="AI560" s="170"/>
      <c r="AJ560" s="170"/>
      <c r="AK560" s="171"/>
      <c r="AL560" s="171"/>
      <c r="AM560" s="170"/>
      <c r="AN560" s="170"/>
      <c r="AO560" s="170"/>
      <c r="AP560" s="171"/>
      <c r="AQ560" s="171"/>
      <c r="AR560" s="170"/>
      <c r="AS560" s="170"/>
      <c r="AT560" s="170"/>
      <c r="AU560" s="171"/>
      <c r="AV560" s="171"/>
      <c r="AW560" s="171"/>
      <c r="AX560" s="171"/>
      <c r="AY560" s="171"/>
      <c r="AZ560" s="171"/>
      <c r="BA560" s="171"/>
      <c r="BB560" s="171"/>
      <c r="BC560" s="171"/>
      <c r="BD560" s="172"/>
      <c r="BE560" s="172"/>
      <c r="BF560" s="172"/>
      <c r="BG560" s="172"/>
      <c r="BH560" s="172"/>
      <c r="BI560" s="172"/>
      <c r="BJ560" s="172"/>
      <c r="BK560" s="172"/>
      <c r="BL560" s="172"/>
      <c r="BM560" s="172"/>
      <c r="BN560" s="172"/>
      <c r="BO560" s="172"/>
      <c r="BP560" s="172"/>
      <c r="BQ560" s="172"/>
      <c r="BR560" s="172"/>
      <c r="BS560" s="172"/>
    </row>
    <row r="561" spans="1:71" ht="12.5" x14ac:dyDescent="0.25">
      <c r="A561" s="170"/>
      <c r="B561" s="170"/>
      <c r="C561" s="170"/>
      <c r="D561" s="170"/>
      <c r="E561" s="171"/>
      <c r="F561" s="171"/>
      <c r="G561" s="170"/>
      <c r="H561" s="170"/>
      <c r="I561" s="170"/>
      <c r="J561" s="171"/>
      <c r="K561" s="171"/>
      <c r="L561" s="170"/>
      <c r="M561" s="170"/>
      <c r="N561" s="170"/>
      <c r="O561" s="171"/>
      <c r="P561" s="171"/>
      <c r="Q561" s="170"/>
      <c r="R561" s="170"/>
      <c r="S561" s="170"/>
      <c r="T561" s="171"/>
      <c r="U561" s="171"/>
      <c r="V561" s="171"/>
      <c r="W561" s="171"/>
      <c r="X561" s="171"/>
      <c r="Y561" s="171"/>
      <c r="Z561" s="171"/>
      <c r="AA561" s="171"/>
      <c r="AB561" s="171"/>
      <c r="AC561" s="170"/>
      <c r="AD561" s="170"/>
      <c r="AE561" s="170"/>
      <c r="AF561" s="170"/>
      <c r="AG561" s="170"/>
      <c r="AH561" s="170"/>
      <c r="AI561" s="170"/>
      <c r="AJ561" s="170"/>
      <c r="AK561" s="171"/>
      <c r="AL561" s="171"/>
      <c r="AM561" s="170"/>
      <c r="AN561" s="170"/>
      <c r="AO561" s="170"/>
      <c r="AP561" s="171"/>
      <c r="AQ561" s="171"/>
      <c r="AR561" s="170"/>
      <c r="AS561" s="170"/>
      <c r="AT561" s="170"/>
      <c r="AU561" s="171"/>
      <c r="AV561" s="171"/>
      <c r="AW561" s="171"/>
      <c r="AX561" s="171"/>
      <c r="AY561" s="171"/>
      <c r="AZ561" s="171"/>
      <c r="BA561" s="171"/>
      <c r="BB561" s="171"/>
      <c r="BC561" s="171"/>
      <c r="BD561" s="172"/>
      <c r="BE561" s="172"/>
      <c r="BF561" s="172"/>
      <c r="BG561" s="172"/>
      <c r="BH561" s="172"/>
      <c r="BI561" s="172"/>
      <c r="BJ561" s="172"/>
      <c r="BK561" s="172"/>
      <c r="BL561" s="172"/>
      <c r="BM561" s="172"/>
      <c r="BN561" s="172"/>
      <c r="BO561" s="172"/>
      <c r="BP561" s="172"/>
      <c r="BQ561" s="172"/>
      <c r="BR561" s="172"/>
      <c r="BS561" s="172"/>
    </row>
    <row r="562" spans="1:71" ht="12.5" x14ac:dyDescent="0.25">
      <c r="A562" s="170"/>
      <c r="B562" s="170"/>
      <c r="C562" s="170"/>
      <c r="D562" s="170"/>
      <c r="E562" s="171"/>
      <c r="F562" s="171"/>
      <c r="G562" s="170"/>
      <c r="H562" s="170"/>
      <c r="I562" s="170"/>
      <c r="J562" s="171"/>
      <c r="K562" s="171"/>
      <c r="L562" s="170"/>
      <c r="M562" s="170"/>
      <c r="N562" s="170"/>
      <c r="O562" s="171"/>
      <c r="P562" s="171"/>
      <c r="Q562" s="170"/>
      <c r="R562" s="170"/>
      <c r="S562" s="170"/>
      <c r="T562" s="171"/>
      <c r="U562" s="171"/>
      <c r="V562" s="171"/>
      <c r="W562" s="171"/>
      <c r="X562" s="171"/>
      <c r="Y562" s="171"/>
      <c r="Z562" s="171"/>
      <c r="AA562" s="171"/>
      <c r="AB562" s="171"/>
      <c r="AC562" s="170"/>
      <c r="AD562" s="170"/>
      <c r="AE562" s="170"/>
      <c r="AF562" s="170"/>
      <c r="AG562" s="170"/>
      <c r="AH562" s="170"/>
      <c r="AI562" s="170"/>
      <c r="AJ562" s="170"/>
      <c r="AK562" s="171"/>
      <c r="AL562" s="171"/>
      <c r="AM562" s="170"/>
      <c r="AN562" s="170"/>
      <c r="AO562" s="170"/>
      <c r="AP562" s="171"/>
      <c r="AQ562" s="171"/>
      <c r="AR562" s="170"/>
      <c r="AS562" s="170"/>
      <c r="AT562" s="170"/>
      <c r="AU562" s="171"/>
      <c r="AV562" s="171"/>
      <c r="AW562" s="171"/>
      <c r="AX562" s="171"/>
      <c r="AY562" s="171"/>
      <c r="AZ562" s="171"/>
      <c r="BA562" s="171"/>
      <c r="BB562" s="171"/>
      <c r="BC562" s="171"/>
      <c r="BD562" s="172"/>
      <c r="BE562" s="172"/>
      <c r="BF562" s="172"/>
      <c r="BG562" s="172"/>
      <c r="BH562" s="172"/>
      <c r="BI562" s="172"/>
      <c r="BJ562" s="172"/>
      <c r="BK562" s="172"/>
      <c r="BL562" s="172"/>
      <c r="BM562" s="172"/>
      <c r="BN562" s="172"/>
      <c r="BO562" s="172"/>
      <c r="BP562" s="172"/>
      <c r="BQ562" s="172"/>
      <c r="BR562" s="172"/>
      <c r="BS562" s="172"/>
    </row>
    <row r="563" spans="1:71" ht="12.5" x14ac:dyDescent="0.25">
      <c r="A563" s="170"/>
      <c r="B563" s="170"/>
      <c r="C563" s="170"/>
      <c r="D563" s="170"/>
      <c r="E563" s="171"/>
      <c r="F563" s="171"/>
      <c r="G563" s="170"/>
      <c r="H563" s="170"/>
      <c r="I563" s="170"/>
      <c r="J563" s="171"/>
      <c r="K563" s="171"/>
      <c r="L563" s="170"/>
      <c r="M563" s="170"/>
      <c r="N563" s="170"/>
      <c r="O563" s="171"/>
      <c r="P563" s="171"/>
      <c r="Q563" s="170"/>
      <c r="R563" s="170"/>
      <c r="S563" s="170"/>
      <c r="T563" s="171"/>
      <c r="U563" s="171"/>
      <c r="V563" s="171"/>
      <c r="W563" s="171"/>
      <c r="X563" s="171"/>
      <c r="Y563" s="171"/>
      <c r="Z563" s="171"/>
      <c r="AA563" s="171"/>
      <c r="AB563" s="171"/>
      <c r="AC563" s="170"/>
      <c r="AD563" s="170"/>
      <c r="AE563" s="170"/>
      <c r="AF563" s="170"/>
      <c r="AG563" s="170"/>
      <c r="AH563" s="170"/>
      <c r="AI563" s="170"/>
      <c r="AJ563" s="170"/>
      <c r="AK563" s="171"/>
      <c r="AL563" s="171"/>
      <c r="AM563" s="170"/>
      <c r="AN563" s="170"/>
      <c r="AO563" s="170"/>
      <c r="AP563" s="171"/>
      <c r="AQ563" s="171"/>
      <c r="AR563" s="170"/>
      <c r="AS563" s="170"/>
      <c r="AT563" s="170"/>
      <c r="AU563" s="171"/>
      <c r="AV563" s="171"/>
      <c r="AW563" s="171"/>
      <c r="AX563" s="171"/>
      <c r="AY563" s="171"/>
      <c r="AZ563" s="171"/>
      <c r="BA563" s="171"/>
      <c r="BB563" s="171"/>
      <c r="BC563" s="171"/>
      <c r="BD563" s="172"/>
      <c r="BE563" s="172"/>
      <c r="BF563" s="172"/>
      <c r="BG563" s="172"/>
      <c r="BH563" s="172"/>
      <c r="BI563" s="172"/>
      <c r="BJ563" s="172"/>
      <c r="BK563" s="172"/>
      <c r="BL563" s="172"/>
      <c r="BM563" s="172"/>
      <c r="BN563" s="172"/>
      <c r="BO563" s="172"/>
      <c r="BP563" s="172"/>
      <c r="BQ563" s="172"/>
      <c r="BR563" s="172"/>
      <c r="BS563" s="172"/>
    </row>
    <row r="564" spans="1:71" ht="12.5" x14ac:dyDescent="0.25">
      <c r="A564" s="170"/>
      <c r="B564" s="170"/>
      <c r="C564" s="170"/>
      <c r="D564" s="170"/>
      <c r="E564" s="171"/>
      <c r="F564" s="171"/>
      <c r="G564" s="170"/>
      <c r="H564" s="170"/>
      <c r="I564" s="170"/>
      <c r="J564" s="171"/>
      <c r="K564" s="171"/>
      <c r="L564" s="170"/>
      <c r="M564" s="170"/>
      <c r="N564" s="170"/>
      <c r="O564" s="171"/>
      <c r="P564" s="171"/>
      <c r="Q564" s="170"/>
      <c r="R564" s="170"/>
      <c r="S564" s="170"/>
      <c r="T564" s="171"/>
      <c r="U564" s="171"/>
      <c r="V564" s="171"/>
      <c r="W564" s="171"/>
      <c r="X564" s="171"/>
      <c r="Y564" s="171"/>
      <c r="Z564" s="171"/>
      <c r="AA564" s="171"/>
      <c r="AB564" s="171"/>
      <c r="AC564" s="170"/>
      <c r="AD564" s="170"/>
      <c r="AE564" s="170"/>
      <c r="AF564" s="170"/>
      <c r="AG564" s="170"/>
      <c r="AH564" s="170"/>
      <c r="AI564" s="170"/>
      <c r="AJ564" s="170"/>
      <c r="AK564" s="171"/>
      <c r="AL564" s="171"/>
      <c r="AM564" s="170"/>
      <c r="AN564" s="170"/>
      <c r="AO564" s="170"/>
      <c r="AP564" s="171"/>
      <c r="AQ564" s="171"/>
      <c r="AR564" s="170"/>
      <c r="AS564" s="170"/>
      <c r="AT564" s="170"/>
      <c r="AU564" s="171"/>
      <c r="AV564" s="171"/>
      <c r="AW564" s="171"/>
      <c r="AX564" s="171"/>
      <c r="AY564" s="171"/>
      <c r="AZ564" s="171"/>
      <c r="BA564" s="171"/>
      <c r="BB564" s="171"/>
      <c r="BC564" s="171"/>
      <c r="BD564" s="172"/>
      <c r="BE564" s="172"/>
      <c r="BF564" s="172"/>
      <c r="BG564" s="172"/>
      <c r="BH564" s="172"/>
      <c r="BI564" s="172"/>
      <c r="BJ564" s="172"/>
      <c r="BK564" s="172"/>
      <c r="BL564" s="172"/>
      <c r="BM564" s="172"/>
      <c r="BN564" s="172"/>
      <c r="BO564" s="172"/>
      <c r="BP564" s="172"/>
      <c r="BQ564" s="172"/>
      <c r="BR564" s="172"/>
      <c r="BS564" s="172"/>
    </row>
    <row r="565" spans="1:71" ht="12.5" x14ac:dyDescent="0.25">
      <c r="A565" s="170"/>
      <c r="B565" s="170"/>
      <c r="C565" s="170"/>
      <c r="D565" s="170"/>
      <c r="E565" s="171"/>
      <c r="F565" s="171"/>
      <c r="G565" s="170"/>
      <c r="H565" s="170"/>
      <c r="I565" s="170"/>
      <c r="J565" s="171"/>
      <c r="K565" s="171"/>
      <c r="L565" s="170"/>
      <c r="M565" s="170"/>
      <c r="N565" s="170"/>
      <c r="O565" s="171"/>
      <c r="P565" s="171"/>
      <c r="Q565" s="170"/>
      <c r="R565" s="170"/>
      <c r="S565" s="170"/>
      <c r="T565" s="171"/>
      <c r="U565" s="171"/>
      <c r="V565" s="171"/>
      <c r="W565" s="171"/>
      <c r="X565" s="171"/>
      <c r="Y565" s="171"/>
      <c r="Z565" s="171"/>
      <c r="AA565" s="171"/>
      <c r="AB565" s="171"/>
      <c r="AC565" s="170"/>
      <c r="AD565" s="170"/>
      <c r="AE565" s="170"/>
      <c r="AF565" s="170"/>
      <c r="AG565" s="170"/>
      <c r="AH565" s="170"/>
      <c r="AI565" s="170"/>
      <c r="AJ565" s="170"/>
      <c r="AK565" s="171"/>
      <c r="AL565" s="171"/>
      <c r="AM565" s="170"/>
      <c r="AN565" s="170"/>
      <c r="AO565" s="170"/>
      <c r="AP565" s="171"/>
      <c r="AQ565" s="171"/>
      <c r="AR565" s="170"/>
      <c r="AS565" s="170"/>
      <c r="AT565" s="170"/>
      <c r="AU565" s="171"/>
      <c r="AV565" s="171"/>
      <c r="AW565" s="171"/>
      <c r="AX565" s="171"/>
      <c r="AY565" s="171"/>
      <c r="AZ565" s="171"/>
      <c r="BA565" s="171"/>
      <c r="BB565" s="171"/>
      <c r="BC565" s="171"/>
      <c r="BD565" s="172"/>
      <c r="BE565" s="172"/>
      <c r="BF565" s="172"/>
      <c r="BG565" s="172"/>
      <c r="BH565" s="172"/>
      <c r="BI565" s="172"/>
      <c r="BJ565" s="172"/>
      <c r="BK565" s="172"/>
      <c r="BL565" s="172"/>
      <c r="BM565" s="172"/>
      <c r="BN565" s="172"/>
      <c r="BO565" s="172"/>
      <c r="BP565" s="172"/>
      <c r="BQ565" s="172"/>
      <c r="BR565" s="172"/>
      <c r="BS565" s="172"/>
    </row>
    <row r="566" spans="1:71" ht="12.5" x14ac:dyDescent="0.25">
      <c r="A566" s="170"/>
      <c r="B566" s="170"/>
      <c r="C566" s="170"/>
      <c r="D566" s="170"/>
      <c r="E566" s="171"/>
      <c r="F566" s="171"/>
      <c r="G566" s="170"/>
      <c r="H566" s="170"/>
      <c r="I566" s="170"/>
      <c r="J566" s="171"/>
      <c r="K566" s="171"/>
      <c r="L566" s="170"/>
      <c r="M566" s="170"/>
      <c r="N566" s="170"/>
      <c r="O566" s="171"/>
      <c r="P566" s="171"/>
      <c r="Q566" s="170"/>
      <c r="R566" s="170"/>
      <c r="S566" s="170"/>
      <c r="T566" s="171"/>
      <c r="U566" s="171"/>
      <c r="V566" s="171"/>
      <c r="W566" s="171"/>
      <c r="X566" s="171"/>
      <c r="Y566" s="171"/>
      <c r="Z566" s="171"/>
      <c r="AA566" s="171"/>
      <c r="AB566" s="171"/>
      <c r="AC566" s="170"/>
      <c r="AD566" s="170"/>
      <c r="AE566" s="170"/>
      <c r="AF566" s="170"/>
      <c r="AG566" s="170"/>
      <c r="AH566" s="170"/>
      <c r="AI566" s="170"/>
      <c r="AJ566" s="170"/>
      <c r="AK566" s="171"/>
      <c r="AL566" s="171"/>
      <c r="AM566" s="170"/>
      <c r="AN566" s="170"/>
      <c r="AO566" s="170"/>
      <c r="AP566" s="171"/>
      <c r="AQ566" s="171"/>
      <c r="AR566" s="170"/>
      <c r="AS566" s="170"/>
      <c r="AT566" s="170"/>
      <c r="AU566" s="171"/>
      <c r="AV566" s="171"/>
      <c r="AW566" s="171"/>
      <c r="AX566" s="171"/>
      <c r="AY566" s="171"/>
      <c r="AZ566" s="171"/>
      <c r="BA566" s="171"/>
      <c r="BB566" s="171"/>
      <c r="BC566" s="171"/>
      <c r="BD566" s="172"/>
      <c r="BE566" s="172"/>
      <c r="BF566" s="172"/>
      <c r="BG566" s="172"/>
      <c r="BH566" s="172"/>
      <c r="BI566" s="172"/>
      <c r="BJ566" s="172"/>
      <c r="BK566" s="172"/>
      <c r="BL566" s="172"/>
      <c r="BM566" s="172"/>
      <c r="BN566" s="172"/>
      <c r="BO566" s="172"/>
      <c r="BP566" s="172"/>
      <c r="BQ566" s="172"/>
      <c r="BR566" s="172"/>
      <c r="BS566" s="172"/>
    </row>
    <row r="567" spans="1:71" ht="12.5" x14ac:dyDescent="0.25">
      <c r="A567" s="170"/>
      <c r="B567" s="170"/>
      <c r="C567" s="170"/>
      <c r="D567" s="170"/>
      <c r="E567" s="171"/>
      <c r="F567" s="171"/>
      <c r="G567" s="170"/>
      <c r="H567" s="170"/>
      <c r="I567" s="170"/>
      <c r="J567" s="171"/>
      <c r="K567" s="171"/>
      <c r="L567" s="170"/>
      <c r="M567" s="170"/>
      <c r="N567" s="170"/>
      <c r="O567" s="171"/>
      <c r="P567" s="171"/>
      <c r="Q567" s="170"/>
      <c r="R567" s="170"/>
      <c r="S567" s="170"/>
      <c r="T567" s="171"/>
      <c r="U567" s="171"/>
      <c r="V567" s="171"/>
      <c r="W567" s="171"/>
      <c r="X567" s="171"/>
      <c r="Y567" s="171"/>
      <c r="Z567" s="171"/>
      <c r="AA567" s="171"/>
      <c r="AB567" s="171"/>
      <c r="AC567" s="170"/>
      <c r="AD567" s="170"/>
      <c r="AE567" s="170"/>
      <c r="AF567" s="170"/>
      <c r="AG567" s="170"/>
      <c r="AH567" s="170"/>
      <c r="AI567" s="170"/>
      <c r="AJ567" s="170"/>
      <c r="AK567" s="171"/>
      <c r="AL567" s="171"/>
      <c r="AM567" s="170"/>
      <c r="AN567" s="170"/>
      <c r="AO567" s="170"/>
      <c r="AP567" s="171"/>
      <c r="AQ567" s="171"/>
      <c r="AR567" s="170"/>
      <c r="AS567" s="170"/>
      <c r="AT567" s="170"/>
      <c r="AU567" s="171"/>
      <c r="AV567" s="171"/>
      <c r="AW567" s="171"/>
      <c r="AX567" s="171"/>
      <c r="AY567" s="171"/>
      <c r="AZ567" s="171"/>
      <c r="BA567" s="171"/>
      <c r="BB567" s="171"/>
      <c r="BC567" s="171"/>
      <c r="BD567" s="172"/>
      <c r="BE567" s="172"/>
      <c r="BF567" s="172"/>
      <c r="BG567" s="172"/>
      <c r="BH567" s="172"/>
      <c r="BI567" s="172"/>
      <c r="BJ567" s="172"/>
      <c r="BK567" s="172"/>
      <c r="BL567" s="172"/>
      <c r="BM567" s="172"/>
      <c r="BN567" s="172"/>
      <c r="BO567" s="172"/>
      <c r="BP567" s="172"/>
      <c r="BQ567" s="172"/>
      <c r="BR567" s="172"/>
      <c r="BS567" s="172"/>
    </row>
    <row r="568" spans="1:71" ht="12.5" x14ac:dyDescent="0.25">
      <c r="A568" s="170"/>
      <c r="B568" s="170"/>
      <c r="C568" s="170"/>
      <c r="D568" s="170"/>
      <c r="E568" s="171"/>
      <c r="F568" s="171"/>
      <c r="G568" s="170"/>
      <c r="H568" s="170"/>
      <c r="I568" s="170"/>
      <c r="J568" s="171"/>
      <c r="K568" s="171"/>
      <c r="L568" s="170"/>
      <c r="M568" s="170"/>
      <c r="N568" s="170"/>
      <c r="O568" s="171"/>
      <c r="P568" s="171"/>
      <c r="Q568" s="170"/>
      <c r="R568" s="170"/>
      <c r="S568" s="170"/>
      <c r="T568" s="171"/>
      <c r="U568" s="171"/>
      <c r="V568" s="171"/>
      <c r="W568" s="171"/>
      <c r="X568" s="171"/>
      <c r="Y568" s="171"/>
      <c r="Z568" s="171"/>
      <c r="AA568" s="171"/>
      <c r="AB568" s="171"/>
      <c r="AC568" s="170"/>
      <c r="AD568" s="170"/>
      <c r="AE568" s="170"/>
      <c r="AF568" s="170"/>
      <c r="AG568" s="170"/>
      <c r="AH568" s="170"/>
      <c r="AI568" s="170"/>
      <c r="AJ568" s="170"/>
      <c r="AK568" s="171"/>
      <c r="AL568" s="171"/>
      <c r="AM568" s="170"/>
      <c r="AN568" s="170"/>
      <c r="AO568" s="170"/>
      <c r="AP568" s="171"/>
      <c r="AQ568" s="171"/>
      <c r="AR568" s="170"/>
      <c r="AS568" s="170"/>
      <c r="AT568" s="170"/>
      <c r="AU568" s="171"/>
      <c r="AV568" s="171"/>
      <c r="AW568" s="171"/>
      <c r="AX568" s="171"/>
      <c r="AY568" s="171"/>
      <c r="AZ568" s="171"/>
      <c r="BA568" s="171"/>
      <c r="BB568" s="171"/>
      <c r="BC568" s="171"/>
      <c r="BD568" s="172"/>
      <c r="BE568" s="172"/>
      <c r="BF568" s="172"/>
      <c r="BG568" s="172"/>
      <c r="BH568" s="172"/>
      <c r="BI568" s="172"/>
      <c r="BJ568" s="172"/>
      <c r="BK568" s="172"/>
      <c r="BL568" s="172"/>
      <c r="BM568" s="172"/>
      <c r="BN568" s="172"/>
      <c r="BO568" s="172"/>
      <c r="BP568" s="172"/>
      <c r="BQ568" s="172"/>
      <c r="BR568" s="172"/>
      <c r="BS568" s="172"/>
    </row>
    <row r="569" spans="1:71" ht="12.5" x14ac:dyDescent="0.25">
      <c r="A569" s="170"/>
      <c r="B569" s="170"/>
      <c r="C569" s="170"/>
      <c r="D569" s="170"/>
      <c r="E569" s="171"/>
      <c r="F569" s="171"/>
      <c r="G569" s="170"/>
      <c r="H569" s="170"/>
      <c r="I569" s="170"/>
      <c r="J569" s="171"/>
      <c r="K569" s="171"/>
      <c r="L569" s="170"/>
      <c r="M569" s="170"/>
      <c r="N569" s="170"/>
      <c r="O569" s="171"/>
      <c r="P569" s="171"/>
      <c r="Q569" s="170"/>
      <c r="R569" s="170"/>
      <c r="S569" s="170"/>
      <c r="T569" s="171"/>
      <c r="U569" s="171"/>
      <c r="V569" s="171"/>
      <c r="W569" s="171"/>
      <c r="X569" s="171"/>
      <c r="Y569" s="171"/>
      <c r="Z569" s="171"/>
      <c r="AA569" s="171"/>
      <c r="AB569" s="171"/>
      <c r="AC569" s="170"/>
      <c r="AD569" s="170"/>
      <c r="AE569" s="170"/>
      <c r="AF569" s="170"/>
      <c r="AG569" s="170"/>
      <c r="AH569" s="170"/>
      <c r="AI569" s="170"/>
      <c r="AJ569" s="170"/>
      <c r="AK569" s="171"/>
      <c r="AL569" s="171"/>
      <c r="AM569" s="170"/>
      <c r="AN569" s="170"/>
      <c r="AO569" s="170"/>
      <c r="AP569" s="171"/>
      <c r="AQ569" s="171"/>
      <c r="AR569" s="170"/>
      <c r="AS569" s="170"/>
      <c r="AT569" s="170"/>
      <c r="AU569" s="171"/>
      <c r="AV569" s="171"/>
      <c r="AW569" s="171"/>
      <c r="AX569" s="171"/>
      <c r="AY569" s="171"/>
      <c r="AZ569" s="171"/>
      <c r="BA569" s="171"/>
      <c r="BB569" s="171"/>
      <c r="BC569" s="171"/>
      <c r="BD569" s="172"/>
      <c r="BE569" s="172"/>
      <c r="BF569" s="172"/>
      <c r="BG569" s="172"/>
      <c r="BH569" s="172"/>
      <c r="BI569" s="172"/>
      <c r="BJ569" s="172"/>
      <c r="BK569" s="172"/>
      <c r="BL569" s="172"/>
      <c r="BM569" s="172"/>
      <c r="BN569" s="172"/>
      <c r="BO569" s="172"/>
      <c r="BP569" s="172"/>
      <c r="BQ569" s="172"/>
      <c r="BR569" s="172"/>
      <c r="BS569" s="172"/>
    </row>
    <row r="570" spans="1:71" ht="12.5" x14ac:dyDescent="0.25">
      <c r="A570" s="170"/>
      <c r="B570" s="170"/>
      <c r="C570" s="170"/>
      <c r="D570" s="170"/>
      <c r="E570" s="171"/>
      <c r="F570" s="171"/>
      <c r="G570" s="170"/>
      <c r="H570" s="170"/>
      <c r="I570" s="170"/>
      <c r="J570" s="171"/>
      <c r="K570" s="171"/>
      <c r="L570" s="170"/>
      <c r="M570" s="170"/>
      <c r="N570" s="170"/>
      <c r="O570" s="171"/>
      <c r="P570" s="171"/>
      <c r="Q570" s="170"/>
      <c r="R570" s="170"/>
      <c r="S570" s="170"/>
      <c r="T570" s="171"/>
      <c r="U570" s="171"/>
      <c r="V570" s="171"/>
      <c r="W570" s="171"/>
      <c r="X570" s="171"/>
      <c r="Y570" s="171"/>
      <c r="Z570" s="171"/>
      <c r="AA570" s="171"/>
      <c r="AB570" s="171"/>
      <c r="AC570" s="170"/>
      <c r="AD570" s="170"/>
      <c r="AE570" s="170"/>
      <c r="AF570" s="170"/>
      <c r="AG570" s="170"/>
      <c r="AH570" s="170"/>
      <c r="AI570" s="170"/>
      <c r="AJ570" s="170"/>
      <c r="AK570" s="171"/>
      <c r="AL570" s="171"/>
      <c r="AM570" s="170"/>
      <c r="AN570" s="170"/>
      <c r="AO570" s="170"/>
      <c r="AP570" s="171"/>
      <c r="AQ570" s="171"/>
      <c r="AR570" s="170"/>
      <c r="AS570" s="170"/>
      <c r="AT570" s="170"/>
      <c r="AU570" s="171"/>
      <c r="AV570" s="171"/>
      <c r="AW570" s="171"/>
      <c r="AX570" s="171"/>
      <c r="AY570" s="171"/>
      <c r="AZ570" s="171"/>
      <c r="BA570" s="171"/>
      <c r="BB570" s="171"/>
      <c r="BC570" s="171"/>
      <c r="BD570" s="172"/>
      <c r="BE570" s="172"/>
      <c r="BF570" s="172"/>
      <c r="BG570" s="172"/>
      <c r="BH570" s="172"/>
      <c r="BI570" s="172"/>
      <c r="BJ570" s="172"/>
      <c r="BK570" s="172"/>
      <c r="BL570" s="172"/>
      <c r="BM570" s="172"/>
      <c r="BN570" s="172"/>
      <c r="BO570" s="172"/>
      <c r="BP570" s="172"/>
      <c r="BQ570" s="172"/>
      <c r="BR570" s="172"/>
      <c r="BS570" s="172"/>
    </row>
    <row r="571" spans="1:71" ht="12.5" x14ac:dyDescent="0.25">
      <c r="A571" s="170"/>
      <c r="B571" s="170"/>
      <c r="C571" s="170"/>
      <c r="D571" s="170"/>
      <c r="E571" s="171"/>
      <c r="F571" s="171"/>
      <c r="G571" s="170"/>
      <c r="H571" s="170"/>
      <c r="I571" s="170"/>
      <c r="J571" s="171"/>
      <c r="K571" s="171"/>
      <c r="L571" s="170"/>
      <c r="M571" s="170"/>
      <c r="N571" s="170"/>
      <c r="O571" s="171"/>
      <c r="P571" s="171"/>
      <c r="Q571" s="170"/>
      <c r="R571" s="170"/>
      <c r="S571" s="170"/>
      <c r="T571" s="171"/>
      <c r="U571" s="171"/>
      <c r="V571" s="171"/>
      <c r="W571" s="171"/>
      <c r="X571" s="171"/>
      <c r="Y571" s="171"/>
      <c r="Z571" s="171"/>
      <c r="AA571" s="171"/>
      <c r="AB571" s="171"/>
      <c r="AC571" s="170"/>
      <c r="AD571" s="170"/>
      <c r="AE571" s="170"/>
      <c r="AF571" s="170"/>
      <c r="AG571" s="170"/>
      <c r="AH571" s="170"/>
      <c r="AI571" s="170"/>
      <c r="AJ571" s="170"/>
      <c r="AK571" s="171"/>
      <c r="AL571" s="171"/>
      <c r="AM571" s="170"/>
      <c r="AN571" s="170"/>
      <c r="AO571" s="170"/>
      <c r="AP571" s="171"/>
      <c r="AQ571" s="171"/>
      <c r="AR571" s="170"/>
      <c r="AS571" s="170"/>
      <c r="AT571" s="170"/>
      <c r="AU571" s="171"/>
      <c r="AV571" s="171"/>
      <c r="AW571" s="171"/>
      <c r="AX571" s="171"/>
      <c r="AY571" s="171"/>
      <c r="AZ571" s="171"/>
      <c r="BA571" s="171"/>
      <c r="BB571" s="171"/>
      <c r="BC571" s="171"/>
      <c r="BD571" s="172"/>
      <c r="BE571" s="172"/>
      <c r="BF571" s="172"/>
      <c r="BG571" s="172"/>
      <c r="BH571" s="172"/>
      <c r="BI571" s="172"/>
      <c r="BJ571" s="172"/>
      <c r="BK571" s="172"/>
      <c r="BL571" s="172"/>
      <c r="BM571" s="172"/>
      <c r="BN571" s="172"/>
      <c r="BO571" s="172"/>
      <c r="BP571" s="172"/>
      <c r="BQ571" s="172"/>
      <c r="BR571" s="172"/>
      <c r="BS571" s="172"/>
    </row>
    <row r="572" spans="1:71" ht="12.5" x14ac:dyDescent="0.25">
      <c r="A572" s="170"/>
      <c r="B572" s="170"/>
      <c r="C572" s="170"/>
      <c r="D572" s="170"/>
      <c r="E572" s="171"/>
      <c r="F572" s="171"/>
      <c r="G572" s="170"/>
      <c r="H572" s="170"/>
      <c r="I572" s="170"/>
      <c r="J572" s="171"/>
      <c r="K572" s="171"/>
      <c r="L572" s="170"/>
      <c r="M572" s="170"/>
      <c r="N572" s="170"/>
      <c r="O572" s="171"/>
      <c r="P572" s="171"/>
      <c r="Q572" s="170"/>
      <c r="R572" s="170"/>
      <c r="S572" s="170"/>
      <c r="T572" s="171"/>
      <c r="U572" s="171"/>
      <c r="V572" s="171"/>
      <c r="W572" s="171"/>
      <c r="X572" s="171"/>
      <c r="Y572" s="171"/>
      <c r="Z572" s="171"/>
      <c r="AA572" s="171"/>
      <c r="AB572" s="171"/>
      <c r="AC572" s="170"/>
      <c r="AD572" s="170"/>
      <c r="AE572" s="170"/>
      <c r="AF572" s="170"/>
      <c r="AG572" s="170"/>
      <c r="AH572" s="170"/>
      <c r="AI572" s="170"/>
      <c r="AJ572" s="170"/>
      <c r="AK572" s="171"/>
      <c r="AL572" s="171"/>
      <c r="AM572" s="170"/>
      <c r="AN572" s="170"/>
      <c r="AO572" s="170"/>
      <c r="AP572" s="171"/>
      <c r="AQ572" s="171"/>
      <c r="AR572" s="170"/>
      <c r="AS572" s="170"/>
      <c r="AT572" s="170"/>
      <c r="AU572" s="171"/>
      <c r="AV572" s="171"/>
      <c r="AW572" s="171"/>
      <c r="AX572" s="171"/>
      <c r="AY572" s="171"/>
      <c r="AZ572" s="171"/>
      <c r="BA572" s="171"/>
      <c r="BB572" s="171"/>
      <c r="BC572" s="171"/>
      <c r="BD572" s="172"/>
      <c r="BE572" s="172"/>
      <c r="BF572" s="172"/>
      <c r="BG572" s="172"/>
      <c r="BH572" s="172"/>
      <c r="BI572" s="172"/>
      <c r="BJ572" s="172"/>
      <c r="BK572" s="172"/>
      <c r="BL572" s="172"/>
      <c r="BM572" s="172"/>
      <c r="BN572" s="172"/>
      <c r="BO572" s="172"/>
      <c r="BP572" s="172"/>
      <c r="BQ572" s="172"/>
      <c r="BR572" s="172"/>
      <c r="BS572" s="172"/>
    </row>
    <row r="573" spans="1:71" ht="12.5" x14ac:dyDescent="0.25">
      <c r="A573" s="170"/>
      <c r="B573" s="170"/>
      <c r="C573" s="170"/>
      <c r="D573" s="170"/>
      <c r="E573" s="171"/>
      <c r="F573" s="171"/>
      <c r="G573" s="170"/>
      <c r="H573" s="170"/>
      <c r="I573" s="170"/>
      <c r="J573" s="171"/>
      <c r="K573" s="171"/>
      <c r="L573" s="170"/>
      <c r="M573" s="170"/>
      <c r="N573" s="170"/>
      <c r="O573" s="171"/>
      <c r="P573" s="171"/>
      <c r="Q573" s="170"/>
      <c r="R573" s="170"/>
      <c r="S573" s="170"/>
      <c r="T573" s="171"/>
      <c r="U573" s="171"/>
      <c r="V573" s="171"/>
      <c r="W573" s="171"/>
      <c r="X573" s="171"/>
      <c r="Y573" s="171"/>
      <c r="Z573" s="171"/>
      <c r="AA573" s="171"/>
      <c r="AB573" s="171"/>
      <c r="AC573" s="170"/>
      <c r="AD573" s="170"/>
      <c r="AE573" s="170"/>
      <c r="AF573" s="170"/>
      <c r="AG573" s="170"/>
      <c r="AH573" s="170"/>
      <c r="AI573" s="170"/>
      <c r="AJ573" s="170"/>
      <c r="AK573" s="171"/>
      <c r="AL573" s="171"/>
      <c r="AM573" s="170"/>
      <c r="AN573" s="170"/>
      <c r="AO573" s="170"/>
      <c r="AP573" s="171"/>
      <c r="AQ573" s="171"/>
      <c r="AR573" s="170"/>
      <c r="AS573" s="170"/>
      <c r="AT573" s="170"/>
      <c r="AU573" s="171"/>
      <c r="AV573" s="171"/>
      <c r="AW573" s="171"/>
      <c r="AX573" s="171"/>
      <c r="AY573" s="171"/>
      <c r="AZ573" s="171"/>
      <c r="BA573" s="171"/>
      <c r="BB573" s="171"/>
      <c r="BC573" s="171"/>
      <c r="BD573" s="172"/>
      <c r="BE573" s="172"/>
      <c r="BF573" s="172"/>
      <c r="BG573" s="172"/>
      <c r="BH573" s="172"/>
      <c r="BI573" s="172"/>
      <c r="BJ573" s="172"/>
      <c r="BK573" s="172"/>
      <c r="BL573" s="172"/>
      <c r="BM573" s="172"/>
      <c r="BN573" s="172"/>
      <c r="BO573" s="172"/>
      <c r="BP573" s="172"/>
      <c r="BQ573" s="172"/>
      <c r="BR573" s="172"/>
      <c r="BS573" s="172"/>
    </row>
    <row r="574" spans="1:71" ht="12.5" x14ac:dyDescent="0.25">
      <c r="A574" s="170"/>
      <c r="B574" s="170"/>
      <c r="C574" s="170"/>
      <c r="D574" s="170"/>
      <c r="E574" s="171"/>
      <c r="F574" s="171"/>
      <c r="G574" s="170"/>
      <c r="H574" s="170"/>
      <c r="I574" s="170"/>
      <c r="J574" s="171"/>
      <c r="K574" s="171"/>
      <c r="L574" s="170"/>
      <c r="M574" s="170"/>
      <c r="N574" s="170"/>
      <c r="O574" s="171"/>
      <c r="P574" s="171"/>
      <c r="Q574" s="170"/>
      <c r="R574" s="170"/>
      <c r="S574" s="170"/>
      <c r="T574" s="171"/>
      <c r="U574" s="171"/>
      <c r="V574" s="171"/>
      <c r="W574" s="171"/>
      <c r="X574" s="171"/>
      <c r="Y574" s="171"/>
      <c r="Z574" s="171"/>
      <c r="AA574" s="171"/>
      <c r="AB574" s="171"/>
      <c r="AC574" s="170"/>
      <c r="AD574" s="170"/>
      <c r="AE574" s="170"/>
      <c r="AF574" s="170"/>
      <c r="AG574" s="170"/>
      <c r="AH574" s="170"/>
      <c r="AI574" s="170"/>
      <c r="AJ574" s="170"/>
      <c r="AK574" s="171"/>
      <c r="AL574" s="171"/>
      <c r="AM574" s="170"/>
      <c r="AN574" s="170"/>
      <c r="AO574" s="170"/>
      <c r="AP574" s="171"/>
      <c r="AQ574" s="171"/>
      <c r="AR574" s="170"/>
      <c r="AS574" s="170"/>
      <c r="AT574" s="170"/>
      <c r="AU574" s="171"/>
      <c r="AV574" s="171"/>
      <c r="AW574" s="171"/>
      <c r="AX574" s="171"/>
      <c r="AY574" s="171"/>
      <c r="AZ574" s="171"/>
      <c r="BA574" s="171"/>
      <c r="BB574" s="171"/>
      <c r="BC574" s="171"/>
      <c r="BD574" s="172"/>
      <c r="BE574" s="172"/>
      <c r="BF574" s="172"/>
      <c r="BG574" s="172"/>
      <c r="BH574" s="172"/>
      <c r="BI574" s="172"/>
      <c r="BJ574" s="172"/>
      <c r="BK574" s="172"/>
      <c r="BL574" s="172"/>
      <c r="BM574" s="172"/>
      <c r="BN574" s="172"/>
      <c r="BO574" s="172"/>
      <c r="BP574" s="172"/>
      <c r="BQ574" s="172"/>
      <c r="BR574" s="172"/>
      <c r="BS574" s="172"/>
    </row>
    <row r="575" spans="1:71" ht="12.5" x14ac:dyDescent="0.25">
      <c r="A575" s="170"/>
      <c r="B575" s="170"/>
      <c r="C575" s="170"/>
      <c r="D575" s="170"/>
      <c r="E575" s="171"/>
      <c r="F575" s="171"/>
      <c r="G575" s="170"/>
      <c r="H575" s="170"/>
      <c r="I575" s="170"/>
      <c r="J575" s="171"/>
      <c r="K575" s="171"/>
      <c r="L575" s="170"/>
      <c r="M575" s="170"/>
      <c r="N575" s="170"/>
      <c r="O575" s="171"/>
      <c r="P575" s="171"/>
      <c r="Q575" s="170"/>
      <c r="R575" s="170"/>
      <c r="S575" s="170"/>
      <c r="T575" s="171"/>
      <c r="U575" s="171"/>
      <c r="V575" s="171"/>
      <c r="W575" s="171"/>
      <c r="X575" s="171"/>
      <c r="Y575" s="171"/>
      <c r="Z575" s="171"/>
      <c r="AA575" s="171"/>
      <c r="AB575" s="171"/>
      <c r="AC575" s="170"/>
      <c r="AD575" s="170"/>
      <c r="AE575" s="170"/>
      <c r="AF575" s="170"/>
      <c r="AG575" s="170"/>
      <c r="AH575" s="170"/>
      <c r="AI575" s="170"/>
      <c r="AJ575" s="170"/>
      <c r="AK575" s="171"/>
      <c r="AL575" s="171"/>
      <c r="AM575" s="170"/>
      <c r="AN575" s="170"/>
      <c r="AO575" s="170"/>
      <c r="AP575" s="171"/>
      <c r="AQ575" s="171"/>
      <c r="AR575" s="170"/>
      <c r="AS575" s="170"/>
      <c r="AT575" s="170"/>
      <c r="AU575" s="171"/>
      <c r="AV575" s="171"/>
      <c r="AW575" s="171"/>
      <c r="AX575" s="171"/>
      <c r="AY575" s="171"/>
      <c r="AZ575" s="171"/>
      <c r="BA575" s="171"/>
      <c r="BB575" s="171"/>
      <c r="BC575" s="171"/>
      <c r="BD575" s="172"/>
      <c r="BE575" s="172"/>
      <c r="BF575" s="172"/>
      <c r="BG575" s="172"/>
      <c r="BH575" s="172"/>
      <c r="BI575" s="172"/>
      <c r="BJ575" s="172"/>
      <c r="BK575" s="172"/>
      <c r="BL575" s="172"/>
      <c r="BM575" s="172"/>
      <c r="BN575" s="172"/>
      <c r="BO575" s="172"/>
      <c r="BP575" s="172"/>
      <c r="BQ575" s="172"/>
      <c r="BR575" s="172"/>
      <c r="BS575" s="172"/>
    </row>
    <row r="576" spans="1:71" ht="12.5" x14ac:dyDescent="0.25">
      <c r="A576" s="170"/>
      <c r="B576" s="170"/>
      <c r="C576" s="170"/>
      <c r="D576" s="170"/>
      <c r="E576" s="171"/>
      <c r="F576" s="171"/>
      <c r="G576" s="170"/>
      <c r="H576" s="170"/>
      <c r="I576" s="170"/>
      <c r="J576" s="171"/>
      <c r="K576" s="171"/>
      <c r="L576" s="170"/>
      <c r="M576" s="170"/>
      <c r="N576" s="170"/>
      <c r="O576" s="171"/>
      <c r="P576" s="171"/>
      <c r="Q576" s="170"/>
      <c r="R576" s="170"/>
      <c r="S576" s="170"/>
      <c r="T576" s="171"/>
      <c r="U576" s="171"/>
      <c r="V576" s="171"/>
      <c r="W576" s="171"/>
      <c r="X576" s="171"/>
      <c r="Y576" s="171"/>
      <c r="Z576" s="171"/>
      <c r="AA576" s="171"/>
      <c r="AB576" s="171"/>
      <c r="AC576" s="170"/>
      <c r="AD576" s="170"/>
      <c r="AE576" s="170"/>
      <c r="AF576" s="170"/>
      <c r="AG576" s="170"/>
      <c r="AH576" s="170"/>
      <c r="AI576" s="170"/>
      <c r="AJ576" s="170"/>
      <c r="AK576" s="171"/>
      <c r="AL576" s="171"/>
      <c r="AM576" s="170"/>
      <c r="AN576" s="170"/>
      <c r="AO576" s="170"/>
      <c r="AP576" s="171"/>
      <c r="AQ576" s="171"/>
      <c r="AR576" s="170"/>
      <c r="AS576" s="170"/>
      <c r="AT576" s="170"/>
      <c r="AU576" s="171"/>
      <c r="AV576" s="171"/>
      <c r="AW576" s="171"/>
      <c r="AX576" s="171"/>
      <c r="AY576" s="171"/>
      <c r="AZ576" s="171"/>
      <c r="BA576" s="171"/>
      <c r="BB576" s="171"/>
      <c r="BC576" s="171"/>
      <c r="BD576" s="172"/>
      <c r="BE576" s="172"/>
      <c r="BF576" s="172"/>
      <c r="BG576" s="172"/>
      <c r="BH576" s="172"/>
      <c r="BI576" s="172"/>
      <c r="BJ576" s="172"/>
      <c r="BK576" s="172"/>
      <c r="BL576" s="172"/>
      <c r="BM576" s="172"/>
      <c r="BN576" s="172"/>
      <c r="BO576" s="172"/>
      <c r="BP576" s="172"/>
      <c r="BQ576" s="172"/>
      <c r="BR576" s="172"/>
      <c r="BS576" s="172"/>
    </row>
    <row r="577" spans="1:71" ht="12.5" x14ac:dyDescent="0.25">
      <c r="A577" s="170"/>
      <c r="B577" s="170"/>
      <c r="C577" s="170"/>
      <c r="D577" s="170"/>
      <c r="E577" s="171"/>
      <c r="F577" s="171"/>
      <c r="G577" s="170"/>
      <c r="H577" s="170"/>
      <c r="I577" s="170"/>
      <c r="J577" s="171"/>
      <c r="K577" s="171"/>
      <c r="L577" s="170"/>
      <c r="M577" s="170"/>
      <c r="N577" s="170"/>
      <c r="O577" s="171"/>
      <c r="P577" s="171"/>
      <c r="Q577" s="170"/>
      <c r="R577" s="170"/>
      <c r="S577" s="170"/>
      <c r="T577" s="171"/>
      <c r="U577" s="171"/>
      <c r="V577" s="171"/>
      <c r="W577" s="171"/>
      <c r="X577" s="171"/>
      <c r="Y577" s="171"/>
      <c r="Z577" s="171"/>
      <c r="AA577" s="171"/>
      <c r="AB577" s="171"/>
      <c r="AC577" s="170"/>
      <c r="AD577" s="170"/>
      <c r="AE577" s="170"/>
      <c r="AF577" s="170"/>
      <c r="AG577" s="170"/>
      <c r="AH577" s="170"/>
      <c r="AI577" s="170"/>
      <c r="AJ577" s="170"/>
      <c r="AK577" s="171"/>
      <c r="AL577" s="171"/>
      <c r="AM577" s="170"/>
      <c r="AN577" s="170"/>
      <c r="AO577" s="170"/>
      <c r="AP577" s="171"/>
      <c r="AQ577" s="171"/>
      <c r="AR577" s="170"/>
      <c r="AS577" s="170"/>
      <c r="AT577" s="170"/>
      <c r="AU577" s="171"/>
      <c r="AV577" s="171"/>
      <c r="AW577" s="171"/>
      <c r="AX577" s="171"/>
      <c r="AY577" s="171"/>
      <c r="AZ577" s="171"/>
      <c r="BA577" s="171"/>
      <c r="BB577" s="171"/>
      <c r="BC577" s="171"/>
      <c r="BD577" s="172"/>
      <c r="BE577" s="172"/>
      <c r="BF577" s="172"/>
      <c r="BG577" s="172"/>
      <c r="BH577" s="172"/>
      <c r="BI577" s="172"/>
      <c r="BJ577" s="172"/>
      <c r="BK577" s="172"/>
      <c r="BL577" s="172"/>
      <c r="BM577" s="172"/>
      <c r="BN577" s="172"/>
      <c r="BO577" s="172"/>
      <c r="BP577" s="172"/>
      <c r="BQ577" s="172"/>
      <c r="BR577" s="172"/>
      <c r="BS577" s="172"/>
    </row>
    <row r="578" spans="1:71" ht="12.5" x14ac:dyDescent="0.25">
      <c r="A578" s="170"/>
      <c r="B578" s="170"/>
      <c r="C578" s="170"/>
      <c r="D578" s="170"/>
      <c r="E578" s="171"/>
      <c r="F578" s="171"/>
      <c r="G578" s="170"/>
      <c r="H578" s="170"/>
      <c r="I578" s="170"/>
      <c r="J578" s="171"/>
      <c r="K578" s="171"/>
      <c r="L578" s="170"/>
      <c r="M578" s="170"/>
      <c r="N578" s="170"/>
      <c r="O578" s="171"/>
      <c r="P578" s="171"/>
      <c r="Q578" s="170"/>
      <c r="R578" s="170"/>
      <c r="S578" s="170"/>
      <c r="T578" s="171"/>
      <c r="U578" s="171"/>
      <c r="V578" s="171"/>
      <c r="W578" s="171"/>
      <c r="X578" s="171"/>
      <c r="Y578" s="171"/>
      <c r="Z578" s="171"/>
      <c r="AA578" s="171"/>
      <c r="AB578" s="171"/>
      <c r="AC578" s="170"/>
      <c r="AD578" s="170"/>
      <c r="AE578" s="170"/>
      <c r="AF578" s="170"/>
      <c r="AG578" s="170"/>
      <c r="AH578" s="170"/>
      <c r="AI578" s="170"/>
      <c r="AJ578" s="170"/>
      <c r="AK578" s="171"/>
      <c r="AL578" s="171"/>
      <c r="AM578" s="170"/>
      <c r="AN578" s="170"/>
      <c r="AO578" s="170"/>
      <c r="AP578" s="171"/>
      <c r="AQ578" s="171"/>
      <c r="AR578" s="170"/>
      <c r="AS578" s="170"/>
      <c r="AT578" s="170"/>
      <c r="AU578" s="171"/>
      <c r="AV578" s="171"/>
      <c r="AW578" s="171"/>
      <c r="AX578" s="171"/>
      <c r="AY578" s="171"/>
      <c r="AZ578" s="171"/>
      <c r="BA578" s="171"/>
      <c r="BB578" s="171"/>
      <c r="BC578" s="171"/>
      <c r="BD578" s="172"/>
      <c r="BE578" s="172"/>
      <c r="BF578" s="172"/>
      <c r="BG578" s="172"/>
      <c r="BH578" s="172"/>
      <c r="BI578" s="172"/>
      <c r="BJ578" s="172"/>
      <c r="BK578" s="172"/>
      <c r="BL578" s="172"/>
      <c r="BM578" s="172"/>
      <c r="BN578" s="172"/>
      <c r="BO578" s="172"/>
      <c r="BP578" s="172"/>
      <c r="BQ578" s="172"/>
      <c r="BR578" s="172"/>
      <c r="BS578" s="172"/>
    </row>
    <row r="579" spans="1:71" ht="12.5" x14ac:dyDescent="0.25">
      <c r="A579" s="170"/>
      <c r="B579" s="170"/>
      <c r="C579" s="170"/>
      <c r="D579" s="170"/>
      <c r="E579" s="171"/>
      <c r="F579" s="171"/>
      <c r="G579" s="170"/>
      <c r="H579" s="170"/>
      <c r="I579" s="170"/>
      <c r="J579" s="171"/>
      <c r="K579" s="171"/>
      <c r="L579" s="170"/>
      <c r="M579" s="170"/>
      <c r="N579" s="170"/>
      <c r="O579" s="171"/>
      <c r="P579" s="171"/>
      <c r="Q579" s="170"/>
      <c r="R579" s="170"/>
      <c r="S579" s="170"/>
      <c r="T579" s="171"/>
      <c r="U579" s="171"/>
      <c r="V579" s="171"/>
      <c r="W579" s="171"/>
      <c r="X579" s="171"/>
      <c r="Y579" s="171"/>
      <c r="Z579" s="171"/>
      <c r="AA579" s="171"/>
      <c r="AB579" s="171"/>
      <c r="AC579" s="170"/>
      <c r="AD579" s="170"/>
      <c r="AE579" s="170"/>
      <c r="AF579" s="170"/>
      <c r="AG579" s="170"/>
      <c r="AH579" s="170"/>
      <c r="AI579" s="170"/>
      <c r="AJ579" s="170"/>
      <c r="AK579" s="171"/>
      <c r="AL579" s="171"/>
      <c r="AM579" s="170"/>
      <c r="AN579" s="170"/>
      <c r="AO579" s="170"/>
      <c r="AP579" s="171"/>
      <c r="AQ579" s="171"/>
      <c r="AR579" s="170"/>
      <c r="AS579" s="170"/>
      <c r="AT579" s="170"/>
      <c r="AU579" s="171"/>
      <c r="AV579" s="171"/>
      <c r="AW579" s="171"/>
      <c r="AX579" s="171"/>
      <c r="AY579" s="171"/>
      <c r="AZ579" s="171"/>
      <c r="BA579" s="171"/>
      <c r="BB579" s="171"/>
      <c r="BC579" s="171"/>
      <c r="BD579" s="172"/>
      <c r="BE579" s="172"/>
      <c r="BF579" s="172"/>
      <c r="BG579" s="172"/>
      <c r="BH579" s="172"/>
      <c r="BI579" s="172"/>
      <c r="BJ579" s="172"/>
      <c r="BK579" s="172"/>
      <c r="BL579" s="172"/>
      <c r="BM579" s="172"/>
      <c r="BN579" s="172"/>
      <c r="BO579" s="172"/>
      <c r="BP579" s="172"/>
      <c r="BQ579" s="172"/>
      <c r="BR579" s="172"/>
      <c r="BS579" s="172"/>
    </row>
    <row r="580" spans="1:71" ht="12.5" x14ac:dyDescent="0.25">
      <c r="A580" s="170"/>
      <c r="B580" s="170"/>
      <c r="C580" s="170"/>
      <c r="D580" s="170"/>
      <c r="E580" s="171"/>
      <c r="F580" s="171"/>
      <c r="G580" s="170"/>
      <c r="H580" s="170"/>
      <c r="I580" s="170"/>
      <c r="J580" s="171"/>
      <c r="K580" s="171"/>
      <c r="L580" s="170"/>
      <c r="M580" s="170"/>
      <c r="N580" s="170"/>
      <c r="O580" s="171"/>
      <c r="P580" s="171"/>
      <c r="Q580" s="170"/>
      <c r="R580" s="170"/>
      <c r="S580" s="170"/>
      <c r="T580" s="171"/>
      <c r="U580" s="171"/>
      <c r="V580" s="171"/>
      <c r="W580" s="171"/>
      <c r="X580" s="171"/>
      <c r="Y580" s="171"/>
      <c r="Z580" s="171"/>
      <c r="AA580" s="171"/>
      <c r="AB580" s="171"/>
      <c r="AC580" s="170"/>
      <c r="AD580" s="170"/>
      <c r="AE580" s="170"/>
      <c r="AF580" s="170"/>
      <c r="AG580" s="170"/>
      <c r="AH580" s="170"/>
      <c r="AI580" s="170"/>
      <c r="AJ580" s="170"/>
      <c r="AK580" s="171"/>
      <c r="AL580" s="171"/>
      <c r="AM580" s="170"/>
      <c r="AN580" s="170"/>
      <c r="AO580" s="170"/>
      <c r="AP580" s="171"/>
      <c r="AQ580" s="171"/>
      <c r="AR580" s="170"/>
      <c r="AS580" s="170"/>
      <c r="AT580" s="170"/>
      <c r="AU580" s="171"/>
      <c r="AV580" s="171"/>
      <c r="AW580" s="171"/>
      <c r="AX580" s="171"/>
      <c r="AY580" s="171"/>
      <c r="AZ580" s="171"/>
      <c r="BA580" s="171"/>
      <c r="BB580" s="171"/>
      <c r="BC580" s="171"/>
      <c r="BD580" s="172"/>
      <c r="BE580" s="172"/>
      <c r="BF580" s="172"/>
      <c r="BG580" s="172"/>
      <c r="BH580" s="172"/>
      <c r="BI580" s="172"/>
      <c r="BJ580" s="172"/>
      <c r="BK580" s="172"/>
      <c r="BL580" s="172"/>
      <c r="BM580" s="172"/>
      <c r="BN580" s="172"/>
      <c r="BO580" s="172"/>
      <c r="BP580" s="172"/>
      <c r="BQ580" s="172"/>
      <c r="BR580" s="172"/>
      <c r="BS580" s="172"/>
    </row>
    <row r="581" spans="1:71" ht="12.5" x14ac:dyDescent="0.25">
      <c r="A581" s="170"/>
      <c r="B581" s="170"/>
      <c r="C581" s="170"/>
      <c r="D581" s="170"/>
      <c r="E581" s="171"/>
      <c r="F581" s="171"/>
      <c r="G581" s="170"/>
      <c r="H581" s="170"/>
      <c r="I581" s="170"/>
      <c r="J581" s="171"/>
      <c r="K581" s="171"/>
      <c r="L581" s="170"/>
      <c r="M581" s="170"/>
      <c r="N581" s="170"/>
      <c r="O581" s="171"/>
      <c r="P581" s="171"/>
      <c r="Q581" s="170"/>
      <c r="R581" s="170"/>
      <c r="S581" s="170"/>
      <c r="T581" s="171"/>
      <c r="U581" s="171"/>
      <c r="V581" s="171"/>
      <c r="W581" s="171"/>
      <c r="X581" s="171"/>
      <c r="Y581" s="171"/>
      <c r="Z581" s="171"/>
      <c r="AA581" s="171"/>
      <c r="AB581" s="171"/>
      <c r="AC581" s="170"/>
      <c r="AD581" s="170"/>
      <c r="AE581" s="170"/>
      <c r="AF581" s="170"/>
      <c r="AG581" s="170"/>
      <c r="AH581" s="170"/>
      <c r="AI581" s="170"/>
      <c r="AJ581" s="170"/>
      <c r="AK581" s="171"/>
      <c r="AL581" s="171"/>
      <c r="AM581" s="170"/>
      <c r="AN581" s="170"/>
      <c r="AO581" s="170"/>
      <c r="AP581" s="171"/>
      <c r="AQ581" s="171"/>
      <c r="AR581" s="170"/>
      <c r="AS581" s="170"/>
      <c r="AT581" s="170"/>
      <c r="AU581" s="171"/>
      <c r="AV581" s="171"/>
      <c r="AW581" s="171"/>
      <c r="AX581" s="171"/>
      <c r="AY581" s="171"/>
      <c r="AZ581" s="171"/>
      <c r="BA581" s="171"/>
      <c r="BB581" s="171"/>
      <c r="BC581" s="171"/>
      <c r="BD581" s="172"/>
      <c r="BE581" s="172"/>
      <c r="BF581" s="172"/>
      <c r="BG581" s="172"/>
      <c r="BH581" s="172"/>
      <c r="BI581" s="172"/>
      <c r="BJ581" s="172"/>
      <c r="BK581" s="172"/>
      <c r="BL581" s="172"/>
      <c r="BM581" s="172"/>
      <c r="BN581" s="172"/>
      <c r="BO581" s="172"/>
      <c r="BP581" s="172"/>
      <c r="BQ581" s="172"/>
      <c r="BR581" s="172"/>
      <c r="BS581" s="172"/>
    </row>
    <row r="582" spans="1:71" ht="12.5" x14ac:dyDescent="0.25">
      <c r="A582" s="170"/>
      <c r="B582" s="170"/>
      <c r="C582" s="170"/>
      <c r="D582" s="170"/>
      <c r="E582" s="171"/>
      <c r="F582" s="171"/>
      <c r="G582" s="170"/>
      <c r="H582" s="170"/>
      <c r="I582" s="170"/>
      <c r="J582" s="171"/>
      <c r="K582" s="171"/>
      <c r="L582" s="170"/>
      <c r="M582" s="170"/>
      <c r="N582" s="170"/>
      <c r="O582" s="171"/>
      <c r="P582" s="171"/>
      <c r="Q582" s="170"/>
      <c r="R582" s="170"/>
      <c r="S582" s="170"/>
      <c r="T582" s="171"/>
      <c r="U582" s="171"/>
      <c r="V582" s="171"/>
      <c r="W582" s="171"/>
      <c r="X582" s="171"/>
      <c r="Y582" s="171"/>
      <c r="Z582" s="171"/>
      <c r="AA582" s="171"/>
      <c r="AB582" s="171"/>
      <c r="AC582" s="170"/>
      <c r="AD582" s="170"/>
      <c r="AE582" s="170"/>
      <c r="AF582" s="170"/>
      <c r="AG582" s="170"/>
      <c r="AH582" s="170"/>
      <c r="AI582" s="170"/>
      <c r="AJ582" s="170"/>
      <c r="AK582" s="171"/>
      <c r="AL582" s="171"/>
      <c r="AM582" s="170"/>
      <c r="AN582" s="170"/>
      <c r="AO582" s="170"/>
      <c r="AP582" s="171"/>
      <c r="AQ582" s="171"/>
      <c r="AR582" s="170"/>
      <c r="AS582" s="170"/>
      <c r="AT582" s="170"/>
      <c r="AU582" s="171"/>
      <c r="AV582" s="171"/>
      <c r="AW582" s="171"/>
      <c r="AX582" s="171"/>
      <c r="AY582" s="171"/>
      <c r="AZ582" s="171"/>
      <c r="BA582" s="171"/>
      <c r="BB582" s="171"/>
      <c r="BC582" s="171"/>
      <c r="BD582" s="172"/>
      <c r="BE582" s="172"/>
      <c r="BF582" s="172"/>
      <c r="BG582" s="172"/>
      <c r="BH582" s="172"/>
      <c r="BI582" s="172"/>
      <c r="BJ582" s="172"/>
      <c r="BK582" s="172"/>
      <c r="BL582" s="172"/>
      <c r="BM582" s="172"/>
      <c r="BN582" s="172"/>
      <c r="BO582" s="172"/>
      <c r="BP582" s="172"/>
      <c r="BQ582" s="172"/>
      <c r="BR582" s="172"/>
      <c r="BS582" s="172"/>
    </row>
    <row r="583" spans="1:71" ht="12.5" x14ac:dyDescent="0.25">
      <c r="A583" s="170"/>
      <c r="B583" s="170"/>
      <c r="C583" s="170"/>
      <c r="D583" s="170"/>
      <c r="E583" s="171"/>
      <c r="F583" s="171"/>
      <c r="G583" s="170"/>
      <c r="H583" s="170"/>
      <c r="I583" s="170"/>
      <c r="J583" s="171"/>
      <c r="K583" s="171"/>
      <c r="L583" s="170"/>
      <c r="M583" s="170"/>
      <c r="N583" s="170"/>
      <c r="O583" s="171"/>
      <c r="P583" s="171"/>
      <c r="Q583" s="170"/>
      <c r="R583" s="170"/>
      <c r="S583" s="170"/>
      <c r="T583" s="171"/>
      <c r="U583" s="171"/>
      <c r="V583" s="171"/>
      <c r="W583" s="171"/>
      <c r="X583" s="171"/>
      <c r="Y583" s="171"/>
      <c r="Z583" s="171"/>
      <c r="AA583" s="171"/>
      <c r="AB583" s="171"/>
      <c r="AC583" s="170"/>
      <c r="AD583" s="170"/>
      <c r="AE583" s="170"/>
      <c r="AF583" s="170"/>
      <c r="AG583" s="170"/>
      <c r="AH583" s="170"/>
      <c r="AI583" s="170"/>
      <c r="AJ583" s="170"/>
      <c r="AK583" s="171"/>
      <c r="AL583" s="171"/>
      <c r="AM583" s="170"/>
      <c r="AN583" s="170"/>
      <c r="AO583" s="170"/>
      <c r="AP583" s="171"/>
      <c r="AQ583" s="171"/>
      <c r="AR583" s="170"/>
      <c r="AS583" s="170"/>
      <c r="AT583" s="170"/>
      <c r="AU583" s="171"/>
      <c r="AV583" s="171"/>
      <c r="AW583" s="171"/>
      <c r="AX583" s="171"/>
      <c r="AY583" s="171"/>
      <c r="AZ583" s="171"/>
      <c r="BA583" s="171"/>
      <c r="BB583" s="171"/>
      <c r="BC583" s="171"/>
      <c r="BD583" s="172"/>
      <c r="BE583" s="172"/>
      <c r="BF583" s="172"/>
      <c r="BG583" s="172"/>
      <c r="BH583" s="172"/>
      <c r="BI583" s="172"/>
      <c r="BJ583" s="172"/>
      <c r="BK583" s="172"/>
      <c r="BL583" s="172"/>
      <c r="BM583" s="172"/>
      <c r="BN583" s="172"/>
      <c r="BO583" s="172"/>
      <c r="BP583" s="172"/>
      <c r="BQ583" s="172"/>
      <c r="BR583" s="172"/>
      <c r="BS583" s="172"/>
    </row>
    <row r="584" spans="1:71" ht="12.5" x14ac:dyDescent="0.25">
      <c r="A584" s="170"/>
      <c r="B584" s="170"/>
      <c r="C584" s="170"/>
      <c r="D584" s="170"/>
      <c r="E584" s="171"/>
      <c r="F584" s="171"/>
      <c r="G584" s="170"/>
      <c r="H584" s="170"/>
      <c r="I584" s="170"/>
      <c r="J584" s="171"/>
      <c r="K584" s="171"/>
      <c r="L584" s="170"/>
      <c r="M584" s="170"/>
      <c r="N584" s="170"/>
      <c r="O584" s="171"/>
      <c r="P584" s="171"/>
      <c r="Q584" s="170"/>
      <c r="R584" s="170"/>
      <c r="S584" s="170"/>
      <c r="T584" s="171"/>
      <c r="U584" s="171"/>
      <c r="V584" s="171"/>
      <c r="W584" s="171"/>
      <c r="X584" s="171"/>
      <c r="Y584" s="171"/>
      <c r="Z584" s="171"/>
      <c r="AA584" s="171"/>
      <c r="AB584" s="171"/>
      <c r="AC584" s="170"/>
      <c r="AD584" s="170"/>
      <c r="AE584" s="170"/>
      <c r="AF584" s="170"/>
      <c r="AG584" s="170"/>
      <c r="AH584" s="170"/>
      <c r="AI584" s="170"/>
      <c r="AJ584" s="170"/>
      <c r="AK584" s="171"/>
      <c r="AL584" s="171"/>
      <c r="AM584" s="170"/>
      <c r="AN584" s="170"/>
      <c r="AO584" s="170"/>
      <c r="AP584" s="171"/>
      <c r="AQ584" s="171"/>
      <c r="AR584" s="170"/>
      <c r="AS584" s="170"/>
      <c r="AT584" s="170"/>
      <c r="AU584" s="171"/>
      <c r="AV584" s="171"/>
      <c r="AW584" s="171"/>
      <c r="AX584" s="171"/>
      <c r="AY584" s="171"/>
      <c r="AZ584" s="171"/>
      <c r="BA584" s="171"/>
      <c r="BB584" s="171"/>
      <c r="BC584" s="171"/>
      <c r="BD584" s="172"/>
      <c r="BE584" s="172"/>
      <c r="BF584" s="172"/>
      <c r="BG584" s="172"/>
      <c r="BH584" s="172"/>
      <c r="BI584" s="172"/>
      <c r="BJ584" s="172"/>
      <c r="BK584" s="172"/>
      <c r="BL584" s="172"/>
      <c r="BM584" s="172"/>
      <c r="BN584" s="172"/>
      <c r="BO584" s="172"/>
      <c r="BP584" s="172"/>
      <c r="BQ584" s="172"/>
      <c r="BR584" s="172"/>
      <c r="BS584" s="172"/>
    </row>
    <row r="585" spans="1:71" ht="12.5" x14ac:dyDescent="0.25">
      <c r="A585" s="170"/>
      <c r="B585" s="170"/>
      <c r="C585" s="170"/>
      <c r="D585" s="170"/>
      <c r="E585" s="171"/>
      <c r="F585" s="171"/>
      <c r="G585" s="170"/>
      <c r="H585" s="170"/>
      <c r="I585" s="170"/>
      <c r="J585" s="171"/>
      <c r="K585" s="171"/>
      <c r="L585" s="170"/>
      <c r="M585" s="170"/>
      <c r="N585" s="170"/>
      <c r="O585" s="171"/>
      <c r="P585" s="171"/>
      <c r="Q585" s="170"/>
      <c r="R585" s="170"/>
      <c r="S585" s="170"/>
      <c r="T585" s="171"/>
      <c r="U585" s="171"/>
      <c r="V585" s="171"/>
      <c r="W585" s="171"/>
      <c r="X585" s="171"/>
      <c r="Y585" s="171"/>
      <c r="Z585" s="171"/>
      <c r="AA585" s="171"/>
      <c r="AB585" s="171"/>
      <c r="AC585" s="170"/>
      <c r="AD585" s="170"/>
      <c r="AE585" s="170"/>
      <c r="AF585" s="170"/>
      <c r="AG585" s="170"/>
      <c r="AH585" s="170"/>
      <c r="AI585" s="170"/>
      <c r="AJ585" s="170"/>
      <c r="AK585" s="171"/>
      <c r="AL585" s="171"/>
      <c r="AM585" s="170"/>
      <c r="AN585" s="170"/>
      <c r="AO585" s="170"/>
      <c r="AP585" s="171"/>
      <c r="AQ585" s="171"/>
      <c r="AR585" s="170"/>
      <c r="AS585" s="170"/>
      <c r="AT585" s="170"/>
      <c r="AU585" s="171"/>
      <c r="AV585" s="171"/>
      <c r="AW585" s="171"/>
      <c r="AX585" s="171"/>
      <c r="AY585" s="171"/>
      <c r="AZ585" s="171"/>
      <c r="BA585" s="171"/>
      <c r="BB585" s="171"/>
      <c r="BC585" s="171"/>
      <c r="BD585" s="172"/>
      <c r="BE585" s="172"/>
      <c r="BF585" s="172"/>
      <c r="BG585" s="172"/>
      <c r="BH585" s="172"/>
      <c r="BI585" s="172"/>
      <c r="BJ585" s="172"/>
      <c r="BK585" s="172"/>
      <c r="BL585" s="172"/>
      <c r="BM585" s="172"/>
      <c r="BN585" s="172"/>
      <c r="BO585" s="172"/>
      <c r="BP585" s="172"/>
      <c r="BQ585" s="172"/>
      <c r="BR585" s="172"/>
      <c r="BS585" s="172"/>
    </row>
    <row r="586" spans="1:71" ht="12.5" x14ac:dyDescent="0.25">
      <c r="A586" s="170"/>
      <c r="B586" s="170"/>
      <c r="C586" s="170"/>
      <c r="D586" s="170"/>
      <c r="E586" s="171"/>
      <c r="F586" s="171"/>
      <c r="G586" s="170"/>
      <c r="H586" s="170"/>
      <c r="I586" s="170"/>
      <c r="J586" s="171"/>
      <c r="K586" s="171"/>
      <c r="L586" s="170"/>
      <c r="M586" s="170"/>
      <c r="N586" s="170"/>
      <c r="O586" s="171"/>
      <c r="P586" s="171"/>
      <c r="Q586" s="170"/>
      <c r="R586" s="170"/>
      <c r="S586" s="170"/>
      <c r="T586" s="171"/>
      <c r="U586" s="171"/>
      <c r="V586" s="171"/>
      <c r="W586" s="171"/>
      <c r="X586" s="171"/>
      <c r="Y586" s="171"/>
      <c r="Z586" s="171"/>
      <c r="AA586" s="171"/>
      <c r="AB586" s="171"/>
      <c r="AC586" s="170"/>
      <c r="AD586" s="170"/>
      <c r="AE586" s="170"/>
      <c r="AF586" s="170"/>
      <c r="AG586" s="170"/>
      <c r="AH586" s="170"/>
      <c r="AI586" s="170"/>
      <c r="AJ586" s="170"/>
      <c r="AK586" s="171"/>
      <c r="AL586" s="171"/>
      <c r="AM586" s="170"/>
      <c r="AN586" s="170"/>
      <c r="AO586" s="170"/>
      <c r="AP586" s="171"/>
      <c r="AQ586" s="171"/>
      <c r="AR586" s="170"/>
      <c r="AS586" s="170"/>
      <c r="AT586" s="170"/>
      <c r="AU586" s="171"/>
      <c r="AV586" s="171"/>
      <c r="AW586" s="171"/>
      <c r="AX586" s="171"/>
      <c r="AY586" s="171"/>
      <c r="AZ586" s="171"/>
      <c r="BA586" s="171"/>
      <c r="BB586" s="171"/>
      <c r="BC586" s="171"/>
      <c r="BD586" s="172"/>
      <c r="BE586" s="172"/>
      <c r="BF586" s="172"/>
      <c r="BG586" s="172"/>
      <c r="BH586" s="172"/>
      <c r="BI586" s="172"/>
      <c r="BJ586" s="172"/>
      <c r="BK586" s="172"/>
      <c r="BL586" s="172"/>
      <c r="BM586" s="172"/>
      <c r="BN586" s="172"/>
      <c r="BO586" s="172"/>
      <c r="BP586" s="172"/>
      <c r="BQ586" s="172"/>
      <c r="BR586" s="172"/>
      <c r="BS586" s="172"/>
    </row>
    <row r="587" spans="1:71" ht="12.5" x14ac:dyDescent="0.25">
      <c r="A587" s="170"/>
      <c r="B587" s="170"/>
      <c r="C587" s="170"/>
      <c r="D587" s="170"/>
      <c r="E587" s="171"/>
      <c r="F587" s="171"/>
      <c r="G587" s="170"/>
      <c r="H587" s="170"/>
      <c r="I587" s="170"/>
      <c r="J587" s="171"/>
      <c r="K587" s="171"/>
      <c r="L587" s="170"/>
      <c r="M587" s="170"/>
      <c r="N587" s="170"/>
      <c r="O587" s="171"/>
      <c r="P587" s="171"/>
      <c r="Q587" s="170"/>
      <c r="R587" s="170"/>
      <c r="S587" s="170"/>
      <c r="T587" s="171"/>
      <c r="U587" s="171"/>
      <c r="V587" s="171"/>
      <c r="W587" s="171"/>
      <c r="X587" s="171"/>
      <c r="Y587" s="171"/>
      <c r="Z587" s="171"/>
      <c r="AA587" s="171"/>
      <c r="AB587" s="171"/>
      <c r="AC587" s="170"/>
      <c r="AD587" s="170"/>
      <c r="AE587" s="170"/>
      <c r="AF587" s="170"/>
      <c r="AG587" s="170"/>
      <c r="AH587" s="170"/>
      <c r="AI587" s="170"/>
      <c r="AJ587" s="170"/>
      <c r="AK587" s="171"/>
      <c r="AL587" s="171"/>
      <c r="AM587" s="170"/>
      <c r="AN587" s="170"/>
      <c r="AO587" s="170"/>
      <c r="AP587" s="171"/>
      <c r="AQ587" s="171"/>
      <c r="AR587" s="170"/>
      <c r="AS587" s="170"/>
      <c r="AT587" s="170"/>
      <c r="AU587" s="171"/>
      <c r="AV587" s="171"/>
      <c r="AW587" s="171"/>
      <c r="AX587" s="171"/>
      <c r="AY587" s="171"/>
      <c r="AZ587" s="171"/>
      <c r="BA587" s="171"/>
      <c r="BB587" s="171"/>
      <c r="BC587" s="171"/>
      <c r="BD587" s="172"/>
      <c r="BE587" s="172"/>
      <c r="BF587" s="172"/>
      <c r="BG587" s="172"/>
      <c r="BH587" s="172"/>
      <c r="BI587" s="172"/>
      <c r="BJ587" s="172"/>
      <c r="BK587" s="172"/>
      <c r="BL587" s="172"/>
      <c r="BM587" s="172"/>
      <c r="BN587" s="172"/>
      <c r="BO587" s="172"/>
      <c r="BP587" s="172"/>
      <c r="BQ587" s="172"/>
      <c r="BR587" s="172"/>
      <c r="BS587" s="172"/>
    </row>
    <row r="588" spans="1:71" ht="12.5" x14ac:dyDescent="0.25">
      <c r="A588" s="170"/>
      <c r="B588" s="170"/>
      <c r="C588" s="170"/>
      <c r="D588" s="170"/>
      <c r="E588" s="171"/>
      <c r="F588" s="171"/>
      <c r="G588" s="170"/>
      <c r="H588" s="170"/>
      <c r="I588" s="170"/>
      <c r="J588" s="171"/>
      <c r="K588" s="171"/>
      <c r="L588" s="170"/>
      <c r="M588" s="170"/>
      <c r="N588" s="170"/>
      <c r="O588" s="171"/>
      <c r="P588" s="171"/>
      <c r="Q588" s="170"/>
      <c r="R588" s="170"/>
      <c r="S588" s="170"/>
      <c r="T588" s="171"/>
      <c r="U588" s="171"/>
      <c r="V588" s="171"/>
      <c r="W588" s="171"/>
      <c r="X588" s="171"/>
      <c r="Y588" s="171"/>
      <c r="Z588" s="171"/>
      <c r="AA588" s="171"/>
      <c r="AB588" s="171"/>
      <c r="AC588" s="170"/>
      <c r="AD588" s="170"/>
      <c r="AE588" s="170"/>
      <c r="AF588" s="170"/>
      <c r="AG588" s="170"/>
      <c r="AH588" s="170"/>
      <c r="AI588" s="170"/>
      <c r="AJ588" s="170"/>
      <c r="AK588" s="171"/>
      <c r="AL588" s="171"/>
      <c r="AM588" s="170"/>
      <c r="AN588" s="170"/>
      <c r="AO588" s="170"/>
      <c r="AP588" s="171"/>
      <c r="AQ588" s="171"/>
      <c r="AR588" s="170"/>
      <c r="AS588" s="170"/>
      <c r="AT588" s="170"/>
      <c r="AU588" s="171"/>
      <c r="AV588" s="171"/>
      <c r="AW588" s="171"/>
      <c r="AX588" s="171"/>
      <c r="AY588" s="171"/>
      <c r="AZ588" s="171"/>
      <c r="BA588" s="171"/>
      <c r="BB588" s="171"/>
      <c r="BC588" s="171"/>
      <c r="BD588" s="172"/>
      <c r="BE588" s="172"/>
      <c r="BF588" s="172"/>
      <c r="BG588" s="172"/>
      <c r="BH588" s="172"/>
      <c r="BI588" s="172"/>
      <c r="BJ588" s="172"/>
      <c r="BK588" s="172"/>
      <c r="BL588" s="172"/>
      <c r="BM588" s="172"/>
      <c r="BN588" s="172"/>
      <c r="BO588" s="172"/>
      <c r="BP588" s="172"/>
      <c r="BQ588" s="172"/>
      <c r="BR588" s="172"/>
      <c r="BS588" s="172"/>
    </row>
    <row r="589" spans="1:71" ht="12.5" x14ac:dyDescent="0.25">
      <c r="A589" s="170"/>
      <c r="B589" s="170"/>
      <c r="C589" s="170"/>
      <c r="D589" s="170"/>
      <c r="E589" s="171"/>
      <c r="F589" s="171"/>
      <c r="G589" s="170"/>
      <c r="H589" s="170"/>
      <c r="I589" s="170"/>
      <c r="J589" s="171"/>
      <c r="K589" s="171"/>
      <c r="L589" s="170"/>
      <c r="M589" s="170"/>
      <c r="N589" s="170"/>
      <c r="O589" s="171"/>
      <c r="P589" s="171"/>
      <c r="Q589" s="170"/>
      <c r="R589" s="170"/>
      <c r="S589" s="170"/>
      <c r="T589" s="171"/>
      <c r="U589" s="171"/>
      <c r="V589" s="171"/>
      <c r="W589" s="171"/>
      <c r="X589" s="171"/>
      <c r="Y589" s="171"/>
      <c r="Z589" s="171"/>
      <c r="AA589" s="171"/>
      <c r="AB589" s="171"/>
      <c r="AC589" s="170"/>
      <c r="AD589" s="170"/>
      <c r="AE589" s="170"/>
      <c r="AF589" s="170"/>
      <c r="AG589" s="170"/>
      <c r="AH589" s="170"/>
      <c r="AI589" s="170"/>
      <c r="AJ589" s="170"/>
      <c r="AK589" s="171"/>
      <c r="AL589" s="171"/>
      <c r="AM589" s="170"/>
      <c r="AN589" s="170"/>
      <c r="AO589" s="170"/>
      <c r="AP589" s="171"/>
      <c r="AQ589" s="171"/>
      <c r="AR589" s="170"/>
      <c r="AS589" s="170"/>
      <c r="AT589" s="170"/>
      <c r="AU589" s="171"/>
      <c r="AV589" s="171"/>
      <c r="AW589" s="171"/>
      <c r="AX589" s="171"/>
      <c r="AY589" s="171"/>
      <c r="AZ589" s="171"/>
      <c r="BA589" s="171"/>
      <c r="BB589" s="171"/>
      <c r="BC589" s="171"/>
      <c r="BD589" s="172"/>
      <c r="BE589" s="172"/>
      <c r="BF589" s="172"/>
      <c r="BG589" s="172"/>
      <c r="BH589" s="172"/>
      <c r="BI589" s="172"/>
      <c r="BJ589" s="172"/>
      <c r="BK589" s="172"/>
      <c r="BL589" s="172"/>
      <c r="BM589" s="172"/>
      <c r="BN589" s="172"/>
      <c r="BO589" s="172"/>
      <c r="BP589" s="172"/>
      <c r="BQ589" s="172"/>
      <c r="BR589" s="172"/>
      <c r="BS589" s="172"/>
    </row>
    <row r="590" spans="1:71" ht="12.5" x14ac:dyDescent="0.25">
      <c r="A590" s="170"/>
      <c r="B590" s="170"/>
      <c r="C590" s="170"/>
      <c r="D590" s="170"/>
      <c r="E590" s="171"/>
      <c r="F590" s="171"/>
      <c r="G590" s="170"/>
      <c r="H590" s="170"/>
      <c r="I590" s="170"/>
      <c r="J590" s="171"/>
      <c r="K590" s="171"/>
      <c r="L590" s="170"/>
      <c r="M590" s="170"/>
      <c r="N590" s="170"/>
      <c r="O590" s="171"/>
      <c r="P590" s="171"/>
      <c r="Q590" s="170"/>
      <c r="R590" s="170"/>
      <c r="S590" s="170"/>
      <c r="T590" s="171"/>
      <c r="U590" s="171"/>
      <c r="V590" s="171"/>
      <c r="W590" s="171"/>
      <c r="X590" s="171"/>
      <c r="Y590" s="171"/>
      <c r="Z590" s="171"/>
      <c r="AA590" s="171"/>
      <c r="AB590" s="171"/>
      <c r="AC590" s="170"/>
      <c r="AD590" s="170"/>
      <c r="AE590" s="170"/>
      <c r="AF590" s="170"/>
      <c r="AG590" s="170"/>
      <c r="AH590" s="170"/>
      <c r="AI590" s="170"/>
      <c r="AJ590" s="170"/>
      <c r="AK590" s="171"/>
      <c r="AL590" s="171"/>
      <c r="AM590" s="170"/>
      <c r="AN590" s="170"/>
      <c r="AO590" s="170"/>
      <c r="AP590" s="171"/>
      <c r="AQ590" s="171"/>
      <c r="AR590" s="170"/>
      <c r="AS590" s="170"/>
      <c r="AT590" s="170"/>
      <c r="AU590" s="171"/>
      <c r="AV590" s="171"/>
      <c r="AW590" s="171"/>
      <c r="AX590" s="171"/>
      <c r="AY590" s="171"/>
      <c r="AZ590" s="171"/>
      <c r="BA590" s="171"/>
      <c r="BB590" s="171"/>
      <c r="BC590" s="171"/>
      <c r="BD590" s="172"/>
      <c r="BE590" s="172"/>
      <c r="BF590" s="172"/>
      <c r="BG590" s="172"/>
      <c r="BH590" s="172"/>
      <c r="BI590" s="172"/>
      <c r="BJ590" s="172"/>
      <c r="BK590" s="172"/>
      <c r="BL590" s="172"/>
      <c r="BM590" s="172"/>
      <c r="BN590" s="172"/>
      <c r="BO590" s="172"/>
      <c r="BP590" s="172"/>
      <c r="BQ590" s="172"/>
      <c r="BR590" s="172"/>
      <c r="BS590" s="172"/>
    </row>
    <row r="591" spans="1:71" ht="12.5" x14ac:dyDescent="0.25">
      <c r="A591" s="170"/>
      <c r="B591" s="170"/>
      <c r="C591" s="170"/>
      <c r="D591" s="170"/>
      <c r="E591" s="171"/>
      <c r="F591" s="171"/>
      <c r="G591" s="170"/>
      <c r="H591" s="170"/>
      <c r="I591" s="170"/>
      <c r="J591" s="171"/>
      <c r="K591" s="171"/>
      <c r="L591" s="170"/>
      <c r="M591" s="170"/>
      <c r="N591" s="170"/>
      <c r="O591" s="171"/>
      <c r="P591" s="171"/>
      <c r="Q591" s="170"/>
      <c r="R591" s="170"/>
      <c r="S591" s="170"/>
      <c r="T591" s="171"/>
      <c r="U591" s="171"/>
      <c r="V591" s="171"/>
      <c r="W591" s="171"/>
      <c r="X591" s="171"/>
      <c r="Y591" s="171"/>
      <c r="Z591" s="171"/>
      <c r="AA591" s="171"/>
      <c r="AB591" s="171"/>
      <c r="AC591" s="170"/>
      <c r="AD591" s="170"/>
      <c r="AE591" s="170"/>
      <c r="AF591" s="170"/>
      <c r="AG591" s="170"/>
      <c r="AH591" s="170"/>
      <c r="AI591" s="170"/>
      <c r="AJ591" s="170"/>
      <c r="AK591" s="171"/>
      <c r="AL591" s="171"/>
      <c r="AM591" s="170"/>
      <c r="AN591" s="170"/>
      <c r="AO591" s="170"/>
      <c r="AP591" s="171"/>
      <c r="AQ591" s="171"/>
      <c r="AR591" s="170"/>
      <c r="AS591" s="170"/>
      <c r="AT591" s="170"/>
      <c r="AU591" s="171"/>
      <c r="AV591" s="171"/>
      <c r="AW591" s="171"/>
      <c r="AX591" s="171"/>
      <c r="AY591" s="171"/>
      <c r="AZ591" s="171"/>
      <c r="BA591" s="171"/>
      <c r="BB591" s="171"/>
      <c r="BC591" s="171"/>
      <c r="BD591" s="172"/>
      <c r="BE591" s="172"/>
      <c r="BF591" s="172"/>
      <c r="BG591" s="172"/>
      <c r="BH591" s="172"/>
      <c r="BI591" s="172"/>
      <c r="BJ591" s="172"/>
      <c r="BK591" s="172"/>
      <c r="BL591" s="172"/>
      <c r="BM591" s="172"/>
      <c r="BN591" s="172"/>
      <c r="BO591" s="172"/>
      <c r="BP591" s="172"/>
      <c r="BQ591" s="172"/>
      <c r="BR591" s="172"/>
      <c r="BS591" s="172"/>
    </row>
    <row r="592" spans="1:71" ht="12.5" x14ac:dyDescent="0.25">
      <c r="A592" s="170"/>
      <c r="B592" s="170"/>
      <c r="C592" s="170"/>
      <c r="D592" s="170"/>
      <c r="E592" s="171"/>
      <c r="F592" s="171"/>
      <c r="G592" s="170"/>
      <c r="H592" s="170"/>
      <c r="I592" s="170"/>
      <c r="J592" s="171"/>
      <c r="K592" s="171"/>
      <c r="L592" s="170"/>
      <c r="M592" s="170"/>
      <c r="N592" s="170"/>
      <c r="O592" s="171"/>
      <c r="P592" s="171"/>
      <c r="Q592" s="170"/>
      <c r="R592" s="170"/>
      <c r="S592" s="170"/>
      <c r="T592" s="171"/>
      <c r="U592" s="171"/>
      <c r="V592" s="171"/>
      <c r="W592" s="171"/>
      <c r="X592" s="171"/>
      <c r="Y592" s="171"/>
      <c r="Z592" s="171"/>
      <c r="AA592" s="171"/>
      <c r="AB592" s="171"/>
      <c r="AC592" s="170"/>
      <c r="AD592" s="170"/>
      <c r="AE592" s="170"/>
      <c r="AF592" s="170"/>
      <c r="AG592" s="170"/>
      <c r="AH592" s="170"/>
      <c r="AI592" s="170"/>
      <c r="AJ592" s="170"/>
      <c r="AK592" s="171"/>
      <c r="AL592" s="171"/>
      <c r="AM592" s="170"/>
      <c r="AN592" s="170"/>
      <c r="AO592" s="170"/>
      <c r="AP592" s="171"/>
      <c r="AQ592" s="171"/>
      <c r="AR592" s="170"/>
      <c r="AS592" s="170"/>
      <c r="AT592" s="170"/>
      <c r="AU592" s="171"/>
      <c r="AV592" s="171"/>
      <c r="AW592" s="171"/>
      <c r="AX592" s="171"/>
      <c r="AY592" s="171"/>
      <c r="AZ592" s="171"/>
      <c r="BA592" s="171"/>
      <c r="BB592" s="171"/>
      <c r="BC592" s="171"/>
      <c r="BD592" s="172"/>
      <c r="BE592" s="172"/>
      <c r="BF592" s="172"/>
      <c r="BG592" s="172"/>
      <c r="BH592" s="172"/>
      <c r="BI592" s="172"/>
      <c r="BJ592" s="172"/>
      <c r="BK592" s="172"/>
      <c r="BL592" s="172"/>
      <c r="BM592" s="172"/>
      <c r="BN592" s="172"/>
      <c r="BO592" s="172"/>
      <c r="BP592" s="172"/>
      <c r="BQ592" s="172"/>
      <c r="BR592" s="172"/>
      <c r="BS592" s="172"/>
    </row>
    <row r="593" spans="1:71" ht="12.5" x14ac:dyDescent="0.25">
      <c r="A593" s="170"/>
      <c r="B593" s="170"/>
      <c r="C593" s="170"/>
      <c r="D593" s="170"/>
      <c r="E593" s="171"/>
      <c r="F593" s="171"/>
      <c r="G593" s="170"/>
      <c r="H593" s="170"/>
      <c r="I593" s="170"/>
      <c r="J593" s="171"/>
      <c r="K593" s="171"/>
      <c r="L593" s="170"/>
      <c r="M593" s="170"/>
      <c r="N593" s="170"/>
      <c r="O593" s="171"/>
      <c r="P593" s="171"/>
      <c r="Q593" s="170"/>
      <c r="R593" s="170"/>
      <c r="S593" s="170"/>
      <c r="T593" s="171"/>
      <c r="U593" s="171"/>
      <c r="V593" s="171"/>
      <c r="W593" s="171"/>
      <c r="X593" s="171"/>
      <c r="Y593" s="171"/>
      <c r="Z593" s="171"/>
      <c r="AA593" s="171"/>
      <c r="AB593" s="171"/>
      <c r="AC593" s="170"/>
      <c r="AD593" s="170"/>
      <c r="AE593" s="170"/>
      <c r="AF593" s="170"/>
      <c r="AG593" s="170"/>
      <c r="AH593" s="170"/>
      <c r="AI593" s="170"/>
      <c r="AJ593" s="170"/>
      <c r="AK593" s="171"/>
      <c r="AL593" s="171"/>
      <c r="AM593" s="170"/>
      <c r="AN593" s="170"/>
      <c r="AO593" s="170"/>
      <c r="AP593" s="171"/>
      <c r="AQ593" s="171"/>
      <c r="AR593" s="170"/>
      <c r="AS593" s="170"/>
      <c r="AT593" s="170"/>
      <c r="AU593" s="171"/>
      <c r="AV593" s="171"/>
      <c r="AW593" s="171"/>
      <c r="AX593" s="171"/>
      <c r="AY593" s="171"/>
      <c r="AZ593" s="171"/>
      <c r="BA593" s="171"/>
      <c r="BB593" s="171"/>
      <c r="BC593" s="171"/>
      <c r="BD593" s="172"/>
      <c r="BE593" s="172"/>
      <c r="BF593" s="172"/>
      <c r="BG593" s="172"/>
      <c r="BH593" s="172"/>
      <c r="BI593" s="172"/>
      <c r="BJ593" s="172"/>
      <c r="BK593" s="172"/>
      <c r="BL593" s="172"/>
      <c r="BM593" s="172"/>
      <c r="BN593" s="172"/>
      <c r="BO593" s="172"/>
      <c r="BP593" s="172"/>
      <c r="BQ593" s="172"/>
      <c r="BR593" s="172"/>
      <c r="BS593" s="172"/>
    </row>
    <row r="594" spans="1:71" ht="12.5" x14ac:dyDescent="0.25">
      <c r="A594" s="170"/>
      <c r="B594" s="170"/>
      <c r="C594" s="170"/>
      <c r="D594" s="170"/>
      <c r="E594" s="171"/>
      <c r="F594" s="171"/>
      <c r="G594" s="170"/>
      <c r="H594" s="170"/>
      <c r="I594" s="170"/>
      <c r="J594" s="171"/>
      <c r="K594" s="171"/>
      <c r="L594" s="170"/>
      <c r="M594" s="170"/>
      <c r="N594" s="170"/>
      <c r="O594" s="171"/>
      <c r="P594" s="171"/>
      <c r="Q594" s="170"/>
      <c r="R594" s="170"/>
      <c r="S594" s="170"/>
      <c r="T594" s="171"/>
      <c r="U594" s="171"/>
      <c r="V594" s="171"/>
      <c r="W594" s="171"/>
      <c r="X594" s="171"/>
      <c r="Y594" s="171"/>
      <c r="Z594" s="171"/>
      <c r="AA594" s="171"/>
      <c r="AB594" s="171"/>
      <c r="AC594" s="170"/>
      <c r="AD594" s="170"/>
      <c r="AE594" s="170"/>
      <c r="AF594" s="170"/>
      <c r="AG594" s="170"/>
      <c r="AH594" s="170"/>
      <c r="AI594" s="170"/>
      <c r="AJ594" s="170"/>
      <c r="AK594" s="171"/>
      <c r="AL594" s="171"/>
      <c r="AM594" s="170"/>
      <c r="AN594" s="170"/>
      <c r="AO594" s="170"/>
      <c r="AP594" s="171"/>
      <c r="AQ594" s="171"/>
      <c r="AR594" s="170"/>
      <c r="AS594" s="170"/>
      <c r="AT594" s="170"/>
      <c r="AU594" s="171"/>
      <c r="AV594" s="171"/>
      <c r="AW594" s="171"/>
      <c r="AX594" s="171"/>
      <c r="AY594" s="171"/>
      <c r="AZ594" s="171"/>
      <c r="BA594" s="171"/>
      <c r="BB594" s="171"/>
      <c r="BC594" s="171"/>
      <c r="BD594" s="172"/>
      <c r="BE594" s="172"/>
      <c r="BF594" s="172"/>
      <c r="BG594" s="172"/>
      <c r="BH594" s="172"/>
      <c r="BI594" s="172"/>
      <c r="BJ594" s="172"/>
      <c r="BK594" s="172"/>
      <c r="BL594" s="172"/>
      <c r="BM594" s="172"/>
      <c r="BN594" s="172"/>
      <c r="BO594" s="172"/>
      <c r="BP594" s="172"/>
      <c r="BQ594" s="172"/>
      <c r="BR594" s="172"/>
      <c r="BS594" s="172"/>
    </row>
    <row r="595" spans="1:71" ht="12.5" x14ac:dyDescent="0.25">
      <c r="A595" s="170"/>
      <c r="B595" s="170"/>
      <c r="C595" s="170"/>
      <c r="D595" s="170"/>
      <c r="E595" s="171"/>
      <c r="F595" s="171"/>
      <c r="G595" s="170"/>
      <c r="H595" s="170"/>
      <c r="I595" s="170"/>
      <c r="J595" s="171"/>
      <c r="K595" s="171"/>
      <c r="L595" s="170"/>
      <c r="M595" s="170"/>
      <c r="N595" s="170"/>
      <c r="O595" s="171"/>
      <c r="P595" s="171"/>
      <c r="Q595" s="170"/>
      <c r="R595" s="170"/>
      <c r="S595" s="170"/>
      <c r="T595" s="171"/>
      <c r="U595" s="171"/>
      <c r="V595" s="171"/>
      <c r="W595" s="171"/>
      <c r="X595" s="171"/>
      <c r="Y595" s="171"/>
      <c r="Z595" s="171"/>
      <c r="AA595" s="171"/>
      <c r="AB595" s="171"/>
      <c r="AC595" s="170"/>
      <c r="AD595" s="170"/>
      <c r="AE595" s="170"/>
      <c r="AF595" s="170"/>
      <c r="AG595" s="170"/>
      <c r="AH595" s="170"/>
      <c r="AI595" s="170"/>
      <c r="AJ595" s="170"/>
      <c r="AK595" s="171"/>
      <c r="AL595" s="171"/>
      <c r="AM595" s="170"/>
      <c r="AN595" s="170"/>
      <c r="AO595" s="170"/>
      <c r="AP595" s="171"/>
      <c r="AQ595" s="171"/>
      <c r="AR595" s="170"/>
      <c r="AS595" s="170"/>
      <c r="AT595" s="170"/>
      <c r="AU595" s="171"/>
      <c r="AV595" s="171"/>
      <c r="AW595" s="171"/>
      <c r="AX595" s="171"/>
      <c r="AY595" s="171"/>
      <c r="AZ595" s="171"/>
      <c r="BA595" s="171"/>
      <c r="BB595" s="171"/>
      <c r="BC595" s="171"/>
      <c r="BD595" s="172"/>
      <c r="BE595" s="172"/>
      <c r="BF595" s="172"/>
      <c r="BG595" s="172"/>
      <c r="BH595" s="172"/>
      <c r="BI595" s="172"/>
      <c r="BJ595" s="172"/>
      <c r="BK595" s="172"/>
      <c r="BL595" s="172"/>
      <c r="BM595" s="172"/>
      <c r="BN595" s="172"/>
      <c r="BO595" s="172"/>
      <c r="BP595" s="172"/>
      <c r="BQ595" s="172"/>
      <c r="BR595" s="172"/>
      <c r="BS595" s="172"/>
    </row>
    <row r="596" spans="1:71" ht="12.5" x14ac:dyDescent="0.25">
      <c r="A596" s="170"/>
      <c r="B596" s="170"/>
      <c r="C596" s="170"/>
      <c r="D596" s="170"/>
      <c r="E596" s="171"/>
      <c r="F596" s="171"/>
      <c r="G596" s="170"/>
      <c r="H596" s="170"/>
      <c r="I596" s="170"/>
      <c r="J596" s="171"/>
      <c r="K596" s="171"/>
      <c r="L596" s="170"/>
      <c r="M596" s="170"/>
      <c r="N596" s="170"/>
      <c r="O596" s="171"/>
      <c r="P596" s="171"/>
      <c r="Q596" s="170"/>
      <c r="R596" s="170"/>
      <c r="S596" s="170"/>
      <c r="T596" s="171"/>
      <c r="U596" s="171"/>
      <c r="V596" s="171"/>
      <c r="W596" s="171"/>
      <c r="X596" s="171"/>
      <c r="Y596" s="171"/>
      <c r="Z596" s="171"/>
      <c r="AA596" s="171"/>
      <c r="AB596" s="171"/>
      <c r="AC596" s="170"/>
      <c r="AD596" s="170"/>
      <c r="AE596" s="170"/>
      <c r="AF596" s="170"/>
      <c r="AG596" s="170"/>
      <c r="AH596" s="170"/>
      <c r="AI596" s="170"/>
      <c r="AJ596" s="170"/>
      <c r="AK596" s="171"/>
      <c r="AL596" s="171"/>
      <c r="AM596" s="170"/>
      <c r="AN596" s="170"/>
      <c r="AO596" s="170"/>
      <c r="AP596" s="171"/>
      <c r="AQ596" s="171"/>
      <c r="AR596" s="170"/>
      <c r="AS596" s="170"/>
      <c r="AT596" s="170"/>
      <c r="AU596" s="171"/>
      <c r="AV596" s="171"/>
      <c r="AW596" s="171"/>
      <c r="AX596" s="171"/>
      <c r="AY596" s="171"/>
      <c r="AZ596" s="171"/>
      <c r="BA596" s="171"/>
      <c r="BB596" s="171"/>
      <c r="BC596" s="171"/>
      <c r="BD596" s="172"/>
      <c r="BE596" s="172"/>
      <c r="BF596" s="172"/>
      <c r="BG596" s="172"/>
      <c r="BH596" s="172"/>
      <c r="BI596" s="172"/>
      <c r="BJ596" s="172"/>
      <c r="BK596" s="172"/>
      <c r="BL596" s="172"/>
      <c r="BM596" s="172"/>
      <c r="BN596" s="172"/>
      <c r="BO596" s="172"/>
      <c r="BP596" s="172"/>
      <c r="BQ596" s="172"/>
      <c r="BR596" s="172"/>
      <c r="BS596" s="172"/>
    </row>
    <row r="597" spans="1:71" ht="12.5" x14ac:dyDescent="0.25">
      <c r="A597" s="170"/>
      <c r="B597" s="170"/>
      <c r="C597" s="170"/>
      <c r="D597" s="170"/>
      <c r="E597" s="171"/>
      <c r="F597" s="171"/>
      <c r="G597" s="170"/>
      <c r="H597" s="170"/>
      <c r="I597" s="170"/>
      <c r="J597" s="171"/>
      <c r="K597" s="171"/>
      <c r="L597" s="170"/>
      <c r="M597" s="170"/>
      <c r="N597" s="170"/>
      <c r="O597" s="171"/>
      <c r="P597" s="171"/>
      <c r="Q597" s="170"/>
      <c r="R597" s="170"/>
      <c r="S597" s="170"/>
      <c r="T597" s="171"/>
      <c r="U597" s="171"/>
      <c r="V597" s="171"/>
      <c r="W597" s="171"/>
      <c r="X597" s="171"/>
      <c r="Y597" s="171"/>
      <c r="Z597" s="171"/>
      <c r="AA597" s="171"/>
      <c r="AB597" s="171"/>
      <c r="AC597" s="170"/>
      <c r="AD597" s="170"/>
      <c r="AE597" s="170"/>
      <c r="AF597" s="170"/>
      <c r="AG597" s="170"/>
      <c r="AH597" s="170"/>
      <c r="AI597" s="170"/>
      <c r="AJ597" s="170"/>
      <c r="AK597" s="171"/>
      <c r="AL597" s="171"/>
      <c r="AM597" s="170"/>
      <c r="AN597" s="170"/>
      <c r="AO597" s="170"/>
      <c r="AP597" s="171"/>
      <c r="AQ597" s="171"/>
      <c r="AR597" s="170"/>
      <c r="AS597" s="170"/>
      <c r="AT597" s="170"/>
      <c r="AU597" s="171"/>
      <c r="AV597" s="171"/>
      <c r="AW597" s="171"/>
      <c r="AX597" s="171"/>
      <c r="AY597" s="171"/>
      <c r="AZ597" s="171"/>
      <c r="BA597" s="171"/>
      <c r="BB597" s="171"/>
      <c r="BC597" s="171"/>
      <c r="BD597" s="172"/>
      <c r="BE597" s="172"/>
      <c r="BF597" s="172"/>
      <c r="BG597" s="172"/>
      <c r="BH597" s="172"/>
      <c r="BI597" s="172"/>
      <c r="BJ597" s="172"/>
      <c r="BK597" s="172"/>
      <c r="BL597" s="172"/>
      <c r="BM597" s="172"/>
      <c r="BN597" s="172"/>
      <c r="BO597" s="172"/>
      <c r="BP597" s="172"/>
      <c r="BQ597" s="172"/>
      <c r="BR597" s="172"/>
      <c r="BS597" s="172"/>
    </row>
    <row r="598" spans="1:71" ht="12.5" x14ac:dyDescent="0.25">
      <c r="A598" s="170"/>
      <c r="B598" s="170"/>
      <c r="C598" s="170"/>
      <c r="D598" s="170"/>
      <c r="E598" s="171"/>
      <c r="F598" s="171"/>
      <c r="G598" s="170"/>
      <c r="H598" s="170"/>
      <c r="I598" s="170"/>
      <c r="J598" s="171"/>
      <c r="K598" s="171"/>
      <c r="L598" s="170"/>
      <c r="M598" s="170"/>
      <c r="N598" s="170"/>
      <c r="O598" s="171"/>
      <c r="P598" s="171"/>
      <c r="Q598" s="170"/>
      <c r="R598" s="170"/>
      <c r="S598" s="170"/>
      <c r="T598" s="171"/>
      <c r="U598" s="171"/>
      <c r="V598" s="171"/>
      <c r="W598" s="171"/>
      <c r="X598" s="171"/>
      <c r="Y598" s="171"/>
      <c r="Z598" s="171"/>
      <c r="AA598" s="171"/>
      <c r="AB598" s="171"/>
      <c r="AC598" s="170"/>
      <c r="AD598" s="170"/>
      <c r="AE598" s="170"/>
      <c r="AF598" s="170"/>
      <c r="AG598" s="170"/>
      <c r="AH598" s="170"/>
      <c r="AI598" s="170"/>
      <c r="AJ598" s="170"/>
      <c r="AK598" s="171"/>
      <c r="AL598" s="171"/>
      <c r="AM598" s="170"/>
      <c r="AN598" s="170"/>
      <c r="AO598" s="170"/>
      <c r="AP598" s="171"/>
      <c r="AQ598" s="171"/>
      <c r="AR598" s="170"/>
      <c r="AS598" s="170"/>
      <c r="AT598" s="170"/>
      <c r="AU598" s="171"/>
      <c r="AV598" s="171"/>
      <c r="AW598" s="171"/>
      <c r="AX598" s="171"/>
      <c r="AY598" s="171"/>
      <c r="AZ598" s="171"/>
      <c r="BA598" s="171"/>
      <c r="BB598" s="171"/>
      <c r="BC598" s="171"/>
      <c r="BD598" s="172"/>
      <c r="BE598" s="172"/>
      <c r="BF598" s="172"/>
      <c r="BG598" s="172"/>
      <c r="BH598" s="172"/>
      <c r="BI598" s="172"/>
      <c r="BJ598" s="172"/>
      <c r="BK598" s="172"/>
      <c r="BL598" s="172"/>
      <c r="BM598" s="172"/>
      <c r="BN598" s="172"/>
      <c r="BO598" s="172"/>
      <c r="BP598" s="172"/>
      <c r="BQ598" s="172"/>
      <c r="BR598" s="172"/>
      <c r="BS598" s="172"/>
    </row>
    <row r="599" spans="1:71" ht="12.5" x14ac:dyDescent="0.25">
      <c r="A599" s="170"/>
      <c r="B599" s="170"/>
      <c r="C599" s="170"/>
      <c r="D599" s="170"/>
      <c r="E599" s="171"/>
      <c r="F599" s="171"/>
      <c r="G599" s="170"/>
      <c r="H599" s="170"/>
      <c r="I599" s="170"/>
      <c r="J599" s="171"/>
      <c r="K599" s="171"/>
      <c r="L599" s="170"/>
      <c r="M599" s="170"/>
      <c r="N599" s="170"/>
      <c r="O599" s="171"/>
      <c r="P599" s="171"/>
      <c r="Q599" s="170"/>
      <c r="R599" s="170"/>
      <c r="S599" s="170"/>
      <c r="T599" s="171"/>
      <c r="U599" s="171"/>
      <c r="V599" s="171"/>
      <c r="W599" s="171"/>
      <c r="X599" s="171"/>
      <c r="Y599" s="171"/>
      <c r="Z599" s="171"/>
      <c r="AA599" s="171"/>
      <c r="AB599" s="171"/>
      <c r="AC599" s="170"/>
      <c r="AD599" s="170"/>
      <c r="AE599" s="170"/>
      <c r="AF599" s="170"/>
      <c r="AG599" s="170"/>
      <c r="AH599" s="170"/>
      <c r="AI599" s="170"/>
      <c r="AJ599" s="170"/>
      <c r="AK599" s="171"/>
      <c r="AL599" s="171"/>
      <c r="AM599" s="170"/>
      <c r="AN599" s="170"/>
      <c r="AO599" s="170"/>
      <c r="AP599" s="171"/>
      <c r="AQ599" s="171"/>
      <c r="AR599" s="170"/>
      <c r="AS599" s="170"/>
      <c r="AT599" s="170"/>
      <c r="AU599" s="171"/>
      <c r="AV599" s="171"/>
      <c r="AW599" s="171"/>
      <c r="AX599" s="171"/>
      <c r="AY599" s="171"/>
      <c r="AZ599" s="171"/>
      <c r="BA599" s="171"/>
      <c r="BB599" s="171"/>
      <c r="BC599" s="171"/>
      <c r="BD599" s="172"/>
      <c r="BE599" s="172"/>
      <c r="BF599" s="172"/>
      <c r="BG599" s="172"/>
      <c r="BH599" s="172"/>
      <c r="BI599" s="172"/>
      <c r="BJ599" s="172"/>
      <c r="BK599" s="172"/>
      <c r="BL599" s="172"/>
      <c r="BM599" s="172"/>
      <c r="BN599" s="172"/>
      <c r="BO599" s="172"/>
      <c r="BP599" s="172"/>
      <c r="BQ599" s="172"/>
      <c r="BR599" s="172"/>
      <c r="BS599" s="172"/>
    </row>
    <row r="600" spans="1:71" ht="12.5" x14ac:dyDescent="0.25">
      <c r="A600" s="170"/>
      <c r="B600" s="170"/>
      <c r="C600" s="170"/>
      <c r="D600" s="170"/>
      <c r="E600" s="171"/>
      <c r="F600" s="171"/>
      <c r="G600" s="170"/>
      <c r="H600" s="170"/>
      <c r="I600" s="170"/>
      <c r="J600" s="171"/>
      <c r="K600" s="171"/>
      <c r="L600" s="170"/>
      <c r="M600" s="170"/>
      <c r="N600" s="170"/>
      <c r="O600" s="171"/>
      <c r="P600" s="171"/>
      <c r="Q600" s="170"/>
      <c r="R600" s="170"/>
      <c r="S600" s="170"/>
      <c r="T600" s="171"/>
      <c r="U600" s="171"/>
      <c r="V600" s="171"/>
      <c r="W600" s="171"/>
      <c r="X600" s="171"/>
      <c r="Y600" s="171"/>
      <c r="Z600" s="171"/>
      <c r="AA600" s="171"/>
      <c r="AB600" s="171"/>
      <c r="AC600" s="170"/>
      <c r="AD600" s="170"/>
      <c r="AE600" s="170"/>
      <c r="AF600" s="170"/>
      <c r="AG600" s="170"/>
      <c r="AH600" s="170"/>
      <c r="AI600" s="170"/>
      <c r="AJ600" s="170"/>
      <c r="AK600" s="171"/>
      <c r="AL600" s="171"/>
      <c r="AM600" s="170"/>
      <c r="AN600" s="170"/>
      <c r="AO600" s="170"/>
      <c r="AP600" s="171"/>
      <c r="AQ600" s="171"/>
      <c r="AR600" s="170"/>
      <c r="AS600" s="170"/>
      <c r="AT600" s="170"/>
      <c r="AU600" s="171"/>
      <c r="AV600" s="171"/>
      <c r="AW600" s="171"/>
      <c r="AX600" s="171"/>
      <c r="AY600" s="171"/>
      <c r="AZ600" s="171"/>
      <c r="BA600" s="171"/>
      <c r="BB600" s="171"/>
      <c r="BC600" s="171"/>
      <c r="BD600" s="172"/>
      <c r="BE600" s="172"/>
      <c r="BF600" s="172"/>
      <c r="BG600" s="172"/>
      <c r="BH600" s="172"/>
      <c r="BI600" s="172"/>
      <c r="BJ600" s="172"/>
      <c r="BK600" s="172"/>
      <c r="BL600" s="172"/>
      <c r="BM600" s="172"/>
      <c r="BN600" s="172"/>
      <c r="BO600" s="172"/>
      <c r="BP600" s="172"/>
      <c r="BQ600" s="172"/>
      <c r="BR600" s="172"/>
      <c r="BS600" s="172"/>
    </row>
    <row r="601" spans="1:71" ht="12.5" x14ac:dyDescent="0.25">
      <c r="A601" s="170"/>
      <c r="B601" s="170"/>
      <c r="C601" s="170"/>
      <c r="D601" s="170"/>
      <c r="E601" s="171"/>
      <c r="F601" s="171"/>
      <c r="G601" s="170"/>
      <c r="H601" s="170"/>
      <c r="I601" s="170"/>
      <c r="J601" s="171"/>
      <c r="K601" s="171"/>
      <c r="L601" s="170"/>
      <c r="M601" s="170"/>
      <c r="N601" s="170"/>
      <c r="O601" s="171"/>
      <c r="P601" s="171"/>
      <c r="Q601" s="170"/>
      <c r="R601" s="170"/>
      <c r="S601" s="170"/>
      <c r="T601" s="171"/>
      <c r="U601" s="171"/>
      <c r="V601" s="171"/>
      <c r="W601" s="171"/>
      <c r="X601" s="171"/>
      <c r="Y601" s="171"/>
      <c r="Z601" s="171"/>
      <c r="AA601" s="171"/>
      <c r="AB601" s="171"/>
      <c r="AC601" s="170"/>
      <c r="AD601" s="170"/>
      <c r="AE601" s="170"/>
      <c r="AF601" s="170"/>
      <c r="AG601" s="170"/>
      <c r="AH601" s="170"/>
      <c r="AI601" s="170"/>
      <c r="AJ601" s="170"/>
      <c r="AK601" s="171"/>
      <c r="AL601" s="171"/>
      <c r="AM601" s="170"/>
      <c r="AN601" s="170"/>
      <c r="AO601" s="170"/>
      <c r="AP601" s="171"/>
      <c r="AQ601" s="171"/>
      <c r="AR601" s="170"/>
      <c r="AS601" s="170"/>
      <c r="AT601" s="170"/>
      <c r="AU601" s="171"/>
      <c r="AV601" s="171"/>
      <c r="AW601" s="171"/>
      <c r="AX601" s="171"/>
      <c r="AY601" s="171"/>
      <c r="AZ601" s="171"/>
      <c r="BA601" s="171"/>
      <c r="BB601" s="171"/>
      <c r="BC601" s="171"/>
      <c r="BD601" s="172"/>
      <c r="BE601" s="172"/>
      <c r="BF601" s="172"/>
      <c r="BG601" s="172"/>
      <c r="BH601" s="172"/>
      <c r="BI601" s="172"/>
      <c r="BJ601" s="172"/>
      <c r="BK601" s="172"/>
      <c r="BL601" s="172"/>
      <c r="BM601" s="172"/>
      <c r="BN601" s="172"/>
      <c r="BO601" s="172"/>
      <c r="BP601" s="172"/>
      <c r="BQ601" s="172"/>
      <c r="BR601" s="172"/>
      <c r="BS601" s="172"/>
    </row>
    <row r="602" spans="1:71" ht="12.5" x14ac:dyDescent="0.25">
      <c r="A602" s="170"/>
      <c r="B602" s="170"/>
      <c r="C602" s="170"/>
      <c r="D602" s="170"/>
      <c r="E602" s="171"/>
      <c r="F602" s="171"/>
      <c r="G602" s="170"/>
      <c r="H602" s="170"/>
      <c r="I602" s="170"/>
      <c r="J602" s="171"/>
      <c r="K602" s="171"/>
      <c r="L602" s="170"/>
      <c r="M602" s="170"/>
      <c r="N602" s="170"/>
      <c r="O602" s="171"/>
      <c r="P602" s="171"/>
      <c r="Q602" s="170"/>
      <c r="R602" s="170"/>
      <c r="S602" s="170"/>
      <c r="T602" s="171"/>
      <c r="U602" s="171"/>
      <c r="V602" s="171"/>
      <c r="W602" s="171"/>
      <c r="X602" s="171"/>
      <c r="Y602" s="171"/>
      <c r="Z602" s="171"/>
      <c r="AA602" s="171"/>
      <c r="AB602" s="171"/>
      <c r="AC602" s="170"/>
      <c r="AD602" s="170"/>
      <c r="AE602" s="170"/>
      <c r="AF602" s="170"/>
      <c r="AG602" s="170"/>
      <c r="AH602" s="170"/>
      <c r="AI602" s="170"/>
      <c r="AJ602" s="170"/>
      <c r="AK602" s="171"/>
      <c r="AL602" s="171"/>
      <c r="AM602" s="170"/>
      <c r="AN602" s="170"/>
      <c r="AO602" s="170"/>
      <c r="AP602" s="171"/>
      <c r="AQ602" s="171"/>
      <c r="AR602" s="170"/>
      <c r="AS602" s="170"/>
      <c r="AT602" s="170"/>
      <c r="AU602" s="171"/>
      <c r="AV602" s="171"/>
      <c r="AW602" s="171"/>
      <c r="AX602" s="171"/>
      <c r="AY602" s="171"/>
      <c r="AZ602" s="171"/>
      <c r="BA602" s="171"/>
      <c r="BB602" s="171"/>
      <c r="BC602" s="171"/>
      <c r="BD602" s="172"/>
      <c r="BE602" s="172"/>
      <c r="BF602" s="172"/>
      <c r="BG602" s="172"/>
      <c r="BH602" s="172"/>
      <c r="BI602" s="172"/>
      <c r="BJ602" s="172"/>
      <c r="BK602" s="172"/>
      <c r="BL602" s="172"/>
      <c r="BM602" s="172"/>
      <c r="BN602" s="172"/>
      <c r="BO602" s="172"/>
      <c r="BP602" s="172"/>
      <c r="BQ602" s="172"/>
      <c r="BR602" s="172"/>
      <c r="BS602" s="172"/>
    </row>
    <row r="603" spans="1:71" ht="12.5" x14ac:dyDescent="0.25">
      <c r="A603" s="170"/>
      <c r="B603" s="170"/>
      <c r="C603" s="170"/>
      <c r="D603" s="170"/>
      <c r="E603" s="171"/>
      <c r="F603" s="171"/>
      <c r="G603" s="170"/>
      <c r="H603" s="170"/>
      <c r="I603" s="170"/>
      <c r="J603" s="171"/>
      <c r="K603" s="171"/>
      <c r="L603" s="170"/>
      <c r="M603" s="170"/>
      <c r="N603" s="170"/>
      <c r="O603" s="171"/>
      <c r="P603" s="171"/>
      <c r="Q603" s="170"/>
      <c r="R603" s="170"/>
      <c r="S603" s="170"/>
      <c r="T603" s="171"/>
      <c r="U603" s="171"/>
      <c r="V603" s="171"/>
      <c r="W603" s="171"/>
      <c r="X603" s="171"/>
      <c r="Y603" s="171"/>
      <c r="Z603" s="171"/>
      <c r="AA603" s="171"/>
      <c r="AB603" s="171"/>
      <c r="AC603" s="170"/>
      <c r="AD603" s="170"/>
      <c r="AE603" s="170"/>
      <c r="AF603" s="170"/>
      <c r="AG603" s="170"/>
      <c r="AH603" s="170"/>
      <c r="AI603" s="170"/>
      <c r="AJ603" s="170"/>
      <c r="AK603" s="171"/>
      <c r="AL603" s="171"/>
      <c r="AM603" s="170"/>
      <c r="AN603" s="170"/>
      <c r="AO603" s="170"/>
      <c r="AP603" s="171"/>
      <c r="AQ603" s="171"/>
      <c r="AR603" s="170"/>
      <c r="AS603" s="170"/>
      <c r="AT603" s="170"/>
      <c r="AU603" s="171"/>
      <c r="AV603" s="171"/>
      <c r="AW603" s="171"/>
      <c r="AX603" s="171"/>
      <c r="AY603" s="171"/>
      <c r="AZ603" s="171"/>
      <c r="BA603" s="171"/>
      <c r="BB603" s="171"/>
      <c r="BC603" s="171"/>
      <c r="BD603" s="172"/>
      <c r="BE603" s="172"/>
      <c r="BF603" s="172"/>
      <c r="BG603" s="172"/>
      <c r="BH603" s="172"/>
      <c r="BI603" s="172"/>
      <c r="BJ603" s="172"/>
      <c r="BK603" s="172"/>
      <c r="BL603" s="172"/>
      <c r="BM603" s="172"/>
      <c r="BN603" s="172"/>
      <c r="BO603" s="172"/>
      <c r="BP603" s="172"/>
      <c r="BQ603" s="172"/>
      <c r="BR603" s="172"/>
      <c r="BS603" s="172"/>
    </row>
    <row r="604" spans="1:71" ht="12.5" x14ac:dyDescent="0.25">
      <c r="A604" s="170"/>
      <c r="B604" s="170"/>
      <c r="C604" s="170"/>
      <c r="D604" s="170"/>
      <c r="E604" s="171"/>
      <c r="F604" s="171"/>
      <c r="G604" s="170"/>
      <c r="H604" s="170"/>
      <c r="I604" s="170"/>
      <c r="J604" s="171"/>
      <c r="K604" s="171"/>
      <c r="L604" s="170"/>
      <c r="M604" s="170"/>
      <c r="N604" s="170"/>
      <c r="O604" s="171"/>
      <c r="P604" s="171"/>
      <c r="Q604" s="170"/>
      <c r="R604" s="170"/>
      <c r="S604" s="170"/>
      <c r="T604" s="171"/>
      <c r="U604" s="171"/>
      <c r="V604" s="171"/>
      <c r="W604" s="171"/>
      <c r="X604" s="171"/>
      <c r="Y604" s="171"/>
      <c r="Z604" s="171"/>
      <c r="AA604" s="171"/>
      <c r="AB604" s="171"/>
      <c r="AC604" s="170"/>
      <c r="AD604" s="170"/>
      <c r="AE604" s="170"/>
      <c r="AF604" s="170"/>
      <c r="AG604" s="170"/>
      <c r="AH604" s="170"/>
      <c r="AI604" s="170"/>
      <c r="AJ604" s="170"/>
      <c r="AK604" s="171"/>
      <c r="AL604" s="171"/>
      <c r="AM604" s="170"/>
      <c r="AN604" s="170"/>
      <c r="AO604" s="170"/>
      <c r="AP604" s="171"/>
      <c r="AQ604" s="171"/>
      <c r="AR604" s="170"/>
      <c r="AS604" s="170"/>
      <c r="AT604" s="170"/>
      <c r="AU604" s="171"/>
      <c r="AV604" s="171"/>
      <c r="AW604" s="171"/>
      <c r="AX604" s="171"/>
      <c r="AY604" s="171"/>
      <c r="AZ604" s="171"/>
      <c r="BA604" s="171"/>
      <c r="BB604" s="171"/>
      <c r="BC604" s="171"/>
      <c r="BD604" s="172"/>
      <c r="BE604" s="172"/>
      <c r="BF604" s="172"/>
      <c r="BG604" s="172"/>
      <c r="BH604" s="172"/>
      <c r="BI604" s="172"/>
      <c r="BJ604" s="172"/>
      <c r="BK604" s="172"/>
      <c r="BL604" s="172"/>
      <c r="BM604" s="172"/>
      <c r="BN604" s="172"/>
      <c r="BO604" s="172"/>
      <c r="BP604" s="172"/>
      <c r="BQ604" s="172"/>
      <c r="BR604" s="172"/>
      <c r="BS604" s="172"/>
    </row>
    <row r="605" spans="1:71" ht="12.5" x14ac:dyDescent="0.25">
      <c r="A605" s="170"/>
      <c r="B605" s="170"/>
      <c r="C605" s="170"/>
      <c r="D605" s="170"/>
      <c r="E605" s="171"/>
      <c r="F605" s="171"/>
      <c r="G605" s="170"/>
      <c r="H605" s="170"/>
      <c r="I605" s="170"/>
      <c r="J605" s="171"/>
      <c r="K605" s="171"/>
      <c r="L605" s="170"/>
      <c r="M605" s="170"/>
      <c r="N605" s="170"/>
      <c r="O605" s="171"/>
      <c r="P605" s="171"/>
      <c r="Q605" s="170"/>
      <c r="R605" s="170"/>
      <c r="S605" s="170"/>
      <c r="T605" s="171"/>
      <c r="U605" s="171"/>
      <c r="V605" s="171"/>
      <c r="W605" s="171"/>
      <c r="X605" s="171"/>
      <c r="Y605" s="171"/>
      <c r="Z605" s="171"/>
      <c r="AA605" s="171"/>
      <c r="AB605" s="171"/>
      <c r="AC605" s="170"/>
      <c r="AD605" s="170"/>
      <c r="AE605" s="170"/>
      <c r="AF605" s="170"/>
      <c r="AG605" s="170"/>
      <c r="AH605" s="170"/>
      <c r="AI605" s="170"/>
      <c r="AJ605" s="170"/>
      <c r="AK605" s="171"/>
      <c r="AL605" s="171"/>
      <c r="AM605" s="170"/>
      <c r="AN605" s="170"/>
      <c r="AO605" s="170"/>
      <c r="AP605" s="171"/>
      <c r="AQ605" s="171"/>
      <c r="AR605" s="170"/>
      <c r="AS605" s="170"/>
      <c r="AT605" s="170"/>
      <c r="AU605" s="171"/>
      <c r="AV605" s="171"/>
      <c r="AW605" s="171"/>
      <c r="AX605" s="171"/>
      <c r="AY605" s="171"/>
      <c r="AZ605" s="171"/>
      <c r="BA605" s="171"/>
      <c r="BB605" s="171"/>
      <c r="BC605" s="171"/>
      <c r="BD605" s="172"/>
      <c r="BE605" s="172"/>
      <c r="BF605" s="172"/>
      <c r="BG605" s="172"/>
      <c r="BH605" s="172"/>
      <c r="BI605" s="172"/>
      <c r="BJ605" s="172"/>
      <c r="BK605" s="172"/>
      <c r="BL605" s="172"/>
      <c r="BM605" s="172"/>
      <c r="BN605" s="172"/>
      <c r="BO605" s="172"/>
      <c r="BP605" s="172"/>
      <c r="BQ605" s="172"/>
      <c r="BR605" s="172"/>
      <c r="BS605" s="172"/>
    </row>
    <row r="606" spans="1:71" ht="12.5" x14ac:dyDescent="0.25">
      <c r="A606" s="170"/>
      <c r="B606" s="170"/>
      <c r="C606" s="170"/>
      <c r="D606" s="170"/>
      <c r="E606" s="171"/>
      <c r="F606" s="171"/>
      <c r="G606" s="170"/>
      <c r="H606" s="170"/>
      <c r="I606" s="170"/>
      <c r="J606" s="171"/>
      <c r="K606" s="171"/>
      <c r="L606" s="170"/>
      <c r="M606" s="170"/>
      <c r="N606" s="170"/>
      <c r="O606" s="171"/>
      <c r="P606" s="171"/>
      <c r="Q606" s="170"/>
      <c r="R606" s="170"/>
      <c r="S606" s="170"/>
      <c r="T606" s="171"/>
      <c r="U606" s="171"/>
      <c r="V606" s="171"/>
      <c r="W606" s="171"/>
      <c r="X606" s="171"/>
      <c r="Y606" s="171"/>
      <c r="Z606" s="171"/>
      <c r="AA606" s="171"/>
      <c r="AB606" s="171"/>
      <c r="AC606" s="170"/>
      <c r="AD606" s="170"/>
      <c r="AE606" s="170"/>
      <c r="AF606" s="170"/>
      <c r="AG606" s="170"/>
      <c r="AH606" s="170"/>
      <c r="AI606" s="170"/>
      <c r="AJ606" s="170"/>
      <c r="AK606" s="171"/>
      <c r="AL606" s="171"/>
      <c r="AM606" s="170"/>
      <c r="AN606" s="170"/>
      <c r="AO606" s="170"/>
      <c r="AP606" s="171"/>
      <c r="AQ606" s="171"/>
      <c r="AR606" s="170"/>
      <c r="AS606" s="170"/>
      <c r="AT606" s="170"/>
      <c r="AU606" s="171"/>
      <c r="AV606" s="171"/>
      <c r="AW606" s="171"/>
      <c r="AX606" s="171"/>
      <c r="AY606" s="171"/>
      <c r="AZ606" s="171"/>
      <c r="BA606" s="171"/>
      <c r="BB606" s="171"/>
      <c r="BC606" s="171"/>
      <c r="BD606" s="172"/>
      <c r="BE606" s="172"/>
      <c r="BF606" s="172"/>
      <c r="BG606" s="172"/>
      <c r="BH606" s="172"/>
      <c r="BI606" s="172"/>
      <c r="BJ606" s="172"/>
      <c r="BK606" s="172"/>
      <c r="BL606" s="172"/>
      <c r="BM606" s="172"/>
      <c r="BN606" s="172"/>
      <c r="BO606" s="172"/>
      <c r="BP606" s="172"/>
      <c r="BQ606" s="172"/>
      <c r="BR606" s="172"/>
      <c r="BS606" s="172"/>
    </row>
    <row r="607" spans="1:71" ht="12.5" x14ac:dyDescent="0.25">
      <c r="A607" s="170"/>
      <c r="B607" s="170"/>
      <c r="C607" s="170"/>
      <c r="D607" s="170"/>
      <c r="E607" s="171"/>
      <c r="F607" s="171"/>
      <c r="G607" s="170"/>
      <c r="H607" s="170"/>
      <c r="I607" s="170"/>
      <c r="J607" s="171"/>
      <c r="K607" s="171"/>
      <c r="L607" s="170"/>
      <c r="M607" s="170"/>
      <c r="N607" s="170"/>
      <c r="O607" s="171"/>
      <c r="P607" s="171"/>
      <c r="Q607" s="170"/>
      <c r="R607" s="170"/>
      <c r="S607" s="170"/>
      <c r="T607" s="171"/>
      <c r="U607" s="171"/>
      <c r="V607" s="171"/>
      <c r="W607" s="171"/>
      <c r="X607" s="171"/>
      <c r="Y607" s="171"/>
      <c r="Z607" s="171"/>
      <c r="AA607" s="171"/>
      <c r="AB607" s="171"/>
      <c r="AC607" s="170"/>
      <c r="AD607" s="170"/>
      <c r="AE607" s="170"/>
      <c r="AF607" s="170"/>
      <c r="AG607" s="170"/>
      <c r="AH607" s="170"/>
      <c r="AI607" s="170"/>
      <c r="AJ607" s="170"/>
      <c r="AK607" s="171"/>
      <c r="AL607" s="171"/>
      <c r="AM607" s="170"/>
      <c r="AN607" s="170"/>
      <c r="AO607" s="170"/>
      <c r="AP607" s="171"/>
      <c r="AQ607" s="171"/>
      <c r="AR607" s="170"/>
      <c r="AS607" s="170"/>
      <c r="AT607" s="170"/>
      <c r="AU607" s="171"/>
      <c r="AV607" s="171"/>
      <c r="AW607" s="171"/>
      <c r="AX607" s="171"/>
      <c r="AY607" s="171"/>
      <c r="AZ607" s="171"/>
      <c r="BA607" s="171"/>
      <c r="BB607" s="171"/>
      <c r="BC607" s="171"/>
      <c r="BD607" s="172"/>
      <c r="BE607" s="172"/>
      <c r="BF607" s="172"/>
      <c r="BG607" s="172"/>
      <c r="BH607" s="172"/>
      <c r="BI607" s="172"/>
      <c r="BJ607" s="172"/>
      <c r="BK607" s="172"/>
      <c r="BL607" s="172"/>
      <c r="BM607" s="172"/>
      <c r="BN607" s="172"/>
      <c r="BO607" s="172"/>
      <c r="BP607" s="172"/>
      <c r="BQ607" s="172"/>
      <c r="BR607" s="172"/>
      <c r="BS607" s="172"/>
    </row>
    <row r="608" spans="1:71" ht="12.5" x14ac:dyDescent="0.25">
      <c r="A608" s="170"/>
      <c r="B608" s="170"/>
      <c r="C608" s="170"/>
      <c r="D608" s="170"/>
      <c r="E608" s="171"/>
      <c r="F608" s="171"/>
      <c r="G608" s="170"/>
      <c r="H608" s="170"/>
      <c r="I608" s="170"/>
      <c r="J608" s="171"/>
      <c r="K608" s="171"/>
      <c r="L608" s="170"/>
      <c r="M608" s="170"/>
      <c r="N608" s="170"/>
      <c r="O608" s="171"/>
      <c r="P608" s="171"/>
      <c r="Q608" s="170"/>
      <c r="R608" s="170"/>
      <c r="S608" s="170"/>
      <c r="T608" s="171"/>
      <c r="U608" s="171"/>
      <c r="V608" s="171"/>
      <c r="W608" s="171"/>
      <c r="X608" s="171"/>
      <c r="Y608" s="171"/>
      <c r="Z608" s="171"/>
      <c r="AA608" s="171"/>
      <c r="AB608" s="171"/>
      <c r="AC608" s="170"/>
      <c r="AD608" s="170"/>
      <c r="AE608" s="170"/>
      <c r="AF608" s="170"/>
      <c r="AG608" s="170"/>
      <c r="AH608" s="170"/>
      <c r="AI608" s="170"/>
      <c r="AJ608" s="170"/>
      <c r="AK608" s="171"/>
      <c r="AL608" s="171"/>
      <c r="AM608" s="170"/>
      <c r="AN608" s="170"/>
      <c r="AO608" s="170"/>
      <c r="AP608" s="171"/>
      <c r="AQ608" s="171"/>
      <c r="AR608" s="170"/>
      <c r="AS608" s="170"/>
      <c r="AT608" s="170"/>
      <c r="AU608" s="171"/>
      <c r="AV608" s="171"/>
      <c r="AW608" s="171"/>
      <c r="AX608" s="171"/>
      <c r="AY608" s="171"/>
      <c r="AZ608" s="171"/>
      <c r="BA608" s="171"/>
      <c r="BB608" s="171"/>
      <c r="BC608" s="171"/>
      <c r="BD608" s="172"/>
      <c r="BE608" s="172"/>
      <c r="BF608" s="172"/>
      <c r="BG608" s="172"/>
      <c r="BH608" s="172"/>
      <c r="BI608" s="172"/>
      <c r="BJ608" s="172"/>
      <c r="BK608" s="172"/>
      <c r="BL608" s="172"/>
      <c r="BM608" s="172"/>
      <c r="BN608" s="172"/>
      <c r="BO608" s="172"/>
      <c r="BP608" s="172"/>
      <c r="BQ608" s="172"/>
      <c r="BR608" s="172"/>
      <c r="BS608" s="172"/>
    </row>
    <row r="609" spans="1:71" ht="12.5" x14ac:dyDescent="0.25">
      <c r="A609" s="170"/>
      <c r="B609" s="170"/>
      <c r="C609" s="170"/>
      <c r="D609" s="170"/>
      <c r="E609" s="171"/>
      <c r="F609" s="171"/>
      <c r="G609" s="170"/>
      <c r="H609" s="170"/>
      <c r="I609" s="170"/>
      <c r="J609" s="171"/>
      <c r="K609" s="171"/>
      <c r="L609" s="170"/>
      <c r="M609" s="170"/>
      <c r="N609" s="170"/>
      <c r="O609" s="171"/>
      <c r="P609" s="171"/>
      <c r="Q609" s="170"/>
      <c r="R609" s="170"/>
      <c r="S609" s="170"/>
      <c r="T609" s="171"/>
      <c r="U609" s="171"/>
      <c r="V609" s="171"/>
      <c r="W609" s="171"/>
      <c r="X609" s="171"/>
      <c r="Y609" s="171"/>
      <c r="Z609" s="171"/>
      <c r="AA609" s="171"/>
      <c r="AB609" s="171"/>
      <c r="AC609" s="170"/>
      <c r="AD609" s="170"/>
      <c r="AE609" s="170"/>
      <c r="AF609" s="170"/>
      <c r="AG609" s="170"/>
      <c r="AH609" s="170"/>
      <c r="AI609" s="170"/>
      <c r="AJ609" s="170"/>
      <c r="AK609" s="171"/>
      <c r="AL609" s="171"/>
      <c r="AM609" s="170"/>
      <c r="AN609" s="170"/>
      <c r="AO609" s="170"/>
      <c r="AP609" s="171"/>
      <c r="AQ609" s="171"/>
      <c r="AR609" s="170"/>
      <c r="AS609" s="170"/>
      <c r="AT609" s="170"/>
      <c r="AU609" s="171"/>
      <c r="AV609" s="171"/>
      <c r="AW609" s="171"/>
      <c r="AX609" s="171"/>
      <c r="AY609" s="171"/>
      <c r="AZ609" s="171"/>
      <c r="BA609" s="171"/>
      <c r="BB609" s="171"/>
      <c r="BC609" s="171"/>
      <c r="BD609" s="172"/>
      <c r="BE609" s="172"/>
      <c r="BF609" s="172"/>
      <c r="BG609" s="172"/>
      <c r="BH609" s="172"/>
      <c r="BI609" s="172"/>
      <c r="BJ609" s="172"/>
      <c r="BK609" s="172"/>
      <c r="BL609" s="172"/>
      <c r="BM609" s="172"/>
      <c r="BN609" s="172"/>
      <c r="BO609" s="172"/>
      <c r="BP609" s="172"/>
      <c r="BQ609" s="172"/>
      <c r="BR609" s="172"/>
      <c r="BS609" s="172"/>
    </row>
    <row r="610" spans="1:71" ht="12.5" x14ac:dyDescent="0.25">
      <c r="A610" s="170"/>
      <c r="B610" s="170"/>
      <c r="C610" s="170"/>
      <c r="D610" s="170"/>
      <c r="E610" s="171"/>
      <c r="F610" s="171"/>
      <c r="G610" s="170"/>
      <c r="H610" s="170"/>
      <c r="I610" s="170"/>
      <c r="J610" s="171"/>
      <c r="K610" s="171"/>
      <c r="L610" s="170"/>
      <c r="M610" s="170"/>
      <c r="N610" s="170"/>
      <c r="O610" s="171"/>
      <c r="P610" s="171"/>
      <c r="Q610" s="170"/>
      <c r="R610" s="170"/>
      <c r="S610" s="170"/>
      <c r="T610" s="171"/>
      <c r="U610" s="171"/>
      <c r="V610" s="171"/>
      <c r="W610" s="171"/>
      <c r="X610" s="171"/>
      <c r="Y610" s="171"/>
      <c r="Z610" s="171"/>
      <c r="AA610" s="171"/>
      <c r="AB610" s="171"/>
      <c r="AC610" s="170"/>
      <c r="AD610" s="170"/>
      <c r="AE610" s="170"/>
      <c r="AF610" s="170"/>
      <c r="AG610" s="170"/>
      <c r="AH610" s="170"/>
      <c r="AI610" s="170"/>
      <c r="AJ610" s="170"/>
      <c r="AK610" s="171"/>
      <c r="AL610" s="171"/>
      <c r="AM610" s="170"/>
      <c r="AN610" s="170"/>
      <c r="AO610" s="170"/>
      <c r="AP610" s="171"/>
      <c r="AQ610" s="171"/>
      <c r="AR610" s="170"/>
      <c r="AS610" s="170"/>
      <c r="AT610" s="170"/>
      <c r="AU610" s="171"/>
      <c r="AV610" s="171"/>
      <c r="AW610" s="171"/>
      <c r="AX610" s="171"/>
      <c r="AY610" s="171"/>
      <c r="AZ610" s="171"/>
      <c r="BA610" s="171"/>
      <c r="BB610" s="171"/>
      <c r="BC610" s="171"/>
      <c r="BD610" s="172"/>
      <c r="BE610" s="172"/>
      <c r="BF610" s="172"/>
      <c r="BG610" s="172"/>
      <c r="BH610" s="172"/>
      <c r="BI610" s="172"/>
      <c r="BJ610" s="172"/>
      <c r="BK610" s="172"/>
      <c r="BL610" s="172"/>
      <c r="BM610" s="172"/>
      <c r="BN610" s="172"/>
      <c r="BO610" s="172"/>
      <c r="BP610" s="172"/>
      <c r="BQ610" s="172"/>
      <c r="BR610" s="172"/>
      <c r="BS610" s="172"/>
    </row>
    <row r="611" spans="1:71" ht="12.5" x14ac:dyDescent="0.25">
      <c r="A611" s="170"/>
      <c r="B611" s="170"/>
      <c r="C611" s="170"/>
      <c r="D611" s="170"/>
      <c r="E611" s="171"/>
      <c r="F611" s="171"/>
      <c r="G611" s="170"/>
      <c r="H611" s="170"/>
      <c r="I611" s="170"/>
      <c r="J611" s="171"/>
      <c r="K611" s="171"/>
      <c r="L611" s="170"/>
      <c r="M611" s="170"/>
      <c r="N611" s="170"/>
      <c r="O611" s="171"/>
      <c r="P611" s="171"/>
      <c r="Q611" s="170"/>
      <c r="R611" s="170"/>
      <c r="S611" s="170"/>
      <c r="T611" s="171"/>
      <c r="U611" s="171"/>
      <c r="V611" s="171"/>
      <c r="W611" s="171"/>
      <c r="X611" s="171"/>
      <c r="Y611" s="171"/>
      <c r="Z611" s="171"/>
      <c r="AA611" s="171"/>
      <c r="AB611" s="171"/>
      <c r="AC611" s="170"/>
      <c r="AD611" s="170"/>
      <c r="AE611" s="170"/>
      <c r="AF611" s="170"/>
      <c r="AG611" s="170"/>
      <c r="AH611" s="170"/>
      <c r="AI611" s="170"/>
      <c r="AJ611" s="170"/>
      <c r="AK611" s="171"/>
      <c r="AL611" s="171"/>
      <c r="AM611" s="170"/>
      <c r="AN611" s="170"/>
      <c r="AO611" s="170"/>
      <c r="AP611" s="171"/>
      <c r="AQ611" s="171"/>
      <c r="AR611" s="170"/>
      <c r="AS611" s="170"/>
      <c r="AT611" s="170"/>
      <c r="AU611" s="171"/>
      <c r="AV611" s="171"/>
      <c r="AW611" s="171"/>
      <c r="AX611" s="171"/>
      <c r="AY611" s="171"/>
      <c r="AZ611" s="171"/>
      <c r="BA611" s="171"/>
      <c r="BB611" s="171"/>
      <c r="BC611" s="171"/>
      <c r="BD611" s="172"/>
      <c r="BE611" s="172"/>
      <c r="BF611" s="172"/>
      <c r="BG611" s="172"/>
      <c r="BH611" s="172"/>
      <c r="BI611" s="172"/>
      <c r="BJ611" s="172"/>
      <c r="BK611" s="172"/>
      <c r="BL611" s="172"/>
      <c r="BM611" s="172"/>
      <c r="BN611" s="172"/>
      <c r="BO611" s="172"/>
      <c r="BP611" s="172"/>
      <c r="BQ611" s="172"/>
      <c r="BR611" s="172"/>
      <c r="BS611" s="172"/>
    </row>
    <row r="612" spans="1:71" ht="12.5" x14ac:dyDescent="0.25">
      <c r="A612" s="170"/>
      <c r="B612" s="170"/>
      <c r="C612" s="170"/>
      <c r="D612" s="170"/>
      <c r="E612" s="171"/>
      <c r="F612" s="171"/>
      <c r="G612" s="170"/>
      <c r="H612" s="170"/>
      <c r="I612" s="170"/>
      <c r="J612" s="171"/>
      <c r="K612" s="171"/>
      <c r="L612" s="170"/>
      <c r="M612" s="170"/>
      <c r="N612" s="170"/>
      <c r="O612" s="171"/>
      <c r="P612" s="171"/>
      <c r="Q612" s="170"/>
      <c r="R612" s="170"/>
      <c r="S612" s="170"/>
      <c r="T612" s="171"/>
      <c r="U612" s="171"/>
      <c r="V612" s="171"/>
      <c r="W612" s="171"/>
      <c r="X612" s="171"/>
      <c r="Y612" s="171"/>
      <c r="Z612" s="171"/>
      <c r="AA612" s="171"/>
      <c r="AB612" s="171"/>
      <c r="AC612" s="170"/>
      <c r="AD612" s="170"/>
      <c r="AE612" s="170"/>
      <c r="AF612" s="170"/>
      <c r="AG612" s="170"/>
      <c r="AH612" s="170"/>
      <c r="AI612" s="170"/>
      <c r="AJ612" s="170"/>
      <c r="AK612" s="171"/>
      <c r="AL612" s="171"/>
      <c r="AM612" s="170"/>
      <c r="AN612" s="170"/>
      <c r="AO612" s="170"/>
      <c r="AP612" s="171"/>
      <c r="AQ612" s="171"/>
      <c r="AR612" s="170"/>
      <c r="AS612" s="170"/>
      <c r="AT612" s="170"/>
      <c r="AU612" s="171"/>
      <c r="AV612" s="171"/>
      <c r="AW612" s="171"/>
      <c r="AX612" s="171"/>
      <c r="AY612" s="171"/>
      <c r="AZ612" s="171"/>
      <c r="BA612" s="171"/>
      <c r="BB612" s="171"/>
      <c r="BC612" s="171"/>
      <c r="BD612" s="172"/>
      <c r="BE612" s="172"/>
      <c r="BF612" s="172"/>
      <c r="BG612" s="172"/>
      <c r="BH612" s="172"/>
      <c r="BI612" s="172"/>
      <c r="BJ612" s="172"/>
      <c r="BK612" s="172"/>
      <c r="BL612" s="172"/>
      <c r="BM612" s="172"/>
      <c r="BN612" s="172"/>
      <c r="BO612" s="172"/>
      <c r="BP612" s="172"/>
      <c r="BQ612" s="172"/>
      <c r="BR612" s="172"/>
      <c r="BS612" s="172"/>
    </row>
    <row r="613" spans="1:71" ht="12.5" x14ac:dyDescent="0.25">
      <c r="A613" s="170"/>
      <c r="B613" s="170"/>
      <c r="C613" s="170"/>
      <c r="D613" s="170"/>
      <c r="E613" s="171"/>
      <c r="F613" s="171"/>
      <c r="G613" s="170"/>
      <c r="H613" s="170"/>
      <c r="I613" s="170"/>
      <c r="J613" s="171"/>
      <c r="K613" s="171"/>
      <c r="L613" s="170"/>
      <c r="M613" s="170"/>
      <c r="N613" s="170"/>
      <c r="O613" s="171"/>
      <c r="P613" s="171"/>
      <c r="Q613" s="170"/>
      <c r="R613" s="170"/>
      <c r="S613" s="170"/>
      <c r="T613" s="171"/>
      <c r="U613" s="171"/>
      <c r="V613" s="171"/>
      <c r="W613" s="171"/>
      <c r="X613" s="171"/>
      <c r="Y613" s="171"/>
      <c r="Z613" s="171"/>
      <c r="AA613" s="171"/>
      <c r="AB613" s="171"/>
      <c r="AC613" s="170"/>
      <c r="AD613" s="170"/>
      <c r="AE613" s="170"/>
      <c r="AF613" s="170"/>
      <c r="AG613" s="170"/>
      <c r="AH613" s="170"/>
      <c r="AI613" s="170"/>
      <c r="AJ613" s="170"/>
      <c r="AK613" s="171"/>
      <c r="AL613" s="171"/>
      <c r="AM613" s="170"/>
      <c r="AN613" s="170"/>
      <c r="AO613" s="170"/>
      <c r="AP613" s="171"/>
      <c r="AQ613" s="171"/>
      <c r="AR613" s="170"/>
      <c r="AS613" s="170"/>
      <c r="AT613" s="170"/>
      <c r="AU613" s="171"/>
      <c r="AV613" s="171"/>
      <c r="AW613" s="171"/>
      <c r="AX613" s="171"/>
      <c r="AY613" s="171"/>
      <c r="AZ613" s="171"/>
      <c r="BA613" s="171"/>
      <c r="BB613" s="171"/>
      <c r="BC613" s="171"/>
      <c r="BD613" s="172"/>
      <c r="BE613" s="172"/>
      <c r="BF613" s="172"/>
      <c r="BG613" s="172"/>
      <c r="BH613" s="172"/>
      <c r="BI613" s="172"/>
      <c r="BJ613" s="172"/>
      <c r="BK613" s="172"/>
      <c r="BL613" s="172"/>
      <c r="BM613" s="172"/>
      <c r="BN613" s="172"/>
      <c r="BO613" s="172"/>
      <c r="BP613" s="172"/>
      <c r="BQ613" s="172"/>
      <c r="BR613" s="172"/>
      <c r="BS613" s="172"/>
    </row>
    <row r="614" spans="1:71" ht="12.5" x14ac:dyDescent="0.25">
      <c r="A614" s="170"/>
      <c r="B614" s="170"/>
      <c r="C614" s="170"/>
      <c r="D614" s="170"/>
      <c r="E614" s="171"/>
      <c r="F614" s="171"/>
      <c r="G614" s="170"/>
      <c r="H614" s="170"/>
      <c r="I614" s="170"/>
      <c r="J614" s="171"/>
      <c r="K614" s="171"/>
      <c r="L614" s="170"/>
      <c r="M614" s="170"/>
      <c r="N614" s="170"/>
      <c r="O614" s="171"/>
      <c r="P614" s="171"/>
      <c r="Q614" s="170"/>
      <c r="R614" s="170"/>
      <c r="S614" s="170"/>
      <c r="T614" s="171"/>
      <c r="U614" s="171"/>
      <c r="V614" s="171"/>
      <c r="W614" s="171"/>
      <c r="X614" s="171"/>
      <c r="Y614" s="171"/>
      <c r="Z614" s="171"/>
      <c r="AA614" s="171"/>
      <c r="AB614" s="171"/>
      <c r="AC614" s="170"/>
      <c r="AD614" s="170"/>
      <c r="AE614" s="170"/>
      <c r="AF614" s="170"/>
      <c r="AG614" s="170"/>
      <c r="AH614" s="170"/>
      <c r="AI614" s="170"/>
      <c r="AJ614" s="170"/>
      <c r="AK614" s="171"/>
      <c r="AL614" s="171"/>
      <c r="AM614" s="170"/>
      <c r="AN614" s="170"/>
      <c r="AO614" s="170"/>
      <c r="AP614" s="171"/>
      <c r="AQ614" s="171"/>
      <c r="AR614" s="170"/>
      <c r="AS614" s="170"/>
      <c r="AT614" s="170"/>
      <c r="AU614" s="171"/>
      <c r="AV614" s="171"/>
      <c r="AW614" s="171"/>
      <c r="AX614" s="171"/>
      <c r="AY614" s="171"/>
      <c r="AZ614" s="171"/>
      <c r="BA614" s="171"/>
      <c r="BB614" s="171"/>
      <c r="BC614" s="171"/>
      <c r="BD614" s="172"/>
      <c r="BE614" s="172"/>
      <c r="BF614" s="172"/>
      <c r="BG614" s="172"/>
      <c r="BH614" s="172"/>
      <c r="BI614" s="172"/>
      <c r="BJ614" s="172"/>
      <c r="BK614" s="172"/>
      <c r="BL614" s="172"/>
      <c r="BM614" s="172"/>
      <c r="BN614" s="172"/>
      <c r="BO614" s="172"/>
      <c r="BP614" s="172"/>
      <c r="BQ614" s="172"/>
      <c r="BR614" s="172"/>
      <c r="BS614" s="172"/>
    </row>
    <row r="615" spans="1:71" ht="12.5" x14ac:dyDescent="0.25">
      <c r="A615" s="170"/>
      <c r="B615" s="170"/>
      <c r="C615" s="170"/>
      <c r="D615" s="170"/>
      <c r="E615" s="171"/>
      <c r="F615" s="171"/>
      <c r="G615" s="170"/>
      <c r="H615" s="170"/>
      <c r="I615" s="170"/>
      <c r="J615" s="171"/>
      <c r="K615" s="171"/>
      <c r="L615" s="170"/>
      <c r="M615" s="170"/>
      <c r="N615" s="170"/>
      <c r="O615" s="171"/>
      <c r="P615" s="171"/>
      <c r="Q615" s="170"/>
      <c r="R615" s="170"/>
      <c r="S615" s="170"/>
      <c r="T615" s="171"/>
      <c r="U615" s="171"/>
      <c r="V615" s="171"/>
      <c r="W615" s="171"/>
      <c r="X615" s="171"/>
      <c r="Y615" s="171"/>
      <c r="Z615" s="171"/>
      <c r="AA615" s="171"/>
      <c r="AB615" s="171"/>
      <c r="AC615" s="170"/>
      <c r="AD615" s="170"/>
      <c r="AE615" s="170"/>
      <c r="AF615" s="170"/>
      <c r="AG615" s="170"/>
      <c r="AH615" s="170"/>
      <c r="AI615" s="170"/>
      <c r="AJ615" s="170"/>
      <c r="AK615" s="171"/>
      <c r="AL615" s="171"/>
      <c r="AM615" s="170"/>
      <c r="AN615" s="170"/>
      <c r="AO615" s="170"/>
      <c r="AP615" s="171"/>
      <c r="AQ615" s="171"/>
      <c r="AR615" s="170"/>
      <c r="AS615" s="170"/>
      <c r="AT615" s="170"/>
      <c r="AU615" s="171"/>
      <c r="AV615" s="171"/>
      <c r="AW615" s="171"/>
      <c r="AX615" s="171"/>
      <c r="AY615" s="171"/>
      <c r="AZ615" s="171"/>
      <c r="BA615" s="171"/>
      <c r="BB615" s="171"/>
      <c r="BC615" s="171"/>
      <c r="BD615" s="172"/>
      <c r="BE615" s="172"/>
      <c r="BF615" s="172"/>
      <c r="BG615" s="172"/>
      <c r="BH615" s="172"/>
      <c r="BI615" s="172"/>
      <c r="BJ615" s="172"/>
      <c r="BK615" s="172"/>
      <c r="BL615" s="172"/>
      <c r="BM615" s="172"/>
      <c r="BN615" s="172"/>
      <c r="BO615" s="172"/>
      <c r="BP615" s="172"/>
      <c r="BQ615" s="172"/>
      <c r="BR615" s="172"/>
      <c r="BS615" s="172"/>
    </row>
    <row r="616" spans="1:71" ht="12.5" x14ac:dyDescent="0.25">
      <c r="A616" s="170"/>
      <c r="B616" s="170"/>
      <c r="C616" s="170"/>
      <c r="D616" s="170"/>
      <c r="E616" s="171"/>
      <c r="F616" s="171"/>
      <c r="G616" s="170"/>
      <c r="H616" s="170"/>
      <c r="I616" s="170"/>
      <c r="J616" s="171"/>
      <c r="K616" s="171"/>
      <c r="L616" s="170"/>
      <c r="M616" s="170"/>
      <c r="N616" s="170"/>
      <c r="O616" s="171"/>
      <c r="P616" s="171"/>
      <c r="Q616" s="170"/>
      <c r="R616" s="170"/>
      <c r="S616" s="170"/>
      <c r="T616" s="171"/>
      <c r="U616" s="171"/>
      <c r="V616" s="171"/>
      <c r="W616" s="171"/>
      <c r="X616" s="171"/>
      <c r="Y616" s="171"/>
      <c r="Z616" s="171"/>
      <c r="AA616" s="171"/>
      <c r="AB616" s="171"/>
      <c r="AC616" s="170"/>
      <c r="AD616" s="170"/>
      <c r="AE616" s="170"/>
      <c r="AF616" s="170"/>
      <c r="AG616" s="170"/>
      <c r="AH616" s="170"/>
      <c r="AI616" s="170"/>
      <c r="AJ616" s="170"/>
      <c r="AK616" s="171"/>
      <c r="AL616" s="171"/>
      <c r="AM616" s="170"/>
      <c r="AN616" s="170"/>
      <c r="AO616" s="170"/>
      <c r="AP616" s="171"/>
      <c r="AQ616" s="171"/>
      <c r="AR616" s="170"/>
      <c r="AS616" s="170"/>
      <c r="AT616" s="170"/>
      <c r="AU616" s="171"/>
      <c r="AV616" s="171"/>
      <c r="AW616" s="171"/>
      <c r="AX616" s="171"/>
      <c r="AY616" s="171"/>
      <c r="AZ616" s="171"/>
      <c r="BA616" s="171"/>
      <c r="BB616" s="171"/>
      <c r="BC616" s="171"/>
      <c r="BD616" s="172"/>
      <c r="BE616" s="172"/>
      <c r="BF616" s="172"/>
      <c r="BG616" s="172"/>
      <c r="BH616" s="172"/>
      <c r="BI616" s="172"/>
      <c r="BJ616" s="172"/>
      <c r="BK616" s="172"/>
      <c r="BL616" s="172"/>
      <c r="BM616" s="172"/>
      <c r="BN616" s="172"/>
      <c r="BO616" s="172"/>
      <c r="BP616" s="172"/>
      <c r="BQ616" s="172"/>
      <c r="BR616" s="172"/>
      <c r="BS616" s="172"/>
    </row>
    <row r="617" spans="1:71" ht="12.5" x14ac:dyDescent="0.25">
      <c r="A617" s="170"/>
      <c r="B617" s="170"/>
      <c r="C617" s="170"/>
      <c r="D617" s="170"/>
      <c r="E617" s="171"/>
      <c r="F617" s="171"/>
      <c r="G617" s="170"/>
      <c r="H617" s="170"/>
      <c r="I617" s="170"/>
      <c r="J617" s="171"/>
      <c r="K617" s="171"/>
      <c r="L617" s="170"/>
      <c r="M617" s="170"/>
      <c r="N617" s="170"/>
      <c r="O617" s="171"/>
      <c r="P617" s="171"/>
      <c r="Q617" s="170"/>
      <c r="R617" s="170"/>
      <c r="S617" s="170"/>
      <c r="T617" s="171"/>
      <c r="U617" s="171"/>
      <c r="V617" s="171"/>
      <c r="W617" s="171"/>
      <c r="X617" s="171"/>
      <c r="Y617" s="171"/>
      <c r="Z617" s="171"/>
      <c r="AA617" s="171"/>
      <c r="AB617" s="171"/>
      <c r="AC617" s="170"/>
      <c r="AD617" s="170"/>
      <c r="AE617" s="170"/>
      <c r="AF617" s="170"/>
      <c r="AG617" s="170"/>
      <c r="AH617" s="170"/>
      <c r="AI617" s="170"/>
      <c r="AJ617" s="170"/>
      <c r="AK617" s="171"/>
      <c r="AL617" s="171"/>
      <c r="AM617" s="170"/>
      <c r="AN617" s="170"/>
      <c r="AO617" s="170"/>
      <c r="AP617" s="171"/>
      <c r="AQ617" s="171"/>
      <c r="AR617" s="170"/>
      <c r="AS617" s="170"/>
      <c r="AT617" s="170"/>
      <c r="AU617" s="171"/>
      <c r="AV617" s="171"/>
      <c r="AW617" s="171"/>
      <c r="AX617" s="171"/>
      <c r="AY617" s="171"/>
      <c r="AZ617" s="171"/>
      <c r="BA617" s="171"/>
      <c r="BB617" s="171"/>
      <c r="BC617" s="171"/>
      <c r="BD617" s="172"/>
      <c r="BE617" s="172"/>
      <c r="BF617" s="172"/>
      <c r="BG617" s="172"/>
      <c r="BH617" s="172"/>
      <c r="BI617" s="172"/>
      <c r="BJ617" s="172"/>
      <c r="BK617" s="172"/>
      <c r="BL617" s="172"/>
      <c r="BM617" s="172"/>
      <c r="BN617" s="172"/>
      <c r="BO617" s="172"/>
      <c r="BP617" s="172"/>
      <c r="BQ617" s="172"/>
      <c r="BR617" s="172"/>
      <c r="BS617" s="172"/>
    </row>
    <row r="618" spans="1:71" ht="12.5" x14ac:dyDescent="0.25">
      <c r="A618" s="170"/>
      <c r="B618" s="170"/>
      <c r="C618" s="170"/>
      <c r="D618" s="170"/>
      <c r="E618" s="171"/>
      <c r="F618" s="171"/>
      <c r="G618" s="170"/>
      <c r="H618" s="170"/>
      <c r="I618" s="170"/>
      <c r="J618" s="171"/>
      <c r="K618" s="171"/>
      <c r="L618" s="170"/>
      <c r="M618" s="170"/>
      <c r="N618" s="170"/>
      <c r="O618" s="171"/>
      <c r="P618" s="171"/>
      <c r="Q618" s="170"/>
      <c r="R618" s="170"/>
      <c r="S618" s="170"/>
      <c r="T618" s="171"/>
      <c r="U618" s="171"/>
      <c r="V618" s="171"/>
      <c r="W618" s="171"/>
      <c r="X618" s="171"/>
      <c r="Y618" s="171"/>
      <c r="Z618" s="171"/>
      <c r="AA618" s="171"/>
      <c r="AB618" s="171"/>
      <c r="AC618" s="170"/>
      <c r="AD618" s="170"/>
      <c r="AE618" s="170"/>
      <c r="AF618" s="170"/>
      <c r="AG618" s="170"/>
      <c r="AH618" s="170"/>
      <c r="AI618" s="170"/>
      <c r="AJ618" s="170"/>
      <c r="AK618" s="171"/>
      <c r="AL618" s="171"/>
      <c r="AM618" s="170"/>
      <c r="AN618" s="170"/>
      <c r="AO618" s="170"/>
      <c r="AP618" s="171"/>
      <c r="AQ618" s="171"/>
      <c r="AR618" s="170"/>
      <c r="AS618" s="170"/>
      <c r="AT618" s="170"/>
      <c r="AU618" s="171"/>
      <c r="AV618" s="171"/>
      <c r="AW618" s="171"/>
      <c r="AX618" s="171"/>
      <c r="AY618" s="171"/>
      <c r="AZ618" s="171"/>
      <c r="BA618" s="171"/>
      <c r="BB618" s="171"/>
      <c r="BC618" s="171"/>
      <c r="BD618" s="172"/>
      <c r="BE618" s="172"/>
      <c r="BF618" s="172"/>
      <c r="BG618" s="172"/>
      <c r="BH618" s="172"/>
      <c r="BI618" s="172"/>
      <c r="BJ618" s="172"/>
      <c r="BK618" s="172"/>
      <c r="BL618" s="172"/>
      <c r="BM618" s="172"/>
      <c r="BN618" s="172"/>
      <c r="BO618" s="172"/>
      <c r="BP618" s="172"/>
      <c r="BQ618" s="172"/>
      <c r="BR618" s="172"/>
      <c r="BS618" s="172"/>
    </row>
    <row r="619" spans="1:71" ht="12.5" x14ac:dyDescent="0.25">
      <c r="A619" s="170"/>
      <c r="B619" s="170"/>
      <c r="C619" s="170"/>
      <c r="D619" s="170"/>
      <c r="E619" s="171"/>
      <c r="F619" s="171"/>
      <c r="G619" s="170"/>
      <c r="H619" s="170"/>
      <c r="I619" s="170"/>
      <c r="J619" s="171"/>
      <c r="K619" s="171"/>
      <c r="L619" s="170"/>
      <c r="M619" s="170"/>
      <c r="N619" s="170"/>
      <c r="O619" s="171"/>
      <c r="P619" s="171"/>
      <c r="Q619" s="170"/>
      <c r="R619" s="170"/>
      <c r="S619" s="170"/>
      <c r="T619" s="171"/>
      <c r="U619" s="171"/>
      <c r="V619" s="171"/>
      <c r="W619" s="171"/>
      <c r="X619" s="171"/>
      <c r="Y619" s="171"/>
      <c r="Z619" s="171"/>
      <c r="AA619" s="171"/>
      <c r="AB619" s="171"/>
      <c r="AC619" s="170"/>
      <c r="AD619" s="170"/>
      <c r="AE619" s="170"/>
      <c r="AF619" s="170"/>
      <c r="AG619" s="170"/>
      <c r="AH619" s="170"/>
      <c r="AI619" s="170"/>
      <c r="AJ619" s="170"/>
      <c r="AK619" s="171"/>
      <c r="AL619" s="171"/>
      <c r="AM619" s="170"/>
      <c r="AN619" s="170"/>
      <c r="AO619" s="170"/>
      <c r="AP619" s="171"/>
      <c r="AQ619" s="171"/>
      <c r="AR619" s="170"/>
      <c r="AS619" s="170"/>
      <c r="AT619" s="170"/>
      <c r="AU619" s="171"/>
      <c r="AV619" s="171"/>
      <c r="AW619" s="171"/>
      <c r="AX619" s="171"/>
      <c r="AY619" s="171"/>
      <c r="AZ619" s="171"/>
      <c r="BA619" s="171"/>
      <c r="BB619" s="171"/>
      <c r="BC619" s="171"/>
      <c r="BD619" s="172"/>
      <c r="BE619" s="172"/>
      <c r="BF619" s="172"/>
      <c r="BG619" s="172"/>
      <c r="BH619" s="172"/>
      <c r="BI619" s="172"/>
      <c r="BJ619" s="172"/>
      <c r="BK619" s="172"/>
      <c r="BL619" s="172"/>
      <c r="BM619" s="172"/>
      <c r="BN619" s="172"/>
      <c r="BO619" s="172"/>
      <c r="BP619" s="172"/>
      <c r="BQ619" s="172"/>
      <c r="BR619" s="172"/>
      <c r="BS619" s="172"/>
    </row>
    <row r="620" spans="1:71" ht="12.5" x14ac:dyDescent="0.25">
      <c r="A620" s="170"/>
      <c r="B620" s="170"/>
      <c r="C620" s="170"/>
      <c r="D620" s="170"/>
      <c r="E620" s="171"/>
      <c r="F620" s="171"/>
      <c r="G620" s="170"/>
      <c r="H620" s="170"/>
      <c r="I620" s="170"/>
      <c r="J620" s="171"/>
      <c r="K620" s="171"/>
      <c r="L620" s="170"/>
      <c r="M620" s="170"/>
      <c r="N620" s="170"/>
      <c r="O620" s="171"/>
      <c r="P620" s="171"/>
      <c r="Q620" s="170"/>
      <c r="R620" s="170"/>
      <c r="S620" s="170"/>
      <c r="T620" s="171"/>
      <c r="U620" s="171"/>
      <c r="V620" s="171"/>
      <c r="W620" s="171"/>
      <c r="X620" s="171"/>
      <c r="Y620" s="171"/>
      <c r="Z620" s="171"/>
      <c r="AA620" s="171"/>
      <c r="AB620" s="171"/>
      <c r="AC620" s="170"/>
      <c r="AD620" s="170"/>
      <c r="AE620" s="170"/>
      <c r="AF620" s="170"/>
      <c r="AG620" s="170"/>
      <c r="AH620" s="170"/>
      <c r="AI620" s="170"/>
      <c r="AJ620" s="170"/>
      <c r="AK620" s="171"/>
      <c r="AL620" s="171"/>
      <c r="AM620" s="170"/>
      <c r="AN620" s="170"/>
      <c r="AO620" s="170"/>
      <c r="AP620" s="171"/>
      <c r="AQ620" s="171"/>
      <c r="AR620" s="170"/>
      <c r="AS620" s="170"/>
      <c r="AT620" s="170"/>
      <c r="AU620" s="171"/>
      <c r="AV620" s="171"/>
      <c r="AW620" s="171"/>
      <c r="AX620" s="171"/>
      <c r="AY620" s="171"/>
      <c r="AZ620" s="171"/>
      <c r="BA620" s="171"/>
      <c r="BB620" s="171"/>
      <c r="BC620" s="171"/>
      <c r="BD620" s="172"/>
      <c r="BE620" s="172"/>
      <c r="BF620" s="172"/>
      <c r="BG620" s="172"/>
      <c r="BH620" s="172"/>
      <c r="BI620" s="172"/>
      <c r="BJ620" s="172"/>
      <c r="BK620" s="172"/>
      <c r="BL620" s="172"/>
      <c r="BM620" s="172"/>
      <c r="BN620" s="172"/>
      <c r="BO620" s="172"/>
      <c r="BP620" s="172"/>
      <c r="BQ620" s="172"/>
      <c r="BR620" s="172"/>
      <c r="BS620" s="172"/>
    </row>
    <row r="621" spans="1:71" ht="12.5" x14ac:dyDescent="0.25">
      <c r="A621" s="170"/>
      <c r="B621" s="170"/>
      <c r="C621" s="170"/>
      <c r="D621" s="170"/>
      <c r="E621" s="171"/>
      <c r="F621" s="171"/>
      <c r="G621" s="170"/>
      <c r="H621" s="170"/>
      <c r="I621" s="170"/>
      <c r="J621" s="171"/>
      <c r="K621" s="171"/>
      <c r="L621" s="170"/>
      <c r="M621" s="170"/>
      <c r="N621" s="170"/>
      <c r="O621" s="171"/>
      <c r="P621" s="171"/>
      <c r="Q621" s="170"/>
      <c r="R621" s="170"/>
      <c r="S621" s="170"/>
      <c r="T621" s="171"/>
      <c r="U621" s="171"/>
      <c r="V621" s="171"/>
      <c r="W621" s="171"/>
      <c r="X621" s="171"/>
      <c r="Y621" s="171"/>
      <c r="Z621" s="171"/>
      <c r="AA621" s="171"/>
      <c r="AB621" s="171"/>
      <c r="AC621" s="170"/>
      <c r="AD621" s="170"/>
      <c r="AE621" s="170"/>
      <c r="AF621" s="170"/>
      <c r="AG621" s="170"/>
      <c r="AH621" s="170"/>
      <c r="AI621" s="170"/>
      <c r="AJ621" s="170"/>
      <c r="AK621" s="171"/>
      <c r="AL621" s="171"/>
      <c r="AM621" s="170"/>
      <c r="AN621" s="170"/>
      <c r="AO621" s="170"/>
      <c r="AP621" s="171"/>
      <c r="AQ621" s="171"/>
      <c r="AR621" s="170"/>
      <c r="AS621" s="170"/>
      <c r="AT621" s="170"/>
      <c r="AU621" s="171"/>
      <c r="AV621" s="171"/>
      <c r="AW621" s="171"/>
      <c r="AX621" s="171"/>
      <c r="AY621" s="171"/>
      <c r="AZ621" s="171"/>
      <c r="BA621" s="171"/>
      <c r="BB621" s="171"/>
      <c r="BC621" s="171"/>
      <c r="BD621" s="172"/>
      <c r="BE621" s="172"/>
      <c r="BF621" s="172"/>
      <c r="BG621" s="172"/>
      <c r="BH621" s="172"/>
      <c r="BI621" s="172"/>
      <c r="BJ621" s="172"/>
      <c r="BK621" s="172"/>
      <c r="BL621" s="172"/>
      <c r="BM621" s="172"/>
      <c r="BN621" s="172"/>
      <c r="BO621" s="172"/>
      <c r="BP621" s="172"/>
      <c r="BQ621" s="172"/>
      <c r="BR621" s="172"/>
      <c r="BS621" s="172"/>
    </row>
    <row r="622" spans="1:71" ht="12.5" x14ac:dyDescent="0.25">
      <c r="A622" s="170"/>
      <c r="B622" s="170"/>
      <c r="C622" s="170"/>
      <c r="D622" s="170"/>
      <c r="E622" s="171"/>
      <c r="F622" s="171"/>
      <c r="G622" s="170"/>
      <c r="H622" s="170"/>
      <c r="I622" s="170"/>
      <c r="J622" s="171"/>
      <c r="K622" s="171"/>
      <c r="L622" s="170"/>
      <c r="M622" s="170"/>
      <c r="N622" s="170"/>
      <c r="O622" s="171"/>
      <c r="P622" s="171"/>
      <c r="Q622" s="170"/>
      <c r="R622" s="170"/>
      <c r="S622" s="170"/>
      <c r="T622" s="171"/>
      <c r="U622" s="171"/>
      <c r="V622" s="171"/>
      <c r="W622" s="171"/>
      <c r="X622" s="171"/>
      <c r="Y622" s="171"/>
      <c r="Z622" s="171"/>
      <c r="AA622" s="171"/>
      <c r="AB622" s="171"/>
      <c r="AC622" s="170"/>
      <c r="AD622" s="170"/>
      <c r="AE622" s="170"/>
      <c r="AF622" s="170"/>
      <c r="AG622" s="170"/>
      <c r="AH622" s="170"/>
      <c r="AI622" s="170"/>
      <c r="AJ622" s="170"/>
      <c r="AK622" s="171"/>
      <c r="AL622" s="171"/>
      <c r="AM622" s="170"/>
      <c r="AN622" s="170"/>
      <c r="AO622" s="170"/>
      <c r="AP622" s="171"/>
      <c r="AQ622" s="171"/>
      <c r="AR622" s="170"/>
      <c r="AS622" s="170"/>
      <c r="AT622" s="170"/>
      <c r="AU622" s="171"/>
      <c r="AV622" s="171"/>
      <c r="AW622" s="171"/>
      <c r="AX622" s="171"/>
      <c r="AY622" s="171"/>
      <c r="AZ622" s="171"/>
      <c r="BA622" s="171"/>
      <c r="BB622" s="171"/>
      <c r="BC622" s="171"/>
      <c r="BD622" s="172"/>
      <c r="BE622" s="172"/>
      <c r="BF622" s="172"/>
      <c r="BG622" s="172"/>
      <c r="BH622" s="172"/>
      <c r="BI622" s="172"/>
      <c r="BJ622" s="172"/>
      <c r="BK622" s="172"/>
      <c r="BL622" s="172"/>
      <c r="BM622" s="172"/>
      <c r="BN622" s="172"/>
      <c r="BO622" s="172"/>
      <c r="BP622" s="172"/>
      <c r="BQ622" s="172"/>
      <c r="BR622" s="172"/>
      <c r="BS622" s="172"/>
    </row>
    <row r="623" spans="1:71" ht="12.5" x14ac:dyDescent="0.25">
      <c r="A623" s="170"/>
      <c r="B623" s="170"/>
      <c r="C623" s="170"/>
      <c r="D623" s="170"/>
      <c r="E623" s="171"/>
      <c r="F623" s="171"/>
      <c r="G623" s="170"/>
      <c r="H623" s="170"/>
      <c r="I623" s="170"/>
      <c r="J623" s="171"/>
      <c r="K623" s="171"/>
      <c r="L623" s="170"/>
      <c r="M623" s="170"/>
      <c r="N623" s="170"/>
      <c r="O623" s="171"/>
      <c r="P623" s="171"/>
      <c r="Q623" s="170"/>
      <c r="R623" s="170"/>
      <c r="S623" s="170"/>
      <c r="T623" s="171"/>
      <c r="U623" s="171"/>
      <c r="V623" s="171"/>
      <c r="W623" s="171"/>
      <c r="X623" s="171"/>
      <c r="Y623" s="171"/>
      <c r="Z623" s="171"/>
      <c r="AA623" s="171"/>
      <c r="AB623" s="171"/>
      <c r="AC623" s="170"/>
      <c r="AD623" s="170"/>
      <c r="AE623" s="170"/>
      <c r="AF623" s="170"/>
      <c r="AG623" s="170"/>
      <c r="AH623" s="170"/>
      <c r="AI623" s="170"/>
      <c r="AJ623" s="170"/>
      <c r="AK623" s="171"/>
      <c r="AL623" s="171"/>
      <c r="AM623" s="170"/>
      <c r="AN623" s="170"/>
      <c r="AO623" s="170"/>
      <c r="AP623" s="171"/>
      <c r="AQ623" s="171"/>
      <c r="AR623" s="170"/>
      <c r="AS623" s="170"/>
      <c r="AT623" s="170"/>
      <c r="AU623" s="171"/>
      <c r="AV623" s="171"/>
      <c r="AW623" s="171"/>
      <c r="AX623" s="171"/>
      <c r="AY623" s="171"/>
      <c r="AZ623" s="171"/>
      <c r="BA623" s="171"/>
      <c r="BB623" s="171"/>
      <c r="BC623" s="171"/>
      <c r="BD623" s="172"/>
      <c r="BE623" s="172"/>
      <c r="BF623" s="172"/>
      <c r="BG623" s="172"/>
      <c r="BH623" s="172"/>
      <c r="BI623" s="172"/>
      <c r="BJ623" s="172"/>
      <c r="BK623" s="172"/>
      <c r="BL623" s="172"/>
      <c r="BM623" s="172"/>
      <c r="BN623" s="172"/>
      <c r="BO623" s="172"/>
      <c r="BP623" s="172"/>
      <c r="BQ623" s="172"/>
      <c r="BR623" s="172"/>
      <c r="BS623" s="172"/>
    </row>
    <row r="624" spans="1:71" ht="12.5" x14ac:dyDescent="0.25">
      <c r="A624" s="170"/>
      <c r="B624" s="170"/>
      <c r="C624" s="170"/>
      <c r="D624" s="170"/>
      <c r="E624" s="171"/>
      <c r="F624" s="171"/>
      <c r="G624" s="170"/>
      <c r="H624" s="170"/>
      <c r="I624" s="170"/>
      <c r="J624" s="171"/>
      <c r="K624" s="171"/>
      <c r="L624" s="170"/>
      <c r="M624" s="170"/>
      <c r="N624" s="170"/>
      <c r="O624" s="171"/>
      <c r="P624" s="171"/>
      <c r="Q624" s="170"/>
      <c r="R624" s="170"/>
      <c r="S624" s="170"/>
      <c r="T624" s="171"/>
      <c r="U624" s="171"/>
      <c r="V624" s="171"/>
      <c r="W624" s="171"/>
      <c r="X624" s="171"/>
      <c r="Y624" s="171"/>
      <c r="Z624" s="171"/>
      <c r="AA624" s="171"/>
      <c r="AB624" s="171"/>
      <c r="AC624" s="170"/>
      <c r="AD624" s="170"/>
      <c r="AE624" s="170"/>
      <c r="AF624" s="170"/>
      <c r="AG624" s="170"/>
      <c r="AH624" s="170"/>
      <c r="AI624" s="170"/>
      <c r="AJ624" s="170"/>
      <c r="AK624" s="171"/>
      <c r="AL624" s="171"/>
      <c r="AM624" s="170"/>
      <c r="AN624" s="170"/>
      <c r="AO624" s="170"/>
      <c r="AP624" s="171"/>
      <c r="AQ624" s="171"/>
      <c r="AR624" s="170"/>
      <c r="AS624" s="170"/>
      <c r="AT624" s="170"/>
      <c r="AU624" s="171"/>
      <c r="AV624" s="171"/>
      <c r="AW624" s="171"/>
      <c r="AX624" s="171"/>
      <c r="AY624" s="171"/>
      <c r="AZ624" s="171"/>
      <c r="BA624" s="171"/>
      <c r="BB624" s="171"/>
      <c r="BC624" s="171"/>
      <c r="BD624" s="172"/>
      <c r="BE624" s="172"/>
      <c r="BF624" s="172"/>
      <c r="BG624" s="172"/>
      <c r="BH624" s="172"/>
      <c r="BI624" s="172"/>
      <c r="BJ624" s="172"/>
      <c r="BK624" s="172"/>
      <c r="BL624" s="172"/>
      <c r="BM624" s="172"/>
      <c r="BN624" s="172"/>
      <c r="BO624" s="172"/>
      <c r="BP624" s="172"/>
      <c r="BQ624" s="172"/>
      <c r="BR624" s="172"/>
      <c r="BS624" s="172"/>
    </row>
    <row r="625" spans="1:71" ht="12.5" x14ac:dyDescent="0.25">
      <c r="A625" s="170"/>
      <c r="B625" s="170"/>
      <c r="C625" s="170"/>
      <c r="D625" s="170"/>
      <c r="E625" s="171"/>
      <c r="F625" s="171"/>
      <c r="G625" s="170"/>
      <c r="H625" s="170"/>
      <c r="I625" s="170"/>
      <c r="J625" s="171"/>
      <c r="K625" s="171"/>
      <c r="L625" s="170"/>
      <c r="M625" s="170"/>
      <c r="N625" s="170"/>
      <c r="O625" s="171"/>
      <c r="P625" s="171"/>
      <c r="Q625" s="170"/>
      <c r="R625" s="170"/>
      <c r="S625" s="170"/>
      <c r="T625" s="171"/>
      <c r="U625" s="171"/>
      <c r="V625" s="171"/>
      <c r="W625" s="171"/>
      <c r="X625" s="171"/>
      <c r="Y625" s="171"/>
      <c r="Z625" s="171"/>
      <c r="AA625" s="171"/>
      <c r="AB625" s="171"/>
      <c r="AC625" s="170"/>
      <c r="AD625" s="170"/>
      <c r="AE625" s="170"/>
      <c r="AF625" s="170"/>
      <c r="AG625" s="170"/>
      <c r="AH625" s="170"/>
      <c r="AI625" s="170"/>
      <c r="AJ625" s="170"/>
      <c r="AK625" s="171"/>
      <c r="AL625" s="171"/>
      <c r="AM625" s="170"/>
      <c r="AN625" s="170"/>
      <c r="AO625" s="170"/>
      <c r="AP625" s="171"/>
      <c r="AQ625" s="171"/>
      <c r="AR625" s="170"/>
      <c r="AS625" s="170"/>
      <c r="AT625" s="170"/>
      <c r="AU625" s="171"/>
      <c r="AV625" s="171"/>
      <c r="AW625" s="171"/>
      <c r="AX625" s="171"/>
      <c r="AY625" s="171"/>
      <c r="AZ625" s="171"/>
      <c r="BA625" s="171"/>
      <c r="BB625" s="171"/>
      <c r="BC625" s="171"/>
      <c r="BD625" s="172"/>
      <c r="BE625" s="172"/>
      <c r="BF625" s="172"/>
      <c r="BG625" s="172"/>
      <c r="BH625" s="172"/>
      <c r="BI625" s="172"/>
      <c r="BJ625" s="172"/>
      <c r="BK625" s="172"/>
      <c r="BL625" s="172"/>
      <c r="BM625" s="172"/>
      <c r="BN625" s="172"/>
      <c r="BO625" s="172"/>
      <c r="BP625" s="172"/>
      <c r="BQ625" s="172"/>
      <c r="BR625" s="172"/>
      <c r="BS625" s="172"/>
    </row>
    <row r="626" spans="1:71" ht="12.5" x14ac:dyDescent="0.25">
      <c r="A626" s="170"/>
      <c r="B626" s="170"/>
      <c r="C626" s="170"/>
      <c r="D626" s="170"/>
      <c r="E626" s="171"/>
      <c r="F626" s="171"/>
      <c r="G626" s="170"/>
      <c r="H626" s="170"/>
      <c r="I626" s="170"/>
      <c r="J626" s="171"/>
      <c r="K626" s="171"/>
      <c r="L626" s="170"/>
      <c r="M626" s="170"/>
      <c r="N626" s="170"/>
      <c r="O626" s="171"/>
      <c r="P626" s="171"/>
      <c r="Q626" s="170"/>
      <c r="R626" s="170"/>
      <c r="S626" s="170"/>
      <c r="T626" s="171"/>
      <c r="U626" s="171"/>
      <c r="V626" s="171"/>
      <c r="W626" s="171"/>
      <c r="X626" s="171"/>
      <c r="Y626" s="171"/>
      <c r="Z626" s="171"/>
      <c r="AA626" s="171"/>
      <c r="AB626" s="171"/>
      <c r="AC626" s="170"/>
      <c r="AD626" s="170"/>
      <c r="AE626" s="170"/>
      <c r="AF626" s="170"/>
      <c r="AG626" s="170"/>
      <c r="AH626" s="170"/>
      <c r="AI626" s="170"/>
      <c r="AJ626" s="170"/>
      <c r="AK626" s="171"/>
      <c r="AL626" s="171"/>
      <c r="AM626" s="170"/>
      <c r="AN626" s="170"/>
      <c r="AO626" s="170"/>
      <c r="AP626" s="171"/>
      <c r="AQ626" s="171"/>
      <c r="AR626" s="170"/>
      <c r="AS626" s="170"/>
      <c r="AT626" s="170"/>
      <c r="AU626" s="171"/>
      <c r="AV626" s="171"/>
      <c r="AW626" s="171"/>
      <c r="AX626" s="171"/>
      <c r="AY626" s="171"/>
      <c r="AZ626" s="171"/>
      <c r="BA626" s="171"/>
      <c r="BB626" s="171"/>
      <c r="BC626" s="171"/>
      <c r="BD626" s="172"/>
      <c r="BE626" s="172"/>
      <c r="BF626" s="172"/>
      <c r="BG626" s="172"/>
      <c r="BH626" s="172"/>
      <c r="BI626" s="172"/>
      <c r="BJ626" s="172"/>
      <c r="BK626" s="172"/>
      <c r="BL626" s="172"/>
      <c r="BM626" s="172"/>
      <c r="BN626" s="172"/>
      <c r="BO626" s="172"/>
      <c r="BP626" s="172"/>
      <c r="BQ626" s="172"/>
      <c r="BR626" s="172"/>
      <c r="BS626" s="172"/>
    </row>
    <row r="627" spans="1:71" ht="12.5" x14ac:dyDescent="0.25">
      <c r="A627" s="170"/>
      <c r="B627" s="170"/>
      <c r="C627" s="170"/>
      <c r="D627" s="170"/>
      <c r="E627" s="171"/>
      <c r="F627" s="171"/>
      <c r="G627" s="170"/>
      <c r="H627" s="170"/>
      <c r="I627" s="170"/>
      <c r="J627" s="171"/>
      <c r="K627" s="171"/>
      <c r="L627" s="170"/>
      <c r="M627" s="170"/>
      <c r="N627" s="170"/>
      <c r="O627" s="171"/>
      <c r="P627" s="171"/>
      <c r="Q627" s="170"/>
      <c r="R627" s="170"/>
      <c r="S627" s="170"/>
      <c r="T627" s="171"/>
      <c r="U627" s="171"/>
      <c r="V627" s="171"/>
      <c r="W627" s="171"/>
      <c r="X627" s="171"/>
      <c r="Y627" s="171"/>
      <c r="Z627" s="171"/>
      <c r="AA627" s="171"/>
      <c r="AB627" s="171"/>
      <c r="AC627" s="170"/>
      <c r="AD627" s="170"/>
      <c r="AE627" s="170"/>
      <c r="AF627" s="170"/>
      <c r="AG627" s="170"/>
      <c r="AH627" s="170"/>
      <c r="AI627" s="170"/>
      <c r="AJ627" s="170"/>
      <c r="AK627" s="171"/>
      <c r="AL627" s="171"/>
      <c r="AM627" s="170"/>
      <c r="AN627" s="170"/>
      <c r="AO627" s="170"/>
      <c r="AP627" s="171"/>
      <c r="AQ627" s="171"/>
      <c r="AR627" s="170"/>
      <c r="AS627" s="170"/>
      <c r="AT627" s="170"/>
      <c r="AU627" s="171"/>
      <c r="AV627" s="171"/>
      <c r="AW627" s="171"/>
      <c r="AX627" s="171"/>
      <c r="AY627" s="171"/>
      <c r="AZ627" s="171"/>
      <c r="BA627" s="171"/>
      <c r="BB627" s="171"/>
      <c r="BC627" s="171"/>
      <c r="BD627" s="172"/>
      <c r="BE627" s="172"/>
      <c r="BF627" s="172"/>
      <c r="BG627" s="172"/>
      <c r="BH627" s="172"/>
      <c r="BI627" s="172"/>
      <c r="BJ627" s="172"/>
      <c r="BK627" s="172"/>
      <c r="BL627" s="172"/>
      <c r="BM627" s="172"/>
      <c r="BN627" s="172"/>
      <c r="BO627" s="172"/>
      <c r="BP627" s="172"/>
      <c r="BQ627" s="172"/>
      <c r="BR627" s="172"/>
      <c r="BS627" s="172"/>
    </row>
    <row r="628" spans="1:71" ht="12.5" x14ac:dyDescent="0.25">
      <c r="A628" s="170"/>
      <c r="B628" s="170"/>
      <c r="C628" s="170"/>
      <c r="D628" s="170"/>
      <c r="E628" s="171"/>
      <c r="F628" s="171"/>
      <c r="G628" s="170"/>
      <c r="H628" s="170"/>
      <c r="I628" s="170"/>
      <c r="J628" s="171"/>
      <c r="K628" s="171"/>
      <c r="L628" s="170"/>
      <c r="M628" s="170"/>
      <c r="N628" s="170"/>
      <c r="O628" s="171"/>
      <c r="P628" s="171"/>
      <c r="Q628" s="170"/>
      <c r="R628" s="170"/>
      <c r="S628" s="170"/>
      <c r="T628" s="171"/>
      <c r="U628" s="171"/>
      <c r="V628" s="171"/>
      <c r="W628" s="171"/>
      <c r="X628" s="171"/>
      <c r="Y628" s="171"/>
      <c r="Z628" s="171"/>
      <c r="AA628" s="171"/>
      <c r="AB628" s="171"/>
      <c r="AC628" s="170"/>
      <c r="AD628" s="170"/>
      <c r="AE628" s="170"/>
      <c r="AF628" s="170"/>
      <c r="AG628" s="170"/>
      <c r="AH628" s="170"/>
      <c r="AI628" s="170"/>
      <c r="AJ628" s="170"/>
      <c r="AK628" s="171"/>
      <c r="AL628" s="171"/>
      <c r="AM628" s="170"/>
      <c r="AN628" s="170"/>
      <c r="AO628" s="170"/>
      <c r="AP628" s="171"/>
      <c r="AQ628" s="171"/>
      <c r="AR628" s="170"/>
      <c r="AS628" s="170"/>
      <c r="AT628" s="170"/>
      <c r="AU628" s="171"/>
      <c r="AV628" s="171"/>
      <c r="AW628" s="171"/>
      <c r="AX628" s="171"/>
      <c r="AY628" s="171"/>
      <c r="AZ628" s="171"/>
      <c r="BA628" s="171"/>
      <c r="BB628" s="171"/>
      <c r="BC628" s="171"/>
      <c r="BD628" s="172"/>
      <c r="BE628" s="172"/>
      <c r="BF628" s="172"/>
      <c r="BG628" s="172"/>
      <c r="BH628" s="172"/>
      <c r="BI628" s="172"/>
      <c r="BJ628" s="172"/>
      <c r="BK628" s="172"/>
      <c r="BL628" s="172"/>
      <c r="BM628" s="172"/>
      <c r="BN628" s="172"/>
      <c r="BO628" s="172"/>
      <c r="BP628" s="172"/>
      <c r="BQ628" s="172"/>
      <c r="BR628" s="172"/>
      <c r="BS628" s="172"/>
    </row>
    <row r="629" spans="1:71" ht="12.5" x14ac:dyDescent="0.25">
      <c r="A629" s="170"/>
      <c r="B629" s="170"/>
      <c r="C629" s="170"/>
      <c r="D629" s="170"/>
      <c r="E629" s="171"/>
      <c r="F629" s="171"/>
      <c r="G629" s="170"/>
      <c r="H629" s="170"/>
      <c r="I629" s="170"/>
      <c r="J629" s="171"/>
      <c r="K629" s="171"/>
      <c r="L629" s="170"/>
      <c r="M629" s="170"/>
      <c r="N629" s="170"/>
      <c r="O629" s="171"/>
      <c r="P629" s="171"/>
      <c r="Q629" s="170"/>
      <c r="R629" s="170"/>
      <c r="S629" s="170"/>
      <c r="T629" s="171"/>
      <c r="U629" s="171"/>
      <c r="V629" s="171"/>
      <c r="W629" s="171"/>
      <c r="X629" s="171"/>
      <c r="Y629" s="171"/>
      <c r="Z629" s="171"/>
      <c r="AA629" s="171"/>
      <c r="AB629" s="171"/>
      <c r="AC629" s="170"/>
      <c r="AD629" s="170"/>
      <c r="AE629" s="170"/>
      <c r="AF629" s="170"/>
      <c r="AG629" s="170"/>
      <c r="AH629" s="170"/>
      <c r="AI629" s="170"/>
      <c r="AJ629" s="170"/>
      <c r="AK629" s="171"/>
      <c r="AL629" s="171"/>
      <c r="AM629" s="170"/>
      <c r="AN629" s="170"/>
      <c r="AO629" s="170"/>
      <c r="AP629" s="171"/>
      <c r="AQ629" s="171"/>
      <c r="AR629" s="170"/>
      <c r="AS629" s="170"/>
      <c r="AT629" s="170"/>
      <c r="AU629" s="171"/>
      <c r="AV629" s="171"/>
      <c r="AW629" s="171"/>
      <c r="AX629" s="171"/>
      <c r="AY629" s="171"/>
      <c r="AZ629" s="171"/>
      <c r="BA629" s="171"/>
      <c r="BB629" s="171"/>
      <c r="BC629" s="171"/>
      <c r="BD629" s="172"/>
      <c r="BE629" s="172"/>
      <c r="BF629" s="172"/>
      <c r="BG629" s="172"/>
      <c r="BH629" s="172"/>
      <c r="BI629" s="172"/>
      <c r="BJ629" s="172"/>
      <c r="BK629" s="172"/>
      <c r="BL629" s="172"/>
      <c r="BM629" s="172"/>
      <c r="BN629" s="172"/>
      <c r="BO629" s="172"/>
      <c r="BP629" s="172"/>
      <c r="BQ629" s="172"/>
      <c r="BR629" s="172"/>
      <c r="BS629" s="172"/>
    </row>
    <row r="630" spans="1:71" ht="12.5" x14ac:dyDescent="0.25">
      <c r="A630" s="170"/>
      <c r="B630" s="170"/>
      <c r="C630" s="170"/>
      <c r="D630" s="170"/>
      <c r="E630" s="171"/>
      <c r="F630" s="171"/>
      <c r="G630" s="170"/>
      <c r="H630" s="170"/>
      <c r="I630" s="170"/>
      <c r="J630" s="171"/>
      <c r="K630" s="171"/>
      <c r="L630" s="170"/>
      <c r="M630" s="170"/>
      <c r="N630" s="170"/>
      <c r="O630" s="171"/>
      <c r="P630" s="171"/>
      <c r="Q630" s="170"/>
      <c r="R630" s="170"/>
      <c r="S630" s="170"/>
      <c r="T630" s="171"/>
      <c r="U630" s="171"/>
      <c r="V630" s="171"/>
      <c r="W630" s="171"/>
      <c r="X630" s="171"/>
      <c r="Y630" s="171"/>
      <c r="Z630" s="171"/>
      <c r="AA630" s="171"/>
      <c r="AB630" s="171"/>
      <c r="AC630" s="170"/>
      <c r="AD630" s="170"/>
      <c r="AE630" s="170"/>
      <c r="AF630" s="170"/>
      <c r="AG630" s="170"/>
      <c r="AH630" s="170"/>
      <c r="AI630" s="170"/>
      <c r="AJ630" s="170"/>
      <c r="AK630" s="171"/>
      <c r="AL630" s="171"/>
      <c r="AM630" s="170"/>
      <c r="AN630" s="170"/>
      <c r="AO630" s="170"/>
      <c r="AP630" s="171"/>
      <c r="AQ630" s="171"/>
      <c r="AR630" s="170"/>
      <c r="AS630" s="170"/>
      <c r="AT630" s="170"/>
      <c r="AU630" s="171"/>
      <c r="AV630" s="171"/>
      <c r="AW630" s="171"/>
      <c r="AX630" s="171"/>
      <c r="AY630" s="171"/>
      <c r="AZ630" s="171"/>
      <c r="BA630" s="171"/>
      <c r="BB630" s="171"/>
      <c r="BC630" s="171"/>
      <c r="BD630" s="172"/>
      <c r="BE630" s="172"/>
      <c r="BF630" s="172"/>
      <c r="BG630" s="172"/>
      <c r="BH630" s="172"/>
      <c r="BI630" s="172"/>
      <c r="BJ630" s="172"/>
      <c r="BK630" s="172"/>
      <c r="BL630" s="172"/>
      <c r="BM630" s="172"/>
      <c r="BN630" s="172"/>
      <c r="BO630" s="172"/>
      <c r="BP630" s="172"/>
      <c r="BQ630" s="172"/>
      <c r="BR630" s="172"/>
      <c r="BS630" s="172"/>
    </row>
    <row r="631" spans="1:71" ht="12.5" x14ac:dyDescent="0.25">
      <c r="A631" s="170"/>
      <c r="B631" s="170"/>
      <c r="C631" s="170"/>
      <c r="D631" s="170"/>
      <c r="E631" s="171"/>
      <c r="F631" s="171"/>
      <c r="G631" s="170"/>
      <c r="H631" s="170"/>
      <c r="I631" s="170"/>
      <c r="J631" s="171"/>
      <c r="K631" s="171"/>
      <c r="L631" s="170"/>
      <c r="M631" s="170"/>
      <c r="N631" s="170"/>
      <c r="O631" s="171"/>
      <c r="P631" s="171"/>
      <c r="Q631" s="170"/>
      <c r="R631" s="170"/>
      <c r="S631" s="170"/>
      <c r="T631" s="171"/>
      <c r="U631" s="171"/>
      <c r="V631" s="171"/>
      <c r="W631" s="171"/>
      <c r="X631" s="171"/>
      <c r="Y631" s="171"/>
      <c r="Z631" s="171"/>
      <c r="AA631" s="171"/>
      <c r="AB631" s="171"/>
      <c r="AC631" s="170"/>
      <c r="AD631" s="170"/>
      <c r="AE631" s="170"/>
      <c r="AF631" s="170"/>
      <c r="AG631" s="170"/>
      <c r="AH631" s="170"/>
      <c r="AI631" s="170"/>
      <c r="AJ631" s="170"/>
      <c r="AK631" s="171"/>
      <c r="AL631" s="171"/>
      <c r="AM631" s="170"/>
      <c r="AN631" s="170"/>
      <c r="AO631" s="170"/>
      <c r="AP631" s="171"/>
      <c r="AQ631" s="171"/>
      <c r="AR631" s="170"/>
      <c r="AS631" s="170"/>
      <c r="AT631" s="170"/>
      <c r="AU631" s="171"/>
      <c r="AV631" s="171"/>
      <c r="AW631" s="171"/>
      <c r="AX631" s="171"/>
      <c r="AY631" s="171"/>
      <c r="AZ631" s="171"/>
      <c r="BA631" s="171"/>
      <c r="BB631" s="171"/>
      <c r="BC631" s="171"/>
      <c r="BD631" s="172"/>
      <c r="BE631" s="172"/>
      <c r="BF631" s="172"/>
      <c r="BG631" s="172"/>
      <c r="BH631" s="172"/>
      <c r="BI631" s="172"/>
      <c r="BJ631" s="172"/>
      <c r="BK631" s="172"/>
      <c r="BL631" s="172"/>
      <c r="BM631" s="172"/>
      <c r="BN631" s="172"/>
      <c r="BO631" s="172"/>
      <c r="BP631" s="172"/>
      <c r="BQ631" s="172"/>
      <c r="BR631" s="172"/>
      <c r="BS631" s="172"/>
    </row>
    <row r="632" spans="1:71" ht="12.5" x14ac:dyDescent="0.25">
      <c r="A632" s="170"/>
      <c r="B632" s="170"/>
      <c r="C632" s="170"/>
      <c r="D632" s="170"/>
      <c r="E632" s="171"/>
      <c r="F632" s="171"/>
      <c r="G632" s="170"/>
      <c r="H632" s="170"/>
      <c r="I632" s="170"/>
      <c r="J632" s="171"/>
      <c r="K632" s="171"/>
      <c r="L632" s="170"/>
      <c r="M632" s="170"/>
      <c r="N632" s="170"/>
      <c r="O632" s="171"/>
      <c r="P632" s="171"/>
      <c r="Q632" s="170"/>
      <c r="R632" s="170"/>
      <c r="S632" s="170"/>
      <c r="T632" s="171"/>
      <c r="U632" s="171"/>
      <c r="V632" s="171"/>
      <c r="W632" s="171"/>
      <c r="X632" s="171"/>
      <c r="Y632" s="171"/>
      <c r="Z632" s="171"/>
      <c r="AA632" s="171"/>
      <c r="AB632" s="171"/>
      <c r="AC632" s="170"/>
      <c r="AD632" s="170"/>
      <c r="AE632" s="170"/>
      <c r="AF632" s="170"/>
      <c r="AG632" s="170"/>
      <c r="AH632" s="170"/>
      <c r="AI632" s="170"/>
      <c r="AJ632" s="170"/>
      <c r="AK632" s="171"/>
      <c r="AL632" s="171"/>
      <c r="AM632" s="170"/>
      <c r="AN632" s="170"/>
      <c r="AO632" s="170"/>
      <c r="AP632" s="171"/>
      <c r="AQ632" s="171"/>
      <c r="AR632" s="170"/>
      <c r="AS632" s="170"/>
      <c r="AT632" s="170"/>
      <c r="AU632" s="171"/>
      <c r="AV632" s="171"/>
      <c r="AW632" s="171"/>
      <c r="AX632" s="171"/>
      <c r="AY632" s="171"/>
      <c r="AZ632" s="171"/>
      <c r="BA632" s="171"/>
      <c r="BB632" s="171"/>
      <c r="BC632" s="171"/>
      <c r="BD632" s="172"/>
      <c r="BE632" s="172"/>
      <c r="BF632" s="172"/>
      <c r="BG632" s="172"/>
      <c r="BH632" s="172"/>
      <c r="BI632" s="172"/>
      <c r="BJ632" s="172"/>
      <c r="BK632" s="172"/>
      <c r="BL632" s="172"/>
      <c r="BM632" s="172"/>
      <c r="BN632" s="172"/>
      <c r="BO632" s="172"/>
      <c r="BP632" s="172"/>
      <c r="BQ632" s="172"/>
      <c r="BR632" s="172"/>
      <c r="BS632" s="172"/>
    </row>
    <row r="633" spans="1:71" ht="12.5" x14ac:dyDescent="0.25">
      <c r="A633" s="170"/>
      <c r="B633" s="170"/>
      <c r="C633" s="170"/>
      <c r="D633" s="170"/>
      <c r="E633" s="171"/>
      <c r="F633" s="171"/>
      <c r="G633" s="170"/>
      <c r="H633" s="170"/>
      <c r="I633" s="170"/>
      <c r="J633" s="171"/>
      <c r="K633" s="171"/>
      <c r="L633" s="170"/>
      <c r="M633" s="170"/>
      <c r="N633" s="170"/>
      <c r="O633" s="171"/>
      <c r="P633" s="171"/>
      <c r="Q633" s="170"/>
      <c r="R633" s="170"/>
      <c r="S633" s="170"/>
      <c r="T633" s="171"/>
      <c r="U633" s="171"/>
      <c r="V633" s="171"/>
      <c r="W633" s="171"/>
      <c r="X633" s="171"/>
      <c r="Y633" s="171"/>
      <c r="Z633" s="171"/>
      <c r="AA633" s="171"/>
      <c r="AB633" s="171"/>
      <c r="AC633" s="170"/>
      <c r="AD633" s="170"/>
      <c r="AE633" s="170"/>
      <c r="AF633" s="170"/>
      <c r="AG633" s="170"/>
      <c r="AH633" s="170"/>
      <c r="AI633" s="170"/>
      <c r="AJ633" s="170"/>
      <c r="AK633" s="171"/>
      <c r="AL633" s="171"/>
      <c r="AM633" s="170"/>
      <c r="AN633" s="170"/>
      <c r="AO633" s="170"/>
      <c r="AP633" s="171"/>
      <c r="AQ633" s="171"/>
      <c r="AR633" s="170"/>
      <c r="AS633" s="170"/>
      <c r="AT633" s="170"/>
      <c r="AU633" s="171"/>
      <c r="AV633" s="171"/>
      <c r="AW633" s="171"/>
      <c r="AX633" s="171"/>
      <c r="AY633" s="171"/>
      <c r="AZ633" s="171"/>
      <c r="BA633" s="171"/>
      <c r="BB633" s="171"/>
      <c r="BC633" s="171"/>
      <c r="BD633" s="172"/>
      <c r="BE633" s="172"/>
      <c r="BF633" s="172"/>
      <c r="BG633" s="172"/>
      <c r="BH633" s="172"/>
      <c r="BI633" s="172"/>
      <c r="BJ633" s="172"/>
      <c r="BK633" s="172"/>
      <c r="BL633" s="172"/>
      <c r="BM633" s="172"/>
      <c r="BN633" s="172"/>
      <c r="BO633" s="172"/>
      <c r="BP633" s="172"/>
      <c r="BQ633" s="172"/>
      <c r="BR633" s="172"/>
      <c r="BS633" s="172"/>
    </row>
    <row r="634" spans="1:71" ht="12.5" x14ac:dyDescent="0.25">
      <c r="A634" s="170"/>
      <c r="B634" s="170"/>
      <c r="C634" s="170"/>
      <c r="D634" s="170"/>
      <c r="E634" s="171"/>
      <c r="F634" s="171"/>
      <c r="G634" s="170"/>
      <c r="H634" s="170"/>
      <c r="I634" s="170"/>
      <c r="J634" s="171"/>
      <c r="K634" s="171"/>
      <c r="L634" s="170"/>
      <c r="M634" s="170"/>
      <c r="N634" s="170"/>
      <c r="O634" s="171"/>
      <c r="P634" s="171"/>
      <c r="Q634" s="170"/>
      <c r="R634" s="170"/>
      <c r="S634" s="170"/>
      <c r="T634" s="171"/>
      <c r="U634" s="171"/>
      <c r="V634" s="171"/>
      <c r="W634" s="171"/>
      <c r="X634" s="171"/>
      <c r="Y634" s="171"/>
      <c r="Z634" s="171"/>
      <c r="AA634" s="171"/>
      <c r="AB634" s="171"/>
      <c r="AC634" s="170"/>
      <c r="AD634" s="170"/>
      <c r="AE634" s="170"/>
      <c r="AF634" s="170"/>
      <c r="AG634" s="170"/>
      <c r="AH634" s="170"/>
      <c r="AI634" s="170"/>
      <c r="AJ634" s="170"/>
      <c r="AK634" s="171"/>
      <c r="AL634" s="171"/>
      <c r="AM634" s="170"/>
      <c r="AN634" s="170"/>
      <c r="AO634" s="170"/>
      <c r="AP634" s="171"/>
      <c r="AQ634" s="171"/>
      <c r="AR634" s="170"/>
      <c r="AS634" s="170"/>
      <c r="AT634" s="170"/>
      <c r="AU634" s="171"/>
      <c r="AV634" s="171"/>
      <c r="AW634" s="171"/>
      <c r="AX634" s="171"/>
      <c r="AY634" s="171"/>
      <c r="AZ634" s="171"/>
      <c r="BA634" s="171"/>
      <c r="BB634" s="171"/>
      <c r="BC634" s="171"/>
      <c r="BD634" s="172"/>
      <c r="BE634" s="172"/>
      <c r="BF634" s="172"/>
      <c r="BG634" s="172"/>
      <c r="BH634" s="172"/>
      <c r="BI634" s="172"/>
      <c r="BJ634" s="172"/>
      <c r="BK634" s="172"/>
      <c r="BL634" s="172"/>
      <c r="BM634" s="172"/>
      <c r="BN634" s="172"/>
      <c r="BO634" s="172"/>
      <c r="BP634" s="172"/>
      <c r="BQ634" s="172"/>
      <c r="BR634" s="172"/>
      <c r="BS634" s="172"/>
    </row>
    <row r="635" spans="1:71" ht="12.5" x14ac:dyDescent="0.25">
      <c r="A635" s="170"/>
      <c r="B635" s="170"/>
      <c r="C635" s="170"/>
      <c r="D635" s="170"/>
      <c r="E635" s="171"/>
      <c r="F635" s="171"/>
      <c r="G635" s="170"/>
      <c r="H635" s="170"/>
      <c r="I635" s="170"/>
      <c r="J635" s="171"/>
      <c r="K635" s="171"/>
      <c r="L635" s="170"/>
      <c r="M635" s="170"/>
      <c r="N635" s="170"/>
      <c r="O635" s="171"/>
      <c r="P635" s="171"/>
      <c r="Q635" s="170"/>
      <c r="R635" s="170"/>
      <c r="S635" s="170"/>
      <c r="T635" s="171"/>
      <c r="U635" s="171"/>
      <c r="V635" s="171"/>
      <c r="W635" s="171"/>
      <c r="X635" s="171"/>
      <c r="Y635" s="171"/>
      <c r="Z635" s="171"/>
      <c r="AA635" s="171"/>
      <c r="AB635" s="171"/>
      <c r="AC635" s="170"/>
      <c r="AD635" s="170"/>
      <c r="AE635" s="170"/>
      <c r="AF635" s="170"/>
      <c r="AG635" s="170"/>
      <c r="AH635" s="170"/>
      <c r="AI635" s="170"/>
      <c r="AJ635" s="170"/>
      <c r="AK635" s="171"/>
      <c r="AL635" s="171"/>
      <c r="AM635" s="170"/>
      <c r="AN635" s="170"/>
      <c r="AO635" s="170"/>
      <c r="AP635" s="171"/>
      <c r="AQ635" s="171"/>
      <c r="AR635" s="170"/>
      <c r="AS635" s="170"/>
      <c r="AT635" s="170"/>
      <c r="AU635" s="171"/>
      <c r="AV635" s="171"/>
      <c r="AW635" s="171"/>
      <c r="AX635" s="171"/>
      <c r="AY635" s="171"/>
      <c r="AZ635" s="171"/>
      <c r="BA635" s="171"/>
      <c r="BB635" s="171"/>
      <c r="BC635" s="171"/>
      <c r="BD635" s="172"/>
      <c r="BE635" s="172"/>
      <c r="BF635" s="172"/>
      <c r="BG635" s="172"/>
      <c r="BH635" s="172"/>
      <c r="BI635" s="172"/>
      <c r="BJ635" s="172"/>
      <c r="BK635" s="172"/>
      <c r="BL635" s="172"/>
      <c r="BM635" s="172"/>
      <c r="BN635" s="172"/>
      <c r="BO635" s="172"/>
      <c r="BP635" s="172"/>
      <c r="BQ635" s="172"/>
      <c r="BR635" s="172"/>
      <c r="BS635" s="172"/>
    </row>
    <row r="636" spans="1:71" ht="12.5" x14ac:dyDescent="0.25">
      <c r="A636" s="170"/>
      <c r="B636" s="170"/>
      <c r="C636" s="170"/>
      <c r="D636" s="170"/>
      <c r="E636" s="171"/>
      <c r="F636" s="171"/>
      <c r="G636" s="170"/>
      <c r="H636" s="170"/>
      <c r="I636" s="170"/>
      <c r="J636" s="171"/>
      <c r="K636" s="171"/>
      <c r="L636" s="170"/>
      <c r="M636" s="170"/>
      <c r="N636" s="170"/>
      <c r="O636" s="171"/>
      <c r="P636" s="171"/>
      <c r="Q636" s="170"/>
      <c r="R636" s="170"/>
      <c r="S636" s="170"/>
      <c r="T636" s="171"/>
      <c r="U636" s="171"/>
      <c r="V636" s="171"/>
      <c r="W636" s="171"/>
      <c r="X636" s="171"/>
      <c r="Y636" s="171"/>
      <c r="Z636" s="171"/>
      <c r="AA636" s="171"/>
      <c r="AB636" s="171"/>
      <c r="AC636" s="170"/>
      <c r="AD636" s="170"/>
      <c r="AE636" s="170"/>
      <c r="AF636" s="170"/>
      <c r="AG636" s="170"/>
      <c r="AH636" s="170"/>
      <c r="AI636" s="170"/>
      <c r="AJ636" s="170"/>
      <c r="AK636" s="171"/>
      <c r="AL636" s="171"/>
      <c r="AM636" s="170"/>
      <c r="AN636" s="170"/>
      <c r="AO636" s="170"/>
      <c r="AP636" s="171"/>
      <c r="AQ636" s="171"/>
      <c r="AR636" s="170"/>
      <c r="AS636" s="170"/>
      <c r="AT636" s="170"/>
      <c r="AU636" s="171"/>
      <c r="AV636" s="171"/>
      <c r="AW636" s="171"/>
      <c r="AX636" s="171"/>
      <c r="AY636" s="171"/>
      <c r="AZ636" s="171"/>
      <c r="BA636" s="171"/>
      <c r="BB636" s="171"/>
      <c r="BC636" s="171"/>
      <c r="BD636" s="172"/>
      <c r="BE636" s="172"/>
      <c r="BF636" s="172"/>
      <c r="BG636" s="172"/>
      <c r="BH636" s="172"/>
      <c r="BI636" s="172"/>
      <c r="BJ636" s="172"/>
      <c r="BK636" s="172"/>
      <c r="BL636" s="172"/>
      <c r="BM636" s="172"/>
      <c r="BN636" s="172"/>
      <c r="BO636" s="172"/>
      <c r="BP636" s="172"/>
      <c r="BQ636" s="172"/>
      <c r="BR636" s="172"/>
      <c r="BS636" s="172"/>
    </row>
    <row r="637" spans="1:71" ht="12.5" x14ac:dyDescent="0.25">
      <c r="A637" s="170"/>
      <c r="B637" s="170"/>
      <c r="C637" s="170"/>
      <c r="D637" s="170"/>
      <c r="E637" s="171"/>
      <c r="F637" s="171"/>
      <c r="G637" s="170"/>
      <c r="H637" s="170"/>
      <c r="I637" s="170"/>
      <c r="J637" s="171"/>
      <c r="K637" s="171"/>
      <c r="L637" s="170"/>
      <c r="M637" s="170"/>
      <c r="N637" s="170"/>
      <c r="O637" s="171"/>
      <c r="P637" s="171"/>
      <c r="Q637" s="170"/>
      <c r="R637" s="170"/>
      <c r="S637" s="170"/>
      <c r="T637" s="171"/>
      <c r="U637" s="171"/>
      <c r="V637" s="171"/>
      <c r="W637" s="171"/>
      <c r="X637" s="171"/>
      <c r="Y637" s="171"/>
      <c r="Z637" s="171"/>
      <c r="AA637" s="171"/>
      <c r="AB637" s="171"/>
      <c r="AC637" s="170"/>
      <c r="AD637" s="170"/>
      <c r="AE637" s="170"/>
      <c r="AF637" s="170"/>
      <c r="AG637" s="170"/>
      <c r="AH637" s="170"/>
      <c r="AI637" s="170"/>
      <c r="AJ637" s="170"/>
      <c r="AK637" s="171"/>
      <c r="AL637" s="171"/>
      <c r="AM637" s="170"/>
      <c r="AN637" s="170"/>
      <c r="AO637" s="170"/>
      <c r="AP637" s="171"/>
      <c r="AQ637" s="171"/>
      <c r="AR637" s="170"/>
      <c r="AS637" s="170"/>
      <c r="AT637" s="170"/>
      <c r="AU637" s="171"/>
      <c r="AV637" s="171"/>
      <c r="AW637" s="171"/>
      <c r="AX637" s="171"/>
      <c r="AY637" s="171"/>
      <c r="AZ637" s="171"/>
      <c r="BA637" s="171"/>
      <c r="BB637" s="171"/>
      <c r="BC637" s="171"/>
      <c r="BD637" s="172"/>
      <c r="BE637" s="172"/>
      <c r="BF637" s="172"/>
      <c r="BG637" s="172"/>
      <c r="BH637" s="172"/>
      <c r="BI637" s="172"/>
      <c r="BJ637" s="172"/>
      <c r="BK637" s="172"/>
      <c r="BL637" s="172"/>
      <c r="BM637" s="172"/>
      <c r="BN637" s="172"/>
      <c r="BO637" s="172"/>
      <c r="BP637" s="172"/>
      <c r="BQ637" s="172"/>
      <c r="BR637" s="172"/>
      <c r="BS637" s="172"/>
    </row>
    <row r="638" spans="1:71" ht="12.5" x14ac:dyDescent="0.25">
      <c r="A638" s="170"/>
      <c r="B638" s="170"/>
      <c r="C638" s="170"/>
      <c r="D638" s="170"/>
      <c r="E638" s="171"/>
      <c r="F638" s="171"/>
      <c r="G638" s="170"/>
      <c r="H638" s="170"/>
      <c r="I638" s="170"/>
      <c r="J638" s="171"/>
      <c r="K638" s="171"/>
      <c r="L638" s="170"/>
      <c r="M638" s="170"/>
      <c r="N638" s="170"/>
      <c r="O638" s="171"/>
      <c r="P638" s="171"/>
      <c r="Q638" s="170"/>
      <c r="R638" s="170"/>
      <c r="S638" s="170"/>
      <c r="T638" s="171"/>
      <c r="U638" s="171"/>
      <c r="V638" s="171"/>
      <c r="W638" s="171"/>
      <c r="X638" s="171"/>
      <c r="Y638" s="171"/>
      <c r="Z638" s="171"/>
      <c r="AA638" s="171"/>
      <c r="AB638" s="171"/>
      <c r="AC638" s="170"/>
      <c r="AD638" s="170"/>
      <c r="AE638" s="170"/>
      <c r="AF638" s="170"/>
      <c r="AG638" s="170"/>
      <c r="AH638" s="170"/>
      <c r="AI638" s="170"/>
      <c r="AJ638" s="170"/>
      <c r="AK638" s="171"/>
      <c r="AL638" s="171"/>
      <c r="AM638" s="170"/>
      <c r="AN638" s="170"/>
      <c r="AO638" s="170"/>
      <c r="AP638" s="171"/>
      <c r="AQ638" s="171"/>
      <c r="AR638" s="170"/>
      <c r="AS638" s="170"/>
      <c r="AT638" s="170"/>
      <c r="AU638" s="171"/>
      <c r="AV638" s="171"/>
      <c r="AW638" s="171"/>
      <c r="AX638" s="171"/>
      <c r="AY638" s="171"/>
      <c r="AZ638" s="171"/>
      <c r="BA638" s="171"/>
      <c r="BB638" s="171"/>
      <c r="BC638" s="171"/>
      <c r="BD638" s="172"/>
      <c r="BE638" s="172"/>
      <c r="BF638" s="172"/>
      <c r="BG638" s="172"/>
      <c r="BH638" s="172"/>
      <c r="BI638" s="172"/>
      <c r="BJ638" s="172"/>
      <c r="BK638" s="172"/>
      <c r="BL638" s="172"/>
      <c r="BM638" s="172"/>
      <c r="BN638" s="172"/>
      <c r="BO638" s="172"/>
      <c r="BP638" s="172"/>
      <c r="BQ638" s="172"/>
      <c r="BR638" s="172"/>
      <c r="BS638" s="172"/>
    </row>
    <row r="639" spans="1:71" ht="12.5" x14ac:dyDescent="0.25">
      <c r="A639" s="170"/>
      <c r="B639" s="170"/>
      <c r="C639" s="170"/>
      <c r="D639" s="170"/>
      <c r="E639" s="171"/>
      <c r="F639" s="171"/>
      <c r="G639" s="170"/>
      <c r="H639" s="170"/>
      <c r="I639" s="170"/>
      <c r="J639" s="171"/>
      <c r="K639" s="171"/>
      <c r="L639" s="170"/>
      <c r="M639" s="170"/>
      <c r="N639" s="170"/>
      <c r="O639" s="171"/>
      <c r="P639" s="171"/>
      <c r="Q639" s="170"/>
      <c r="R639" s="170"/>
      <c r="S639" s="170"/>
      <c r="T639" s="171"/>
      <c r="U639" s="171"/>
      <c r="V639" s="171"/>
      <c r="W639" s="171"/>
      <c r="X639" s="171"/>
      <c r="Y639" s="171"/>
      <c r="Z639" s="171"/>
      <c r="AA639" s="171"/>
      <c r="AB639" s="171"/>
      <c r="AC639" s="170"/>
      <c r="AD639" s="170"/>
      <c r="AE639" s="170"/>
      <c r="AF639" s="170"/>
      <c r="AG639" s="170"/>
      <c r="AH639" s="170"/>
      <c r="AI639" s="170"/>
      <c r="AJ639" s="170"/>
      <c r="AK639" s="171"/>
      <c r="AL639" s="171"/>
      <c r="AM639" s="170"/>
      <c r="AN639" s="170"/>
      <c r="AO639" s="170"/>
      <c r="AP639" s="171"/>
      <c r="AQ639" s="171"/>
      <c r="AR639" s="170"/>
      <c r="AS639" s="170"/>
      <c r="AT639" s="170"/>
      <c r="AU639" s="171"/>
      <c r="AV639" s="171"/>
      <c r="AW639" s="171"/>
      <c r="AX639" s="171"/>
      <c r="AY639" s="171"/>
      <c r="AZ639" s="171"/>
      <c r="BA639" s="171"/>
      <c r="BB639" s="171"/>
      <c r="BC639" s="171"/>
      <c r="BD639" s="172"/>
      <c r="BE639" s="172"/>
      <c r="BF639" s="172"/>
      <c r="BG639" s="172"/>
      <c r="BH639" s="172"/>
      <c r="BI639" s="172"/>
      <c r="BJ639" s="172"/>
      <c r="BK639" s="172"/>
      <c r="BL639" s="172"/>
      <c r="BM639" s="172"/>
      <c r="BN639" s="172"/>
      <c r="BO639" s="172"/>
      <c r="BP639" s="172"/>
      <c r="BQ639" s="172"/>
      <c r="BR639" s="172"/>
      <c r="BS639" s="172"/>
    </row>
    <row r="640" spans="1:71" ht="12.5" x14ac:dyDescent="0.25">
      <c r="A640" s="170"/>
      <c r="B640" s="170"/>
      <c r="C640" s="170"/>
      <c r="D640" s="170"/>
      <c r="E640" s="171"/>
      <c r="F640" s="171"/>
      <c r="G640" s="170"/>
      <c r="H640" s="170"/>
      <c r="I640" s="170"/>
      <c r="J640" s="171"/>
      <c r="K640" s="171"/>
      <c r="L640" s="170"/>
      <c r="M640" s="170"/>
      <c r="N640" s="170"/>
      <c r="O640" s="171"/>
      <c r="P640" s="171"/>
      <c r="Q640" s="170"/>
      <c r="R640" s="170"/>
      <c r="S640" s="170"/>
      <c r="T640" s="171"/>
      <c r="U640" s="171"/>
      <c r="V640" s="171"/>
      <c r="W640" s="171"/>
      <c r="X640" s="171"/>
      <c r="Y640" s="171"/>
      <c r="Z640" s="171"/>
      <c r="AA640" s="171"/>
      <c r="AB640" s="171"/>
      <c r="AC640" s="170"/>
      <c r="AD640" s="170"/>
      <c r="AE640" s="170"/>
      <c r="AF640" s="170"/>
      <c r="AG640" s="170"/>
      <c r="AH640" s="170"/>
      <c r="AI640" s="170"/>
      <c r="AJ640" s="170"/>
      <c r="AK640" s="171"/>
      <c r="AL640" s="171"/>
      <c r="AM640" s="170"/>
      <c r="AN640" s="170"/>
      <c r="AO640" s="170"/>
      <c r="AP640" s="171"/>
      <c r="AQ640" s="171"/>
      <c r="AR640" s="170"/>
      <c r="AS640" s="170"/>
      <c r="AT640" s="170"/>
      <c r="AU640" s="171"/>
      <c r="AV640" s="171"/>
      <c r="AW640" s="171"/>
      <c r="AX640" s="171"/>
      <c r="AY640" s="171"/>
      <c r="AZ640" s="171"/>
      <c r="BA640" s="171"/>
      <c r="BB640" s="171"/>
      <c r="BC640" s="171"/>
      <c r="BD640" s="172"/>
      <c r="BE640" s="172"/>
      <c r="BF640" s="172"/>
      <c r="BG640" s="172"/>
      <c r="BH640" s="172"/>
      <c r="BI640" s="172"/>
      <c r="BJ640" s="172"/>
      <c r="BK640" s="172"/>
      <c r="BL640" s="172"/>
      <c r="BM640" s="172"/>
      <c r="BN640" s="172"/>
      <c r="BO640" s="172"/>
      <c r="BP640" s="172"/>
      <c r="BQ640" s="172"/>
      <c r="BR640" s="172"/>
      <c r="BS640" s="172"/>
    </row>
    <row r="641" spans="1:71" ht="12.5" x14ac:dyDescent="0.25">
      <c r="A641" s="170"/>
      <c r="B641" s="170"/>
      <c r="C641" s="170"/>
      <c r="D641" s="170"/>
      <c r="E641" s="171"/>
      <c r="F641" s="171"/>
      <c r="G641" s="170"/>
      <c r="H641" s="170"/>
      <c r="I641" s="170"/>
      <c r="J641" s="171"/>
      <c r="K641" s="171"/>
      <c r="L641" s="170"/>
      <c r="M641" s="170"/>
      <c r="N641" s="170"/>
      <c r="O641" s="171"/>
      <c r="P641" s="171"/>
      <c r="Q641" s="170"/>
      <c r="R641" s="170"/>
      <c r="S641" s="170"/>
      <c r="T641" s="171"/>
      <c r="U641" s="171"/>
      <c r="V641" s="171"/>
      <c r="W641" s="171"/>
      <c r="X641" s="171"/>
      <c r="Y641" s="171"/>
      <c r="Z641" s="171"/>
      <c r="AA641" s="171"/>
      <c r="AB641" s="171"/>
      <c r="AC641" s="170"/>
      <c r="AD641" s="170"/>
      <c r="AE641" s="170"/>
      <c r="AF641" s="170"/>
      <c r="AG641" s="170"/>
      <c r="AH641" s="170"/>
      <c r="AI641" s="170"/>
      <c r="AJ641" s="170"/>
      <c r="AK641" s="171"/>
      <c r="AL641" s="171"/>
      <c r="AM641" s="170"/>
      <c r="AN641" s="170"/>
      <c r="AO641" s="170"/>
      <c r="AP641" s="171"/>
      <c r="AQ641" s="171"/>
      <c r="AR641" s="170"/>
      <c r="AS641" s="170"/>
      <c r="AT641" s="170"/>
      <c r="AU641" s="171"/>
      <c r="AV641" s="171"/>
      <c r="AW641" s="171"/>
      <c r="AX641" s="171"/>
      <c r="AY641" s="171"/>
      <c r="AZ641" s="171"/>
      <c r="BA641" s="171"/>
      <c r="BB641" s="171"/>
      <c r="BC641" s="171"/>
      <c r="BD641" s="172"/>
      <c r="BE641" s="172"/>
      <c r="BF641" s="172"/>
      <c r="BG641" s="172"/>
      <c r="BH641" s="172"/>
      <c r="BI641" s="172"/>
      <c r="BJ641" s="172"/>
      <c r="BK641" s="172"/>
      <c r="BL641" s="172"/>
      <c r="BM641" s="172"/>
      <c r="BN641" s="172"/>
      <c r="BO641" s="172"/>
      <c r="BP641" s="172"/>
      <c r="BQ641" s="172"/>
      <c r="BR641" s="172"/>
      <c r="BS641" s="172"/>
    </row>
    <row r="642" spans="1:71" ht="12.5" x14ac:dyDescent="0.25">
      <c r="A642" s="170"/>
      <c r="B642" s="170"/>
      <c r="C642" s="170"/>
      <c r="D642" s="170"/>
      <c r="E642" s="171"/>
      <c r="F642" s="171"/>
      <c r="G642" s="170"/>
      <c r="H642" s="170"/>
      <c r="I642" s="170"/>
      <c r="J642" s="171"/>
      <c r="K642" s="171"/>
      <c r="L642" s="170"/>
      <c r="M642" s="170"/>
      <c r="N642" s="170"/>
      <c r="O642" s="171"/>
      <c r="P642" s="171"/>
      <c r="Q642" s="170"/>
      <c r="R642" s="170"/>
      <c r="S642" s="170"/>
      <c r="T642" s="171"/>
      <c r="U642" s="171"/>
      <c r="V642" s="171"/>
      <c r="W642" s="171"/>
      <c r="X642" s="171"/>
      <c r="Y642" s="171"/>
      <c r="Z642" s="171"/>
      <c r="AA642" s="171"/>
      <c r="AB642" s="171"/>
      <c r="AC642" s="170"/>
      <c r="AD642" s="170"/>
      <c r="AE642" s="170"/>
      <c r="AF642" s="170"/>
      <c r="AG642" s="170"/>
      <c r="AH642" s="170"/>
      <c r="AI642" s="170"/>
      <c r="AJ642" s="170"/>
      <c r="AK642" s="171"/>
      <c r="AL642" s="171"/>
      <c r="AM642" s="170"/>
      <c r="AN642" s="170"/>
      <c r="AO642" s="170"/>
      <c r="AP642" s="171"/>
      <c r="AQ642" s="171"/>
      <c r="AR642" s="170"/>
      <c r="AS642" s="170"/>
      <c r="AT642" s="170"/>
      <c r="AU642" s="171"/>
      <c r="AV642" s="171"/>
      <c r="AW642" s="171"/>
      <c r="AX642" s="171"/>
      <c r="AY642" s="171"/>
      <c r="AZ642" s="171"/>
      <c r="BA642" s="171"/>
      <c r="BB642" s="171"/>
      <c r="BC642" s="171"/>
      <c r="BD642" s="172"/>
      <c r="BE642" s="172"/>
      <c r="BF642" s="172"/>
      <c r="BG642" s="172"/>
      <c r="BH642" s="172"/>
      <c r="BI642" s="172"/>
      <c r="BJ642" s="172"/>
      <c r="BK642" s="172"/>
      <c r="BL642" s="172"/>
      <c r="BM642" s="172"/>
      <c r="BN642" s="172"/>
      <c r="BO642" s="172"/>
      <c r="BP642" s="172"/>
      <c r="BQ642" s="172"/>
      <c r="BR642" s="172"/>
      <c r="BS642" s="172"/>
    </row>
    <row r="643" spans="1:71" ht="12.5" x14ac:dyDescent="0.25">
      <c r="A643" s="170"/>
      <c r="B643" s="170"/>
      <c r="C643" s="170"/>
      <c r="D643" s="170"/>
      <c r="E643" s="171"/>
      <c r="F643" s="171"/>
      <c r="G643" s="170"/>
      <c r="H643" s="170"/>
      <c r="I643" s="170"/>
      <c r="J643" s="171"/>
      <c r="K643" s="171"/>
      <c r="L643" s="170"/>
      <c r="M643" s="170"/>
      <c r="N643" s="170"/>
      <c r="O643" s="171"/>
      <c r="P643" s="171"/>
      <c r="Q643" s="170"/>
      <c r="R643" s="170"/>
      <c r="S643" s="170"/>
      <c r="T643" s="171"/>
      <c r="U643" s="171"/>
      <c r="V643" s="171"/>
      <c r="W643" s="171"/>
      <c r="X643" s="171"/>
      <c r="Y643" s="171"/>
      <c r="Z643" s="171"/>
      <c r="AA643" s="171"/>
      <c r="AB643" s="171"/>
      <c r="AC643" s="170"/>
      <c r="AD643" s="170"/>
      <c r="AE643" s="170"/>
      <c r="AF643" s="170"/>
      <c r="AG643" s="170"/>
      <c r="AH643" s="170"/>
      <c r="AI643" s="170"/>
      <c r="AJ643" s="170"/>
      <c r="AK643" s="171"/>
      <c r="AL643" s="171"/>
      <c r="AM643" s="170"/>
      <c r="AN643" s="170"/>
      <c r="AO643" s="170"/>
      <c r="AP643" s="171"/>
      <c r="AQ643" s="171"/>
      <c r="AR643" s="170"/>
      <c r="AS643" s="170"/>
      <c r="AT643" s="170"/>
      <c r="AU643" s="171"/>
      <c r="AV643" s="171"/>
      <c r="AW643" s="171"/>
      <c r="AX643" s="171"/>
      <c r="AY643" s="171"/>
      <c r="AZ643" s="171"/>
      <c r="BA643" s="171"/>
      <c r="BB643" s="171"/>
      <c r="BC643" s="171"/>
      <c r="BD643" s="172"/>
      <c r="BE643" s="172"/>
      <c r="BF643" s="172"/>
      <c r="BG643" s="172"/>
      <c r="BH643" s="172"/>
      <c r="BI643" s="172"/>
      <c r="BJ643" s="172"/>
      <c r="BK643" s="172"/>
      <c r="BL643" s="172"/>
      <c r="BM643" s="172"/>
      <c r="BN643" s="172"/>
      <c r="BO643" s="172"/>
      <c r="BP643" s="172"/>
      <c r="BQ643" s="172"/>
      <c r="BR643" s="172"/>
      <c r="BS643" s="172"/>
    </row>
    <row r="644" spans="1:71" ht="12.5" x14ac:dyDescent="0.25">
      <c r="A644" s="170"/>
      <c r="B644" s="170"/>
      <c r="C644" s="170"/>
      <c r="D644" s="170"/>
      <c r="E644" s="171"/>
      <c r="F644" s="171"/>
      <c r="G644" s="170"/>
      <c r="H644" s="170"/>
      <c r="I644" s="170"/>
      <c r="J644" s="171"/>
      <c r="K644" s="171"/>
      <c r="L644" s="170"/>
      <c r="M644" s="170"/>
      <c r="N644" s="170"/>
      <c r="O644" s="171"/>
      <c r="P644" s="171"/>
      <c r="Q644" s="170"/>
      <c r="R644" s="170"/>
      <c r="S644" s="170"/>
      <c r="T644" s="171"/>
      <c r="U644" s="171"/>
      <c r="V644" s="171"/>
      <c r="W644" s="171"/>
      <c r="X644" s="171"/>
      <c r="Y644" s="171"/>
      <c r="Z644" s="171"/>
      <c r="AA644" s="171"/>
      <c r="AB644" s="171"/>
      <c r="AC644" s="170"/>
      <c r="AD644" s="170"/>
      <c r="AE644" s="170"/>
      <c r="AF644" s="170"/>
      <c r="AG644" s="170"/>
      <c r="AH644" s="170"/>
      <c r="AI644" s="170"/>
      <c r="AJ644" s="170"/>
      <c r="AK644" s="171"/>
      <c r="AL644" s="171"/>
      <c r="AM644" s="170"/>
      <c r="AN644" s="170"/>
      <c r="AO644" s="170"/>
      <c r="AP644" s="171"/>
      <c r="AQ644" s="171"/>
      <c r="AR644" s="170"/>
      <c r="AS644" s="170"/>
      <c r="AT644" s="170"/>
      <c r="AU644" s="171"/>
      <c r="AV644" s="171"/>
      <c r="AW644" s="171"/>
      <c r="AX644" s="171"/>
      <c r="AY644" s="171"/>
      <c r="AZ644" s="171"/>
      <c r="BA644" s="171"/>
      <c r="BB644" s="171"/>
      <c r="BC644" s="171"/>
      <c r="BD644" s="172"/>
      <c r="BE644" s="172"/>
      <c r="BF644" s="172"/>
      <c r="BG644" s="172"/>
      <c r="BH644" s="172"/>
      <c r="BI644" s="172"/>
      <c r="BJ644" s="172"/>
      <c r="BK644" s="172"/>
      <c r="BL644" s="172"/>
      <c r="BM644" s="172"/>
      <c r="BN644" s="172"/>
      <c r="BO644" s="172"/>
      <c r="BP644" s="172"/>
      <c r="BQ644" s="172"/>
      <c r="BR644" s="172"/>
      <c r="BS644" s="172"/>
    </row>
    <row r="645" spans="1:71" ht="12.5" x14ac:dyDescent="0.25">
      <c r="A645" s="170"/>
      <c r="B645" s="170"/>
      <c r="C645" s="170"/>
      <c r="D645" s="170"/>
      <c r="E645" s="171"/>
      <c r="F645" s="171"/>
      <c r="G645" s="170"/>
      <c r="H645" s="170"/>
      <c r="I645" s="170"/>
      <c r="J645" s="171"/>
      <c r="K645" s="171"/>
      <c r="L645" s="170"/>
      <c r="M645" s="170"/>
      <c r="N645" s="170"/>
      <c r="O645" s="171"/>
      <c r="P645" s="171"/>
      <c r="Q645" s="170"/>
      <c r="R645" s="170"/>
      <c r="S645" s="170"/>
      <c r="T645" s="171"/>
      <c r="U645" s="171"/>
      <c r="V645" s="171"/>
      <c r="W645" s="171"/>
      <c r="X645" s="171"/>
      <c r="Y645" s="171"/>
      <c r="Z645" s="171"/>
      <c r="AA645" s="171"/>
      <c r="AB645" s="171"/>
      <c r="AC645" s="170"/>
      <c r="AD645" s="170"/>
      <c r="AE645" s="170"/>
      <c r="AF645" s="170"/>
      <c r="AG645" s="170"/>
      <c r="AH645" s="170"/>
      <c r="AI645" s="170"/>
      <c r="AJ645" s="170"/>
      <c r="AK645" s="171"/>
      <c r="AL645" s="171"/>
      <c r="AM645" s="170"/>
      <c r="AN645" s="170"/>
      <c r="AO645" s="170"/>
      <c r="AP645" s="171"/>
      <c r="AQ645" s="171"/>
      <c r="AR645" s="170"/>
      <c r="AS645" s="170"/>
      <c r="AT645" s="170"/>
      <c r="AU645" s="171"/>
      <c r="AV645" s="171"/>
      <c r="AW645" s="171"/>
      <c r="AX645" s="171"/>
      <c r="AY645" s="171"/>
      <c r="AZ645" s="171"/>
      <c r="BA645" s="171"/>
      <c r="BB645" s="171"/>
      <c r="BC645" s="171"/>
      <c r="BD645" s="172"/>
      <c r="BE645" s="172"/>
      <c r="BF645" s="172"/>
      <c r="BG645" s="172"/>
      <c r="BH645" s="172"/>
      <c r="BI645" s="172"/>
      <c r="BJ645" s="172"/>
      <c r="BK645" s="172"/>
      <c r="BL645" s="172"/>
      <c r="BM645" s="172"/>
      <c r="BN645" s="172"/>
      <c r="BO645" s="172"/>
      <c r="BP645" s="172"/>
      <c r="BQ645" s="172"/>
      <c r="BR645" s="172"/>
      <c r="BS645" s="172"/>
    </row>
    <row r="646" spans="1:71" ht="12.5" x14ac:dyDescent="0.25">
      <c r="A646" s="170"/>
      <c r="B646" s="170"/>
      <c r="C646" s="170"/>
      <c r="D646" s="170"/>
      <c r="E646" s="171"/>
      <c r="F646" s="171"/>
      <c r="G646" s="170"/>
      <c r="H646" s="170"/>
      <c r="I646" s="170"/>
      <c r="J646" s="171"/>
      <c r="K646" s="171"/>
      <c r="L646" s="170"/>
      <c r="M646" s="170"/>
      <c r="N646" s="170"/>
      <c r="O646" s="171"/>
      <c r="P646" s="171"/>
      <c r="Q646" s="170"/>
      <c r="R646" s="170"/>
      <c r="S646" s="170"/>
      <c r="T646" s="171"/>
      <c r="U646" s="171"/>
      <c r="V646" s="171"/>
      <c r="W646" s="171"/>
      <c r="X646" s="171"/>
      <c r="Y646" s="171"/>
      <c r="Z646" s="171"/>
      <c r="AA646" s="171"/>
      <c r="AB646" s="171"/>
      <c r="AC646" s="170"/>
      <c r="AD646" s="170"/>
      <c r="AE646" s="170"/>
      <c r="AF646" s="170"/>
      <c r="AG646" s="170"/>
      <c r="AH646" s="170"/>
      <c r="AI646" s="170"/>
      <c r="AJ646" s="170"/>
      <c r="AK646" s="171"/>
      <c r="AL646" s="171"/>
      <c r="AM646" s="170"/>
      <c r="AN646" s="170"/>
      <c r="AO646" s="170"/>
      <c r="AP646" s="171"/>
      <c r="AQ646" s="171"/>
      <c r="AR646" s="170"/>
      <c r="AS646" s="170"/>
      <c r="AT646" s="170"/>
      <c r="AU646" s="171"/>
      <c r="AV646" s="171"/>
      <c r="AW646" s="171"/>
      <c r="AX646" s="171"/>
      <c r="AY646" s="171"/>
      <c r="AZ646" s="171"/>
      <c r="BA646" s="171"/>
      <c r="BB646" s="171"/>
      <c r="BC646" s="171"/>
      <c r="BD646" s="172"/>
      <c r="BE646" s="172"/>
      <c r="BF646" s="172"/>
      <c r="BG646" s="172"/>
      <c r="BH646" s="172"/>
      <c r="BI646" s="172"/>
      <c r="BJ646" s="172"/>
      <c r="BK646" s="172"/>
      <c r="BL646" s="172"/>
      <c r="BM646" s="172"/>
      <c r="BN646" s="172"/>
      <c r="BO646" s="172"/>
      <c r="BP646" s="172"/>
      <c r="BQ646" s="172"/>
      <c r="BR646" s="172"/>
      <c r="BS646" s="172"/>
    </row>
    <row r="647" spans="1:71" ht="12.5" x14ac:dyDescent="0.25">
      <c r="A647" s="170"/>
      <c r="B647" s="170"/>
      <c r="C647" s="170"/>
      <c r="D647" s="170"/>
      <c r="E647" s="171"/>
      <c r="F647" s="171"/>
      <c r="G647" s="170"/>
      <c r="H647" s="170"/>
      <c r="I647" s="170"/>
      <c r="J647" s="171"/>
      <c r="K647" s="171"/>
      <c r="L647" s="170"/>
      <c r="M647" s="170"/>
      <c r="N647" s="170"/>
      <c r="O647" s="171"/>
      <c r="P647" s="171"/>
      <c r="Q647" s="170"/>
      <c r="R647" s="170"/>
      <c r="S647" s="170"/>
      <c r="T647" s="171"/>
      <c r="U647" s="171"/>
      <c r="V647" s="171"/>
      <c r="W647" s="171"/>
      <c r="X647" s="171"/>
      <c r="Y647" s="171"/>
      <c r="Z647" s="171"/>
      <c r="AA647" s="171"/>
      <c r="AB647" s="171"/>
      <c r="AC647" s="170"/>
      <c r="AD647" s="170"/>
      <c r="AE647" s="170"/>
      <c r="AF647" s="170"/>
      <c r="AG647" s="170"/>
      <c r="AH647" s="170"/>
      <c r="AI647" s="170"/>
      <c r="AJ647" s="170"/>
      <c r="AK647" s="171"/>
      <c r="AL647" s="171"/>
      <c r="AM647" s="170"/>
      <c r="AN647" s="170"/>
      <c r="AO647" s="170"/>
      <c r="AP647" s="171"/>
      <c r="AQ647" s="171"/>
      <c r="AR647" s="170"/>
      <c r="AS647" s="170"/>
      <c r="AT647" s="170"/>
      <c r="AU647" s="171"/>
      <c r="AV647" s="171"/>
      <c r="AW647" s="171"/>
      <c r="AX647" s="171"/>
      <c r="AY647" s="171"/>
      <c r="AZ647" s="171"/>
      <c r="BA647" s="171"/>
      <c r="BB647" s="171"/>
      <c r="BC647" s="171"/>
      <c r="BD647" s="172"/>
      <c r="BE647" s="172"/>
      <c r="BF647" s="172"/>
      <c r="BG647" s="172"/>
      <c r="BH647" s="172"/>
      <c r="BI647" s="172"/>
      <c r="BJ647" s="172"/>
      <c r="BK647" s="172"/>
      <c r="BL647" s="172"/>
      <c r="BM647" s="172"/>
      <c r="BN647" s="172"/>
      <c r="BO647" s="172"/>
      <c r="BP647" s="172"/>
      <c r="BQ647" s="172"/>
      <c r="BR647" s="172"/>
      <c r="BS647" s="172"/>
    </row>
    <row r="648" spans="1:71" ht="12.5" x14ac:dyDescent="0.25">
      <c r="A648" s="170"/>
      <c r="B648" s="170"/>
      <c r="C648" s="170"/>
      <c r="D648" s="170"/>
      <c r="E648" s="171"/>
      <c r="F648" s="171"/>
      <c r="G648" s="170"/>
      <c r="H648" s="170"/>
      <c r="I648" s="170"/>
      <c r="J648" s="171"/>
      <c r="K648" s="171"/>
      <c r="L648" s="170"/>
      <c r="M648" s="170"/>
      <c r="N648" s="170"/>
      <c r="O648" s="171"/>
      <c r="P648" s="171"/>
      <c r="Q648" s="170"/>
      <c r="R648" s="170"/>
      <c r="S648" s="170"/>
      <c r="T648" s="171"/>
      <c r="U648" s="171"/>
      <c r="V648" s="171"/>
      <c r="W648" s="171"/>
      <c r="X648" s="171"/>
      <c r="Y648" s="171"/>
      <c r="Z648" s="171"/>
      <c r="AA648" s="171"/>
      <c r="AB648" s="171"/>
      <c r="AC648" s="170"/>
      <c r="AD648" s="170"/>
      <c r="AE648" s="170"/>
      <c r="AF648" s="170"/>
      <c r="AG648" s="170"/>
      <c r="AH648" s="170"/>
      <c r="AI648" s="170"/>
      <c r="AJ648" s="170"/>
      <c r="AK648" s="171"/>
      <c r="AL648" s="171"/>
      <c r="AM648" s="170"/>
      <c r="AN648" s="170"/>
      <c r="AO648" s="170"/>
      <c r="AP648" s="171"/>
      <c r="AQ648" s="171"/>
      <c r="AR648" s="170"/>
      <c r="AS648" s="170"/>
      <c r="AT648" s="170"/>
      <c r="AU648" s="171"/>
      <c r="AV648" s="171"/>
      <c r="AW648" s="171"/>
      <c r="AX648" s="171"/>
      <c r="AY648" s="171"/>
      <c r="AZ648" s="171"/>
      <c r="BA648" s="171"/>
      <c r="BB648" s="171"/>
      <c r="BC648" s="171"/>
      <c r="BD648" s="172"/>
      <c r="BE648" s="172"/>
      <c r="BF648" s="172"/>
      <c r="BG648" s="172"/>
      <c r="BH648" s="172"/>
      <c r="BI648" s="172"/>
      <c r="BJ648" s="172"/>
      <c r="BK648" s="172"/>
      <c r="BL648" s="172"/>
      <c r="BM648" s="172"/>
      <c r="BN648" s="172"/>
      <c r="BO648" s="172"/>
      <c r="BP648" s="172"/>
      <c r="BQ648" s="172"/>
      <c r="BR648" s="172"/>
      <c r="BS648" s="172"/>
    </row>
    <row r="649" spans="1:71" ht="12.5" x14ac:dyDescent="0.25">
      <c r="A649" s="170"/>
      <c r="B649" s="170"/>
      <c r="C649" s="170"/>
      <c r="D649" s="170"/>
      <c r="E649" s="171"/>
      <c r="F649" s="171"/>
      <c r="G649" s="170"/>
      <c r="H649" s="170"/>
      <c r="I649" s="170"/>
      <c r="J649" s="171"/>
      <c r="K649" s="171"/>
      <c r="L649" s="170"/>
      <c r="M649" s="170"/>
      <c r="N649" s="170"/>
      <c r="O649" s="171"/>
      <c r="P649" s="171"/>
      <c r="Q649" s="170"/>
      <c r="R649" s="170"/>
      <c r="S649" s="170"/>
      <c r="T649" s="171"/>
      <c r="U649" s="171"/>
      <c r="V649" s="171"/>
      <c r="W649" s="171"/>
      <c r="X649" s="171"/>
      <c r="Y649" s="171"/>
      <c r="Z649" s="171"/>
      <c r="AA649" s="171"/>
      <c r="AB649" s="171"/>
      <c r="AC649" s="170"/>
      <c r="AD649" s="170"/>
      <c r="AE649" s="170"/>
      <c r="AF649" s="170"/>
      <c r="AG649" s="170"/>
      <c r="AH649" s="170"/>
      <c r="AI649" s="170"/>
      <c r="AJ649" s="170"/>
      <c r="AK649" s="171"/>
      <c r="AL649" s="171"/>
      <c r="AM649" s="170"/>
      <c r="AN649" s="170"/>
      <c r="AO649" s="170"/>
      <c r="AP649" s="171"/>
      <c r="AQ649" s="171"/>
      <c r="AR649" s="170"/>
      <c r="AS649" s="170"/>
      <c r="AT649" s="170"/>
      <c r="AU649" s="171"/>
      <c r="AV649" s="171"/>
      <c r="AW649" s="171"/>
      <c r="AX649" s="171"/>
      <c r="AY649" s="171"/>
      <c r="AZ649" s="171"/>
      <c r="BA649" s="171"/>
      <c r="BB649" s="171"/>
      <c r="BC649" s="171"/>
      <c r="BD649" s="172"/>
      <c r="BE649" s="172"/>
      <c r="BF649" s="172"/>
      <c r="BG649" s="172"/>
      <c r="BH649" s="172"/>
      <c r="BI649" s="172"/>
      <c r="BJ649" s="172"/>
      <c r="BK649" s="172"/>
      <c r="BL649" s="172"/>
      <c r="BM649" s="172"/>
      <c r="BN649" s="172"/>
      <c r="BO649" s="172"/>
      <c r="BP649" s="172"/>
      <c r="BQ649" s="172"/>
      <c r="BR649" s="172"/>
      <c r="BS649" s="172"/>
    </row>
    <row r="650" spans="1:71" ht="12.5" x14ac:dyDescent="0.25">
      <c r="A650" s="170"/>
      <c r="B650" s="170"/>
      <c r="C650" s="170"/>
      <c r="D650" s="170"/>
      <c r="E650" s="171"/>
      <c r="F650" s="171"/>
      <c r="G650" s="170"/>
      <c r="H650" s="170"/>
      <c r="I650" s="170"/>
      <c r="J650" s="171"/>
      <c r="K650" s="171"/>
      <c r="L650" s="170"/>
      <c r="M650" s="170"/>
      <c r="N650" s="170"/>
      <c r="O650" s="171"/>
      <c r="P650" s="171"/>
      <c r="Q650" s="170"/>
      <c r="R650" s="170"/>
      <c r="S650" s="170"/>
      <c r="T650" s="171"/>
      <c r="U650" s="171"/>
      <c r="V650" s="171"/>
      <c r="W650" s="171"/>
      <c r="X650" s="171"/>
      <c r="Y650" s="171"/>
      <c r="Z650" s="171"/>
      <c r="AA650" s="171"/>
      <c r="AB650" s="171"/>
      <c r="AC650" s="170"/>
      <c r="AD650" s="170"/>
      <c r="AE650" s="170"/>
      <c r="AF650" s="170"/>
      <c r="AG650" s="170"/>
      <c r="AH650" s="170"/>
      <c r="AI650" s="170"/>
      <c r="AJ650" s="170"/>
      <c r="AK650" s="171"/>
      <c r="AL650" s="171"/>
      <c r="AM650" s="170"/>
      <c r="AN650" s="170"/>
      <c r="AO650" s="170"/>
      <c r="AP650" s="171"/>
      <c r="AQ650" s="171"/>
      <c r="AR650" s="170"/>
      <c r="AS650" s="170"/>
      <c r="AT650" s="170"/>
      <c r="AU650" s="171"/>
      <c r="AV650" s="171"/>
      <c r="AW650" s="171"/>
      <c r="AX650" s="171"/>
      <c r="AY650" s="171"/>
      <c r="AZ650" s="171"/>
      <c r="BA650" s="171"/>
      <c r="BB650" s="171"/>
      <c r="BC650" s="171"/>
      <c r="BD650" s="172"/>
      <c r="BE650" s="172"/>
      <c r="BF650" s="172"/>
      <c r="BG650" s="172"/>
      <c r="BH650" s="172"/>
      <c r="BI650" s="172"/>
      <c r="BJ650" s="172"/>
      <c r="BK650" s="172"/>
      <c r="BL650" s="172"/>
      <c r="BM650" s="172"/>
      <c r="BN650" s="172"/>
      <c r="BO650" s="172"/>
      <c r="BP650" s="172"/>
      <c r="BQ650" s="172"/>
      <c r="BR650" s="172"/>
      <c r="BS650" s="172"/>
    </row>
    <row r="651" spans="1:71" ht="12.5" x14ac:dyDescent="0.25">
      <c r="A651" s="170"/>
      <c r="B651" s="170"/>
      <c r="C651" s="170"/>
      <c r="D651" s="170"/>
      <c r="E651" s="171"/>
      <c r="F651" s="171"/>
      <c r="G651" s="170"/>
      <c r="H651" s="170"/>
      <c r="I651" s="170"/>
      <c r="J651" s="171"/>
      <c r="K651" s="171"/>
      <c r="L651" s="170"/>
      <c r="M651" s="170"/>
      <c r="N651" s="170"/>
      <c r="O651" s="171"/>
      <c r="P651" s="171"/>
      <c r="Q651" s="170"/>
      <c r="R651" s="170"/>
      <c r="S651" s="170"/>
      <c r="T651" s="171"/>
      <c r="U651" s="171"/>
      <c r="V651" s="171"/>
      <c r="W651" s="171"/>
      <c r="X651" s="171"/>
      <c r="Y651" s="171"/>
      <c r="Z651" s="171"/>
      <c r="AA651" s="171"/>
      <c r="AB651" s="171"/>
      <c r="AC651" s="170"/>
      <c r="AD651" s="170"/>
      <c r="AE651" s="170"/>
      <c r="AF651" s="170"/>
      <c r="AG651" s="170"/>
      <c r="AH651" s="170"/>
      <c r="AI651" s="170"/>
      <c r="AJ651" s="170"/>
      <c r="AK651" s="171"/>
      <c r="AL651" s="171"/>
      <c r="AM651" s="170"/>
      <c r="AN651" s="170"/>
      <c r="AO651" s="170"/>
      <c r="AP651" s="171"/>
      <c r="AQ651" s="171"/>
      <c r="AR651" s="170"/>
      <c r="AS651" s="170"/>
      <c r="AT651" s="170"/>
      <c r="AU651" s="171"/>
      <c r="AV651" s="171"/>
      <c r="AW651" s="171"/>
      <c r="AX651" s="171"/>
      <c r="AY651" s="171"/>
      <c r="AZ651" s="171"/>
      <c r="BA651" s="171"/>
      <c r="BB651" s="171"/>
      <c r="BC651" s="171"/>
      <c r="BD651" s="172"/>
      <c r="BE651" s="172"/>
      <c r="BF651" s="172"/>
      <c r="BG651" s="172"/>
      <c r="BH651" s="172"/>
      <c r="BI651" s="172"/>
      <c r="BJ651" s="172"/>
      <c r="BK651" s="172"/>
      <c r="BL651" s="172"/>
      <c r="BM651" s="172"/>
      <c r="BN651" s="172"/>
      <c r="BO651" s="172"/>
      <c r="BP651" s="172"/>
      <c r="BQ651" s="172"/>
      <c r="BR651" s="172"/>
      <c r="BS651" s="172"/>
    </row>
    <row r="652" spans="1:71" ht="12.5" x14ac:dyDescent="0.25">
      <c r="A652" s="170"/>
      <c r="B652" s="170"/>
      <c r="C652" s="170"/>
      <c r="D652" s="170"/>
      <c r="E652" s="171"/>
      <c r="F652" s="171"/>
      <c r="G652" s="170"/>
      <c r="H652" s="170"/>
      <c r="I652" s="170"/>
      <c r="J652" s="171"/>
      <c r="K652" s="171"/>
      <c r="L652" s="170"/>
      <c r="M652" s="170"/>
      <c r="N652" s="170"/>
      <c r="O652" s="171"/>
      <c r="P652" s="171"/>
      <c r="Q652" s="170"/>
      <c r="R652" s="170"/>
      <c r="S652" s="170"/>
      <c r="T652" s="171"/>
      <c r="U652" s="171"/>
      <c r="V652" s="171"/>
      <c r="W652" s="171"/>
      <c r="X652" s="171"/>
      <c r="Y652" s="171"/>
      <c r="Z652" s="171"/>
      <c r="AA652" s="171"/>
      <c r="AB652" s="171"/>
      <c r="AC652" s="170"/>
      <c r="AD652" s="170"/>
      <c r="AE652" s="170"/>
      <c r="AF652" s="170"/>
      <c r="AG652" s="170"/>
      <c r="AH652" s="170"/>
      <c r="AI652" s="170"/>
      <c r="AJ652" s="170"/>
      <c r="AK652" s="171"/>
      <c r="AL652" s="171"/>
      <c r="AM652" s="170"/>
      <c r="AN652" s="170"/>
      <c r="AO652" s="170"/>
      <c r="AP652" s="171"/>
      <c r="AQ652" s="171"/>
      <c r="AR652" s="170"/>
      <c r="AS652" s="170"/>
      <c r="AT652" s="170"/>
      <c r="AU652" s="171"/>
      <c r="AV652" s="171"/>
      <c r="AW652" s="171"/>
      <c r="AX652" s="171"/>
      <c r="AY652" s="171"/>
      <c r="AZ652" s="171"/>
      <c r="BA652" s="171"/>
      <c r="BB652" s="171"/>
      <c r="BC652" s="171"/>
      <c r="BD652" s="172"/>
      <c r="BE652" s="172"/>
      <c r="BF652" s="172"/>
      <c r="BG652" s="172"/>
      <c r="BH652" s="172"/>
      <c r="BI652" s="172"/>
      <c r="BJ652" s="172"/>
      <c r="BK652" s="172"/>
      <c r="BL652" s="172"/>
      <c r="BM652" s="172"/>
      <c r="BN652" s="172"/>
      <c r="BO652" s="172"/>
      <c r="BP652" s="172"/>
      <c r="BQ652" s="172"/>
      <c r="BR652" s="172"/>
      <c r="BS652" s="172"/>
    </row>
    <row r="653" spans="1:71" ht="12.5" x14ac:dyDescent="0.25">
      <c r="A653" s="170"/>
      <c r="B653" s="170"/>
      <c r="C653" s="170"/>
      <c r="D653" s="170"/>
      <c r="E653" s="171"/>
      <c r="F653" s="171"/>
      <c r="G653" s="170"/>
      <c r="H653" s="170"/>
      <c r="I653" s="170"/>
      <c r="J653" s="171"/>
      <c r="K653" s="171"/>
      <c r="L653" s="170"/>
      <c r="M653" s="170"/>
      <c r="N653" s="170"/>
      <c r="O653" s="171"/>
      <c r="P653" s="171"/>
      <c r="Q653" s="170"/>
      <c r="R653" s="170"/>
      <c r="S653" s="170"/>
      <c r="T653" s="171"/>
      <c r="U653" s="171"/>
      <c r="V653" s="171"/>
      <c r="W653" s="171"/>
      <c r="X653" s="171"/>
      <c r="Y653" s="171"/>
      <c r="Z653" s="171"/>
      <c r="AA653" s="171"/>
      <c r="AB653" s="171"/>
      <c r="AC653" s="170"/>
      <c r="AD653" s="170"/>
      <c r="AE653" s="170"/>
      <c r="AF653" s="170"/>
      <c r="AG653" s="170"/>
      <c r="AH653" s="170"/>
      <c r="AI653" s="170"/>
      <c r="AJ653" s="170"/>
      <c r="AK653" s="171"/>
      <c r="AL653" s="171"/>
      <c r="AM653" s="170"/>
      <c r="AN653" s="170"/>
      <c r="AO653" s="170"/>
      <c r="AP653" s="171"/>
      <c r="AQ653" s="171"/>
      <c r="AR653" s="170"/>
      <c r="AS653" s="170"/>
      <c r="AT653" s="170"/>
      <c r="AU653" s="171"/>
      <c r="AV653" s="171"/>
      <c r="AW653" s="171"/>
      <c r="AX653" s="171"/>
      <c r="AY653" s="171"/>
      <c r="AZ653" s="171"/>
      <c r="BA653" s="171"/>
      <c r="BB653" s="171"/>
      <c r="BC653" s="171"/>
      <c r="BD653" s="172"/>
      <c r="BE653" s="172"/>
      <c r="BF653" s="172"/>
      <c r="BG653" s="172"/>
      <c r="BH653" s="172"/>
      <c r="BI653" s="172"/>
      <c r="BJ653" s="172"/>
      <c r="BK653" s="172"/>
      <c r="BL653" s="172"/>
      <c r="BM653" s="172"/>
      <c r="BN653" s="172"/>
      <c r="BO653" s="172"/>
      <c r="BP653" s="172"/>
      <c r="BQ653" s="172"/>
      <c r="BR653" s="172"/>
      <c r="BS653" s="172"/>
    </row>
    <row r="654" spans="1:71" ht="12.5" x14ac:dyDescent="0.25">
      <c r="A654" s="170"/>
      <c r="B654" s="170"/>
      <c r="C654" s="170"/>
      <c r="D654" s="170"/>
      <c r="E654" s="171"/>
      <c r="F654" s="171"/>
      <c r="G654" s="170"/>
      <c r="H654" s="170"/>
      <c r="I654" s="170"/>
      <c r="J654" s="171"/>
      <c r="K654" s="171"/>
      <c r="L654" s="170"/>
      <c r="M654" s="170"/>
      <c r="N654" s="170"/>
      <c r="O654" s="171"/>
      <c r="P654" s="171"/>
      <c r="Q654" s="170"/>
      <c r="R654" s="170"/>
      <c r="S654" s="170"/>
      <c r="T654" s="171"/>
      <c r="U654" s="171"/>
      <c r="V654" s="171"/>
      <c r="W654" s="171"/>
      <c r="X654" s="171"/>
      <c r="Y654" s="171"/>
      <c r="Z654" s="171"/>
      <c r="AA654" s="171"/>
      <c r="AB654" s="171"/>
      <c r="AC654" s="170"/>
      <c r="AD654" s="170"/>
      <c r="AE654" s="170"/>
      <c r="AF654" s="170"/>
      <c r="AG654" s="170"/>
      <c r="AH654" s="170"/>
      <c r="AI654" s="170"/>
      <c r="AJ654" s="170"/>
      <c r="AK654" s="171"/>
      <c r="AL654" s="171"/>
      <c r="AM654" s="170"/>
      <c r="AN654" s="170"/>
      <c r="AO654" s="170"/>
      <c r="AP654" s="171"/>
      <c r="AQ654" s="171"/>
      <c r="AR654" s="170"/>
      <c r="AS654" s="170"/>
      <c r="AT654" s="170"/>
      <c r="AU654" s="171"/>
      <c r="AV654" s="171"/>
      <c r="AW654" s="171"/>
      <c r="AX654" s="171"/>
      <c r="AY654" s="171"/>
      <c r="AZ654" s="171"/>
      <c r="BA654" s="171"/>
      <c r="BB654" s="171"/>
      <c r="BC654" s="171"/>
      <c r="BD654" s="172"/>
      <c r="BE654" s="172"/>
      <c r="BF654" s="172"/>
      <c r="BG654" s="172"/>
      <c r="BH654" s="172"/>
      <c r="BI654" s="172"/>
      <c r="BJ654" s="172"/>
      <c r="BK654" s="172"/>
      <c r="BL654" s="172"/>
      <c r="BM654" s="172"/>
      <c r="BN654" s="172"/>
      <c r="BO654" s="172"/>
      <c r="BP654" s="172"/>
      <c r="BQ654" s="172"/>
      <c r="BR654" s="172"/>
      <c r="BS654" s="172"/>
    </row>
    <row r="655" spans="1:71" ht="12.5" x14ac:dyDescent="0.25">
      <c r="A655" s="170"/>
      <c r="B655" s="170"/>
      <c r="C655" s="170"/>
      <c r="D655" s="170"/>
      <c r="E655" s="171"/>
      <c r="F655" s="171"/>
      <c r="G655" s="170"/>
      <c r="H655" s="170"/>
      <c r="I655" s="170"/>
      <c r="J655" s="171"/>
      <c r="K655" s="171"/>
      <c r="L655" s="170"/>
      <c r="M655" s="170"/>
      <c r="N655" s="170"/>
      <c r="O655" s="171"/>
      <c r="P655" s="171"/>
      <c r="Q655" s="170"/>
      <c r="R655" s="170"/>
      <c r="S655" s="170"/>
      <c r="T655" s="171"/>
      <c r="U655" s="171"/>
      <c r="V655" s="171"/>
      <c r="W655" s="171"/>
      <c r="X655" s="171"/>
      <c r="Y655" s="171"/>
      <c r="Z655" s="171"/>
      <c r="AA655" s="171"/>
      <c r="AB655" s="171"/>
      <c r="AC655" s="170"/>
      <c r="AD655" s="170"/>
      <c r="AE655" s="170"/>
      <c r="AF655" s="170"/>
      <c r="AG655" s="170"/>
      <c r="AH655" s="170"/>
      <c r="AI655" s="170"/>
      <c r="AJ655" s="170"/>
      <c r="AK655" s="171"/>
      <c r="AL655" s="171"/>
      <c r="AM655" s="170"/>
      <c r="AN655" s="170"/>
      <c r="AO655" s="170"/>
      <c r="AP655" s="171"/>
      <c r="AQ655" s="171"/>
      <c r="AR655" s="170"/>
      <c r="AS655" s="170"/>
      <c r="AT655" s="170"/>
      <c r="AU655" s="171"/>
      <c r="AV655" s="171"/>
      <c r="AW655" s="171"/>
      <c r="AX655" s="171"/>
      <c r="AY655" s="171"/>
      <c r="AZ655" s="171"/>
      <c r="BA655" s="171"/>
      <c r="BB655" s="171"/>
      <c r="BC655" s="171"/>
      <c r="BD655" s="172"/>
      <c r="BE655" s="172"/>
      <c r="BF655" s="172"/>
      <c r="BG655" s="172"/>
      <c r="BH655" s="172"/>
      <c r="BI655" s="172"/>
      <c r="BJ655" s="172"/>
      <c r="BK655" s="172"/>
      <c r="BL655" s="172"/>
      <c r="BM655" s="172"/>
      <c r="BN655" s="172"/>
      <c r="BO655" s="172"/>
      <c r="BP655" s="172"/>
      <c r="BQ655" s="172"/>
      <c r="BR655" s="172"/>
      <c r="BS655" s="172"/>
    </row>
    <row r="656" spans="1:71" ht="12.5" x14ac:dyDescent="0.25">
      <c r="A656" s="170"/>
      <c r="B656" s="170"/>
      <c r="C656" s="170"/>
      <c r="D656" s="170"/>
      <c r="E656" s="171"/>
      <c r="F656" s="171"/>
      <c r="G656" s="170"/>
      <c r="H656" s="170"/>
      <c r="I656" s="170"/>
      <c r="J656" s="171"/>
      <c r="K656" s="171"/>
      <c r="L656" s="170"/>
      <c r="M656" s="170"/>
      <c r="N656" s="170"/>
      <c r="O656" s="171"/>
      <c r="P656" s="171"/>
      <c r="Q656" s="170"/>
      <c r="R656" s="170"/>
      <c r="S656" s="170"/>
      <c r="T656" s="171"/>
      <c r="U656" s="171"/>
      <c r="V656" s="171"/>
      <c r="W656" s="171"/>
      <c r="X656" s="171"/>
      <c r="Y656" s="171"/>
      <c r="Z656" s="171"/>
      <c r="AA656" s="171"/>
      <c r="AB656" s="171"/>
      <c r="AC656" s="170"/>
      <c r="AD656" s="170"/>
      <c r="AE656" s="170"/>
      <c r="AF656" s="170"/>
      <c r="AG656" s="170"/>
      <c r="AH656" s="170"/>
      <c r="AI656" s="170"/>
      <c r="AJ656" s="170"/>
      <c r="AK656" s="171"/>
      <c r="AL656" s="171"/>
      <c r="AM656" s="170"/>
      <c r="AN656" s="170"/>
      <c r="AO656" s="170"/>
      <c r="AP656" s="171"/>
      <c r="AQ656" s="171"/>
      <c r="AR656" s="170"/>
      <c r="AS656" s="170"/>
      <c r="AT656" s="170"/>
      <c r="AU656" s="171"/>
      <c r="AV656" s="171"/>
      <c r="AW656" s="171"/>
      <c r="AX656" s="171"/>
      <c r="AY656" s="171"/>
      <c r="AZ656" s="171"/>
      <c r="BA656" s="171"/>
      <c r="BB656" s="171"/>
      <c r="BC656" s="171"/>
      <c r="BD656" s="172"/>
      <c r="BE656" s="172"/>
      <c r="BF656" s="172"/>
      <c r="BG656" s="172"/>
      <c r="BH656" s="172"/>
      <c r="BI656" s="172"/>
      <c r="BJ656" s="172"/>
      <c r="BK656" s="172"/>
      <c r="BL656" s="172"/>
      <c r="BM656" s="172"/>
      <c r="BN656" s="172"/>
      <c r="BO656" s="172"/>
      <c r="BP656" s="172"/>
      <c r="BQ656" s="172"/>
      <c r="BR656" s="172"/>
      <c r="BS656" s="172"/>
    </row>
    <row r="657" spans="1:71" ht="12.5" x14ac:dyDescent="0.25">
      <c r="A657" s="170"/>
      <c r="B657" s="170"/>
      <c r="C657" s="170"/>
      <c r="D657" s="170"/>
      <c r="E657" s="171"/>
      <c r="F657" s="171"/>
      <c r="G657" s="170"/>
      <c r="H657" s="170"/>
      <c r="I657" s="170"/>
      <c r="J657" s="171"/>
      <c r="K657" s="171"/>
      <c r="L657" s="170"/>
      <c r="M657" s="170"/>
      <c r="N657" s="170"/>
      <c r="O657" s="171"/>
      <c r="P657" s="171"/>
      <c r="Q657" s="170"/>
      <c r="R657" s="170"/>
      <c r="S657" s="170"/>
      <c r="T657" s="171"/>
      <c r="U657" s="171"/>
      <c r="V657" s="171"/>
      <c r="W657" s="171"/>
      <c r="X657" s="171"/>
      <c r="Y657" s="171"/>
      <c r="Z657" s="171"/>
      <c r="AA657" s="171"/>
      <c r="AB657" s="171"/>
      <c r="AC657" s="170"/>
      <c r="AD657" s="170"/>
      <c r="AE657" s="170"/>
      <c r="AF657" s="170"/>
      <c r="AG657" s="170"/>
      <c r="AH657" s="170"/>
      <c r="AI657" s="170"/>
      <c r="AJ657" s="170"/>
      <c r="AK657" s="171"/>
      <c r="AL657" s="171"/>
      <c r="AM657" s="170"/>
      <c r="AN657" s="170"/>
      <c r="AO657" s="170"/>
      <c r="AP657" s="171"/>
      <c r="AQ657" s="171"/>
      <c r="AR657" s="170"/>
      <c r="AS657" s="170"/>
      <c r="AT657" s="170"/>
      <c r="AU657" s="171"/>
      <c r="AV657" s="171"/>
      <c r="AW657" s="171"/>
      <c r="AX657" s="171"/>
      <c r="AY657" s="171"/>
      <c r="AZ657" s="171"/>
      <c r="BA657" s="171"/>
      <c r="BB657" s="171"/>
      <c r="BC657" s="171"/>
      <c r="BD657" s="172"/>
      <c r="BE657" s="172"/>
      <c r="BF657" s="172"/>
      <c r="BG657" s="172"/>
      <c r="BH657" s="172"/>
      <c r="BI657" s="172"/>
      <c r="BJ657" s="172"/>
      <c r="BK657" s="172"/>
      <c r="BL657" s="172"/>
      <c r="BM657" s="172"/>
      <c r="BN657" s="172"/>
      <c r="BO657" s="172"/>
      <c r="BP657" s="172"/>
      <c r="BQ657" s="172"/>
      <c r="BR657" s="172"/>
      <c r="BS657" s="172"/>
    </row>
    <row r="658" spans="1:71" ht="12.5" x14ac:dyDescent="0.25">
      <c r="A658" s="170"/>
      <c r="B658" s="170"/>
      <c r="C658" s="170"/>
      <c r="D658" s="170"/>
      <c r="E658" s="171"/>
      <c r="F658" s="171"/>
      <c r="G658" s="170"/>
      <c r="H658" s="170"/>
      <c r="I658" s="170"/>
      <c r="J658" s="171"/>
      <c r="K658" s="171"/>
      <c r="L658" s="170"/>
      <c r="M658" s="170"/>
      <c r="N658" s="170"/>
      <c r="O658" s="171"/>
      <c r="P658" s="171"/>
      <c r="Q658" s="170"/>
      <c r="R658" s="170"/>
      <c r="S658" s="170"/>
      <c r="T658" s="171"/>
      <c r="U658" s="171"/>
      <c r="V658" s="171"/>
      <c r="W658" s="171"/>
      <c r="X658" s="171"/>
      <c r="Y658" s="171"/>
      <c r="Z658" s="171"/>
      <c r="AA658" s="171"/>
      <c r="AB658" s="171"/>
      <c r="AC658" s="170"/>
      <c r="AD658" s="170"/>
      <c r="AE658" s="170"/>
      <c r="AF658" s="170"/>
      <c r="AG658" s="170"/>
      <c r="AH658" s="170"/>
      <c r="AI658" s="170"/>
      <c r="AJ658" s="170"/>
      <c r="AK658" s="171"/>
      <c r="AL658" s="171"/>
      <c r="AM658" s="170"/>
      <c r="AN658" s="170"/>
      <c r="AO658" s="170"/>
      <c r="AP658" s="171"/>
      <c r="AQ658" s="171"/>
      <c r="AR658" s="170"/>
      <c r="AS658" s="170"/>
      <c r="AT658" s="170"/>
      <c r="AU658" s="171"/>
      <c r="AV658" s="171"/>
      <c r="AW658" s="171"/>
      <c r="AX658" s="171"/>
      <c r="AY658" s="171"/>
      <c r="AZ658" s="171"/>
      <c r="BA658" s="171"/>
      <c r="BB658" s="171"/>
      <c r="BC658" s="171"/>
      <c r="BD658" s="172"/>
      <c r="BE658" s="172"/>
      <c r="BF658" s="172"/>
      <c r="BG658" s="172"/>
      <c r="BH658" s="172"/>
      <c r="BI658" s="172"/>
      <c r="BJ658" s="172"/>
      <c r="BK658" s="172"/>
      <c r="BL658" s="172"/>
      <c r="BM658" s="172"/>
      <c r="BN658" s="172"/>
      <c r="BO658" s="172"/>
      <c r="BP658" s="172"/>
      <c r="BQ658" s="172"/>
      <c r="BR658" s="172"/>
      <c r="BS658" s="172"/>
    </row>
    <row r="659" spans="1:71" ht="12.5" x14ac:dyDescent="0.25">
      <c r="A659" s="170"/>
      <c r="B659" s="170"/>
      <c r="C659" s="170"/>
      <c r="D659" s="170"/>
      <c r="E659" s="171"/>
      <c r="F659" s="171"/>
      <c r="G659" s="170"/>
      <c r="H659" s="170"/>
      <c r="I659" s="170"/>
      <c r="J659" s="171"/>
      <c r="K659" s="171"/>
      <c r="L659" s="170"/>
      <c r="M659" s="170"/>
      <c r="N659" s="170"/>
      <c r="O659" s="171"/>
      <c r="P659" s="171"/>
      <c r="Q659" s="170"/>
      <c r="R659" s="170"/>
      <c r="S659" s="170"/>
      <c r="T659" s="171"/>
      <c r="U659" s="171"/>
      <c r="V659" s="171"/>
      <c r="W659" s="171"/>
      <c r="X659" s="171"/>
      <c r="Y659" s="171"/>
      <c r="Z659" s="171"/>
      <c r="AA659" s="171"/>
      <c r="AB659" s="171"/>
      <c r="AC659" s="170"/>
      <c r="AD659" s="170"/>
      <c r="AE659" s="170"/>
      <c r="AF659" s="170"/>
      <c r="AG659" s="170"/>
      <c r="AH659" s="170"/>
      <c r="AI659" s="170"/>
      <c r="AJ659" s="170"/>
      <c r="AK659" s="171"/>
      <c r="AL659" s="171"/>
      <c r="AM659" s="170"/>
      <c r="AN659" s="170"/>
      <c r="AO659" s="170"/>
      <c r="AP659" s="171"/>
      <c r="AQ659" s="171"/>
      <c r="AR659" s="170"/>
      <c r="AS659" s="170"/>
      <c r="AT659" s="170"/>
      <c r="AU659" s="171"/>
      <c r="AV659" s="171"/>
      <c r="AW659" s="171"/>
      <c r="AX659" s="171"/>
      <c r="AY659" s="171"/>
      <c r="AZ659" s="171"/>
      <c r="BA659" s="171"/>
      <c r="BB659" s="171"/>
      <c r="BC659" s="171"/>
      <c r="BD659" s="172"/>
      <c r="BE659" s="172"/>
      <c r="BF659" s="172"/>
      <c r="BG659" s="172"/>
      <c r="BH659" s="172"/>
      <c r="BI659" s="172"/>
      <c r="BJ659" s="172"/>
      <c r="BK659" s="172"/>
      <c r="BL659" s="172"/>
      <c r="BM659" s="172"/>
      <c r="BN659" s="172"/>
      <c r="BO659" s="172"/>
      <c r="BP659" s="172"/>
      <c r="BQ659" s="172"/>
      <c r="BR659" s="172"/>
      <c r="BS659" s="172"/>
    </row>
    <row r="660" spans="1:71" ht="12.5" x14ac:dyDescent="0.25">
      <c r="A660" s="170"/>
      <c r="B660" s="170"/>
      <c r="C660" s="170"/>
      <c r="D660" s="170"/>
      <c r="E660" s="171"/>
      <c r="F660" s="171"/>
      <c r="G660" s="170"/>
      <c r="H660" s="170"/>
      <c r="I660" s="170"/>
      <c r="J660" s="171"/>
      <c r="K660" s="171"/>
      <c r="L660" s="170"/>
      <c r="M660" s="170"/>
      <c r="N660" s="170"/>
      <c r="O660" s="171"/>
      <c r="P660" s="171"/>
      <c r="Q660" s="170"/>
      <c r="R660" s="170"/>
      <c r="S660" s="170"/>
      <c r="T660" s="171"/>
      <c r="U660" s="171"/>
      <c r="V660" s="171"/>
      <c r="W660" s="171"/>
      <c r="X660" s="171"/>
      <c r="Y660" s="171"/>
      <c r="Z660" s="171"/>
      <c r="AA660" s="171"/>
      <c r="AB660" s="171"/>
      <c r="AC660" s="170"/>
      <c r="AD660" s="170"/>
      <c r="AE660" s="170"/>
      <c r="AF660" s="170"/>
      <c r="AG660" s="170"/>
      <c r="AH660" s="170"/>
      <c r="AI660" s="170"/>
      <c r="AJ660" s="170"/>
      <c r="AK660" s="171"/>
      <c r="AL660" s="171"/>
      <c r="AM660" s="170"/>
      <c r="AN660" s="170"/>
      <c r="AO660" s="170"/>
      <c r="AP660" s="171"/>
      <c r="AQ660" s="171"/>
      <c r="AR660" s="170"/>
      <c r="AS660" s="170"/>
      <c r="AT660" s="170"/>
      <c r="AU660" s="171"/>
      <c r="AV660" s="171"/>
      <c r="AW660" s="171"/>
      <c r="AX660" s="171"/>
      <c r="AY660" s="171"/>
      <c r="AZ660" s="171"/>
      <c r="BA660" s="171"/>
      <c r="BB660" s="171"/>
      <c r="BC660" s="171"/>
      <c r="BD660" s="172"/>
      <c r="BE660" s="172"/>
      <c r="BF660" s="172"/>
      <c r="BG660" s="172"/>
      <c r="BH660" s="172"/>
      <c r="BI660" s="172"/>
      <c r="BJ660" s="172"/>
      <c r="BK660" s="172"/>
      <c r="BL660" s="172"/>
      <c r="BM660" s="172"/>
      <c r="BN660" s="172"/>
      <c r="BO660" s="172"/>
      <c r="BP660" s="172"/>
      <c r="BQ660" s="172"/>
      <c r="BR660" s="172"/>
      <c r="BS660" s="172"/>
    </row>
    <row r="661" spans="1:71" ht="12.5" x14ac:dyDescent="0.25">
      <c r="A661" s="170"/>
      <c r="B661" s="170"/>
      <c r="C661" s="170"/>
      <c r="D661" s="170"/>
      <c r="E661" s="171"/>
      <c r="F661" s="171"/>
      <c r="G661" s="170"/>
      <c r="H661" s="170"/>
      <c r="I661" s="170"/>
      <c r="J661" s="171"/>
      <c r="K661" s="171"/>
      <c r="L661" s="170"/>
      <c r="M661" s="170"/>
      <c r="N661" s="170"/>
      <c r="O661" s="171"/>
      <c r="P661" s="171"/>
      <c r="Q661" s="170"/>
      <c r="R661" s="170"/>
      <c r="S661" s="170"/>
      <c r="T661" s="171"/>
      <c r="U661" s="171"/>
      <c r="V661" s="171"/>
      <c r="W661" s="171"/>
      <c r="X661" s="171"/>
      <c r="Y661" s="171"/>
      <c r="Z661" s="171"/>
      <c r="AA661" s="171"/>
      <c r="AB661" s="171"/>
      <c r="AC661" s="170"/>
      <c r="AD661" s="170"/>
      <c r="AE661" s="170"/>
      <c r="AF661" s="170"/>
      <c r="AG661" s="170"/>
      <c r="AH661" s="170"/>
      <c r="AI661" s="170"/>
      <c r="AJ661" s="170"/>
      <c r="AK661" s="171"/>
      <c r="AL661" s="171"/>
      <c r="AM661" s="170"/>
      <c r="AN661" s="170"/>
      <c r="AO661" s="170"/>
      <c r="AP661" s="171"/>
      <c r="AQ661" s="171"/>
      <c r="AR661" s="170"/>
      <c r="AS661" s="170"/>
      <c r="AT661" s="170"/>
      <c r="AU661" s="171"/>
      <c r="AV661" s="171"/>
      <c r="AW661" s="171"/>
      <c r="AX661" s="171"/>
      <c r="AY661" s="171"/>
      <c r="AZ661" s="171"/>
      <c r="BA661" s="171"/>
      <c r="BB661" s="171"/>
      <c r="BC661" s="171"/>
      <c r="BD661" s="172"/>
      <c r="BE661" s="172"/>
      <c r="BF661" s="172"/>
      <c r="BG661" s="172"/>
      <c r="BH661" s="172"/>
      <c r="BI661" s="172"/>
      <c r="BJ661" s="172"/>
      <c r="BK661" s="172"/>
      <c r="BL661" s="172"/>
      <c r="BM661" s="172"/>
      <c r="BN661" s="172"/>
      <c r="BO661" s="172"/>
      <c r="BP661" s="172"/>
      <c r="BQ661" s="172"/>
      <c r="BR661" s="172"/>
      <c r="BS661" s="172"/>
    </row>
    <row r="662" spans="1:71" ht="12.5" x14ac:dyDescent="0.25">
      <c r="A662" s="170"/>
      <c r="B662" s="170"/>
      <c r="C662" s="170"/>
      <c r="D662" s="170"/>
      <c r="E662" s="171"/>
      <c r="F662" s="171"/>
      <c r="G662" s="170"/>
      <c r="H662" s="170"/>
      <c r="I662" s="170"/>
      <c r="J662" s="171"/>
      <c r="K662" s="171"/>
      <c r="L662" s="170"/>
      <c r="M662" s="170"/>
      <c r="N662" s="170"/>
      <c r="O662" s="171"/>
      <c r="P662" s="171"/>
      <c r="Q662" s="170"/>
      <c r="R662" s="170"/>
      <c r="S662" s="170"/>
      <c r="T662" s="171"/>
      <c r="U662" s="171"/>
      <c r="V662" s="171"/>
      <c r="W662" s="171"/>
      <c r="X662" s="171"/>
      <c r="Y662" s="171"/>
      <c r="Z662" s="171"/>
      <c r="AA662" s="171"/>
      <c r="AB662" s="171"/>
      <c r="AC662" s="170"/>
      <c r="AD662" s="170"/>
      <c r="AE662" s="170"/>
      <c r="AF662" s="170"/>
      <c r="AG662" s="170"/>
      <c r="AH662" s="170"/>
      <c r="AI662" s="170"/>
      <c r="AJ662" s="170"/>
      <c r="AK662" s="171"/>
      <c r="AL662" s="171"/>
      <c r="AM662" s="170"/>
      <c r="AN662" s="170"/>
      <c r="AO662" s="170"/>
      <c r="AP662" s="171"/>
      <c r="AQ662" s="171"/>
      <c r="AR662" s="170"/>
      <c r="AS662" s="170"/>
      <c r="AT662" s="170"/>
      <c r="AU662" s="171"/>
      <c r="AV662" s="171"/>
      <c r="AW662" s="171"/>
      <c r="AX662" s="171"/>
      <c r="AY662" s="171"/>
      <c r="AZ662" s="171"/>
      <c r="BA662" s="171"/>
      <c r="BB662" s="171"/>
      <c r="BC662" s="171"/>
      <c r="BD662" s="172"/>
      <c r="BE662" s="172"/>
      <c r="BF662" s="172"/>
      <c r="BG662" s="172"/>
      <c r="BH662" s="172"/>
      <c r="BI662" s="172"/>
      <c r="BJ662" s="172"/>
      <c r="BK662" s="172"/>
      <c r="BL662" s="172"/>
      <c r="BM662" s="172"/>
      <c r="BN662" s="172"/>
      <c r="BO662" s="172"/>
      <c r="BP662" s="172"/>
      <c r="BQ662" s="172"/>
      <c r="BR662" s="172"/>
      <c r="BS662" s="172"/>
    </row>
    <row r="663" spans="1:71" ht="12.5" x14ac:dyDescent="0.25">
      <c r="A663" s="170"/>
      <c r="B663" s="170"/>
      <c r="C663" s="170"/>
      <c r="D663" s="170"/>
      <c r="E663" s="171"/>
      <c r="F663" s="171"/>
      <c r="G663" s="170"/>
      <c r="H663" s="170"/>
      <c r="I663" s="170"/>
      <c r="J663" s="171"/>
      <c r="K663" s="171"/>
      <c r="L663" s="170"/>
      <c r="M663" s="170"/>
      <c r="N663" s="170"/>
      <c r="O663" s="171"/>
      <c r="P663" s="171"/>
      <c r="Q663" s="170"/>
      <c r="R663" s="170"/>
      <c r="S663" s="170"/>
      <c r="T663" s="171"/>
      <c r="U663" s="171"/>
      <c r="V663" s="171"/>
      <c r="W663" s="171"/>
      <c r="X663" s="171"/>
      <c r="Y663" s="171"/>
      <c r="Z663" s="171"/>
      <c r="AA663" s="171"/>
      <c r="AB663" s="171"/>
      <c r="AC663" s="170"/>
      <c r="AD663" s="170"/>
      <c r="AE663" s="170"/>
      <c r="AF663" s="170"/>
      <c r="AG663" s="170"/>
      <c r="AH663" s="170"/>
      <c r="AI663" s="170"/>
      <c r="AJ663" s="170"/>
      <c r="AK663" s="171"/>
      <c r="AL663" s="171"/>
      <c r="AM663" s="170"/>
      <c r="AN663" s="170"/>
      <c r="AO663" s="170"/>
      <c r="AP663" s="171"/>
      <c r="AQ663" s="171"/>
      <c r="AR663" s="170"/>
      <c r="AS663" s="170"/>
      <c r="AT663" s="170"/>
      <c r="AU663" s="171"/>
      <c r="AV663" s="171"/>
      <c r="AW663" s="171"/>
      <c r="AX663" s="171"/>
      <c r="AY663" s="171"/>
      <c r="AZ663" s="171"/>
      <c r="BA663" s="171"/>
      <c r="BB663" s="171"/>
      <c r="BC663" s="171"/>
      <c r="BD663" s="172"/>
      <c r="BE663" s="172"/>
      <c r="BF663" s="172"/>
      <c r="BG663" s="172"/>
      <c r="BH663" s="172"/>
      <c r="BI663" s="172"/>
      <c r="BJ663" s="172"/>
      <c r="BK663" s="172"/>
      <c r="BL663" s="172"/>
      <c r="BM663" s="172"/>
      <c r="BN663" s="172"/>
      <c r="BO663" s="172"/>
      <c r="BP663" s="172"/>
      <c r="BQ663" s="172"/>
      <c r="BR663" s="172"/>
      <c r="BS663" s="172"/>
    </row>
    <row r="664" spans="1:71" ht="12.5" x14ac:dyDescent="0.25">
      <c r="A664" s="170"/>
      <c r="B664" s="170"/>
      <c r="C664" s="170"/>
      <c r="D664" s="170"/>
      <c r="E664" s="171"/>
      <c r="F664" s="171"/>
      <c r="G664" s="170"/>
      <c r="H664" s="170"/>
      <c r="I664" s="170"/>
      <c r="J664" s="171"/>
      <c r="K664" s="171"/>
      <c r="L664" s="170"/>
      <c r="M664" s="170"/>
      <c r="N664" s="170"/>
      <c r="O664" s="171"/>
      <c r="P664" s="171"/>
      <c r="Q664" s="170"/>
      <c r="R664" s="170"/>
      <c r="S664" s="170"/>
      <c r="T664" s="171"/>
      <c r="U664" s="171"/>
      <c r="V664" s="171"/>
      <c r="W664" s="171"/>
      <c r="X664" s="171"/>
      <c r="Y664" s="171"/>
      <c r="Z664" s="171"/>
      <c r="AA664" s="171"/>
      <c r="AB664" s="171"/>
      <c r="AC664" s="170"/>
      <c r="AD664" s="170"/>
      <c r="AE664" s="170"/>
      <c r="AF664" s="170"/>
      <c r="AG664" s="170"/>
      <c r="AH664" s="170"/>
      <c r="AI664" s="170"/>
      <c r="AJ664" s="170"/>
      <c r="AK664" s="171"/>
      <c r="AL664" s="171"/>
      <c r="AM664" s="170"/>
      <c r="AN664" s="170"/>
      <c r="AO664" s="170"/>
      <c r="AP664" s="171"/>
      <c r="AQ664" s="171"/>
      <c r="AR664" s="170"/>
      <c r="AS664" s="170"/>
      <c r="AT664" s="170"/>
      <c r="AU664" s="171"/>
      <c r="AV664" s="171"/>
      <c r="AW664" s="171"/>
      <c r="AX664" s="171"/>
      <c r="AY664" s="171"/>
      <c r="AZ664" s="171"/>
      <c r="BA664" s="171"/>
      <c r="BB664" s="171"/>
      <c r="BC664" s="171"/>
      <c r="BD664" s="172"/>
      <c r="BE664" s="172"/>
      <c r="BF664" s="172"/>
      <c r="BG664" s="172"/>
      <c r="BH664" s="172"/>
      <c r="BI664" s="172"/>
      <c r="BJ664" s="172"/>
      <c r="BK664" s="172"/>
      <c r="BL664" s="172"/>
      <c r="BM664" s="172"/>
      <c r="BN664" s="172"/>
      <c r="BO664" s="172"/>
      <c r="BP664" s="172"/>
      <c r="BQ664" s="172"/>
      <c r="BR664" s="172"/>
      <c r="BS664" s="172"/>
    </row>
    <row r="665" spans="1:71" ht="12.5" x14ac:dyDescent="0.25">
      <c r="A665" s="170"/>
      <c r="B665" s="170"/>
      <c r="C665" s="170"/>
      <c r="D665" s="170"/>
      <c r="E665" s="171"/>
      <c r="F665" s="171"/>
      <c r="G665" s="170"/>
      <c r="H665" s="170"/>
      <c r="I665" s="170"/>
      <c r="J665" s="171"/>
      <c r="K665" s="171"/>
      <c r="L665" s="170"/>
      <c r="M665" s="170"/>
      <c r="N665" s="170"/>
      <c r="O665" s="171"/>
      <c r="P665" s="171"/>
      <c r="Q665" s="170"/>
      <c r="R665" s="170"/>
      <c r="S665" s="170"/>
      <c r="T665" s="171"/>
      <c r="U665" s="171"/>
      <c r="V665" s="171"/>
      <c r="W665" s="171"/>
      <c r="X665" s="171"/>
      <c r="Y665" s="171"/>
      <c r="Z665" s="171"/>
      <c r="AA665" s="171"/>
      <c r="AB665" s="171"/>
      <c r="AC665" s="170"/>
      <c r="AD665" s="170"/>
      <c r="AE665" s="170"/>
      <c r="AF665" s="170"/>
      <c r="AG665" s="170"/>
      <c r="AH665" s="170"/>
      <c r="AI665" s="170"/>
      <c r="AJ665" s="170"/>
      <c r="AK665" s="171"/>
      <c r="AL665" s="171"/>
      <c r="AM665" s="170"/>
      <c r="AN665" s="170"/>
      <c r="AO665" s="170"/>
      <c r="AP665" s="171"/>
      <c r="AQ665" s="171"/>
      <c r="AR665" s="170"/>
      <c r="AS665" s="170"/>
      <c r="AT665" s="170"/>
      <c r="AU665" s="171"/>
      <c r="AV665" s="171"/>
      <c r="AW665" s="171"/>
      <c r="AX665" s="171"/>
      <c r="AY665" s="171"/>
      <c r="AZ665" s="171"/>
      <c r="BA665" s="171"/>
      <c r="BB665" s="171"/>
      <c r="BC665" s="171"/>
      <c r="BD665" s="172"/>
      <c r="BE665" s="172"/>
      <c r="BF665" s="172"/>
      <c r="BG665" s="172"/>
      <c r="BH665" s="172"/>
      <c r="BI665" s="172"/>
      <c r="BJ665" s="172"/>
      <c r="BK665" s="172"/>
      <c r="BL665" s="172"/>
      <c r="BM665" s="172"/>
      <c r="BN665" s="172"/>
      <c r="BO665" s="172"/>
      <c r="BP665" s="172"/>
      <c r="BQ665" s="172"/>
      <c r="BR665" s="172"/>
      <c r="BS665" s="172"/>
    </row>
    <row r="666" spans="1:71" ht="12.5" x14ac:dyDescent="0.25">
      <c r="A666" s="170"/>
      <c r="B666" s="170"/>
      <c r="C666" s="170"/>
      <c r="D666" s="170"/>
      <c r="E666" s="171"/>
      <c r="F666" s="171"/>
      <c r="G666" s="170"/>
      <c r="H666" s="170"/>
      <c r="I666" s="170"/>
      <c r="J666" s="171"/>
      <c r="K666" s="171"/>
      <c r="L666" s="170"/>
      <c r="M666" s="170"/>
      <c r="N666" s="170"/>
      <c r="O666" s="171"/>
      <c r="P666" s="171"/>
      <c r="Q666" s="170"/>
      <c r="R666" s="170"/>
      <c r="S666" s="170"/>
      <c r="T666" s="171"/>
      <c r="U666" s="171"/>
      <c r="V666" s="171"/>
      <c r="W666" s="171"/>
      <c r="X666" s="171"/>
      <c r="Y666" s="171"/>
      <c r="Z666" s="171"/>
      <c r="AA666" s="171"/>
      <c r="AB666" s="171"/>
      <c r="AC666" s="170"/>
      <c r="AD666" s="170"/>
      <c r="AE666" s="170"/>
      <c r="AF666" s="170"/>
      <c r="AG666" s="170"/>
      <c r="AH666" s="170"/>
      <c r="AI666" s="170"/>
      <c r="AJ666" s="170"/>
      <c r="AK666" s="171"/>
      <c r="AL666" s="171"/>
      <c r="AM666" s="170"/>
      <c r="AN666" s="170"/>
      <c r="AO666" s="170"/>
      <c r="AP666" s="171"/>
      <c r="AQ666" s="171"/>
      <c r="AR666" s="170"/>
      <c r="AS666" s="170"/>
      <c r="AT666" s="170"/>
      <c r="AU666" s="171"/>
      <c r="AV666" s="171"/>
      <c r="AW666" s="171"/>
      <c r="AX666" s="171"/>
      <c r="AY666" s="171"/>
      <c r="AZ666" s="171"/>
      <c r="BA666" s="171"/>
      <c r="BB666" s="171"/>
      <c r="BC666" s="171"/>
      <c r="BD666" s="172"/>
      <c r="BE666" s="172"/>
      <c r="BF666" s="172"/>
      <c r="BG666" s="172"/>
      <c r="BH666" s="172"/>
      <c r="BI666" s="172"/>
      <c r="BJ666" s="172"/>
      <c r="BK666" s="172"/>
      <c r="BL666" s="172"/>
      <c r="BM666" s="172"/>
      <c r="BN666" s="172"/>
      <c r="BO666" s="172"/>
      <c r="BP666" s="172"/>
      <c r="BQ666" s="172"/>
      <c r="BR666" s="172"/>
      <c r="BS666" s="172"/>
    </row>
    <row r="667" spans="1:71" ht="12.5" x14ac:dyDescent="0.25">
      <c r="A667" s="170"/>
      <c r="B667" s="170"/>
      <c r="C667" s="170"/>
      <c r="D667" s="170"/>
      <c r="E667" s="171"/>
      <c r="F667" s="171"/>
      <c r="G667" s="170"/>
      <c r="H667" s="170"/>
      <c r="I667" s="170"/>
      <c r="J667" s="171"/>
      <c r="K667" s="171"/>
      <c r="L667" s="170"/>
      <c r="M667" s="170"/>
      <c r="N667" s="170"/>
      <c r="O667" s="171"/>
      <c r="P667" s="171"/>
      <c r="Q667" s="170"/>
      <c r="R667" s="170"/>
      <c r="S667" s="170"/>
      <c r="T667" s="171"/>
      <c r="U667" s="171"/>
      <c r="V667" s="171"/>
      <c r="W667" s="171"/>
      <c r="X667" s="171"/>
      <c r="Y667" s="171"/>
      <c r="Z667" s="171"/>
      <c r="AA667" s="171"/>
      <c r="AB667" s="171"/>
      <c r="AC667" s="170"/>
      <c r="AD667" s="170"/>
      <c r="AE667" s="170"/>
      <c r="AF667" s="170"/>
      <c r="AG667" s="170"/>
      <c r="AH667" s="170"/>
      <c r="AI667" s="170"/>
      <c r="AJ667" s="170"/>
      <c r="AK667" s="171"/>
      <c r="AL667" s="171"/>
      <c r="AM667" s="170"/>
      <c r="AN667" s="170"/>
      <c r="AO667" s="170"/>
      <c r="AP667" s="171"/>
      <c r="AQ667" s="171"/>
      <c r="AR667" s="170"/>
      <c r="AS667" s="170"/>
      <c r="AT667" s="170"/>
      <c r="AU667" s="171"/>
      <c r="AV667" s="171"/>
      <c r="AW667" s="171"/>
      <c r="AX667" s="171"/>
      <c r="AY667" s="171"/>
      <c r="AZ667" s="171"/>
      <c r="BA667" s="171"/>
      <c r="BB667" s="171"/>
      <c r="BC667" s="171"/>
      <c r="BD667" s="172"/>
      <c r="BE667" s="172"/>
      <c r="BF667" s="172"/>
      <c r="BG667" s="172"/>
      <c r="BH667" s="172"/>
      <c r="BI667" s="172"/>
      <c r="BJ667" s="172"/>
      <c r="BK667" s="172"/>
      <c r="BL667" s="172"/>
      <c r="BM667" s="172"/>
      <c r="BN667" s="172"/>
      <c r="BO667" s="172"/>
      <c r="BP667" s="172"/>
      <c r="BQ667" s="172"/>
      <c r="BR667" s="172"/>
      <c r="BS667" s="172"/>
    </row>
    <row r="668" spans="1:71" ht="12.5" x14ac:dyDescent="0.25">
      <c r="A668" s="170"/>
      <c r="B668" s="170"/>
      <c r="C668" s="170"/>
      <c r="D668" s="170"/>
      <c r="E668" s="171"/>
      <c r="F668" s="171"/>
      <c r="G668" s="170"/>
      <c r="H668" s="170"/>
      <c r="I668" s="170"/>
      <c r="J668" s="171"/>
      <c r="K668" s="171"/>
      <c r="L668" s="170"/>
      <c r="M668" s="170"/>
      <c r="N668" s="170"/>
      <c r="O668" s="171"/>
      <c r="P668" s="171"/>
      <c r="Q668" s="170"/>
      <c r="R668" s="170"/>
      <c r="S668" s="170"/>
      <c r="T668" s="171"/>
      <c r="U668" s="171"/>
      <c r="V668" s="171"/>
      <c r="W668" s="171"/>
      <c r="X668" s="171"/>
      <c r="Y668" s="171"/>
      <c r="Z668" s="171"/>
      <c r="AA668" s="171"/>
      <c r="AB668" s="171"/>
      <c r="AC668" s="170"/>
      <c r="AD668" s="170"/>
      <c r="AE668" s="170"/>
      <c r="AF668" s="170"/>
      <c r="AG668" s="170"/>
      <c r="AH668" s="170"/>
      <c r="AI668" s="170"/>
      <c r="AJ668" s="170"/>
      <c r="AK668" s="171"/>
      <c r="AL668" s="171"/>
      <c r="AM668" s="170"/>
      <c r="AN668" s="170"/>
      <c r="AO668" s="170"/>
      <c r="AP668" s="171"/>
      <c r="AQ668" s="171"/>
      <c r="AR668" s="170"/>
      <c r="AS668" s="170"/>
      <c r="AT668" s="170"/>
      <c r="AU668" s="171"/>
      <c r="AV668" s="171"/>
      <c r="AW668" s="171"/>
      <c r="AX668" s="171"/>
      <c r="AY668" s="171"/>
      <c r="AZ668" s="171"/>
      <c r="BA668" s="171"/>
      <c r="BB668" s="171"/>
      <c r="BC668" s="171"/>
      <c r="BD668" s="172"/>
      <c r="BE668" s="172"/>
      <c r="BF668" s="172"/>
      <c r="BG668" s="172"/>
      <c r="BH668" s="172"/>
      <c r="BI668" s="172"/>
      <c r="BJ668" s="172"/>
      <c r="BK668" s="172"/>
      <c r="BL668" s="172"/>
      <c r="BM668" s="172"/>
      <c r="BN668" s="172"/>
      <c r="BO668" s="172"/>
      <c r="BP668" s="172"/>
      <c r="BQ668" s="172"/>
      <c r="BR668" s="172"/>
      <c r="BS668" s="172"/>
    </row>
    <row r="669" spans="1:71" ht="12.5" x14ac:dyDescent="0.25">
      <c r="A669" s="170"/>
      <c r="B669" s="170"/>
      <c r="C669" s="170"/>
      <c r="D669" s="170"/>
      <c r="E669" s="171"/>
      <c r="F669" s="171"/>
      <c r="G669" s="170"/>
      <c r="H669" s="170"/>
      <c r="I669" s="170"/>
      <c r="J669" s="171"/>
      <c r="K669" s="171"/>
      <c r="L669" s="170"/>
      <c r="M669" s="170"/>
      <c r="N669" s="170"/>
      <c r="O669" s="171"/>
      <c r="P669" s="171"/>
      <c r="Q669" s="170"/>
      <c r="R669" s="170"/>
      <c r="S669" s="170"/>
      <c r="T669" s="171"/>
      <c r="U669" s="171"/>
      <c r="V669" s="171"/>
      <c r="W669" s="171"/>
      <c r="X669" s="171"/>
      <c r="Y669" s="171"/>
      <c r="Z669" s="171"/>
      <c r="AA669" s="171"/>
      <c r="AB669" s="171"/>
      <c r="AC669" s="170"/>
      <c r="AD669" s="170"/>
      <c r="AE669" s="170"/>
      <c r="AF669" s="170"/>
      <c r="AG669" s="170"/>
      <c r="AH669" s="170"/>
      <c r="AI669" s="170"/>
      <c r="AJ669" s="170"/>
      <c r="AK669" s="171"/>
      <c r="AL669" s="171"/>
      <c r="AM669" s="170"/>
      <c r="AN669" s="170"/>
      <c r="AO669" s="170"/>
      <c r="AP669" s="171"/>
      <c r="AQ669" s="171"/>
      <c r="AR669" s="170"/>
      <c r="AS669" s="170"/>
      <c r="AT669" s="170"/>
      <c r="AU669" s="171"/>
      <c r="AV669" s="171"/>
      <c r="AW669" s="171"/>
      <c r="AX669" s="171"/>
      <c r="AY669" s="171"/>
      <c r="AZ669" s="171"/>
      <c r="BA669" s="171"/>
      <c r="BB669" s="171"/>
      <c r="BC669" s="171"/>
      <c r="BD669" s="172"/>
      <c r="BE669" s="172"/>
      <c r="BF669" s="172"/>
      <c r="BG669" s="172"/>
      <c r="BH669" s="172"/>
      <c r="BI669" s="172"/>
      <c r="BJ669" s="172"/>
      <c r="BK669" s="172"/>
      <c r="BL669" s="172"/>
      <c r="BM669" s="172"/>
      <c r="BN669" s="172"/>
      <c r="BO669" s="172"/>
      <c r="BP669" s="172"/>
      <c r="BQ669" s="172"/>
      <c r="BR669" s="172"/>
      <c r="BS669" s="172"/>
    </row>
    <row r="670" spans="1:71" ht="12.5" x14ac:dyDescent="0.25">
      <c r="A670" s="170"/>
      <c r="B670" s="170"/>
      <c r="C670" s="170"/>
      <c r="D670" s="170"/>
      <c r="E670" s="171"/>
      <c r="F670" s="171"/>
      <c r="G670" s="170"/>
      <c r="H670" s="170"/>
      <c r="I670" s="170"/>
      <c r="J670" s="171"/>
      <c r="K670" s="171"/>
      <c r="L670" s="170"/>
      <c r="M670" s="170"/>
      <c r="N670" s="170"/>
      <c r="O670" s="171"/>
      <c r="P670" s="171"/>
      <c r="Q670" s="170"/>
      <c r="R670" s="170"/>
      <c r="S670" s="170"/>
      <c r="T670" s="171"/>
      <c r="U670" s="171"/>
      <c r="V670" s="171"/>
      <c r="W670" s="171"/>
      <c r="X670" s="171"/>
      <c r="Y670" s="171"/>
      <c r="Z670" s="171"/>
      <c r="AA670" s="171"/>
      <c r="AB670" s="171"/>
      <c r="AC670" s="170"/>
      <c r="AD670" s="170"/>
      <c r="AE670" s="170"/>
      <c r="AF670" s="170"/>
      <c r="AG670" s="170"/>
      <c r="AH670" s="170"/>
      <c r="AI670" s="170"/>
      <c r="AJ670" s="170"/>
      <c r="AK670" s="171"/>
      <c r="AL670" s="171"/>
      <c r="AM670" s="170"/>
      <c r="AN670" s="170"/>
      <c r="AO670" s="170"/>
      <c r="AP670" s="171"/>
      <c r="AQ670" s="171"/>
      <c r="AR670" s="170"/>
      <c r="AS670" s="170"/>
      <c r="AT670" s="170"/>
      <c r="AU670" s="171"/>
      <c r="AV670" s="171"/>
      <c r="AW670" s="171"/>
      <c r="AX670" s="171"/>
      <c r="AY670" s="171"/>
      <c r="AZ670" s="171"/>
      <c r="BA670" s="171"/>
      <c r="BB670" s="171"/>
      <c r="BC670" s="171"/>
      <c r="BD670" s="172"/>
      <c r="BE670" s="172"/>
      <c r="BF670" s="172"/>
      <c r="BG670" s="172"/>
      <c r="BH670" s="172"/>
      <c r="BI670" s="172"/>
      <c r="BJ670" s="172"/>
      <c r="BK670" s="172"/>
      <c r="BL670" s="172"/>
      <c r="BM670" s="172"/>
      <c r="BN670" s="172"/>
      <c r="BO670" s="172"/>
      <c r="BP670" s="172"/>
      <c r="BQ670" s="172"/>
      <c r="BR670" s="172"/>
      <c r="BS670" s="172"/>
    </row>
    <row r="671" spans="1:71" ht="12.5" x14ac:dyDescent="0.25">
      <c r="A671" s="170"/>
      <c r="B671" s="170"/>
      <c r="C671" s="170"/>
      <c r="D671" s="170"/>
      <c r="E671" s="171"/>
      <c r="F671" s="171"/>
      <c r="G671" s="170"/>
      <c r="H671" s="170"/>
      <c r="I671" s="170"/>
      <c r="J671" s="171"/>
      <c r="K671" s="171"/>
      <c r="L671" s="170"/>
      <c r="M671" s="170"/>
      <c r="N671" s="170"/>
      <c r="O671" s="171"/>
      <c r="P671" s="171"/>
      <c r="Q671" s="170"/>
      <c r="R671" s="170"/>
      <c r="S671" s="170"/>
      <c r="T671" s="171"/>
      <c r="U671" s="171"/>
      <c r="V671" s="171"/>
      <c r="W671" s="171"/>
      <c r="X671" s="171"/>
      <c r="Y671" s="171"/>
      <c r="Z671" s="171"/>
      <c r="AA671" s="171"/>
      <c r="AB671" s="171"/>
      <c r="AC671" s="170"/>
      <c r="AD671" s="170"/>
      <c r="AE671" s="170"/>
      <c r="AF671" s="170"/>
      <c r="AG671" s="170"/>
      <c r="AH671" s="170"/>
      <c r="AI671" s="170"/>
      <c r="AJ671" s="170"/>
      <c r="AK671" s="171"/>
      <c r="AL671" s="171"/>
      <c r="AM671" s="170"/>
      <c r="AN671" s="170"/>
      <c r="AO671" s="170"/>
      <c r="AP671" s="171"/>
      <c r="AQ671" s="171"/>
      <c r="AR671" s="170"/>
      <c r="AS671" s="170"/>
      <c r="AT671" s="170"/>
      <c r="AU671" s="171"/>
      <c r="AV671" s="171"/>
      <c r="AW671" s="171"/>
      <c r="AX671" s="171"/>
      <c r="AY671" s="171"/>
      <c r="AZ671" s="171"/>
      <c r="BA671" s="171"/>
      <c r="BB671" s="171"/>
      <c r="BC671" s="171"/>
      <c r="BD671" s="172"/>
      <c r="BE671" s="172"/>
      <c r="BF671" s="172"/>
      <c r="BG671" s="172"/>
      <c r="BH671" s="172"/>
      <c r="BI671" s="172"/>
      <c r="BJ671" s="172"/>
      <c r="BK671" s="172"/>
      <c r="BL671" s="172"/>
      <c r="BM671" s="172"/>
      <c r="BN671" s="172"/>
      <c r="BO671" s="172"/>
      <c r="BP671" s="172"/>
      <c r="BQ671" s="172"/>
      <c r="BR671" s="172"/>
      <c r="BS671" s="172"/>
    </row>
    <row r="672" spans="1:71" ht="12.5" x14ac:dyDescent="0.25">
      <c r="A672" s="170"/>
      <c r="B672" s="170"/>
      <c r="C672" s="170"/>
      <c r="D672" s="170"/>
      <c r="E672" s="171"/>
      <c r="F672" s="171"/>
      <c r="G672" s="170"/>
      <c r="H672" s="170"/>
      <c r="I672" s="170"/>
      <c r="J672" s="171"/>
      <c r="K672" s="171"/>
      <c r="L672" s="170"/>
      <c r="M672" s="170"/>
      <c r="N672" s="170"/>
      <c r="O672" s="171"/>
      <c r="P672" s="171"/>
      <c r="Q672" s="170"/>
      <c r="R672" s="170"/>
      <c r="S672" s="170"/>
      <c r="T672" s="171"/>
      <c r="U672" s="171"/>
      <c r="V672" s="171"/>
      <c r="W672" s="171"/>
      <c r="X672" s="171"/>
      <c r="Y672" s="171"/>
      <c r="Z672" s="171"/>
      <c r="AA672" s="171"/>
      <c r="AB672" s="171"/>
      <c r="AC672" s="170"/>
      <c r="AD672" s="170"/>
      <c r="AE672" s="170"/>
      <c r="AF672" s="170"/>
      <c r="AG672" s="170"/>
      <c r="AH672" s="170"/>
      <c r="AI672" s="170"/>
      <c r="AJ672" s="170"/>
      <c r="AK672" s="171"/>
      <c r="AL672" s="171"/>
      <c r="AM672" s="170"/>
      <c r="AN672" s="170"/>
      <c r="AO672" s="170"/>
      <c r="AP672" s="171"/>
      <c r="AQ672" s="171"/>
      <c r="AR672" s="170"/>
      <c r="AS672" s="170"/>
      <c r="AT672" s="170"/>
      <c r="AU672" s="171"/>
      <c r="AV672" s="171"/>
      <c r="AW672" s="171"/>
      <c r="AX672" s="171"/>
      <c r="AY672" s="171"/>
      <c r="AZ672" s="171"/>
      <c r="BA672" s="171"/>
      <c r="BB672" s="171"/>
      <c r="BC672" s="171"/>
      <c r="BD672" s="172"/>
      <c r="BE672" s="172"/>
      <c r="BF672" s="172"/>
      <c r="BG672" s="172"/>
      <c r="BH672" s="172"/>
      <c r="BI672" s="172"/>
      <c r="BJ672" s="172"/>
      <c r="BK672" s="172"/>
      <c r="BL672" s="172"/>
      <c r="BM672" s="172"/>
      <c r="BN672" s="172"/>
      <c r="BO672" s="172"/>
      <c r="BP672" s="172"/>
      <c r="BQ672" s="172"/>
      <c r="BR672" s="172"/>
      <c r="BS672" s="172"/>
    </row>
    <row r="673" spans="1:71" ht="12.5" x14ac:dyDescent="0.25">
      <c r="A673" s="170"/>
      <c r="B673" s="170"/>
      <c r="C673" s="170"/>
      <c r="D673" s="170"/>
      <c r="E673" s="171"/>
      <c r="F673" s="171"/>
      <c r="G673" s="170"/>
      <c r="H673" s="170"/>
      <c r="I673" s="170"/>
      <c r="J673" s="171"/>
      <c r="K673" s="171"/>
      <c r="L673" s="170"/>
      <c r="M673" s="170"/>
      <c r="N673" s="170"/>
      <c r="O673" s="171"/>
      <c r="P673" s="171"/>
      <c r="Q673" s="170"/>
      <c r="R673" s="170"/>
      <c r="S673" s="170"/>
      <c r="T673" s="171"/>
      <c r="U673" s="171"/>
      <c r="V673" s="171"/>
      <c r="W673" s="171"/>
      <c r="X673" s="171"/>
      <c r="Y673" s="171"/>
      <c r="Z673" s="171"/>
      <c r="AA673" s="171"/>
      <c r="AB673" s="171"/>
      <c r="AC673" s="170"/>
      <c r="AD673" s="170"/>
      <c r="AE673" s="170"/>
      <c r="AF673" s="170"/>
      <c r="AG673" s="170"/>
      <c r="AH673" s="170"/>
      <c r="AI673" s="170"/>
      <c r="AJ673" s="170"/>
      <c r="AK673" s="171"/>
      <c r="AL673" s="171"/>
      <c r="AM673" s="170"/>
      <c r="AN673" s="170"/>
      <c r="AO673" s="170"/>
      <c r="AP673" s="171"/>
      <c r="AQ673" s="171"/>
      <c r="AR673" s="170"/>
      <c r="AS673" s="170"/>
      <c r="AT673" s="170"/>
      <c r="AU673" s="171"/>
      <c r="AV673" s="171"/>
      <c r="AW673" s="171"/>
      <c r="AX673" s="171"/>
      <c r="AY673" s="171"/>
      <c r="AZ673" s="171"/>
      <c r="BA673" s="171"/>
      <c r="BB673" s="171"/>
      <c r="BC673" s="171"/>
      <c r="BD673" s="172"/>
      <c r="BE673" s="172"/>
      <c r="BF673" s="172"/>
      <c r="BG673" s="172"/>
      <c r="BH673" s="172"/>
      <c r="BI673" s="172"/>
      <c r="BJ673" s="172"/>
      <c r="BK673" s="172"/>
      <c r="BL673" s="172"/>
      <c r="BM673" s="172"/>
      <c r="BN673" s="172"/>
      <c r="BO673" s="172"/>
      <c r="BP673" s="172"/>
      <c r="BQ673" s="172"/>
      <c r="BR673" s="172"/>
      <c r="BS673" s="172"/>
    </row>
    <row r="674" spans="1:71" ht="12.5" x14ac:dyDescent="0.25">
      <c r="A674" s="170"/>
      <c r="B674" s="170"/>
      <c r="C674" s="170"/>
      <c r="D674" s="170"/>
      <c r="E674" s="171"/>
      <c r="F674" s="171"/>
      <c r="G674" s="170"/>
      <c r="H674" s="170"/>
      <c r="I674" s="170"/>
      <c r="J674" s="171"/>
      <c r="K674" s="171"/>
      <c r="L674" s="170"/>
      <c r="M674" s="170"/>
      <c r="N674" s="170"/>
      <c r="O674" s="171"/>
      <c r="P674" s="171"/>
      <c r="Q674" s="170"/>
      <c r="R674" s="170"/>
      <c r="S674" s="170"/>
      <c r="T674" s="171"/>
      <c r="U674" s="171"/>
      <c r="V674" s="171"/>
      <c r="W674" s="171"/>
      <c r="X674" s="171"/>
      <c r="Y674" s="171"/>
      <c r="Z674" s="171"/>
      <c r="AA674" s="171"/>
      <c r="AB674" s="171"/>
      <c r="AC674" s="170"/>
      <c r="AD674" s="170"/>
      <c r="AE674" s="170"/>
      <c r="AF674" s="170"/>
      <c r="AG674" s="170"/>
      <c r="AH674" s="170"/>
      <c r="AI674" s="170"/>
      <c r="AJ674" s="170"/>
      <c r="AK674" s="171"/>
      <c r="AL674" s="171"/>
      <c r="AM674" s="170"/>
      <c r="AN674" s="170"/>
      <c r="AO674" s="170"/>
      <c r="AP674" s="171"/>
      <c r="AQ674" s="171"/>
      <c r="AR674" s="170"/>
      <c r="AS674" s="170"/>
      <c r="AT674" s="170"/>
      <c r="AU674" s="171"/>
      <c r="AV674" s="171"/>
      <c r="AW674" s="171"/>
      <c r="AX674" s="171"/>
      <c r="AY674" s="171"/>
      <c r="AZ674" s="171"/>
      <c r="BA674" s="171"/>
      <c r="BB674" s="171"/>
      <c r="BC674" s="171"/>
      <c r="BD674" s="172"/>
      <c r="BE674" s="172"/>
      <c r="BF674" s="172"/>
      <c r="BG674" s="172"/>
      <c r="BH674" s="172"/>
      <c r="BI674" s="172"/>
      <c r="BJ674" s="172"/>
      <c r="BK674" s="172"/>
      <c r="BL674" s="172"/>
      <c r="BM674" s="172"/>
      <c r="BN674" s="172"/>
      <c r="BO674" s="172"/>
      <c r="BP674" s="172"/>
      <c r="BQ674" s="172"/>
      <c r="BR674" s="172"/>
      <c r="BS674" s="172"/>
    </row>
    <row r="675" spans="1:71" ht="12.5" x14ac:dyDescent="0.25">
      <c r="A675" s="170"/>
      <c r="B675" s="170"/>
      <c r="C675" s="170"/>
      <c r="D675" s="170"/>
      <c r="E675" s="171"/>
      <c r="F675" s="171"/>
      <c r="G675" s="170"/>
      <c r="H675" s="170"/>
      <c r="I675" s="170"/>
      <c r="J675" s="171"/>
      <c r="K675" s="171"/>
      <c r="L675" s="170"/>
      <c r="M675" s="170"/>
      <c r="N675" s="170"/>
      <c r="O675" s="171"/>
      <c r="P675" s="171"/>
      <c r="Q675" s="170"/>
      <c r="R675" s="170"/>
      <c r="S675" s="170"/>
      <c r="T675" s="171"/>
      <c r="U675" s="171"/>
      <c r="V675" s="171"/>
      <c r="W675" s="171"/>
      <c r="X675" s="171"/>
      <c r="Y675" s="171"/>
      <c r="Z675" s="171"/>
      <c r="AA675" s="171"/>
      <c r="AB675" s="171"/>
      <c r="AC675" s="170"/>
      <c r="AD675" s="170"/>
      <c r="AE675" s="170"/>
      <c r="AF675" s="170"/>
      <c r="AG675" s="170"/>
      <c r="AH675" s="170"/>
      <c r="AI675" s="170"/>
      <c r="AJ675" s="170"/>
      <c r="AK675" s="171"/>
      <c r="AL675" s="171"/>
      <c r="AM675" s="170"/>
      <c r="AN675" s="170"/>
      <c r="AO675" s="170"/>
      <c r="AP675" s="171"/>
      <c r="AQ675" s="171"/>
      <c r="AR675" s="170"/>
      <c r="AS675" s="170"/>
      <c r="AT675" s="170"/>
      <c r="AU675" s="171"/>
      <c r="AV675" s="171"/>
      <c r="AW675" s="171"/>
      <c r="AX675" s="171"/>
      <c r="AY675" s="171"/>
      <c r="AZ675" s="171"/>
      <c r="BA675" s="171"/>
      <c r="BB675" s="171"/>
      <c r="BC675" s="171"/>
      <c r="BD675" s="172"/>
      <c r="BE675" s="172"/>
      <c r="BF675" s="172"/>
      <c r="BG675" s="172"/>
      <c r="BH675" s="172"/>
      <c r="BI675" s="172"/>
      <c r="BJ675" s="172"/>
      <c r="BK675" s="172"/>
      <c r="BL675" s="172"/>
      <c r="BM675" s="172"/>
      <c r="BN675" s="172"/>
      <c r="BO675" s="172"/>
      <c r="BP675" s="172"/>
      <c r="BQ675" s="172"/>
      <c r="BR675" s="172"/>
      <c r="BS675" s="172"/>
    </row>
    <row r="676" spans="1:71" ht="12.5" x14ac:dyDescent="0.25">
      <c r="A676" s="170"/>
      <c r="B676" s="170"/>
      <c r="C676" s="170"/>
      <c r="D676" s="170"/>
      <c r="E676" s="171"/>
      <c r="F676" s="171"/>
      <c r="G676" s="170"/>
      <c r="H676" s="170"/>
      <c r="I676" s="170"/>
      <c r="J676" s="171"/>
      <c r="K676" s="171"/>
      <c r="L676" s="170"/>
      <c r="M676" s="170"/>
      <c r="N676" s="170"/>
      <c r="O676" s="171"/>
      <c r="P676" s="171"/>
      <c r="Q676" s="170"/>
      <c r="R676" s="170"/>
      <c r="S676" s="170"/>
      <c r="T676" s="171"/>
      <c r="U676" s="171"/>
      <c r="V676" s="171"/>
      <c r="W676" s="171"/>
      <c r="X676" s="171"/>
      <c r="Y676" s="171"/>
      <c r="Z676" s="171"/>
      <c r="AA676" s="171"/>
      <c r="AB676" s="171"/>
      <c r="AC676" s="170"/>
      <c r="AD676" s="170"/>
      <c r="AE676" s="170"/>
      <c r="AF676" s="170"/>
      <c r="AG676" s="170"/>
      <c r="AH676" s="170"/>
      <c r="AI676" s="170"/>
      <c r="AJ676" s="170"/>
      <c r="AK676" s="171"/>
      <c r="AL676" s="171"/>
      <c r="AM676" s="170"/>
      <c r="AN676" s="170"/>
      <c r="AO676" s="170"/>
      <c r="AP676" s="171"/>
      <c r="AQ676" s="171"/>
      <c r="AR676" s="170"/>
      <c r="AS676" s="170"/>
      <c r="AT676" s="170"/>
      <c r="AU676" s="171"/>
      <c r="AV676" s="171"/>
      <c r="AW676" s="171"/>
      <c r="AX676" s="171"/>
      <c r="AY676" s="171"/>
      <c r="AZ676" s="171"/>
      <c r="BA676" s="171"/>
      <c r="BB676" s="171"/>
      <c r="BC676" s="171"/>
      <c r="BD676" s="172"/>
      <c r="BE676" s="172"/>
      <c r="BF676" s="172"/>
      <c r="BG676" s="172"/>
      <c r="BH676" s="172"/>
      <c r="BI676" s="172"/>
      <c r="BJ676" s="172"/>
      <c r="BK676" s="172"/>
      <c r="BL676" s="172"/>
      <c r="BM676" s="172"/>
      <c r="BN676" s="172"/>
      <c r="BO676" s="172"/>
      <c r="BP676" s="172"/>
      <c r="BQ676" s="172"/>
      <c r="BR676" s="172"/>
      <c r="BS676" s="172"/>
    </row>
    <row r="677" spans="1:71" ht="12.5" x14ac:dyDescent="0.25">
      <c r="A677" s="170"/>
      <c r="B677" s="170"/>
      <c r="C677" s="170"/>
      <c r="D677" s="170"/>
      <c r="E677" s="171"/>
      <c r="F677" s="171"/>
      <c r="G677" s="170"/>
      <c r="H677" s="170"/>
      <c r="I677" s="170"/>
      <c r="J677" s="171"/>
      <c r="K677" s="171"/>
      <c r="L677" s="170"/>
      <c r="M677" s="170"/>
      <c r="N677" s="170"/>
      <c r="O677" s="171"/>
      <c r="P677" s="171"/>
      <c r="Q677" s="170"/>
      <c r="R677" s="170"/>
      <c r="S677" s="170"/>
      <c r="T677" s="171"/>
      <c r="U677" s="171"/>
      <c r="V677" s="171"/>
      <c r="W677" s="171"/>
      <c r="X677" s="171"/>
      <c r="Y677" s="171"/>
      <c r="Z677" s="171"/>
      <c r="AA677" s="171"/>
      <c r="AB677" s="171"/>
      <c r="AC677" s="170"/>
      <c r="AD677" s="170"/>
      <c r="AE677" s="170"/>
      <c r="AF677" s="170"/>
      <c r="AG677" s="170"/>
      <c r="AH677" s="170"/>
      <c r="AI677" s="170"/>
      <c r="AJ677" s="170"/>
      <c r="AK677" s="171"/>
      <c r="AL677" s="171"/>
      <c r="AM677" s="170"/>
      <c r="AN677" s="170"/>
      <c r="AO677" s="170"/>
      <c r="AP677" s="171"/>
      <c r="AQ677" s="171"/>
      <c r="AR677" s="170"/>
      <c r="AS677" s="170"/>
      <c r="AT677" s="170"/>
      <c r="AU677" s="171"/>
      <c r="AV677" s="171"/>
      <c r="AW677" s="171"/>
      <c r="AX677" s="171"/>
      <c r="AY677" s="171"/>
      <c r="AZ677" s="171"/>
      <c r="BA677" s="171"/>
      <c r="BB677" s="171"/>
      <c r="BC677" s="171"/>
      <c r="BD677" s="172"/>
      <c r="BE677" s="172"/>
      <c r="BF677" s="172"/>
      <c r="BG677" s="172"/>
      <c r="BH677" s="172"/>
      <c r="BI677" s="172"/>
      <c r="BJ677" s="172"/>
      <c r="BK677" s="172"/>
      <c r="BL677" s="172"/>
      <c r="BM677" s="172"/>
      <c r="BN677" s="172"/>
      <c r="BO677" s="172"/>
      <c r="BP677" s="172"/>
      <c r="BQ677" s="172"/>
      <c r="BR677" s="172"/>
      <c r="BS677" s="172"/>
    </row>
    <row r="678" spans="1:71" ht="12.5" x14ac:dyDescent="0.25">
      <c r="A678" s="170"/>
      <c r="B678" s="170"/>
      <c r="C678" s="170"/>
      <c r="D678" s="170"/>
      <c r="E678" s="171"/>
      <c r="F678" s="171"/>
      <c r="G678" s="170"/>
      <c r="H678" s="170"/>
      <c r="I678" s="170"/>
      <c r="J678" s="171"/>
      <c r="K678" s="171"/>
      <c r="L678" s="170"/>
      <c r="M678" s="170"/>
      <c r="N678" s="170"/>
      <c r="O678" s="171"/>
      <c r="P678" s="171"/>
      <c r="Q678" s="170"/>
      <c r="R678" s="170"/>
      <c r="S678" s="170"/>
      <c r="T678" s="171"/>
      <c r="U678" s="171"/>
      <c r="V678" s="171"/>
      <c r="W678" s="171"/>
      <c r="X678" s="171"/>
      <c r="Y678" s="171"/>
      <c r="Z678" s="171"/>
      <c r="AA678" s="171"/>
      <c r="AB678" s="171"/>
      <c r="AC678" s="170"/>
      <c r="AD678" s="170"/>
      <c r="AE678" s="170"/>
      <c r="AF678" s="170"/>
      <c r="AG678" s="170"/>
      <c r="AH678" s="170"/>
      <c r="AI678" s="170"/>
      <c r="AJ678" s="170"/>
      <c r="AK678" s="171"/>
      <c r="AL678" s="171"/>
      <c r="AM678" s="170"/>
      <c r="AN678" s="170"/>
      <c r="AO678" s="170"/>
      <c r="AP678" s="171"/>
      <c r="AQ678" s="171"/>
      <c r="AR678" s="170"/>
      <c r="AS678" s="170"/>
      <c r="AT678" s="170"/>
      <c r="AU678" s="171"/>
      <c r="AV678" s="171"/>
      <c r="AW678" s="171"/>
      <c r="AX678" s="171"/>
      <c r="AY678" s="171"/>
      <c r="AZ678" s="171"/>
      <c r="BA678" s="171"/>
      <c r="BB678" s="171"/>
      <c r="BC678" s="171"/>
      <c r="BD678" s="172"/>
      <c r="BE678" s="172"/>
      <c r="BF678" s="172"/>
      <c r="BG678" s="172"/>
      <c r="BH678" s="172"/>
      <c r="BI678" s="172"/>
      <c r="BJ678" s="172"/>
      <c r="BK678" s="172"/>
      <c r="BL678" s="172"/>
      <c r="BM678" s="172"/>
      <c r="BN678" s="172"/>
      <c r="BO678" s="172"/>
      <c r="BP678" s="172"/>
      <c r="BQ678" s="172"/>
      <c r="BR678" s="172"/>
      <c r="BS678" s="172"/>
    </row>
    <row r="679" spans="1:71" ht="12.5" x14ac:dyDescent="0.25">
      <c r="A679" s="170"/>
      <c r="B679" s="170"/>
      <c r="C679" s="170"/>
      <c r="D679" s="170"/>
      <c r="E679" s="171"/>
      <c r="F679" s="171"/>
      <c r="G679" s="170"/>
      <c r="H679" s="170"/>
      <c r="I679" s="170"/>
      <c r="J679" s="171"/>
      <c r="K679" s="171"/>
      <c r="L679" s="170"/>
      <c r="M679" s="170"/>
      <c r="N679" s="170"/>
      <c r="O679" s="171"/>
      <c r="P679" s="171"/>
      <c r="Q679" s="170"/>
      <c r="R679" s="170"/>
      <c r="S679" s="170"/>
      <c r="T679" s="171"/>
      <c r="U679" s="171"/>
      <c r="V679" s="171"/>
      <c r="W679" s="171"/>
      <c r="X679" s="171"/>
      <c r="Y679" s="171"/>
      <c r="Z679" s="171"/>
      <c r="AA679" s="171"/>
      <c r="AB679" s="171"/>
      <c r="AC679" s="170"/>
      <c r="AD679" s="170"/>
      <c r="AE679" s="170"/>
      <c r="AF679" s="170"/>
      <c r="AG679" s="170"/>
      <c r="AH679" s="170"/>
      <c r="AI679" s="170"/>
      <c r="AJ679" s="170"/>
      <c r="AK679" s="171"/>
      <c r="AL679" s="171"/>
      <c r="AM679" s="170"/>
      <c r="AN679" s="170"/>
      <c r="AO679" s="170"/>
      <c r="AP679" s="171"/>
      <c r="AQ679" s="171"/>
      <c r="AR679" s="170"/>
      <c r="AS679" s="170"/>
      <c r="AT679" s="170"/>
      <c r="AU679" s="171"/>
      <c r="AV679" s="171"/>
      <c r="AW679" s="171"/>
      <c r="AX679" s="171"/>
      <c r="AY679" s="171"/>
      <c r="AZ679" s="171"/>
      <c r="BA679" s="171"/>
      <c r="BB679" s="171"/>
      <c r="BC679" s="171"/>
      <c r="BD679" s="172"/>
      <c r="BE679" s="172"/>
      <c r="BF679" s="172"/>
      <c r="BG679" s="172"/>
      <c r="BH679" s="172"/>
      <c r="BI679" s="172"/>
      <c r="BJ679" s="172"/>
      <c r="BK679" s="172"/>
      <c r="BL679" s="172"/>
      <c r="BM679" s="172"/>
      <c r="BN679" s="172"/>
      <c r="BO679" s="172"/>
      <c r="BP679" s="172"/>
      <c r="BQ679" s="172"/>
      <c r="BR679" s="172"/>
      <c r="BS679" s="172"/>
    </row>
    <row r="680" spans="1:71" ht="12.5" x14ac:dyDescent="0.25">
      <c r="A680" s="170"/>
      <c r="B680" s="170"/>
      <c r="C680" s="170"/>
      <c r="D680" s="170"/>
      <c r="E680" s="171"/>
      <c r="F680" s="171"/>
      <c r="G680" s="170"/>
      <c r="H680" s="170"/>
      <c r="I680" s="170"/>
      <c r="J680" s="171"/>
      <c r="K680" s="171"/>
      <c r="L680" s="170"/>
      <c r="M680" s="170"/>
      <c r="N680" s="170"/>
      <c r="O680" s="171"/>
      <c r="P680" s="171"/>
      <c r="Q680" s="170"/>
      <c r="R680" s="170"/>
      <c r="S680" s="170"/>
      <c r="T680" s="171"/>
      <c r="U680" s="171"/>
      <c r="V680" s="171"/>
      <c r="W680" s="171"/>
      <c r="X680" s="171"/>
      <c r="Y680" s="171"/>
      <c r="Z680" s="171"/>
      <c r="AA680" s="171"/>
      <c r="AB680" s="171"/>
      <c r="AC680" s="170"/>
      <c r="AD680" s="170"/>
      <c r="AE680" s="170"/>
      <c r="AF680" s="170"/>
      <c r="AG680" s="170"/>
      <c r="AH680" s="170"/>
      <c r="AI680" s="170"/>
      <c r="AJ680" s="170"/>
      <c r="AK680" s="171"/>
      <c r="AL680" s="171"/>
      <c r="AM680" s="170"/>
      <c r="AN680" s="170"/>
      <c r="AO680" s="170"/>
      <c r="AP680" s="171"/>
      <c r="AQ680" s="171"/>
      <c r="AR680" s="170"/>
      <c r="AS680" s="170"/>
      <c r="AT680" s="170"/>
      <c r="AU680" s="171"/>
      <c r="AV680" s="171"/>
      <c r="AW680" s="171"/>
      <c r="AX680" s="171"/>
      <c r="AY680" s="171"/>
      <c r="AZ680" s="171"/>
      <c r="BA680" s="171"/>
      <c r="BB680" s="171"/>
      <c r="BC680" s="171"/>
      <c r="BD680" s="172"/>
      <c r="BE680" s="172"/>
      <c r="BF680" s="172"/>
      <c r="BG680" s="172"/>
      <c r="BH680" s="172"/>
      <c r="BI680" s="172"/>
      <c r="BJ680" s="172"/>
      <c r="BK680" s="172"/>
      <c r="BL680" s="172"/>
      <c r="BM680" s="172"/>
      <c r="BN680" s="172"/>
      <c r="BO680" s="172"/>
      <c r="BP680" s="172"/>
      <c r="BQ680" s="172"/>
      <c r="BR680" s="172"/>
      <c r="BS680" s="172"/>
    </row>
    <row r="681" spans="1:71" ht="12.5" x14ac:dyDescent="0.25">
      <c r="A681" s="170"/>
      <c r="B681" s="170"/>
      <c r="C681" s="170"/>
      <c r="D681" s="170"/>
      <c r="E681" s="171"/>
      <c r="F681" s="171"/>
      <c r="G681" s="170"/>
      <c r="H681" s="170"/>
      <c r="I681" s="170"/>
      <c r="J681" s="171"/>
      <c r="K681" s="171"/>
      <c r="L681" s="170"/>
      <c r="M681" s="170"/>
      <c r="N681" s="170"/>
      <c r="O681" s="171"/>
      <c r="P681" s="171"/>
      <c r="Q681" s="170"/>
      <c r="R681" s="170"/>
      <c r="S681" s="170"/>
      <c r="T681" s="171"/>
      <c r="U681" s="171"/>
      <c r="V681" s="171"/>
      <c r="W681" s="171"/>
      <c r="X681" s="171"/>
      <c r="Y681" s="171"/>
      <c r="Z681" s="171"/>
      <c r="AA681" s="171"/>
      <c r="AB681" s="171"/>
      <c r="AC681" s="170"/>
      <c r="AD681" s="170"/>
      <c r="AE681" s="170"/>
      <c r="AF681" s="170"/>
      <c r="AG681" s="170"/>
      <c r="AH681" s="170"/>
      <c r="AI681" s="170"/>
      <c r="AJ681" s="170"/>
      <c r="AK681" s="171"/>
      <c r="AL681" s="171"/>
      <c r="AM681" s="170"/>
      <c r="AN681" s="170"/>
      <c r="AO681" s="170"/>
      <c r="AP681" s="171"/>
      <c r="AQ681" s="171"/>
      <c r="AR681" s="170"/>
      <c r="AS681" s="170"/>
      <c r="AT681" s="170"/>
      <c r="AU681" s="171"/>
      <c r="AV681" s="171"/>
      <c r="AW681" s="171"/>
      <c r="AX681" s="171"/>
      <c r="AY681" s="171"/>
      <c r="AZ681" s="171"/>
      <c r="BA681" s="171"/>
      <c r="BB681" s="171"/>
      <c r="BC681" s="171"/>
      <c r="BD681" s="172"/>
      <c r="BE681" s="172"/>
      <c r="BF681" s="172"/>
      <c r="BG681" s="172"/>
      <c r="BH681" s="172"/>
      <c r="BI681" s="172"/>
      <c r="BJ681" s="172"/>
      <c r="BK681" s="172"/>
      <c r="BL681" s="172"/>
      <c r="BM681" s="172"/>
      <c r="BN681" s="172"/>
      <c r="BO681" s="172"/>
      <c r="BP681" s="172"/>
      <c r="BQ681" s="172"/>
      <c r="BR681" s="172"/>
      <c r="BS681" s="172"/>
    </row>
    <row r="682" spans="1:71" ht="12.5" x14ac:dyDescent="0.25">
      <c r="A682" s="170"/>
      <c r="B682" s="170"/>
      <c r="C682" s="170"/>
      <c r="D682" s="170"/>
      <c r="E682" s="171"/>
      <c r="F682" s="171"/>
      <c r="G682" s="170"/>
      <c r="H682" s="170"/>
      <c r="I682" s="170"/>
      <c r="J682" s="171"/>
      <c r="K682" s="171"/>
      <c r="L682" s="170"/>
      <c r="M682" s="170"/>
      <c r="N682" s="170"/>
      <c r="O682" s="171"/>
      <c r="P682" s="171"/>
      <c r="Q682" s="170"/>
      <c r="R682" s="170"/>
      <c r="S682" s="170"/>
      <c r="T682" s="171"/>
      <c r="U682" s="171"/>
      <c r="V682" s="171"/>
      <c r="W682" s="171"/>
      <c r="X682" s="171"/>
      <c r="Y682" s="171"/>
      <c r="Z682" s="171"/>
      <c r="AA682" s="171"/>
      <c r="AB682" s="171"/>
      <c r="AC682" s="170"/>
      <c r="AD682" s="170"/>
      <c r="AE682" s="170"/>
      <c r="AF682" s="170"/>
      <c r="AG682" s="170"/>
      <c r="AH682" s="170"/>
      <c r="AI682" s="170"/>
      <c r="AJ682" s="170"/>
      <c r="AK682" s="171"/>
      <c r="AL682" s="171"/>
      <c r="AM682" s="170"/>
      <c r="AN682" s="170"/>
      <c r="AO682" s="170"/>
      <c r="AP682" s="171"/>
      <c r="AQ682" s="171"/>
      <c r="AR682" s="170"/>
      <c r="AS682" s="170"/>
      <c r="AT682" s="170"/>
      <c r="AU682" s="171"/>
      <c r="AV682" s="171"/>
      <c r="AW682" s="171"/>
      <c r="AX682" s="171"/>
      <c r="AY682" s="171"/>
      <c r="AZ682" s="171"/>
      <c r="BA682" s="171"/>
      <c r="BB682" s="171"/>
      <c r="BC682" s="171"/>
      <c r="BD682" s="172"/>
      <c r="BE682" s="172"/>
      <c r="BF682" s="172"/>
      <c r="BG682" s="172"/>
      <c r="BH682" s="172"/>
      <c r="BI682" s="172"/>
      <c r="BJ682" s="172"/>
      <c r="BK682" s="172"/>
      <c r="BL682" s="172"/>
      <c r="BM682" s="172"/>
      <c r="BN682" s="172"/>
      <c r="BO682" s="172"/>
      <c r="BP682" s="172"/>
      <c r="BQ682" s="172"/>
      <c r="BR682" s="172"/>
      <c r="BS682" s="172"/>
    </row>
    <row r="683" spans="1:71" ht="12.5" x14ac:dyDescent="0.25">
      <c r="A683" s="170"/>
      <c r="B683" s="170"/>
      <c r="C683" s="170"/>
      <c r="D683" s="170"/>
      <c r="E683" s="171"/>
      <c r="F683" s="171"/>
      <c r="G683" s="170"/>
      <c r="H683" s="170"/>
      <c r="I683" s="170"/>
      <c r="J683" s="171"/>
      <c r="K683" s="171"/>
      <c r="L683" s="170"/>
      <c r="M683" s="170"/>
      <c r="N683" s="170"/>
      <c r="O683" s="171"/>
      <c r="P683" s="171"/>
      <c r="Q683" s="170"/>
      <c r="R683" s="170"/>
      <c r="S683" s="170"/>
      <c r="T683" s="171"/>
      <c r="U683" s="171"/>
      <c r="V683" s="171"/>
      <c r="W683" s="171"/>
      <c r="X683" s="171"/>
      <c r="Y683" s="171"/>
      <c r="Z683" s="171"/>
      <c r="AA683" s="171"/>
      <c r="AB683" s="171"/>
      <c r="AC683" s="170"/>
      <c r="AD683" s="170"/>
      <c r="AE683" s="170"/>
      <c r="AF683" s="170"/>
      <c r="AG683" s="170"/>
      <c r="AH683" s="170"/>
      <c r="AI683" s="170"/>
      <c r="AJ683" s="170"/>
      <c r="AK683" s="171"/>
      <c r="AL683" s="171"/>
      <c r="AM683" s="170"/>
      <c r="AN683" s="170"/>
      <c r="AO683" s="170"/>
      <c r="AP683" s="171"/>
      <c r="AQ683" s="171"/>
      <c r="AR683" s="170"/>
      <c r="AS683" s="170"/>
      <c r="AT683" s="170"/>
      <c r="AU683" s="171"/>
      <c r="AV683" s="171"/>
      <c r="AW683" s="171"/>
      <c r="AX683" s="171"/>
      <c r="AY683" s="171"/>
      <c r="AZ683" s="171"/>
      <c r="BA683" s="171"/>
      <c r="BB683" s="171"/>
      <c r="BC683" s="171"/>
      <c r="BD683" s="172"/>
      <c r="BE683" s="172"/>
      <c r="BF683" s="172"/>
      <c r="BG683" s="172"/>
      <c r="BH683" s="172"/>
      <c r="BI683" s="172"/>
      <c r="BJ683" s="172"/>
      <c r="BK683" s="172"/>
      <c r="BL683" s="172"/>
      <c r="BM683" s="172"/>
      <c r="BN683" s="172"/>
      <c r="BO683" s="172"/>
      <c r="BP683" s="172"/>
      <c r="BQ683" s="172"/>
      <c r="BR683" s="172"/>
      <c r="BS683" s="172"/>
    </row>
    <row r="684" spans="1:71" ht="12.5" x14ac:dyDescent="0.25">
      <c r="A684" s="170"/>
      <c r="B684" s="170"/>
      <c r="C684" s="170"/>
      <c r="D684" s="170"/>
      <c r="E684" s="171"/>
      <c r="F684" s="171"/>
      <c r="G684" s="170"/>
      <c r="H684" s="170"/>
      <c r="I684" s="170"/>
      <c r="J684" s="171"/>
      <c r="K684" s="171"/>
      <c r="L684" s="170"/>
      <c r="M684" s="170"/>
      <c r="N684" s="170"/>
      <c r="O684" s="171"/>
      <c r="P684" s="171"/>
      <c r="Q684" s="170"/>
      <c r="R684" s="170"/>
      <c r="S684" s="170"/>
      <c r="T684" s="171"/>
      <c r="U684" s="171"/>
      <c r="V684" s="171"/>
      <c r="W684" s="171"/>
      <c r="X684" s="171"/>
      <c r="Y684" s="171"/>
      <c r="Z684" s="171"/>
      <c r="AA684" s="171"/>
      <c r="AB684" s="171"/>
      <c r="AC684" s="170"/>
      <c r="AD684" s="170"/>
      <c r="AE684" s="170"/>
      <c r="AF684" s="170"/>
      <c r="AG684" s="170"/>
      <c r="AH684" s="170"/>
      <c r="AI684" s="170"/>
      <c r="AJ684" s="170"/>
      <c r="AK684" s="171"/>
      <c r="AL684" s="171"/>
      <c r="AM684" s="170"/>
      <c r="AN684" s="170"/>
      <c r="AO684" s="170"/>
      <c r="AP684" s="171"/>
      <c r="AQ684" s="171"/>
      <c r="AR684" s="170"/>
      <c r="AS684" s="170"/>
      <c r="AT684" s="170"/>
      <c r="AU684" s="171"/>
      <c r="AV684" s="171"/>
      <c r="AW684" s="171"/>
      <c r="AX684" s="171"/>
      <c r="AY684" s="171"/>
      <c r="AZ684" s="171"/>
      <c r="BA684" s="171"/>
      <c r="BB684" s="171"/>
      <c r="BC684" s="171"/>
      <c r="BD684" s="172"/>
      <c r="BE684" s="172"/>
      <c r="BF684" s="172"/>
      <c r="BG684" s="172"/>
      <c r="BH684" s="172"/>
      <c r="BI684" s="172"/>
      <c r="BJ684" s="172"/>
      <c r="BK684" s="172"/>
      <c r="BL684" s="172"/>
      <c r="BM684" s="172"/>
      <c r="BN684" s="172"/>
      <c r="BO684" s="172"/>
      <c r="BP684" s="172"/>
      <c r="BQ684" s="172"/>
      <c r="BR684" s="172"/>
      <c r="BS684" s="172"/>
    </row>
    <row r="685" spans="1:71" ht="12.5" x14ac:dyDescent="0.25">
      <c r="A685" s="170"/>
      <c r="B685" s="170"/>
      <c r="C685" s="170"/>
      <c r="D685" s="170"/>
      <c r="E685" s="171"/>
      <c r="F685" s="171"/>
      <c r="G685" s="170"/>
      <c r="H685" s="170"/>
      <c r="I685" s="170"/>
      <c r="J685" s="171"/>
      <c r="K685" s="171"/>
      <c r="L685" s="170"/>
      <c r="M685" s="170"/>
      <c r="N685" s="170"/>
      <c r="O685" s="171"/>
      <c r="P685" s="171"/>
      <c r="Q685" s="170"/>
      <c r="R685" s="170"/>
      <c r="S685" s="170"/>
      <c r="T685" s="171"/>
      <c r="U685" s="171"/>
      <c r="V685" s="171"/>
      <c r="W685" s="171"/>
      <c r="X685" s="171"/>
      <c r="Y685" s="171"/>
      <c r="Z685" s="171"/>
      <c r="AA685" s="171"/>
      <c r="AB685" s="171"/>
      <c r="AC685" s="170"/>
      <c r="AD685" s="170"/>
      <c r="AE685" s="170"/>
      <c r="AF685" s="170"/>
      <c r="AG685" s="170"/>
      <c r="AH685" s="170"/>
      <c r="AI685" s="170"/>
      <c r="AJ685" s="170"/>
      <c r="AK685" s="171"/>
      <c r="AL685" s="171"/>
      <c r="AM685" s="170"/>
      <c r="AN685" s="170"/>
      <c r="AO685" s="170"/>
      <c r="AP685" s="171"/>
      <c r="AQ685" s="171"/>
      <c r="AR685" s="170"/>
      <c r="AS685" s="170"/>
      <c r="AT685" s="170"/>
      <c r="AU685" s="171"/>
      <c r="AV685" s="171"/>
      <c r="AW685" s="171"/>
      <c r="AX685" s="171"/>
      <c r="AY685" s="171"/>
      <c r="AZ685" s="171"/>
      <c r="BA685" s="171"/>
      <c r="BB685" s="171"/>
      <c r="BC685" s="171"/>
      <c r="BD685" s="172"/>
      <c r="BE685" s="172"/>
      <c r="BF685" s="172"/>
      <c r="BG685" s="172"/>
      <c r="BH685" s="172"/>
      <c r="BI685" s="172"/>
      <c r="BJ685" s="172"/>
      <c r="BK685" s="172"/>
      <c r="BL685" s="172"/>
      <c r="BM685" s="172"/>
      <c r="BN685" s="172"/>
      <c r="BO685" s="172"/>
      <c r="BP685" s="172"/>
      <c r="BQ685" s="172"/>
      <c r="BR685" s="172"/>
      <c r="BS685" s="172"/>
    </row>
    <row r="686" spans="1:71" ht="12.5" x14ac:dyDescent="0.25">
      <c r="A686" s="170"/>
      <c r="B686" s="170"/>
      <c r="C686" s="170"/>
      <c r="D686" s="170"/>
      <c r="E686" s="171"/>
      <c r="F686" s="171"/>
      <c r="G686" s="170"/>
      <c r="H686" s="170"/>
      <c r="I686" s="170"/>
      <c r="J686" s="171"/>
      <c r="K686" s="171"/>
      <c r="L686" s="170"/>
      <c r="M686" s="170"/>
      <c r="N686" s="170"/>
      <c r="O686" s="171"/>
      <c r="P686" s="171"/>
      <c r="Q686" s="170"/>
      <c r="R686" s="170"/>
      <c r="S686" s="170"/>
      <c r="T686" s="171"/>
      <c r="U686" s="171"/>
      <c r="V686" s="171"/>
      <c r="W686" s="171"/>
      <c r="X686" s="171"/>
      <c r="Y686" s="171"/>
      <c r="Z686" s="171"/>
      <c r="AA686" s="171"/>
      <c r="AB686" s="171"/>
      <c r="AC686" s="170"/>
      <c r="AD686" s="170"/>
      <c r="AE686" s="170"/>
      <c r="AF686" s="170"/>
      <c r="AG686" s="170"/>
      <c r="AH686" s="170"/>
      <c r="AI686" s="170"/>
      <c r="AJ686" s="170"/>
      <c r="AK686" s="171"/>
      <c r="AL686" s="171"/>
      <c r="AM686" s="170"/>
      <c r="AN686" s="170"/>
      <c r="AO686" s="170"/>
      <c r="AP686" s="171"/>
      <c r="AQ686" s="171"/>
      <c r="AR686" s="170"/>
      <c r="AS686" s="170"/>
      <c r="AT686" s="170"/>
      <c r="AU686" s="171"/>
      <c r="AV686" s="171"/>
      <c r="AW686" s="171"/>
      <c r="AX686" s="171"/>
      <c r="AY686" s="171"/>
      <c r="AZ686" s="171"/>
      <c r="BA686" s="171"/>
      <c r="BB686" s="171"/>
      <c r="BC686" s="171"/>
      <c r="BD686" s="172"/>
      <c r="BE686" s="172"/>
      <c r="BF686" s="172"/>
      <c r="BG686" s="172"/>
      <c r="BH686" s="172"/>
      <c r="BI686" s="172"/>
      <c r="BJ686" s="172"/>
      <c r="BK686" s="172"/>
      <c r="BL686" s="172"/>
      <c r="BM686" s="172"/>
      <c r="BN686" s="172"/>
      <c r="BO686" s="172"/>
      <c r="BP686" s="172"/>
      <c r="BQ686" s="172"/>
      <c r="BR686" s="172"/>
      <c r="BS686" s="172"/>
    </row>
    <row r="687" spans="1:71" ht="12.5" x14ac:dyDescent="0.25">
      <c r="A687" s="170"/>
      <c r="B687" s="170"/>
      <c r="C687" s="170"/>
      <c r="D687" s="170"/>
      <c r="E687" s="171"/>
      <c r="F687" s="171"/>
      <c r="G687" s="170"/>
      <c r="H687" s="170"/>
      <c r="I687" s="170"/>
      <c r="J687" s="171"/>
      <c r="K687" s="171"/>
      <c r="L687" s="170"/>
      <c r="M687" s="170"/>
      <c r="N687" s="170"/>
      <c r="O687" s="171"/>
      <c r="P687" s="171"/>
      <c r="Q687" s="170"/>
      <c r="R687" s="170"/>
      <c r="S687" s="170"/>
      <c r="T687" s="171"/>
      <c r="U687" s="171"/>
      <c r="V687" s="171"/>
      <c r="W687" s="171"/>
      <c r="X687" s="171"/>
      <c r="Y687" s="171"/>
      <c r="Z687" s="171"/>
      <c r="AA687" s="171"/>
      <c r="AB687" s="171"/>
      <c r="AC687" s="170"/>
      <c r="AD687" s="170"/>
      <c r="AE687" s="170"/>
      <c r="AF687" s="170"/>
      <c r="AG687" s="170"/>
      <c r="AH687" s="170"/>
      <c r="AI687" s="170"/>
      <c r="AJ687" s="170"/>
      <c r="AK687" s="171"/>
      <c r="AL687" s="171"/>
      <c r="AM687" s="170"/>
      <c r="AN687" s="170"/>
      <c r="AO687" s="170"/>
      <c r="AP687" s="171"/>
      <c r="AQ687" s="171"/>
      <c r="AR687" s="170"/>
      <c r="AS687" s="170"/>
      <c r="AT687" s="170"/>
      <c r="AU687" s="171"/>
      <c r="AV687" s="171"/>
      <c r="AW687" s="171"/>
      <c r="AX687" s="171"/>
      <c r="AY687" s="171"/>
      <c r="AZ687" s="171"/>
      <c r="BA687" s="171"/>
      <c r="BB687" s="171"/>
      <c r="BC687" s="171"/>
      <c r="BD687" s="172"/>
      <c r="BE687" s="172"/>
      <c r="BF687" s="172"/>
      <c r="BG687" s="172"/>
      <c r="BH687" s="172"/>
      <c r="BI687" s="172"/>
      <c r="BJ687" s="172"/>
      <c r="BK687" s="172"/>
      <c r="BL687" s="172"/>
      <c r="BM687" s="172"/>
      <c r="BN687" s="172"/>
      <c r="BO687" s="172"/>
      <c r="BP687" s="172"/>
      <c r="BQ687" s="172"/>
      <c r="BR687" s="172"/>
      <c r="BS687" s="172"/>
    </row>
    <row r="688" spans="1:71" ht="12.5" x14ac:dyDescent="0.25">
      <c r="A688" s="170"/>
      <c r="B688" s="170"/>
      <c r="C688" s="170"/>
      <c r="D688" s="170"/>
      <c r="E688" s="171"/>
      <c r="F688" s="171"/>
      <c r="G688" s="170"/>
      <c r="H688" s="170"/>
      <c r="I688" s="170"/>
      <c r="J688" s="171"/>
      <c r="K688" s="171"/>
      <c r="L688" s="170"/>
      <c r="M688" s="170"/>
      <c r="N688" s="170"/>
      <c r="O688" s="171"/>
      <c r="P688" s="171"/>
      <c r="Q688" s="170"/>
      <c r="R688" s="170"/>
      <c r="S688" s="170"/>
      <c r="T688" s="171"/>
      <c r="U688" s="171"/>
      <c r="V688" s="171"/>
      <c r="W688" s="171"/>
      <c r="X688" s="171"/>
      <c r="Y688" s="171"/>
      <c r="Z688" s="171"/>
      <c r="AA688" s="171"/>
      <c r="AB688" s="171"/>
      <c r="AC688" s="170"/>
      <c r="AD688" s="170"/>
      <c r="AE688" s="170"/>
      <c r="AF688" s="170"/>
      <c r="AG688" s="170"/>
      <c r="AH688" s="170"/>
      <c r="AI688" s="170"/>
      <c r="AJ688" s="170"/>
      <c r="AK688" s="171"/>
      <c r="AL688" s="171"/>
      <c r="AM688" s="170"/>
      <c r="AN688" s="170"/>
      <c r="AO688" s="170"/>
      <c r="AP688" s="171"/>
      <c r="AQ688" s="171"/>
      <c r="AR688" s="170"/>
      <c r="AS688" s="170"/>
      <c r="AT688" s="170"/>
      <c r="AU688" s="171"/>
      <c r="AV688" s="171"/>
      <c r="AW688" s="171"/>
      <c r="AX688" s="171"/>
      <c r="AY688" s="171"/>
      <c r="AZ688" s="171"/>
      <c r="BA688" s="171"/>
      <c r="BB688" s="171"/>
      <c r="BC688" s="171"/>
      <c r="BD688" s="172"/>
      <c r="BE688" s="172"/>
      <c r="BF688" s="172"/>
      <c r="BG688" s="172"/>
      <c r="BH688" s="172"/>
      <c r="BI688" s="172"/>
      <c r="BJ688" s="172"/>
      <c r="BK688" s="172"/>
      <c r="BL688" s="172"/>
      <c r="BM688" s="172"/>
      <c r="BN688" s="172"/>
      <c r="BO688" s="172"/>
      <c r="BP688" s="172"/>
      <c r="BQ688" s="172"/>
      <c r="BR688" s="172"/>
      <c r="BS688" s="172"/>
    </row>
    <row r="689" spans="1:71" ht="12.5" x14ac:dyDescent="0.25">
      <c r="A689" s="170"/>
      <c r="B689" s="170"/>
      <c r="C689" s="170"/>
      <c r="D689" s="170"/>
      <c r="E689" s="171"/>
      <c r="F689" s="171"/>
      <c r="G689" s="170"/>
      <c r="H689" s="170"/>
      <c r="I689" s="170"/>
      <c r="J689" s="171"/>
      <c r="K689" s="171"/>
      <c r="L689" s="170"/>
      <c r="M689" s="170"/>
      <c r="N689" s="170"/>
      <c r="O689" s="171"/>
      <c r="P689" s="171"/>
      <c r="Q689" s="170"/>
      <c r="R689" s="170"/>
      <c r="S689" s="170"/>
      <c r="T689" s="171"/>
      <c r="U689" s="171"/>
      <c r="V689" s="171"/>
      <c r="W689" s="171"/>
      <c r="X689" s="171"/>
      <c r="Y689" s="171"/>
      <c r="Z689" s="171"/>
      <c r="AA689" s="171"/>
      <c r="AB689" s="171"/>
      <c r="AC689" s="170"/>
      <c r="AD689" s="170"/>
      <c r="AE689" s="170"/>
      <c r="AF689" s="170"/>
      <c r="AG689" s="170"/>
      <c r="AH689" s="170"/>
      <c r="AI689" s="170"/>
      <c r="AJ689" s="170"/>
      <c r="AK689" s="171"/>
      <c r="AL689" s="171"/>
      <c r="AM689" s="170"/>
      <c r="AN689" s="170"/>
      <c r="AO689" s="170"/>
      <c r="AP689" s="171"/>
      <c r="AQ689" s="171"/>
      <c r="AR689" s="170"/>
      <c r="AS689" s="170"/>
      <c r="AT689" s="170"/>
      <c r="AU689" s="171"/>
      <c r="AV689" s="171"/>
      <c r="AW689" s="171"/>
      <c r="AX689" s="171"/>
      <c r="AY689" s="171"/>
      <c r="AZ689" s="171"/>
      <c r="BA689" s="171"/>
      <c r="BB689" s="171"/>
      <c r="BC689" s="171"/>
      <c r="BD689" s="172"/>
      <c r="BE689" s="172"/>
      <c r="BF689" s="172"/>
      <c r="BG689" s="172"/>
      <c r="BH689" s="172"/>
      <c r="BI689" s="172"/>
      <c r="BJ689" s="172"/>
      <c r="BK689" s="172"/>
      <c r="BL689" s="172"/>
      <c r="BM689" s="172"/>
      <c r="BN689" s="172"/>
      <c r="BO689" s="172"/>
      <c r="BP689" s="172"/>
      <c r="BQ689" s="172"/>
      <c r="BR689" s="172"/>
      <c r="BS689" s="172"/>
    </row>
    <row r="690" spans="1:71" ht="12.5" x14ac:dyDescent="0.25">
      <c r="A690" s="170"/>
      <c r="B690" s="170"/>
      <c r="C690" s="170"/>
      <c r="D690" s="170"/>
      <c r="E690" s="171"/>
      <c r="F690" s="171"/>
      <c r="G690" s="170"/>
      <c r="H690" s="170"/>
      <c r="I690" s="170"/>
      <c r="J690" s="171"/>
      <c r="K690" s="171"/>
      <c r="L690" s="170"/>
      <c r="M690" s="170"/>
      <c r="N690" s="170"/>
      <c r="O690" s="171"/>
      <c r="P690" s="171"/>
      <c r="Q690" s="170"/>
      <c r="R690" s="170"/>
      <c r="S690" s="170"/>
      <c r="T690" s="171"/>
      <c r="U690" s="171"/>
      <c r="V690" s="171"/>
      <c r="W690" s="171"/>
      <c r="X690" s="171"/>
      <c r="Y690" s="171"/>
      <c r="Z690" s="171"/>
      <c r="AA690" s="171"/>
      <c r="AB690" s="171"/>
      <c r="AC690" s="170"/>
      <c r="AD690" s="170"/>
      <c r="AE690" s="170"/>
      <c r="AF690" s="170"/>
      <c r="AG690" s="170"/>
      <c r="AH690" s="170"/>
      <c r="AI690" s="170"/>
      <c r="AJ690" s="170"/>
      <c r="AK690" s="171"/>
      <c r="AL690" s="171"/>
      <c r="AM690" s="170"/>
      <c r="AN690" s="170"/>
      <c r="AO690" s="170"/>
      <c r="AP690" s="171"/>
      <c r="AQ690" s="171"/>
      <c r="AR690" s="170"/>
      <c r="AS690" s="170"/>
      <c r="AT690" s="170"/>
      <c r="AU690" s="171"/>
      <c r="AV690" s="171"/>
      <c r="AW690" s="171"/>
      <c r="AX690" s="171"/>
      <c r="AY690" s="171"/>
      <c r="AZ690" s="171"/>
      <c r="BA690" s="171"/>
      <c r="BB690" s="171"/>
      <c r="BC690" s="171"/>
      <c r="BD690" s="172"/>
      <c r="BE690" s="172"/>
      <c r="BF690" s="172"/>
      <c r="BG690" s="172"/>
      <c r="BH690" s="172"/>
      <c r="BI690" s="172"/>
      <c r="BJ690" s="172"/>
      <c r="BK690" s="172"/>
      <c r="BL690" s="172"/>
      <c r="BM690" s="172"/>
      <c r="BN690" s="172"/>
      <c r="BO690" s="172"/>
      <c r="BP690" s="172"/>
      <c r="BQ690" s="172"/>
      <c r="BR690" s="172"/>
      <c r="BS690" s="172"/>
    </row>
    <row r="691" spans="1:71" ht="12.5" x14ac:dyDescent="0.25">
      <c r="A691" s="170"/>
      <c r="B691" s="170"/>
      <c r="C691" s="170"/>
      <c r="D691" s="170"/>
      <c r="E691" s="171"/>
      <c r="F691" s="171"/>
      <c r="G691" s="170"/>
      <c r="H691" s="170"/>
      <c r="I691" s="170"/>
      <c r="J691" s="171"/>
      <c r="K691" s="171"/>
      <c r="L691" s="170"/>
      <c r="M691" s="170"/>
      <c r="N691" s="170"/>
      <c r="O691" s="171"/>
      <c r="P691" s="171"/>
      <c r="Q691" s="170"/>
      <c r="R691" s="170"/>
      <c r="S691" s="170"/>
      <c r="T691" s="171"/>
      <c r="U691" s="171"/>
      <c r="V691" s="171"/>
      <c r="W691" s="171"/>
      <c r="X691" s="171"/>
      <c r="Y691" s="171"/>
      <c r="Z691" s="171"/>
      <c r="AA691" s="171"/>
      <c r="AB691" s="171"/>
      <c r="AC691" s="170"/>
      <c r="AD691" s="170"/>
      <c r="AE691" s="170"/>
      <c r="AF691" s="170"/>
      <c r="AG691" s="170"/>
      <c r="AH691" s="170"/>
      <c r="AI691" s="170"/>
      <c r="AJ691" s="170"/>
      <c r="AK691" s="171"/>
      <c r="AL691" s="171"/>
      <c r="AM691" s="170"/>
      <c r="AN691" s="170"/>
      <c r="AO691" s="170"/>
      <c r="AP691" s="171"/>
      <c r="AQ691" s="171"/>
      <c r="AR691" s="170"/>
      <c r="AS691" s="170"/>
      <c r="AT691" s="170"/>
      <c r="AU691" s="171"/>
      <c r="AV691" s="171"/>
      <c r="AW691" s="171"/>
      <c r="AX691" s="171"/>
      <c r="AY691" s="171"/>
      <c r="AZ691" s="171"/>
      <c r="BA691" s="171"/>
      <c r="BB691" s="171"/>
      <c r="BC691" s="171"/>
      <c r="BD691" s="172"/>
      <c r="BE691" s="172"/>
      <c r="BF691" s="172"/>
      <c r="BG691" s="172"/>
      <c r="BH691" s="172"/>
      <c r="BI691" s="172"/>
      <c r="BJ691" s="172"/>
      <c r="BK691" s="172"/>
      <c r="BL691" s="172"/>
      <c r="BM691" s="172"/>
      <c r="BN691" s="172"/>
      <c r="BO691" s="172"/>
      <c r="BP691" s="172"/>
      <c r="BQ691" s="172"/>
      <c r="BR691" s="172"/>
      <c r="BS691" s="172"/>
    </row>
    <row r="692" spans="1:71" ht="12.5" x14ac:dyDescent="0.25">
      <c r="A692" s="170"/>
      <c r="B692" s="170"/>
      <c r="C692" s="170"/>
      <c r="D692" s="170"/>
      <c r="E692" s="171"/>
      <c r="F692" s="171"/>
      <c r="G692" s="170"/>
      <c r="H692" s="170"/>
      <c r="I692" s="170"/>
      <c r="J692" s="171"/>
      <c r="K692" s="171"/>
      <c r="L692" s="170"/>
      <c r="M692" s="170"/>
      <c r="N692" s="170"/>
      <c r="O692" s="171"/>
      <c r="P692" s="171"/>
      <c r="Q692" s="170"/>
      <c r="R692" s="170"/>
      <c r="S692" s="170"/>
      <c r="T692" s="171"/>
      <c r="U692" s="171"/>
      <c r="V692" s="171"/>
      <c r="W692" s="171"/>
      <c r="X692" s="171"/>
      <c r="Y692" s="171"/>
      <c r="Z692" s="171"/>
      <c r="AA692" s="171"/>
      <c r="AB692" s="171"/>
      <c r="AC692" s="170"/>
      <c r="AD692" s="170"/>
      <c r="AE692" s="170"/>
      <c r="AF692" s="170"/>
      <c r="AG692" s="170"/>
      <c r="AH692" s="170"/>
      <c r="AI692" s="170"/>
      <c r="AJ692" s="170"/>
      <c r="AK692" s="171"/>
      <c r="AL692" s="171"/>
      <c r="AM692" s="170"/>
      <c r="AN692" s="170"/>
      <c r="AO692" s="170"/>
      <c r="AP692" s="171"/>
      <c r="AQ692" s="171"/>
      <c r="AR692" s="170"/>
      <c r="AS692" s="170"/>
      <c r="AT692" s="170"/>
      <c r="AU692" s="171"/>
      <c r="AV692" s="171"/>
      <c r="AW692" s="171"/>
      <c r="AX692" s="171"/>
      <c r="AY692" s="171"/>
      <c r="AZ692" s="171"/>
      <c r="BA692" s="171"/>
      <c r="BB692" s="171"/>
      <c r="BC692" s="171"/>
      <c r="BD692" s="172"/>
      <c r="BE692" s="172"/>
      <c r="BF692" s="172"/>
      <c r="BG692" s="172"/>
      <c r="BH692" s="172"/>
      <c r="BI692" s="172"/>
      <c r="BJ692" s="172"/>
      <c r="BK692" s="172"/>
      <c r="BL692" s="172"/>
      <c r="BM692" s="172"/>
      <c r="BN692" s="172"/>
      <c r="BO692" s="172"/>
      <c r="BP692" s="172"/>
      <c r="BQ692" s="172"/>
      <c r="BR692" s="172"/>
      <c r="BS692" s="172"/>
    </row>
    <row r="693" spans="1:71" ht="12.5" x14ac:dyDescent="0.25">
      <c r="A693" s="170"/>
      <c r="B693" s="170"/>
      <c r="C693" s="170"/>
      <c r="D693" s="170"/>
      <c r="E693" s="171"/>
      <c r="F693" s="171"/>
      <c r="G693" s="170"/>
      <c r="H693" s="170"/>
      <c r="I693" s="170"/>
      <c r="J693" s="171"/>
      <c r="K693" s="171"/>
      <c r="L693" s="170"/>
      <c r="M693" s="170"/>
      <c r="N693" s="170"/>
      <c r="O693" s="171"/>
      <c r="P693" s="171"/>
      <c r="Q693" s="170"/>
      <c r="R693" s="170"/>
      <c r="S693" s="170"/>
      <c r="T693" s="171"/>
      <c r="U693" s="171"/>
      <c r="V693" s="171"/>
      <c r="W693" s="171"/>
      <c r="X693" s="171"/>
      <c r="Y693" s="171"/>
      <c r="Z693" s="171"/>
      <c r="AA693" s="171"/>
      <c r="AB693" s="171"/>
      <c r="AC693" s="170"/>
      <c r="AD693" s="170"/>
      <c r="AE693" s="170"/>
      <c r="AF693" s="170"/>
      <c r="AG693" s="170"/>
      <c r="AH693" s="170"/>
      <c r="AI693" s="170"/>
      <c r="AJ693" s="170"/>
      <c r="AK693" s="171"/>
      <c r="AL693" s="171"/>
      <c r="AM693" s="170"/>
      <c r="AN693" s="170"/>
      <c r="AO693" s="170"/>
      <c r="AP693" s="171"/>
      <c r="AQ693" s="171"/>
      <c r="AR693" s="170"/>
      <c r="AS693" s="170"/>
      <c r="AT693" s="170"/>
      <c r="AU693" s="171"/>
      <c r="AV693" s="171"/>
      <c r="AW693" s="171"/>
      <c r="AX693" s="171"/>
      <c r="AY693" s="171"/>
      <c r="AZ693" s="171"/>
      <c r="BA693" s="171"/>
      <c r="BB693" s="171"/>
      <c r="BC693" s="171"/>
      <c r="BD693" s="172"/>
      <c r="BE693" s="172"/>
      <c r="BF693" s="172"/>
      <c r="BG693" s="172"/>
      <c r="BH693" s="172"/>
      <c r="BI693" s="172"/>
      <c r="BJ693" s="172"/>
      <c r="BK693" s="172"/>
      <c r="BL693" s="172"/>
      <c r="BM693" s="172"/>
      <c r="BN693" s="172"/>
      <c r="BO693" s="172"/>
      <c r="BP693" s="172"/>
      <c r="BQ693" s="172"/>
      <c r="BR693" s="172"/>
      <c r="BS693" s="172"/>
    </row>
    <row r="694" spans="1:71" ht="12.5" x14ac:dyDescent="0.25">
      <c r="A694" s="170"/>
      <c r="B694" s="170"/>
      <c r="C694" s="170"/>
      <c r="D694" s="170"/>
      <c r="E694" s="171"/>
      <c r="F694" s="171"/>
      <c r="G694" s="170"/>
      <c r="H694" s="170"/>
      <c r="I694" s="170"/>
      <c r="J694" s="171"/>
      <c r="K694" s="171"/>
      <c r="L694" s="170"/>
      <c r="M694" s="170"/>
      <c r="N694" s="170"/>
      <c r="O694" s="171"/>
      <c r="P694" s="171"/>
      <c r="Q694" s="170"/>
      <c r="R694" s="170"/>
      <c r="S694" s="170"/>
      <c r="T694" s="171"/>
      <c r="U694" s="171"/>
      <c r="V694" s="171"/>
      <c r="W694" s="171"/>
      <c r="X694" s="171"/>
      <c r="Y694" s="171"/>
      <c r="Z694" s="171"/>
      <c r="AA694" s="171"/>
      <c r="AB694" s="171"/>
      <c r="AC694" s="170"/>
      <c r="AD694" s="170"/>
      <c r="AE694" s="170"/>
      <c r="AF694" s="170"/>
      <c r="AG694" s="170"/>
      <c r="AH694" s="170"/>
      <c r="AI694" s="170"/>
      <c r="AJ694" s="170"/>
      <c r="AK694" s="171"/>
      <c r="AL694" s="171"/>
      <c r="AM694" s="170"/>
      <c r="AN694" s="170"/>
      <c r="AO694" s="170"/>
      <c r="AP694" s="171"/>
      <c r="AQ694" s="171"/>
      <c r="AR694" s="170"/>
      <c r="AS694" s="170"/>
      <c r="AT694" s="170"/>
      <c r="AU694" s="171"/>
      <c r="AV694" s="171"/>
      <c r="AW694" s="171"/>
      <c r="AX694" s="171"/>
      <c r="AY694" s="171"/>
      <c r="AZ694" s="171"/>
      <c r="BA694" s="171"/>
      <c r="BB694" s="171"/>
      <c r="BC694" s="171"/>
      <c r="BD694" s="172"/>
      <c r="BE694" s="172"/>
      <c r="BF694" s="172"/>
      <c r="BG694" s="172"/>
      <c r="BH694" s="172"/>
      <c r="BI694" s="172"/>
      <c r="BJ694" s="172"/>
      <c r="BK694" s="172"/>
      <c r="BL694" s="172"/>
      <c r="BM694" s="172"/>
      <c r="BN694" s="172"/>
      <c r="BO694" s="172"/>
      <c r="BP694" s="172"/>
      <c r="BQ694" s="172"/>
      <c r="BR694" s="172"/>
      <c r="BS694" s="172"/>
    </row>
    <row r="695" spans="1:71" ht="12.5" x14ac:dyDescent="0.25">
      <c r="A695" s="170"/>
      <c r="B695" s="170"/>
      <c r="C695" s="170"/>
      <c r="D695" s="170"/>
      <c r="E695" s="171"/>
      <c r="F695" s="171"/>
      <c r="G695" s="170"/>
      <c r="H695" s="170"/>
      <c r="I695" s="170"/>
      <c r="J695" s="171"/>
      <c r="K695" s="171"/>
      <c r="L695" s="170"/>
      <c r="M695" s="170"/>
      <c r="N695" s="170"/>
      <c r="O695" s="171"/>
      <c r="P695" s="171"/>
      <c r="Q695" s="170"/>
      <c r="R695" s="170"/>
      <c r="S695" s="170"/>
      <c r="T695" s="171"/>
      <c r="U695" s="171"/>
      <c r="V695" s="171"/>
      <c r="W695" s="171"/>
      <c r="X695" s="171"/>
      <c r="Y695" s="171"/>
      <c r="Z695" s="171"/>
      <c r="AA695" s="171"/>
      <c r="AB695" s="171"/>
      <c r="AC695" s="170"/>
      <c r="AD695" s="170"/>
      <c r="AE695" s="170"/>
      <c r="AF695" s="170"/>
      <c r="AG695" s="170"/>
      <c r="AH695" s="170"/>
      <c r="AI695" s="170"/>
      <c r="AJ695" s="170"/>
      <c r="AK695" s="171"/>
      <c r="AL695" s="171"/>
      <c r="AM695" s="170"/>
      <c r="AN695" s="170"/>
      <c r="AO695" s="170"/>
      <c r="AP695" s="171"/>
      <c r="AQ695" s="171"/>
      <c r="AR695" s="170"/>
      <c r="AS695" s="170"/>
      <c r="AT695" s="170"/>
      <c r="AU695" s="171"/>
      <c r="AV695" s="171"/>
      <c r="AW695" s="171"/>
      <c r="AX695" s="171"/>
      <c r="AY695" s="171"/>
      <c r="AZ695" s="171"/>
      <c r="BA695" s="171"/>
      <c r="BB695" s="171"/>
      <c r="BC695" s="171"/>
      <c r="BD695" s="172"/>
      <c r="BE695" s="172"/>
      <c r="BF695" s="172"/>
      <c r="BG695" s="172"/>
      <c r="BH695" s="172"/>
      <c r="BI695" s="172"/>
      <c r="BJ695" s="172"/>
      <c r="BK695" s="172"/>
      <c r="BL695" s="172"/>
      <c r="BM695" s="172"/>
      <c r="BN695" s="172"/>
      <c r="BO695" s="172"/>
      <c r="BP695" s="172"/>
      <c r="BQ695" s="172"/>
      <c r="BR695" s="172"/>
      <c r="BS695" s="172"/>
    </row>
    <row r="696" spans="1:71" ht="12.5" x14ac:dyDescent="0.25">
      <c r="A696" s="170"/>
      <c r="B696" s="170"/>
      <c r="C696" s="170"/>
      <c r="D696" s="170"/>
      <c r="E696" s="171"/>
      <c r="F696" s="171"/>
      <c r="G696" s="170"/>
      <c r="H696" s="170"/>
      <c r="I696" s="170"/>
      <c r="J696" s="171"/>
      <c r="K696" s="171"/>
      <c r="L696" s="170"/>
      <c r="M696" s="170"/>
      <c r="N696" s="170"/>
      <c r="O696" s="171"/>
      <c r="P696" s="171"/>
      <c r="Q696" s="170"/>
      <c r="R696" s="170"/>
      <c r="S696" s="170"/>
      <c r="T696" s="171"/>
      <c r="U696" s="171"/>
      <c r="V696" s="171"/>
      <c r="W696" s="171"/>
      <c r="X696" s="171"/>
      <c r="Y696" s="171"/>
      <c r="Z696" s="171"/>
      <c r="AA696" s="171"/>
      <c r="AB696" s="171"/>
      <c r="AC696" s="170"/>
      <c r="AD696" s="170"/>
      <c r="AE696" s="170"/>
      <c r="AF696" s="170"/>
      <c r="AG696" s="170"/>
      <c r="AH696" s="170"/>
      <c r="AI696" s="170"/>
      <c r="AJ696" s="170"/>
      <c r="AK696" s="171"/>
      <c r="AL696" s="171"/>
      <c r="AM696" s="170"/>
      <c r="AN696" s="170"/>
      <c r="AO696" s="170"/>
      <c r="AP696" s="171"/>
      <c r="AQ696" s="171"/>
      <c r="AR696" s="170"/>
      <c r="AS696" s="170"/>
      <c r="AT696" s="170"/>
      <c r="AU696" s="171"/>
      <c r="AV696" s="171"/>
      <c r="AW696" s="171"/>
      <c r="AX696" s="171"/>
      <c r="AY696" s="171"/>
      <c r="AZ696" s="171"/>
      <c r="BA696" s="171"/>
      <c r="BB696" s="171"/>
      <c r="BC696" s="171"/>
      <c r="BD696" s="172"/>
      <c r="BE696" s="172"/>
      <c r="BF696" s="172"/>
      <c r="BG696" s="172"/>
      <c r="BH696" s="172"/>
      <c r="BI696" s="172"/>
      <c r="BJ696" s="172"/>
      <c r="BK696" s="172"/>
      <c r="BL696" s="172"/>
      <c r="BM696" s="172"/>
      <c r="BN696" s="172"/>
      <c r="BO696" s="172"/>
      <c r="BP696" s="172"/>
      <c r="BQ696" s="172"/>
      <c r="BR696" s="172"/>
      <c r="BS696" s="172"/>
    </row>
    <row r="697" spans="1:71" ht="12.5" x14ac:dyDescent="0.25">
      <c r="A697" s="170"/>
      <c r="B697" s="170"/>
      <c r="C697" s="170"/>
      <c r="D697" s="170"/>
      <c r="E697" s="171"/>
      <c r="F697" s="171"/>
      <c r="G697" s="170"/>
      <c r="H697" s="170"/>
      <c r="I697" s="170"/>
      <c r="J697" s="171"/>
      <c r="K697" s="171"/>
      <c r="L697" s="170"/>
      <c r="M697" s="170"/>
      <c r="N697" s="170"/>
      <c r="O697" s="171"/>
      <c r="P697" s="171"/>
      <c r="Q697" s="170"/>
      <c r="R697" s="170"/>
      <c r="S697" s="170"/>
      <c r="T697" s="171"/>
      <c r="U697" s="171"/>
      <c r="V697" s="171"/>
      <c r="W697" s="171"/>
      <c r="X697" s="171"/>
      <c r="Y697" s="171"/>
      <c r="Z697" s="171"/>
      <c r="AA697" s="171"/>
      <c r="AB697" s="171"/>
      <c r="AC697" s="170"/>
      <c r="AD697" s="170"/>
      <c r="AE697" s="170"/>
      <c r="AF697" s="170"/>
      <c r="AG697" s="170"/>
      <c r="AH697" s="170"/>
      <c r="AI697" s="170"/>
      <c r="AJ697" s="170"/>
      <c r="AK697" s="171"/>
      <c r="AL697" s="171"/>
      <c r="AM697" s="170"/>
      <c r="AN697" s="170"/>
      <c r="AO697" s="170"/>
      <c r="AP697" s="171"/>
      <c r="AQ697" s="171"/>
      <c r="AR697" s="170"/>
      <c r="AS697" s="170"/>
      <c r="AT697" s="170"/>
      <c r="AU697" s="171"/>
      <c r="AV697" s="171"/>
      <c r="AW697" s="171"/>
      <c r="AX697" s="171"/>
      <c r="AY697" s="171"/>
      <c r="AZ697" s="171"/>
      <c r="BA697" s="171"/>
      <c r="BB697" s="171"/>
      <c r="BC697" s="171"/>
      <c r="BD697" s="172"/>
      <c r="BE697" s="172"/>
      <c r="BF697" s="172"/>
      <c r="BG697" s="172"/>
      <c r="BH697" s="172"/>
      <c r="BI697" s="172"/>
      <c r="BJ697" s="172"/>
      <c r="BK697" s="172"/>
      <c r="BL697" s="172"/>
      <c r="BM697" s="172"/>
      <c r="BN697" s="172"/>
      <c r="BO697" s="172"/>
      <c r="BP697" s="172"/>
      <c r="BQ697" s="172"/>
      <c r="BR697" s="172"/>
      <c r="BS697" s="172"/>
    </row>
    <row r="698" spans="1:71" ht="12.5" x14ac:dyDescent="0.25">
      <c r="A698" s="170"/>
      <c r="B698" s="170"/>
      <c r="C698" s="170"/>
      <c r="D698" s="170"/>
      <c r="E698" s="171"/>
      <c r="F698" s="171"/>
      <c r="G698" s="170"/>
      <c r="H698" s="170"/>
      <c r="I698" s="170"/>
      <c r="J698" s="171"/>
      <c r="K698" s="171"/>
      <c r="L698" s="170"/>
      <c r="M698" s="170"/>
      <c r="N698" s="170"/>
      <c r="O698" s="171"/>
      <c r="P698" s="171"/>
      <c r="Q698" s="170"/>
      <c r="R698" s="170"/>
      <c r="S698" s="170"/>
      <c r="T698" s="171"/>
      <c r="U698" s="171"/>
      <c r="V698" s="171"/>
      <c r="W698" s="171"/>
      <c r="X698" s="171"/>
      <c r="Y698" s="171"/>
      <c r="Z698" s="171"/>
      <c r="AA698" s="171"/>
      <c r="AB698" s="171"/>
      <c r="AC698" s="170"/>
      <c r="AD698" s="170"/>
      <c r="AE698" s="170"/>
      <c r="AF698" s="170"/>
      <c r="AG698" s="170"/>
      <c r="AH698" s="170"/>
      <c r="AI698" s="170"/>
      <c r="AJ698" s="170"/>
      <c r="AK698" s="171"/>
      <c r="AL698" s="171"/>
      <c r="AM698" s="170"/>
      <c r="AN698" s="170"/>
      <c r="AO698" s="170"/>
      <c r="AP698" s="171"/>
      <c r="AQ698" s="171"/>
      <c r="AR698" s="170"/>
      <c r="AS698" s="170"/>
      <c r="AT698" s="170"/>
      <c r="AU698" s="171"/>
      <c r="AV698" s="171"/>
      <c r="AW698" s="171"/>
      <c r="AX698" s="171"/>
      <c r="AY698" s="171"/>
      <c r="AZ698" s="171"/>
      <c r="BA698" s="171"/>
      <c r="BB698" s="171"/>
      <c r="BC698" s="171"/>
      <c r="BD698" s="172"/>
      <c r="BE698" s="172"/>
      <c r="BF698" s="172"/>
      <c r="BG698" s="172"/>
      <c r="BH698" s="172"/>
      <c r="BI698" s="172"/>
      <c r="BJ698" s="172"/>
      <c r="BK698" s="172"/>
      <c r="BL698" s="172"/>
      <c r="BM698" s="172"/>
      <c r="BN698" s="172"/>
      <c r="BO698" s="172"/>
      <c r="BP698" s="172"/>
      <c r="BQ698" s="172"/>
      <c r="BR698" s="172"/>
      <c r="BS698" s="172"/>
    </row>
    <row r="699" spans="1:71" ht="12.5" x14ac:dyDescent="0.25">
      <c r="A699" s="170"/>
      <c r="B699" s="170"/>
      <c r="C699" s="170"/>
      <c r="D699" s="170"/>
      <c r="E699" s="171"/>
      <c r="F699" s="171"/>
      <c r="G699" s="170"/>
      <c r="H699" s="170"/>
      <c r="I699" s="170"/>
      <c r="J699" s="171"/>
      <c r="K699" s="171"/>
      <c r="L699" s="170"/>
      <c r="M699" s="170"/>
      <c r="N699" s="170"/>
      <c r="O699" s="171"/>
      <c r="P699" s="171"/>
      <c r="Q699" s="170"/>
      <c r="R699" s="170"/>
      <c r="S699" s="170"/>
      <c r="T699" s="171"/>
      <c r="U699" s="171"/>
      <c r="V699" s="171"/>
      <c r="W699" s="171"/>
      <c r="X699" s="171"/>
      <c r="Y699" s="171"/>
      <c r="Z699" s="171"/>
      <c r="AA699" s="171"/>
      <c r="AB699" s="171"/>
      <c r="AC699" s="170"/>
      <c r="AD699" s="170"/>
      <c r="AE699" s="170"/>
      <c r="AF699" s="170"/>
      <c r="AG699" s="170"/>
      <c r="AH699" s="170"/>
      <c r="AI699" s="170"/>
      <c r="AJ699" s="170"/>
      <c r="AK699" s="171"/>
      <c r="AL699" s="171"/>
      <c r="AM699" s="170"/>
      <c r="AN699" s="170"/>
      <c r="AO699" s="170"/>
      <c r="AP699" s="171"/>
      <c r="AQ699" s="171"/>
      <c r="AR699" s="170"/>
      <c r="AS699" s="170"/>
      <c r="AT699" s="170"/>
      <c r="AU699" s="171"/>
      <c r="AV699" s="171"/>
      <c r="AW699" s="171"/>
      <c r="AX699" s="171"/>
      <c r="AY699" s="171"/>
      <c r="AZ699" s="171"/>
      <c r="BA699" s="171"/>
      <c r="BB699" s="171"/>
      <c r="BC699" s="171"/>
      <c r="BD699" s="172"/>
      <c r="BE699" s="172"/>
      <c r="BF699" s="172"/>
      <c r="BG699" s="172"/>
      <c r="BH699" s="172"/>
      <c r="BI699" s="172"/>
      <c r="BJ699" s="172"/>
      <c r="BK699" s="172"/>
      <c r="BL699" s="172"/>
      <c r="BM699" s="172"/>
      <c r="BN699" s="172"/>
      <c r="BO699" s="172"/>
      <c r="BP699" s="172"/>
      <c r="BQ699" s="172"/>
      <c r="BR699" s="172"/>
      <c r="BS699" s="172"/>
    </row>
    <row r="700" spans="1:71" ht="12.5" x14ac:dyDescent="0.25">
      <c r="A700" s="170"/>
      <c r="B700" s="170"/>
      <c r="C700" s="170"/>
      <c r="D700" s="170"/>
      <c r="E700" s="171"/>
      <c r="F700" s="171"/>
      <c r="G700" s="170"/>
      <c r="H700" s="170"/>
      <c r="I700" s="170"/>
      <c r="J700" s="171"/>
      <c r="K700" s="171"/>
      <c r="L700" s="170"/>
      <c r="M700" s="170"/>
      <c r="N700" s="170"/>
      <c r="O700" s="171"/>
      <c r="P700" s="171"/>
      <c r="Q700" s="170"/>
      <c r="R700" s="170"/>
      <c r="S700" s="170"/>
      <c r="T700" s="171"/>
      <c r="U700" s="171"/>
      <c r="V700" s="171"/>
      <c r="W700" s="171"/>
      <c r="X700" s="171"/>
      <c r="Y700" s="171"/>
      <c r="Z700" s="171"/>
      <c r="AA700" s="171"/>
      <c r="AB700" s="171"/>
      <c r="AC700" s="170"/>
      <c r="AD700" s="170"/>
      <c r="AE700" s="170"/>
      <c r="AF700" s="170"/>
      <c r="AG700" s="170"/>
      <c r="AH700" s="170"/>
      <c r="AI700" s="170"/>
      <c r="AJ700" s="170"/>
      <c r="AK700" s="171"/>
      <c r="AL700" s="171"/>
      <c r="AM700" s="170"/>
      <c r="AN700" s="170"/>
      <c r="AO700" s="170"/>
      <c r="AP700" s="171"/>
      <c r="AQ700" s="171"/>
      <c r="AR700" s="170"/>
      <c r="AS700" s="170"/>
      <c r="AT700" s="170"/>
      <c r="AU700" s="171"/>
      <c r="AV700" s="171"/>
      <c r="AW700" s="171"/>
      <c r="AX700" s="171"/>
      <c r="AY700" s="171"/>
      <c r="AZ700" s="171"/>
      <c r="BA700" s="171"/>
      <c r="BB700" s="171"/>
      <c r="BC700" s="171"/>
      <c r="BD700" s="172"/>
      <c r="BE700" s="172"/>
      <c r="BF700" s="172"/>
      <c r="BG700" s="172"/>
      <c r="BH700" s="172"/>
      <c r="BI700" s="172"/>
      <c r="BJ700" s="172"/>
      <c r="BK700" s="172"/>
      <c r="BL700" s="172"/>
      <c r="BM700" s="172"/>
      <c r="BN700" s="172"/>
      <c r="BO700" s="172"/>
      <c r="BP700" s="172"/>
      <c r="BQ700" s="172"/>
      <c r="BR700" s="172"/>
      <c r="BS700" s="172"/>
    </row>
    <row r="701" spans="1:71" ht="12.5" x14ac:dyDescent="0.25">
      <c r="A701" s="170"/>
      <c r="B701" s="170"/>
      <c r="C701" s="170"/>
      <c r="D701" s="170"/>
      <c r="E701" s="171"/>
      <c r="F701" s="171"/>
      <c r="G701" s="170"/>
      <c r="H701" s="170"/>
      <c r="I701" s="170"/>
      <c r="J701" s="171"/>
      <c r="K701" s="171"/>
      <c r="L701" s="170"/>
      <c r="M701" s="170"/>
      <c r="N701" s="170"/>
      <c r="O701" s="171"/>
      <c r="P701" s="171"/>
      <c r="Q701" s="170"/>
      <c r="R701" s="170"/>
      <c r="S701" s="170"/>
      <c r="T701" s="171"/>
      <c r="U701" s="171"/>
      <c r="V701" s="171"/>
      <c r="W701" s="171"/>
      <c r="X701" s="171"/>
      <c r="Y701" s="171"/>
      <c r="Z701" s="171"/>
      <c r="AA701" s="171"/>
      <c r="AB701" s="171"/>
      <c r="AC701" s="170"/>
      <c r="AD701" s="170"/>
      <c r="AE701" s="170"/>
      <c r="AF701" s="170"/>
      <c r="AG701" s="170"/>
      <c r="AH701" s="170"/>
      <c r="AI701" s="170"/>
      <c r="AJ701" s="170"/>
      <c r="AK701" s="171"/>
      <c r="AL701" s="171"/>
      <c r="AM701" s="170"/>
      <c r="AN701" s="170"/>
      <c r="AO701" s="170"/>
      <c r="AP701" s="171"/>
      <c r="AQ701" s="171"/>
      <c r="AR701" s="170"/>
      <c r="AS701" s="170"/>
      <c r="AT701" s="170"/>
      <c r="AU701" s="171"/>
      <c r="AV701" s="171"/>
      <c r="AW701" s="171"/>
      <c r="AX701" s="171"/>
      <c r="AY701" s="171"/>
      <c r="AZ701" s="171"/>
      <c r="BA701" s="171"/>
      <c r="BB701" s="171"/>
      <c r="BC701" s="171"/>
      <c r="BD701" s="172"/>
      <c r="BE701" s="172"/>
      <c r="BF701" s="172"/>
      <c r="BG701" s="172"/>
      <c r="BH701" s="172"/>
      <c r="BI701" s="172"/>
      <c r="BJ701" s="172"/>
      <c r="BK701" s="172"/>
      <c r="BL701" s="172"/>
      <c r="BM701" s="172"/>
      <c r="BN701" s="172"/>
      <c r="BO701" s="172"/>
      <c r="BP701" s="172"/>
      <c r="BQ701" s="172"/>
      <c r="BR701" s="172"/>
      <c r="BS701" s="172"/>
    </row>
    <row r="702" spans="1:71" ht="12.5" x14ac:dyDescent="0.25">
      <c r="A702" s="170"/>
      <c r="B702" s="170"/>
      <c r="C702" s="170"/>
      <c r="D702" s="170"/>
      <c r="E702" s="171"/>
      <c r="F702" s="171"/>
      <c r="G702" s="170"/>
      <c r="H702" s="170"/>
      <c r="I702" s="170"/>
      <c r="J702" s="171"/>
      <c r="K702" s="171"/>
      <c r="L702" s="170"/>
      <c r="M702" s="170"/>
      <c r="N702" s="170"/>
      <c r="O702" s="171"/>
      <c r="P702" s="171"/>
      <c r="Q702" s="170"/>
      <c r="R702" s="170"/>
      <c r="S702" s="170"/>
      <c r="T702" s="171"/>
      <c r="U702" s="171"/>
      <c r="V702" s="171"/>
      <c r="W702" s="171"/>
      <c r="X702" s="171"/>
      <c r="Y702" s="171"/>
      <c r="Z702" s="171"/>
      <c r="AA702" s="171"/>
      <c r="AB702" s="171"/>
      <c r="AC702" s="170"/>
      <c r="AD702" s="170"/>
      <c r="AE702" s="170"/>
      <c r="AF702" s="170"/>
      <c r="AG702" s="170"/>
      <c r="AH702" s="170"/>
      <c r="AI702" s="170"/>
      <c r="AJ702" s="170"/>
      <c r="AK702" s="171"/>
      <c r="AL702" s="171"/>
      <c r="AM702" s="170"/>
      <c r="AN702" s="170"/>
      <c r="AO702" s="170"/>
      <c r="AP702" s="171"/>
      <c r="AQ702" s="171"/>
      <c r="AR702" s="170"/>
      <c r="AS702" s="170"/>
      <c r="AT702" s="170"/>
      <c r="AU702" s="171"/>
      <c r="AV702" s="171"/>
      <c r="AW702" s="171"/>
      <c r="AX702" s="171"/>
      <c r="AY702" s="171"/>
      <c r="AZ702" s="171"/>
      <c r="BA702" s="171"/>
      <c r="BB702" s="171"/>
      <c r="BC702" s="171"/>
      <c r="BD702" s="172"/>
      <c r="BE702" s="172"/>
      <c r="BF702" s="172"/>
      <c r="BG702" s="172"/>
      <c r="BH702" s="172"/>
      <c r="BI702" s="172"/>
      <c r="BJ702" s="172"/>
      <c r="BK702" s="172"/>
      <c r="BL702" s="172"/>
      <c r="BM702" s="172"/>
      <c r="BN702" s="172"/>
      <c r="BO702" s="172"/>
      <c r="BP702" s="172"/>
      <c r="BQ702" s="172"/>
      <c r="BR702" s="172"/>
      <c r="BS702" s="172"/>
    </row>
    <row r="703" spans="1:71" ht="12.5" x14ac:dyDescent="0.25">
      <c r="A703" s="170"/>
      <c r="B703" s="170"/>
      <c r="C703" s="170"/>
      <c r="D703" s="170"/>
      <c r="E703" s="171"/>
      <c r="F703" s="171"/>
      <c r="G703" s="170"/>
      <c r="H703" s="170"/>
      <c r="I703" s="170"/>
      <c r="J703" s="171"/>
      <c r="K703" s="171"/>
      <c r="L703" s="170"/>
      <c r="M703" s="170"/>
      <c r="N703" s="170"/>
      <c r="O703" s="171"/>
      <c r="P703" s="171"/>
      <c r="Q703" s="170"/>
      <c r="R703" s="170"/>
      <c r="S703" s="170"/>
      <c r="T703" s="171"/>
      <c r="U703" s="171"/>
      <c r="V703" s="171"/>
      <c r="W703" s="171"/>
      <c r="X703" s="171"/>
      <c r="Y703" s="171"/>
      <c r="Z703" s="171"/>
      <c r="AA703" s="171"/>
      <c r="AB703" s="171"/>
      <c r="AC703" s="170"/>
      <c r="AD703" s="170"/>
      <c r="AE703" s="170"/>
      <c r="AF703" s="170"/>
      <c r="AG703" s="170"/>
      <c r="AH703" s="170"/>
      <c r="AI703" s="170"/>
      <c r="AJ703" s="170"/>
      <c r="AK703" s="171"/>
      <c r="AL703" s="171"/>
      <c r="AM703" s="170"/>
      <c r="AN703" s="170"/>
      <c r="AO703" s="170"/>
      <c r="AP703" s="171"/>
      <c r="AQ703" s="171"/>
      <c r="AR703" s="170"/>
      <c r="AS703" s="170"/>
      <c r="AT703" s="170"/>
      <c r="AU703" s="171"/>
      <c r="AV703" s="171"/>
      <c r="AW703" s="171"/>
      <c r="AX703" s="171"/>
      <c r="AY703" s="171"/>
      <c r="AZ703" s="171"/>
      <c r="BA703" s="171"/>
      <c r="BB703" s="171"/>
      <c r="BC703" s="171"/>
      <c r="BD703" s="172"/>
      <c r="BE703" s="172"/>
      <c r="BF703" s="172"/>
      <c r="BG703" s="172"/>
      <c r="BH703" s="172"/>
      <c r="BI703" s="172"/>
      <c r="BJ703" s="172"/>
      <c r="BK703" s="172"/>
      <c r="BL703" s="172"/>
      <c r="BM703" s="172"/>
      <c r="BN703" s="172"/>
      <c r="BO703" s="172"/>
      <c r="BP703" s="172"/>
      <c r="BQ703" s="172"/>
      <c r="BR703" s="172"/>
      <c r="BS703" s="172"/>
    </row>
    <row r="704" spans="1:71" ht="12.5" x14ac:dyDescent="0.25">
      <c r="A704" s="170"/>
      <c r="B704" s="170"/>
      <c r="C704" s="170"/>
      <c r="D704" s="170"/>
      <c r="E704" s="171"/>
      <c r="F704" s="171"/>
      <c r="G704" s="170"/>
      <c r="H704" s="170"/>
      <c r="I704" s="170"/>
      <c r="J704" s="171"/>
      <c r="K704" s="171"/>
      <c r="L704" s="170"/>
      <c r="M704" s="170"/>
      <c r="N704" s="170"/>
      <c r="O704" s="171"/>
      <c r="P704" s="171"/>
      <c r="Q704" s="170"/>
      <c r="R704" s="170"/>
      <c r="S704" s="170"/>
      <c r="T704" s="171"/>
      <c r="U704" s="171"/>
      <c r="V704" s="171"/>
      <c r="W704" s="171"/>
      <c r="X704" s="171"/>
      <c r="Y704" s="171"/>
      <c r="Z704" s="171"/>
      <c r="AA704" s="171"/>
      <c r="AB704" s="171"/>
      <c r="AC704" s="170"/>
      <c r="AD704" s="170"/>
      <c r="AE704" s="170"/>
      <c r="AF704" s="170"/>
      <c r="AG704" s="170"/>
      <c r="AH704" s="170"/>
      <c r="AI704" s="170"/>
      <c r="AJ704" s="170"/>
      <c r="AK704" s="171"/>
      <c r="AL704" s="171"/>
      <c r="AM704" s="170"/>
      <c r="AN704" s="170"/>
      <c r="AO704" s="170"/>
      <c r="AP704" s="171"/>
      <c r="AQ704" s="171"/>
      <c r="AR704" s="170"/>
      <c r="AS704" s="170"/>
      <c r="AT704" s="170"/>
      <c r="AU704" s="171"/>
      <c r="AV704" s="171"/>
      <c r="AW704" s="171"/>
      <c r="AX704" s="171"/>
      <c r="AY704" s="171"/>
      <c r="AZ704" s="171"/>
      <c r="BA704" s="171"/>
      <c r="BB704" s="171"/>
      <c r="BC704" s="171"/>
      <c r="BD704" s="172"/>
      <c r="BE704" s="172"/>
      <c r="BF704" s="172"/>
      <c r="BG704" s="172"/>
      <c r="BH704" s="172"/>
      <c r="BI704" s="172"/>
      <c r="BJ704" s="172"/>
      <c r="BK704" s="172"/>
      <c r="BL704" s="172"/>
      <c r="BM704" s="172"/>
      <c r="BN704" s="172"/>
      <c r="BO704" s="172"/>
      <c r="BP704" s="172"/>
      <c r="BQ704" s="172"/>
      <c r="BR704" s="172"/>
      <c r="BS704" s="172"/>
    </row>
    <row r="705" spans="1:71" ht="12.5" x14ac:dyDescent="0.25">
      <c r="A705" s="170"/>
      <c r="B705" s="170"/>
      <c r="C705" s="170"/>
      <c r="D705" s="170"/>
      <c r="E705" s="171"/>
      <c r="F705" s="171"/>
      <c r="G705" s="170"/>
      <c r="H705" s="170"/>
      <c r="I705" s="170"/>
      <c r="J705" s="171"/>
      <c r="K705" s="171"/>
      <c r="L705" s="170"/>
      <c r="M705" s="170"/>
      <c r="N705" s="170"/>
      <c r="O705" s="171"/>
      <c r="P705" s="171"/>
      <c r="Q705" s="170"/>
      <c r="R705" s="170"/>
      <c r="S705" s="170"/>
      <c r="T705" s="171"/>
      <c r="U705" s="171"/>
      <c r="V705" s="171"/>
      <c r="W705" s="171"/>
      <c r="X705" s="171"/>
      <c r="Y705" s="171"/>
      <c r="Z705" s="171"/>
      <c r="AA705" s="171"/>
      <c r="AB705" s="171"/>
      <c r="AC705" s="170"/>
      <c r="AD705" s="170"/>
      <c r="AE705" s="170"/>
      <c r="AF705" s="170"/>
      <c r="AG705" s="170"/>
      <c r="AH705" s="170"/>
      <c r="AI705" s="170"/>
      <c r="AJ705" s="170"/>
      <c r="AK705" s="171"/>
      <c r="AL705" s="171"/>
      <c r="AM705" s="170"/>
      <c r="AN705" s="170"/>
      <c r="AO705" s="170"/>
      <c r="AP705" s="171"/>
      <c r="AQ705" s="171"/>
      <c r="AR705" s="170"/>
      <c r="AS705" s="170"/>
      <c r="AT705" s="170"/>
      <c r="AU705" s="171"/>
      <c r="AV705" s="171"/>
      <c r="AW705" s="171"/>
      <c r="AX705" s="171"/>
      <c r="AY705" s="171"/>
      <c r="AZ705" s="171"/>
      <c r="BA705" s="171"/>
      <c r="BB705" s="171"/>
      <c r="BC705" s="171"/>
      <c r="BD705" s="172"/>
      <c r="BE705" s="172"/>
      <c r="BF705" s="172"/>
      <c r="BG705" s="172"/>
      <c r="BH705" s="172"/>
      <c r="BI705" s="172"/>
      <c r="BJ705" s="172"/>
      <c r="BK705" s="172"/>
      <c r="BL705" s="172"/>
      <c r="BM705" s="172"/>
      <c r="BN705" s="172"/>
      <c r="BO705" s="172"/>
      <c r="BP705" s="172"/>
      <c r="BQ705" s="172"/>
      <c r="BR705" s="172"/>
      <c r="BS705" s="172"/>
    </row>
    <row r="706" spans="1:71" ht="12.5" x14ac:dyDescent="0.25">
      <c r="A706" s="170"/>
      <c r="B706" s="170"/>
      <c r="C706" s="170"/>
      <c r="D706" s="170"/>
      <c r="E706" s="171"/>
      <c r="F706" s="171"/>
      <c r="G706" s="170"/>
      <c r="H706" s="170"/>
      <c r="I706" s="170"/>
      <c r="J706" s="171"/>
      <c r="K706" s="171"/>
      <c r="L706" s="170"/>
      <c r="M706" s="170"/>
      <c r="N706" s="170"/>
      <c r="O706" s="171"/>
      <c r="P706" s="171"/>
      <c r="Q706" s="170"/>
      <c r="R706" s="170"/>
      <c r="S706" s="170"/>
      <c r="T706" s="171"/>
      <c r="U706" s="171"/>
      <c r="V706" s="171"/>
      <c r="W706" s="171"/>
      <c r="X706" s="171"/>
      <c r="Y706" s="171"/>
      <c r="Z706" s="171"/>
      <c r="AA706" s="171"/>
      <c r="AB706" s="171"/>
      <c r="AC706" s="170"/>
      <c r="AD706" s="170"/>
      <c r="AE706" s="170"/>
      <c r="AF706" s="170"/>
      <c r="AG706" s="170"/>
      <c r="AH706" s="170"/>
      <c r="AI706" s="170"/>
      <c r="AJ706" s="170"/>
      <c r="AK706" s="171"/>
      <c r="AL706" s="171"/>
      <c r="AM706" s="170"/>
      <c r="AN706" s="170"/>
      <c r="AO706" s="170"/>
      <c r="AP706" s="171"/>
      <c r="AQ706" s="171"/>
      <c r="AR706" s="170"/>
      <c r="AS706" s="170"/>
      <c r="AT706" s="170"/>
      <c r="AU706" s="171"/>
      <c r="AV706" s="171"/>
      <c r="AW706" s="171"/>
      <c r="AX706" s="171"/>
      <c r="AY706" s="171"/>
      <c r="AZ706" s="171"/>
      <c r="BA706" s="171"/>
      <c r="BB706" s="171"/>
      <c r="BC706" s="171"/>
      <c r="BD706" s="172"/>
      <c r="BE706" s="172"/>
      <c r="BF706" s="172"/>
      <c r="BG706" s="172"/>
      <c r="BH706" s="172"/>
      <c r="BI706" s="172"/>
      <c r="BJ706" s="172"/>
      <c r="BK706" s="172"/>
      <c r="BL706" s="172"/>
      <c r="BM706" s="172"/>
      <c r="BN706" s="172"/>
      <c r="BO706" s="172"/>
      <c r="BP706" s="172"/>
      <c r="BQ706" s="172"/>
      <c r="BR706" s="172"/>
      <c r="BS706" s="172"/>
    </row>
    <row r="707" spans="1:71" ht="12.5" x14ac:dyDescent="0.25">
      <c r="A707" s="170"/>
      <c r="B707" s="170"/>
      <c r="C707" s="170"/>
      <c r="D707" s="170"/>
      <c r="E707" s="171"/>
      <c r="F707" s="171"/>
      <c r="G707" s="170"/>
      <c r="H707" s="170"/>
      <c r="I707" s="170"/>
      <c r="J707" s="171"/>
      <c r="K707" s="171"/>
      <c r="L707" s="170"/>
      <c r="M707" s="170"/>
      <c r="N707" s="170"/>
      <c r="O707" s="171"/>
      <c r="P707" s="171"/>
      <c r="Q707" s="170"/>
      <c r="R707" s="170"/>
      <c r="S707" s="170"/>
      <c r="T707" s="171"/>
      <c r="U707" s="171"/>
      <c r="V707" s="171"/>
      <c r="W707" s="171"/>
      <c r="X707" s="171"/>
      <c r="Y707" s="171"/>
      <c r="Z707" s="171"/>
      <c r="AA707" s="171"/>
      <c r="AB707" s="171"/>
      <c r="AC707" s="170"/>
      <c r="AD707" s="170"/>
      <c r="AE707" s="170"/>
      <c r="AF707" s="170"/>
      <c r="AG707" s="170"/>
      <c r="AH707" s="170"/>
      <c r="AI707" s="170"/>
      <c r="AJ707" s="170"/>
      <c r="AK707" s="171"/>
      <c r="AL707" s="171"/>
      <c r="AM707" s="170"/>
      <c r="AN707" s="170"/>
      <c r="AO707" s="170"/>
      <c r="AP707" s="171"/>
      <c r="AQ707" s="171"/>
      <c r="AR707" s="170"/>
      <c r="AS707" s="170"/>
      <c r="AT707" s="170"/>
      <c r="AU707" s="171"/>
      <c r="AV707" s="171"/>
      <c r="AW707" s="171"/>
      <c r="AX707" s="171"/>
      <c r="AY707" s="171"/>
      <c r="AZ707" s="171"/>
      <c r="BA707" s="171"/>
      <c r="BB707" s="171"/>
      <c r="BC707" s="171"/>
      <c r="BD707" s="172"/>
      <c r="BE707" s="172"/>
      <c r="BF707" s="172"/>
      <c r="BG707" s="172"/>
      <c r="BH707" s="172"/>
      <c r="BI707" s="172"/>
      <c r="BJ707" s="172"/>
      <c r="BK707" s="172"/>
      <c r="BL707" s="172"/>
      <c r="BM707" s="172"/>
      <c r="BN707" s="172"/>
      <c r="BO707" s="172"/>
      <c r="BP707" s="172"/>
      <c r="BQ707" s="172"/>
      <c r="BR707" s="172"/>
      <c r="BS707" s="172"/>
    </row>
    <row r="708" spans="1:71" ht="12.5" x14ac:dyDescent="0.25">
      <c r="A708" s="170"/>
      <c r="B708" s="170"/>
      <c r="C708" s="170"/>
      <c r="D708" s="170"/>
      <c r="E708" s="171"/>
      <c r="F708" s="171"/>
      <c r="G708" s="170"/>
      <c r="H708" s="170"/>
      <c r="I708" s="170"/>
      <c r="J708" s="171"/>
      <c r="K708" s="171"/>
      <c r="L708" s="170"/>
      <c r="M708" s="170"/>
      <c r="N708" s="170"/>
      <c r="O708" s="171"/>
      <c r="P708" s="171"/>
      <c r="Q708" s="170"/>
      <c r="R708" s="170"/>
      <c r="S708" s="170"/>
      <c r="T708" s="171"/>
      <c r="U708" s="171"/>
      <c r="V708" s="171"/>
      <c r="W708" s="171"/>
      <c r="X708" s="171"/>
      <c r="Y708" s="171"/>
      <c r="Z708" s="171"/>
      <c r="AA708" s="171"/>
      <c r="AB708" s="171"/>
      <c r="AC708" s="170"/>
      <c r="AD708" s="170"/>
      <c r="AE708" s="170"/>
      <c r="AF708" s="170"/>
      <c r="AG708" s="170"/>
      <c r="AH708" s="170"/>
      <c r="AI708" s="170"/>
      <c r="AJ708" s="170"/>
      <c r="AK708" s="171"/>
      <c r="AL708" s="171"/>
      <c r="AM708" s="170"/>
      <c r="AN708" s="170"/>
      <c r="AO708" s="170"/>
      <c r="AP708" s="171"/>
      <c r="AQ708" s="171"/>
      <c r="AR708" s="170"/>
      <c r="AS708" s="170"/>
      <c r="AT708" s="170"/>
      <c r="AU708" s="171"/>
      <c r="AV708" s="171"/>
      <c r="AW708" s="171"/>
      <c r="AX708" s="171"/>
      <c r="AY708" s="171"/>
      <c r="AZ708" s="171"/>
      <c r="BA708" s="171"/>
      <c r="BB708" s="171"/>
      <c r="BC708" s="171"/>
      <c r="BD708" s="172"/>
      <c r="BE708" s="172"/>
      <c r="BF708" s="172"/>
      <c r="BG708" s="172"/>
      <c r="BH708" s="172"/>
      <c r="BI708" s="172"/>
      <c r="BJ708" s="172"/>
      <c r="BK708" s="172"/>
      <c r="BL708" s="172"/>
      <c r="BM708" s="172"/>
      <c r="BN708" s="172"/>
      <c r="BO708" s="172"/>
      <c r="BP708" s="172"/>
      <c r="BQ708" s="172"/>
      <c r="BR708" s="172"/>
      <c r="BS708" s="172"/>
    </row>
    <row r="709" spans="1:71" ht="12.5" x14ac:dyDescent="0.25">
      <c r="A709" s="170"/>
      <c r="B709" s="170"/>
      <c r="C709" s="170"/>
      <c r="D709" s="170"/>
      <c r="E709" s="171"/>
      <c r="F709" s="171"/>
      <c r="G709" s="170"/>
      <c r="H709" s="170"/>
      <c r="I709" s="170"/>
      <c r="J709" s="171"/>
      <c r="K709" s="171"/>
      <c r="L709" s="170"/>
      <c r="M709" s="170"/>
      <c r="N709" s="170"/>
      <c r="O709" s="171"/>
      <c r="P709" s="171"/>
      <c r="Q709" s="170"/>
      <c r="R709" s="170"/>
      <c r="S709" s="170"/>
      <c r="T709" s="171"/>
      <c r="U709" s="171"/>
      <c r="V709" s="171"/>
      <c r="W709" s="171"/>
      <c r="X709" s="171"/>
      <c r="Y709" s="171"/>
      <c r="Z709" s="171"/>
      <c r="AA709" s="171"/>
      <c r="AB709" s="171"/>
      <c r="AC709" s="170"/>
      <c r="AD709" s="170"/>
      <c r="AE709" s="170"/>
      <c r="AF709" s="170"/>
      <c r="AG709" s="170"/>
      <c r="AH709" s="170"/>
      <c r="AI709" s="170"/>
      <c r="AJ709" s="170"/>
      <c r="AK709" s="171"/>
      <c r="AL709" s="171"/>
      <c r="AM709" s="170"/>
      <c r="AN709" s="170"/>
      <c r="AO709" s="170"/>
      <c r="AP709" s="171"/>
      <c r="AQ709" s="171"/>
      <c r="AR709" s="170"/>
      <c r="AS709" s="170"/>
      <c r="AT709" s="170"/>
      <c r="AU709" s="171"/>
      <c r="AV709" s="171"/>
      <c r="AW709" s="171"/>
      <c r="AX709" s="171"/>
      <c r="AY709" s="171"/>
      <c r="AZ709" s="171"/>
      <c r="BA709" s="171"/>
      <c r="BB709" s="171"/>
      <c r="BC709" s="171"/>
      <c r="BD709" s="172"/>
      <c r="BE709" s="172"/>
      <c r="BF709" s="172"/>
      <c r="BG709" s="172"/>
      <c r="BH709" s="172"/>
      <c r="BI709" s="172"/>
      <c r="BJ709" s="172"/>
      <c r="BK709" s="172"/>
      <c r="BL709" s="172"/>
      <c r="BM709" s="172"/>
      <c r="BN709" s="172"/>
      <c r="BO709" s="172"/>
      <c r="BP709" s="172"/>
      <c r="BQ709" s="172"/>
      <c r="BR709" s="172"/>
      <c r="BS709" s="172"/>
    </row>
    <row r="710" spans="1:71" ht="12.5" x14ac:dyDescent="0.25">
      <c r="A710" s="170"/>
      <c r="B710" s="170"/>
      <c r="C710" s="170"/>
      <c r="D710" s="170"/>
      <c r="E710" s="171"/>
      <c r="F710" s="171"/>
      <c r="G710" s="170"/>
      <c r="H710" s="170"/>
      <c r="I710" s="170"/>
      <c r="J710" s="171"/>
      <c r="K710" s="171"/>
      <c r="L710" s="170"/>
      <c r="M710" s="170"/>
      <c r="N710" s="170"/>
      <c r="O710" s="171"/>
      <c r="P710" s="171"/>
      <c r="Q710" s="170"/>
      <c r="R710" s="170"/>
      <c r="S710" s="170"/>
      <c r="T710" s="171"/>
      <c r="U710" s="171"/>
      <c r="V710" s="171"/>
      <c r="W710" s="171"/>
      <c r="X710" s="171"/>
      <c r="Y710" s="171"/>
      <c r="Z710" s="171"/>
      <c r="AA710" s="171"/>
      <c r="AB710" s="171"/>
      <c r="AC710" s="170"/>
      <c r="AD710" s="170"/>
      <c r="AE710" s="170"/>
      <c r="AF710" s="170"/>
      <c r="AG710" s="170"/>
      <c r="AH710" s="170"/>
      <c r="AI710" s="170"/>
      <c r="AJ710" s="170"/>
      <c r="AK710" s="171"/>
      <c r="AL710" s="171"/>
      <c r="AM710" s="170"/>
      <c r="AN710" s="170"/>
      <c r="AO710" s="170"/>
      <c r="AP710" s="171"/>
      <c r="AQ710" s="171"/>
      <c r="AR710" s="170"/>
      <c r="AS710" s="170"/>
      <c r="AT710" s="170"/>
      <c r="AU710" s="171"/>
      <c r="AV710" s="171"/>
      <c r="AW710" s="171"/>
      <c r="AX710" s="171"/>
      <c r="AY710" s="171"/>
      <c r="AZ710" s="171"/>
      <c r="BA710" s="171"/>
      <c r="BB710" s="171"/>
      <c r="BC710" s="171"/>
      <c r="BD710" s="172"/>
      <c r="BE710" s="172"/>
      <c r="BF710" s="172"/>
      <c r="BG710" s="172"/>
      <c r="BH710" s="172"/>
      <c r="BI710" s="172"/>
      <c r="BJ710" s="172"/>
      <c r="BK710" s="172"/>
      <c r="BL710" s="172"/>
      <c r="BM710" s="172"/>
      <c r="BN710" s="172"/>
      <c r="BO710" s="172"/>
      <c r="BP710" s="172"/>
      <c r="BQ710" s="172"/>
      <c r="BR710" s="172"/>
      <c r="BS710" s="172"/>
    </row>
    <row r="711" spans="1:71" ht="12.5" x14ac:dyDescent="0.25">
      <c r="A711" s="170"/>
      <c r="B711" s="170"/>
      <c r="C711" s="170"/>
      <c r="D711" s="170"/>
      <c r="E711" s="171"/>
      <c r="F711" s="171"/>
      <c r="G711" s="170"/>
      <c r="H711" s="170"/>
      <c r="I711" s="170"/>
      <c r="J711" s="171"/>
      <c r="K711" s="171"/>
      <c r="L711" s="170"/>
      <c r="M711" s="170"/>
      <c r="N711" s="170"/>
      <c r="O711" s="171"/>
      <c r="P711" s="171"/>
      <c r="Q711" s="170"/>
      <c r="R711" s="170"/>
      <c r="S711" s="170"/>
      <c r="T711" s="171"/>
      <c r="U711" s="171"/>
      <c r="V711" s="171"/>
      <c r="W711" s="171"/>
      <c r="X711" s="171"/>
      <c r="Y711" s="171"/>
      <c r="Z711" s="171"/>
      <c r="AA711" s="171"/>
      <c r="AB711" s="171"/>
      <c r="AC711" s="170"/>
      <c r="AD711" s="170"/>
      <c r="AE711" s="170"/>
      <c r="AF711" s="170"/>
      <c r="AG711" s="170"/>
      <c r="AH711" s="170"/>
      <c r="AI711" s="170"/>
      <c r="AJ711" s="170"/>
      <c r="AK711" s="171"/>
      <c r="AL711" s="171"/>
      <c r="AM711" s="170"/>
      <c r="AN711" s="170"/>
      <c r="AO711" s="170"/>
      <c r="AP711" s="171"/>
      <c r="AQ711" s="171"/>
      <c r="AR711" s="170"/>
      <c r="AS711" s="170"/>
      <c r="AT711" s="170"/>
      <c r="AU711" s="171"/>
      <c r="AV711" s="171"/>
      <c r="AW711" s="171"/>
      <c r="AX711" s="171"/>
      <c r="AY711" s="171"/>
      <c r="AZ711" s="171"/>
      <c r="BA711" s="171"/>
      <c r="BB711" s="171"/>
      <c r="BC711" s="171"/>
      <c r="BD711" s="172"/>
      <c r="BE711" s="172"/>
      <c r="BF711" s="172"/>
      <c r="BG711" s="172"/>
      <c r="BH711" s="172"/>
      <c r="BI711" s="172"/>
      <c r="BJ711" s="172"/>
      <c r="BK711" s="172"/>
      <c r="BL711" s="172"/>
      <c r="BM711" s="172"/>
      <c r="BN711" s="172"/>
      <c r="BO711" s="172"/>
      <c r="BP711" s="172"/>
      <c r="BQ711" s="172"/>
      <c r="BR711" s="172"/>
      <c r="BS711" s="172"/>
    </row>
    <row r="712" spans="1:71" ht="12.5" x14ac:dyDescent="0.25">
      <c r="A712" s="170"/>
      <c r="B712" s="170"/>
      <c r="C712" s="170"/>
      <c r="D712" s="170"/>
      <c r="E712" s="171"/>
      <c r="F712" s="171"/>
      <c r="G712" s="170"/>
      <c r="H712" s="170"/>
      <c r="I712" s="170"/>
      <c r="J712" s="171"/>
      <c r="K712" s="171"/>
      <c r="L712" s="170"/>
      <c r="M712" s="170"/>
      <c r="N712" s="170"/>
      <c r="O712" s="171"/>
      <c r="P712" s="171"/>
      <c r="Q712" s="170"/>
      <c r="R712" s="170"/>
      <c r="S712" s="170"/>
      <c r="T712" s="171"/>
      <c r="U712" s="171"/>
      <c r="V712" s="171"/>
      <c r="W712" s="171"/>
      <c r="X712" s="171"/>
      <c r="Y712" s="171"/>
      <c r="Z712" s="171"/>
      <c r="AA712" s="171"/>
      <c r="AB712" s="171"/>
      <c r="AC712" s="170"/>
      <c r="AD712" s="170"/>
      <c r="AE712" s="170"/>
      <c r="AF712" s="170"/>
      <c r="AG712" s="170"/>
      <c r="AH712" s="170"/>
      <c r="AI712" s="170"/>
      <c r="AJ712" s="170"/>
      <c r="AK712" s="171"/>
      <c r="AL712" s="171"/>
      <c r="AM712" s="170"/>
      <c r="AN712" s="170"/>
      <c r="AO712" s="170"/>
      <c r="AP712" s="171"/>
      <c r="AQ712" s="171"/>
      <c r="AR712" s="170"/>
      <c r="AS712" s="170"/>
      <c r="AT712" s="170"/>
      <c r="AU712" s="171"/>
      <c r="AV712" s="171"/>
      <c r="AW712" s="171"/>
      <c r="AX712" s="171"/>
      <c r="AY712" s="171"/>
      <c r="AZ712" s="171"/>
      <c r="BA712" s="171"/>
      <c r="BB712" s="171"/>
      <c r="BC712" s="171"/>
      <c r="BD712" s="172"/>
      <c r="BE712" s="172"/>
      <c r="BF712" s="172"/>
      <c r="BG712" s="172"/>
      <c r="BH712" s="172"/>
      <c r="BI712" s="172"/>
      <c r="BJ712" s="172"/>
      <c r="BK712" s="172"/>
      <c r="BL712" s="172"/>
      <c r="BM712" s="172"/>
      <c r="BN712" s="172"/>
      <c r="BO712" s="172"/>
      <c r="BP712" s="172"/>
      <c r="BQ712" s="172"/>
      <c r="BR712" s="172"/>
      <c r="BS712" s="172"/>
    </row>
    <row r="713" spans="1:71" ht="12.5" x14ac:dyDescent="0.25">
      <c r="A713" s="170"/>
      <c r="B713" s="170"/>
      <c r="C713" s="170"/>
      <c r="D713" s="170"/>
      <c r="E713" s="171"/>
      <c r="F713" s="171"/>
      <c r="G713" s="170"/>
      <c r="H713" s="170"/>
      <c r="I713" s="170"/>
      <c r="J713" s="171"/>
      <c r="K713" s="171"/>
      <c r="L713" s="170"/>
      <c r="M713" s="170"/>
      <c r="N713" s="170"/>
      <c r="O713" s="171"/>
      <c r="P713" s="171"/>
      <c r="Q713" s="170"/>
      <c r="R713" s="170"/>
      <c r="S713" s="170"/>
      <c r="T713" s="171"/>
      <c r="U713" s="171"/>
      <c r="V713" s="171"/>
      <c r="W713" s="171"/>
      <c r="X713" s="171"/>
      <c r="Y713" s="171"/>
      <c r="Z713" s="171"/>
      <c r="AA713" s="171"/>
      <c r="AB713" s="171"/>
      <c r="AC713" s="170"/>
      <c r="AD713" s="170"/>
      <c r="AE713" s="170"/>
      <c r="AF713" s="170"/>
      <c r="AG713" s="170"/>
      <c r="AH713" s="170"/>
      <c r="AI713" s="170"/>
      <c r="AJ713" s="170"/>
      <c r="AK713" s="171"/>
      <c r="AL713" s="171"/>
      <c r="AM713" s="170"/>
      <c r="AN713" s="170"/>
      <c r="AO713" s="170"/>
      <c r="AP713" s="171"/>
      <c r="AQ713" s="171"/>
      <c r="AR713" s="170"/>
      <c r="AS713" s="170"/>
      <c r="AT713" s="170"/>
      <c r="AU713" s="171"/>
      <c r="AV713" s="171"/>
      <c r="AW713" s="171"/>
      <c r="AX713" s="171"/>
      <c r="AY713" s="171"/>
      <c r="AZ713" s="171"/>
      <c r="BA713" s="171"/>
      <c r="BB713" s="171"/>
      <c r="BC713" s="171"/>
      <c r="BD713" s="172"/>
      <c r="BE713" s="172"/>
      <c r="BF713" s="172"/>
      <c r="BG713" s="172"/>
      <c r="BH713" s="172"/>
      <c r="BI713" s="172"/>
      <c r="BJ713" s="172"/>
      <c r="BK713" s="172"/>
      <c r="BL713" s="172"/>
      <c r="BM713" s="172"/>
      <c r="BN713" s="172"/>
      <c r="BO713" s="172"/>
      <c r="BP713" s="172"/>
      <c r="BQ713" s="172"/>
      <c r="BR713" s="172"/>
      <c r="BS713" s="172"/>
    </row>
    <row r="714" spans="1:71" ht="12.5" x14ac:dyDescent="0.25">
      <c r="A714" s="170"/>
      <c r="B714" s="170"/>
      <c r="C714" s="170"/>
      <c r="D714" s="170"/>
      <c r="E714" s="171"/>
      <c r="F714" s="171"/>
      <c r="G714" s="170"/>
      <c r="H714" s="170"/>
      <c r="I714" s="170"/>
      <c r="J714" s="171"/>
      <c r="K714" s="171"/>
      <c r="L714" s="170"/>
      <c r="M714" s="170"/>
      <c r="N714" s="170"/>
      <c r="O714" s="171"/>
      <c r="P714" s="171"/>
      <c r="Q714" s="170"/>
      <c r="R714" s="170"/>
      <c r="S714" s="170"/>
      <c r="T714" s="171"/>
      <c r="U714" s="171"/>
      <c r="V714" s="171"/>
      <c r="W714" s="171"/>
      <c r="X714" s="171"/>
      <c r="Y714" s="171"/>
      <c r="Z714" s="171"/>
      <c r="AA714" s="171"/>
      <c r="AB714" s="171"/>
      <c r="AC714" s="170"/>
      <c r="AD714" s="170"/>
      <c r="AE714" s="170"/>
      <c r="AF714" s="170"/>
      <c r="AG714" s="170"/>
      <c r="AH714" s="170"/>
      <c r="AI714" s="170"/>
      <c r="AJ714" s="170"/>
      <c r="AK714" s="171"/>
      <c r="AL714" s="171"/>
      <c r="AM714" s="170"/>
      <c r="AN714" s="170"/>
      <c r="AO714" s="170"/>
      <c r="AP714" s="171"/>
      <c r="AQ714" s="171"/>
      <c r="AR714" s="170"/>
      <c r="AS714" s="170"/>
      <c r="AT714" s="170"/>
      <c r="AU714" s="171"/>
      <c r="AV714" s="171"/>
      <c r="AW714" s="171"/>
      <c r="AX714" s="171"/>
      <c r="AY714" s="171"/>
      <c r="AZ714" s="171"/>
      <c r="BA714" s="171"/>
      <c r="BB714" s="171"/>
      <c r="BC714" s="171"/>
      <c r="BD714" s="172"/>
      <c r="BE714" s="172"/>
      <c r="BF714" s="172"/>
      <c r="BG714" s="172"/>
      <c r="BH714" s="172"/>
      <c r="BI714" s="172"/>
      <c r="BJ714" s="172"/>
      <c r="BK714" s="172"/>
      <c r="BL714" s="172"/>
      <c r="BM714" s="172"/>
      <c r="BN714" s="172"/>
      <c r="BO714" s="172"/>
      <c r="BP714" s="172"/>
      <c r="BQ714" s="172"/>
      <c r="BR714" s="172"/>
      <c r="BS714" s="172"/>
    </row>
    <row r="715" spans="1:71" ht="12.5" x14ac:dyDescent="0.25">
      <c r="A715" s="170"/>
      <c r="B715" s="170"/>
      <c r="C715" s="170"/>
      <c r="D715" s="170"/>
      <c r="E715" s="171"/>
      <c r="F715" s="171"/>
      <c r="G715" s="170"/>
      <c r="H715" s="170"/>
      <c r="I715" s="170"/>
      <c r="J715" s="171"/>
      <c r="K715" s="171"/>
      <c r="L715" s="170"/>
      <c r="M715" s="170"/>
      <c r="N715" s="170"/>
      <c r="O715" s="171"/>
      <c r="P715" s="171"/>
      <c r="Q715" s="170"/>
      <c r="R715" s="170"/>
      <c r="S715" s="170"/>
      <c r="T715" s="171"/>
      <c r="U715" s="171"/>
      <c r="V715" s="171"/>
      <c r="W715" s="171"/>
      <c r="X715" s="171"/>
      <c r="Y715" s="171"/>
      <c r="Z715" s="171"/>
      <c r="AA715" s="171"/>
      <c r="AB715" s="171"/>
      <c r="AC715" s="170"/>
      <c r="AD715" s="170"/>
      <c r="AE715" s="170"/>
      <c r="AF715" s="170"/>
      <c r="AG715" s="170"/>
      <c r="AH715" s="170"/>
      <c r="AI715" s="170"/>
      <c r="AJ715" s="170"/>
      <c r="AK715" s="171"/>
      <c r="AL715" s="171"/>
      <c r="AM715" s="170"/>
      <c r="AN715" s="170"/>
      <c r="AO715" s="170"/>
      <c r="AP715" s="171"/>
      <c r="AQ715" s="171"/>
      <c r="AR715" s="170"/>
      <c r="AS715" s="170"/>
      <c r="AT715" s="170"/>
      <c r="AU715" s="171"/>
      <c r="AV715" s="171"/>
      <c r="AW715" s="171"/>
      <c r="AX715" s="171"/>
      <c r="AY715" s="171"/>
      <c r="AZ715" s="171"/>
      <c r="BA715" s="171"/>
      <c r="BB715" s="171"/>
      <c r="BC715" s="171"/>
      <c r="BD715" s="172"/>
      <c r="BE715" s="172"/>
      <c r="BF715" s="172"/>
      <c r="BG715" s="172"/>
      <c r="BH715" s="172"/>
      <c r="BI715" s="172"/>
      <c r="BJ715" s="172"/>
      <c r="BK715" s="172"/>
      <c r="BL715" s="172"/>
      <c r="BM715" s="172"/>
      <c r="BN715" s="172"/>
      <c r="BO715" s="172"/>
      <c r="BP715" s="172"/>
      <c r="BQ715" s="172"/>
      <c r="BR715" s="172"/>
      <c r="BS715" s="172"/>
    </row>
    <row r="716" spans="1:71" ht="12.5" x14ac:dyDescent="0.25">
      <c r="A716" s="170"/>
      <c r="B716" s="170"/>
      <c r="C716" s="170"/>
      <c r="D716" s="170"/>
      <c r="E716" s="171"/>
      <c r="F716" s="171"/>
      <c r="G716" s="170"/>
      <c r="H716" s="170"/>
      <c r="I716" s="170"/>
      <c r="J716" s="171"/>
      <c r="K716" s="171"/>
      <c r="L716" s="170"/>
      <c r="M716" s="170"/>
      <c r="N716" s="170"/>
      <c r="O716" s="171"/>
      <c r="P716" s="171"/>
      <c r="Q716" s="170"/>
      <c r="R716" s="170"/>
      <c r="S716" s="170"/>
      <c r="T716" s="171"/>
      <c r="U716" s="171"/>
      <c r="V716" s="171"/>
      <c r="W716" s="171"/>
      <c r="X716" s="171"/>
      <c r="Y716" s="171"/>
      <c r="Z716" s="171"/>
      <c r="AA716" s="171"/>
      <c r="AB716" s="171"/>
      <c r="AC716" s="170"/>
      <c r="AD716" s="170"/>
      <c r="AE716" s="170"/>
      <c r="AF716" s="170"/>
      <c r="AG716" s="170"/>
      <c r="AH716" s="170"/>
      <c r="AI716" s="170"/>
      <c r="AJ716" s="170"/>
      <c r="AK716" s="171"/>
      <c r="AL716" s="171"/>
      <c r="AM716" s="170"/>
      <c r="AN716" s="170"/>
      <c r="AO716" s="170"/>
      <c r="AP716" s="171"/>
      <c r="AQ716" s="171"/>
      <c r="AR716" s="170"/>
      <c r="AS716" s="170"/>
      <c r="AT716" s="170"/>
      <c r="AU716" s="171"/>
      <c r="AV716" s="171"/>
      <c r="AW716" s="171"/>
      <c r="AX716" s="171"/>
      <c r="AY716" s="171"/>
      <c r="AZ716" s="171"/>
      <c r="BA716" s="171"/>
      <c r="BB716" s="171"/>
      <c r="BC716" s="171"/>
      <c r="BD716" s="172"/>
      <c r="BE716" s="172"/>
      <c r="BF716" s="172"/>
      <c r="BG716" s="172"/>
      <c r="BH716" s="172"/>
      <c r="BI716" s="172"/>
      <c r="BJ716" s="172"/>
      <c r="BK716" s="172"/>
      <c r="BL716" s="172"/>
      <c r="BM716" s="172"/>
      <c r="BN716" s="172"/>
      <c r="BO716" s="172"/>
      <c r="BP716" s="172"/>
      <c r="BQ716" s="172"/>
      <c r="BR716" s="172"/>
      <c r="BS716" s="172"/>
    </row>
    <row r="717" spans="1:71" ht="12.5" x14ac:dyDescent="0.25">
      <c r="A717" s="170"/>
      <c r="B717" s="170"/>
      <c r="C717" s="170"/>
      <c r="D717" s="170"/>
      <c r="E717" s="171"/>
      <c r="F717" s="171"/>
      <c r="G717" s="170"/>
      <c r="H717" s="170"/>
      <c r="I717" s="170"/>
      <c r="J717" s="171"/>
      <c r="K717" s="171"/>
      <c r="L717" s="170"/>
      <c r="M717" s="170"/>
      <c r="N717" s="170"/>
      <c r="O717" s="171"/>
      <c r="P717" s="171"/>
      <c r="Q717" s="170"/>
      <c r="R717" s="170"/>
      <c r="S717" s="170"/>
      <c r="T717" s="171"/>
      <c r="U717" s="171"/>
      <c r="V717" s="171"/>
      <c r="W717" s="171"/>
      <c r="X717" s="171"/>
      <c r="Y717" s="171"/>
      <c r="Z717" s="171"/>
      <c r="AA717" s="171"/>
      <c r="AB717" s="171"/>
      <c r="AC717" s="170"/>
      <c r="AD717" s="170"/>
      <c r="AE717" s="170"/>
      <c r="AF717" s="170"/>
      <c r="AG717" s="170"/>
      <c r="AH717" s="170"/>
      <c r="AI717" s="170"/>
      <c r="AJ717" s="170"/>
      <c r="AK717" s="171"/>
      <c r="AL717" s="171"/>
      <c r="AM717" s="170"/>
      <c r="AN717" s="170"/>
      <c r="AO717" s="170"/>
      <c r="AP717" s="171"/>
      <c r="AQ717" s="171"/>
      <c r="AR717" s="170"/>
      <c r="AS717" s="170"/>
      <c r="AT717" s="170"/>
      <c r="AU717" s="171"/>
      <c r="AV717" s="171"/>
      <c r="AW717" s="171"/>
      <c r="AX717" s="171"/>
      <c r="AY717" s="171"/>
      <c r="AZ717" s="171"/>
      <c r="BA717" s="171"/>
      <c r="BB717" s="171"/>
      <c r="BC717" s="171"/>
      <c r="BD717" s="172"/>
      <c r="BE717" s="172"/>
      <c r="BF717" s="172"/>
      <c r="BG717" s="172"/>
      <c r="BH717" s="172"/>
      <c r="BI717" s="172"/>
      <c r="BJ717" s="172"/>
      <c r="BK717" s="172"/>
      <c r="BL717" s="172"/>
      <c r="BM717" s="172"/>
      <c r="BN717" s="172"/>
      <c r="BO717" s="172"/>
      <c r="BP717" s="172"/>
      <c r="BQ717" s="172"/>
      <c r="BR717" s="172"/>
      <c r="BS717" s="172"/>
    </row>
    <row r="718" spans="1:71" ht="12.5" x14ac:dyDescent="0.25">
      <c r="A718" s="170"/>
      <c r="B718" s="170"/>
      <c r="C718" s="170"/>
      <c r="D718" s="170"/>
      <c r="E718" s="171"/>
      <c r="F718" s="171"/>
      <c r="G718" s="170"/>
      <c r="H718" s="170"/>
      <c r="I718" s="170"/>
      <c r="J718" s="171"/>
      <c r="K718" s="171"/>
      <c r="L718" s="170"/>
      <c r="M718" s="170"/>
      <c r="N718" s="170"/>
      <c r="O718" s="171"/>
      <c r="P718" s="171"/>
      <c r="Q718" s="170"/>
      <c r="R718" s="170"/>
      <c r="S718" s="170"/>
      <c r="T718" s="171"/>
      <c r="U718" s="171"/>
      <c r="V718" s="171"/>
      <c r="W718" s="171"/>
      <c r="X718" s="171"/>
      <c r="Y718" s="171"/>
      <c r="Z718" s="171"/>
      <c r="AA718" s="171"/>
      <c r="AB718" s="171"/>
      <c r="AC718" s="170"/>
      <c r="AD718" s="170"/>
      <c r="AE718" s="170"/>
      <c r="AF718" s="170"/>
      <c r="AG718" s="170"/>
      <c r="AH718" s="170"/>
      <c r="AI718" s="170"/>
      <c r="AJ718" s="170"/>
      <c r="AK718" s="171"/>
      <c r="AL718" s="171"/>
      <c r="AM718" s="170"/>
      <c r="AN718" s="170"/>
      <c r="AO718" s="170"/>
      <c r="AP718" s="171"/>
      <c r="AQ718" s="171"/>
      <c r="AR718" s="170"/>
      <c r="AS718" s="170"/>
      <c r="AT718" s="170"/>
      <c r="AU718" s="171"/>
      <c r="AV718" s="171"/>
      <c r="AW718" s="171"/>
      <c r="AX718" s="171"/>
      <c r="AY718" s="171"/>
      <c r="AZ718" s="171"/>
      <c r="BA718" s="171"/>
      <c r="BB718" s="171"/>
      <c r="BC718" s="171"/>
      <c r="BD718" s="172"/>
      <c r="BE718" s="172"/>
      <c r="BF718" s="172"/>
      <c r="BG718" s="172"/>
      <c r="BH718" s="172"/>
      <c r="BI718" s="172"/>
      <c r="BJ718" s="172"/>
      <c r="BK718" s="172"/>
      <c r="BL718" s="172"/>
      <c r="BM718" s="172"/>
      <c r="BN718" s="172"/>
      <c r="BO718" s="172"/>
      <c r="BP718" s="172"/>
      <c r="BQ718" s="172"/>
      <c r="BR718" s="172"/>
      <c r="BS718" s="172"/>
    </row>
    <row r="719" spans="1:71" ht="12.5" x14ac:dyDescent="0.25">
      <c r="A719" s="170"/>
      <c r="B719" s="170"/>
      <c r="C719" s="170"/>
      <c r="D719" s="170"/>
      <c r="E719" s="171"/>
      <c r="F719" s="171"/>
      <c r="G719" s="170"/>
      <c r="H719" s="170"/>
      <c r="I719" s="170"/>
      <c r="J719" s="171"/>
      <c r="K719" s="171"/>
      <c r="L719" s="170"/>
      <c r="M719" s="170"/>
      <c r="N719" s="170"/>
      <c r="O719" s="171"/>
      <c r="P719" s="171"/>
      <c r="Q719" s="170"/>
      <c r="R719" s="170"/>
      <c r="S719" s="170"/>
      <c r="T719" s="171"/>
      <c r="U719" s="171"/>
      <c r="V719" s="171"/>
      <c r="W719" s="171"/>
      <c r="X719" s="171"/>
      <c r="Y719" s="171"/>
      <c r="Z719" s="171"/>
      <c r="AA719" s="171"/>
      <c r="AB719" s="171"/>
      <c r="AC719" s="170"/>
      <c r="AD719" s="170"/>
      <c r="AE719" s="170"/>
      <c r="AF719" s="170"/>
      <c r="AG719" s="170"/>
      <c r="AH719" s="170"/>
      <c r="AI719" s="170"/>
      <c r="AJ719" s="170"/>
      <c r="AK719" s="171"/>
      <c r="AL719" s="171"/>
      <c r="AM719" s="170"/>
      <c r="AN719" s="170"/>
      <c r="AO719" s="170"/>
      <c r="AP719" s="171"/>
      <c r="AQ719" s="171"/>
      <c r="AR719" s="170"/>
      <c r="AS719" s="170"/>
      <c r="AT719" s="170"/>
      <c r="AU719" s="171"/>
      <c r="AV719" s="171"/>
      <c r="AW719" s="171"/>
      <c r="AX719" s="171"/>
      <c r="AY719" s="171"/>
      <c r="AZ719" s="171"/>
      <c r="BA719" s="171"/>
      <c r="BB719" s="171"/>
      <c r="BC719" s="171"/>
      <c r="BD719" s="172"/>
      <c r="BE719" s="172"/>
      <c r="BF719" s="172"/>
      <c r="BG719" s="172"/>
      <c r="BH719" s="172"/>
      <c r="BI719" s="172"/>
      <c r="BJ719" s="172"/>
      <c r="BK719" s="172"/>
      <c r="BL719" s="172"/>
      <c r="BM719" s="172"/>
      <c r="BN719" s="172"/>
      <c r="BO719" s="172"/>
      <c r="BP719" s="172"/>
      <c r="BQ719" s="172"/>
      <c r="BR719" s="172"/>
      <c r="BS719" s="172"/>
    </row>
    <row r="720" spans="1:71" ht="12.5" x14ac:dyDescent="0.25">
      <c r="A720" s="170"/>
      <c r="B720" s="170"/>
      <c r="C720" s="170"/>
      <c r="D720" s="170"/>
      <c r="E720" s="171"/>
      <c r="F720" s="171"/>
      <c r="G720" s="170"/>
      <c r="H720" s="170"/>
      <c r="I720" s="170"/>
      <c r="J720" s="171"/>
      <c r="K720" s="171"/>
      <c r="L720" s="170"/>
      <c r="M720" s="170"/>
      <c r="N720" s="170"/>
      <c r="O720" s="171"/>
      <c r="P720" s="171"/>
      <c r="Q720" s="170"/>
      <c r="R720" s="170"/>
      <c r="S720" s="170"/>
      <c r="T720" s="171"/>
      <c r="U720" s="171"/>
      <c r="V720" s="171"/>
      <c r="W720" s="171"/>
      <c r="X720" s="171"/>
      <c r="Y720" s="171"/>
      <c r="Z720" s="171"/>
      <c r="AA720" s="171"/>
      <c r="AB720" s="171"/>
      <c r="AC720" s="170"/>
      <c r="AD720" s="170"/>
      <c r="AE720" s="170"/>
      <c r="AF720" s="170"/>
      <c r="AG720" s="170"/>
      <c r="AH720" s="170"/>
      <c r="AI720" s="170"/>
      <c r="AJ720" s="170"/>
      <c r="AK720" s="171"/>
      <c r="AL720" s="171"/>
      <c r="AM720" s="170"/>
      <c r="AN720" s="170"/>
      <c r="AO720" s="170"/>
      <c r="AP720" s="171"/>
      <c r="AQ720" s="171"/>
      <c r="AR720" s="170"/>
      <c r="AS720" s="170"/>
      <c r="AT720" s="170"/>
      <c r="AU720" s="171"/>
      <c r="AV720" s="171"/>
      <c r="AW720" s="171"/>
      <c r="AX720" s="171"/>
      <c r="AY720" s="171"/>
      <c r="AZ720" s="171"/>
      <c r="BA720" s="171"/>
      <c r="BB720" s="171"/>
      <c r="BC720" s="171"/>
      <c r="BD720" s="172"/>
      <c r="BE720" s="172"/>
      <c r="BF720" s="172"/>
      <c r="BG720" s="172"/>
      <c r="BH720" s="172"/>
      <c r="BI720" s="172"/>
      <c r="BJ720" s="172"/>
      <c r="BK720" s="172"/>
      <c r="BL720" s="172"/>
      <c r="BM720" s="172"/>
      <c r="BN720" s="172"/>
      <c r="BO720" s="172"/>
      <c r="BP720" s="172"/>
      <c r="BQ720" s="172"/>
      <c r="BR720" s="172"/>
      <c r="BS720" s="172"/>
    </row>
    <row r="721" spans="1:71" ht="12.5" x14ac:dyDescent="0.25">
      <c r="A721" s="170"/>
      <c r="B721" s="170"/>
      <c r="C721" s="170"/>
      <c r="D721" s="170"/>
      <c r="E721" s="171"/>
      <c r="F721" s="171"/>
      <c r="G721" s="170"/>
      <c r="H721" s="170"/>
      <c r="I721" s="170"/>
      <c r="J721" s="171"/>
      <c r="K721" s="171"/>
      <c r="L721" s="170"/>
      <c r="M721" s="170"/>
      <c r="N721" s="170"/>
      <c r="O721" s="171"/>
      <c r="P721" s="171"/>
      <c r="Q721" s="170"/>
      <c r="R721" s="170"/>
      <c r="S721" s="170"/>
      <c r="T721" s="171"/>
      <c r="U721" s="171"/>
      <c r="V721" s="171"/>
      <c r="W721" s="171"/>
      <c r="X721" s="171"/>
      <c r="Y721" s="171"/>
      <c r="Z721" s="171"/>
      <c r="AA721" s="171"/>
      <c r="AB721" s="171"/>
      <c r="AC721" s="170"/>
      <c r="AD721" s="170"/>
      <c r="AE721" s="170"/>
      <c r="AF721" s="170"/>
      <c r="AG721" s="170"/>
      <c r="AH721" s="170"/>
      <c r="AI721" s="170"/>
      <c r="AJ721" s="170"/>
      <c r="AK721" s="171"/>
      <c r="AL721" s="171"/>
      <c r="AM721" s="170"/>
      <c r="AN721" s="170"/>
      <c r="AO721" s="170"/>
      <c r="AP721" s="171"/>
      <c r="AQ721" s="171"/>
      <c r="AR721" s="170"/>
      <c r="AS721" s="170"/>
      <c r="AT721" s="170"/>
      <c r="AU721" s="171"/>
      <c r="AV721" s="171"/>
      <c r="AW721" s="171"/>
      <c r="AX721" s="171"/>
      <c r="AY721" s="171"/>
      <c r="AZ721" s="171"/>
      <c r="BA721" s="171"/>
      <c r="BB721" s="171"/>
      <c r="BC721" s="171"/>
      <c r="BD721" s="172"/>
      <c r="BE721" s="172"/>
      <c r="BF721" s="172"/>
      <c r="BG721" s="172"/>
      <c r="BH721" s="172"/>
      <c r="BI721" s="172"/>
      <c r="BJ721" s="172"/>
      <c r="BK721" s="172"/>
      <c r="BL721" s="172"/>
      <c r="BM721" s="172"/>
      <c r="BN721" s="172"/>
      <c r="BO721" s="172"/>
      <c r="BP721" s="172"/>
      <c r="BQ721" s="172"/>
      <c r="BR721" s="172"/>
      <c r="BS721" s="172"/>
    </row>
    <row r="722" spans="1:71" ht="12.5" x14ac:dyDescent="0.25">
      <c r="A722" s="170"/>
      <c r="B722" s="170"/>
      <c r="C722" s="170"/>
      <c r="D722" s="170"/>
      <c r="E722" s="171"/>
      <c r="F722" s="171"/>
      <c r="G722" s="170"/>
      <c r="H722" s="170"/>
      <c r="I722" s="170"/>
      <c r="J722" s="171"/>
      <c r="K722" s="171"/>
      <c r="L722" s="170"/>
      <c r="M722" s="170"/>
      <c r="N722" s="170"/>
      <c r="O722" s="171"/>
      <c r="P722" s="171"/>
      <c r="Q722" s="170"/>
      <c r="R722" s="170"/>
      <c r="S722" s="170"/>
      <c r="T722" s="171"/>
      <c r="U722" s="171"/>
      <c r="V722" s="171"/>
      <c r="W722" s="171"/>
      <c r="X722" s="171"/>
      <c r="Y722" s="171"/>
      <c r="Z722" s="171"/>
      <c r="AA722" s="171"/>
      <c r="AB722" s="171"/>
      <c r="AC722" s="170"/>
      <c r="AD722" s="170"/>
      <c r="AE722" s="170"/>
      <c r="AF722" s="170"/>
      <c r="AG722" s="170"/>
      <c r="AH722" s="170"/>
      <c r="AI722" s="170"/>
      <c r="AJ722" s="170"/>
      <c r="AK722" s="171"/>
      <c r="AL722" s="171"/>
      <c r="AM722" s="170"/>
      <c r="AN722" s="170"/>
      <c r="AO722" s="170"/>
      <c r="AP722" s="171"/>
      <c r="AQ722" s="171"/>
      <c r="AR722" s="170"/>
      <c r="AS722" s="170"/>
      <c r="AT722" s="170"/>
      <c r="AU722" s="171"/>
      <c r="AV722" s="171"/>
      <c r="AW722" s="171"/>
      <c r="AX722" s="171"/>
      <c r="AY722" s="171"/>
      <c r="AZ722" s="171"/>
      <c r="BA722" s="171"/>
      <c r="BB722" s="171"/>
      <c r="BC722" s="171"/>
      <c r="BD722" s="172"/>
      <c r="BE722" s="172"/>
      <c r="BF722" s="172"/>
      <c r="BG722" s="172"/>
      <c r="BH722" s="172"/>
      <c r="BI722" s="172"/>
      <c r="BJ722" s="172"/>
      <c r="BK722" s="172"/>
      <c r="BL722" s="172"/>
      <c r="BM722" s="172"/>
      <c r="BN722" s="172"/>
      <c r="BO722" s="172"/>
      <c r="BP722" s="172"/>
      <c r="BQ722" s="172"/>
      <c r="BR722" s="172"/>
      <c r="BS722" s="172"/>
    </row>
    <row r="723" spans="1:71" ht="12.5" x14ac:dyDescent="0.25">
      <c r="A723" s="170"/>
      <c r="B723" s="170"/>
      <c r="C723" s="170"/>
      <c r="D723" s="170"/>
      <c r="E723" s="171"/>
      <c r="F723" s="171"/>
      <c r="G723" s="170"/>
      <c r="H723" s="170"/>
      <c r="I723" s="170"/>
      <c r="J723" s="171"/>
      <c r="K723" s="171"/>
      <c r="L723" s="170"/>
      <c r="M723" s="170"/>
      <c r="N723" s="170"/>
      <c r="O723" s="171"/>
      <c r="P723" s="171"/>
      <c r="Q723" s="170"/>
      <c r="R723" s="170"/>
      <c r="S723" s="170"/>
      <c r="T723" s="171"/>
      <c r="U723" s="171"/>
      <c r="V723" s="171"/>
      <c r="W723" s="171"/>
      <c r="X723" s="171"/>
      <c r="Y723" s="171"/>
      <c r="Z723" s="171"/>
      <c r="AA723" s="171"/>
      <c r="AB723" s="171"/>
      <c r="AC723" s="170"/>
      <c r="AD723" s="170"/>
      <c r="AE723" s="170"/>
      <c r="AF723" s="170"/>
      <c r="AG723" s="170"/>
      <c r="AH723" s="170"/>
      <c r="AI723" s="170"/>
      <c r="AJ723" s="170"/>
      <c r="AK723" s="171"/>
      <c r="AL723" s="171"/>
      <c r="AM723" s="170"/>
      <c r="AN723" s="170"/>
      <c r="AO723" s="170"/>
      <c r="AP723" s="171"/>
      <c r="AQ723" s="171"/>
      <c r="AR723" s="170"/>
      <c r="AS723" s="170"/>
      <c r="AT723" s="170"/>
      <c r="AU723" s="171"/>
      <c r="AV723" s="171"/>
      <c r="AW723" s="171"/>
      <c r="AX723" s="171"/>
      <c r="AY723" s="171"/>
      <c r="AZ723" s="171"/>
      <c r="BA723" s="171"/>
      <c r="BB723" s="171"/>
      <c r="BC723" s="171"/>
      <c r="BD723" s="172"/>
      <c r="BE723" s="172"/>
      <c r="BF723" s="172"/>
      <c r="BG723" s="172"/>
      <c r="BH723" s="172"/>
      <c r="BI723" s="172"/>
      <c r="BJ723" s="172"/>
      <c r="BK723" s="172"/>
      <c r="BL723" s="172"/>
      <c r="BM723" s="172"/>
      <c r="BN723" s="172"/>
      <c r="BO723" s="172"/>
      <c r="BP723" s="172"/>
      <c r="BQ723" s="172"/>
      <c r="BR723" s="172"/>
      <c r="BS723" s="172"/>
    </row>
    <row r="724" spans="1:71" ht="12.5" x14ac:dyDescent="0.25">
      <c r="A724" s="170"/>
      <c r="B724" s="170"/>
      <c r="C724" s="170"/>
      <c r="D724" s="170"/>
      <c r="E724" s="171"/>
      <c r="F724" s="171"/>
      <c r="G724" s="170"/>
      <c r="H724" s="170"/>
      <c r="I724" s="170"/>
      <c r="J724" s="171"/>
      <c r="K724" s="171"/>
      <c r="L724" s="170"/>
      <c r="M724" s="170"/>
      <c r="N724" s="170"/>
      <c r="O724" s="171"/>
      <c r="P724" s="171"/>
      <c r="Q724" s="170"/>
      <c r="R724" s="170"/>
      <c r="S724" s="170"/>
      <c r="T724" s="171"/>
      <c r="U724" s="171"/>
      <c r="V724" s="171"/>
      <c r="W724" s="171"/>
      <c r="X724" s="171"/>
      <c r="Y724" s="171"/>
      <c r="Z724" s="171"/>
      <c r="AA724" s="171"/>
      <c r="AB724" s="171"/>
      <c r="AC724" s="170"/>
      <c r="AD724" s="170"/>
      <c r="AE724" s="170"/>
      <c r="AF724" s="170"/>
      <c r="AG724" s="170"/>
      <c r="AH724" s="170"/>
      <c r="AI724" s="170"/>
      <c r="AJ724" s="170"/>
      <c r="AK724" s="171"/>
      <c r="AL724" s="171"/>
      <c r="AM724" s="170"/>
      <c r="AN724" s="170"/>
      <c r="AO724" s="170"/>
      <c r="AP724" s="171"/>
      <c r="AQ724" s="171"/>
      <c r="AR724" s="170"/>
      <c r="AS724" s="170"/>
      <c r="AT724" s="170"/>
      <c r="AU724" s="171"/>
      <c r="AV724" s="171"/>
      <c r="AW724" s="171"/>
      <c r="AX724" s="171"/>
      <c r="AY724" s="171"/>
      <c r="AZ724" s="171"/>
      <c r="BA724" s="171"/>
      <c r="BB724" s="171"/>
      <c r="BC724" s="171"/>
      <c r="BD724" s="172"/>
      <c r="BE724" s="172"/>
      <c r="BF724" s="172"/>
      <c r="BG724" s="172"/>
      <c r="BH724" s="172"/>
      <c r="BI724" s="172"/>
      <c r="BJ724" s="172"/>
      <c r="BK724" s="172"/>
      <c r="BL724" s="172"/>
      <c r="BM724" s="172"/>
      <c r="BN724" s="172"/>
      <c r="BO724" s="172"/>
      <c r="BP724" s="172"/>
      <c r="BQ724" s="172"/>
      <c r="BR724" s="172"/>
      <c r="BS724" s="172"/>
    </row>
    <row r="725" spans="1:71" ht="12.5" x14ac:dyDescent="0.25">
      <c r="A725" s="170"/>
      <c r="B725" s="170"/>
      <c r="C725" s="170"/>
      <c r="D725" s="170"/>
      <c r="E725" s="171"/>
      <c r="F725" s="171"/>
      <c r="G725" s="170"/>
      <c r="H725" s="170"/>
      <c r="I725" s="170"/>
      <c r="J725" s="171"/>
      <c r="K725" s="171"/>
      <c r="L725" s="170"/>
      <c r="M725" s="170"/>
      <c r="N725" s="170"/>
      <c r="O725" s="171"/>
      <c r="P725" s="171"/>
      <c r="Q725" s="170"/>
      <c r="R725" s="170"/>
      <c r="S725" s="170"/>
      <c r="T725" s="171"/>
      <c r="U725" s="171"/>
      <c r="V725" s="171"/>
      <c r="W725" s="171"/>
      <c r="X725" s="171"/>
      <c r="Y725" s="171"/>
      <c r="Z725" s="171"/>
      <c r="AA725" s="171"/>
      <c r="AB725" s="171"/>
      <c r="AC725" s="170"/>
      <c r="AD725" s="170"/>
      <c r="AE725" s="170"/>
      <c r="AF725" s="170"/>
      <c r="AG725" s="170"/>
      <c r="AH725" s="170"/>
      <c r="AI725" s="170"/>
      <c r="AJ725" s="170"/>
      <c r="AK725" s="171"/>
      <c r="AL725" s="171"/>
      <c r="AM725" s="170"/>
      <c r="AN725" s="170"/>
      <c r="AO725" s="170"/>
      <c r="AP725" s="171"/>
      <c r="AQ725" s="171"/>
      <c r="AR725" s="170"/>
      <c r="AS725" s="170"/>
      <c r="AT725" s="170"/>
      <c r="AU725" s="171"/>
      <c r="AV725" s="171"/>
      <c r="AW725" s="171"/>
      <c r="AX725" s="171"/>
      <c r="AY725" s="171"/>
      <c r="AZ725" s="171"/>
      <c r="BA725" s="171"/>
      <c r="BB725" s="171"/>
      <c r="BC725" s="171"/>
      <c r="BD725" s="172"/>
      <c r="BE725" s="172"/>
      <c r="BF725" s="172"/>
      <c r="BG725" s="172"/>
      <c r="BH725" s="172"/>
      <c r="BI725" s="172"/>
      <c r="BJ725" s="172"/>
      <c r="BK725" s="172"/>
      <c r="BL725" s="172"/>
      <c r="BM725" s="172"/>
      <c r="BN725" s="172"/>
      <c r="BO725" s="172"/>
      <c r="BP725" s="172"/>
      <c r="BQ725" s="172"/>
      <c r="BR725" s="172"/>
      <c r="BS725" s="172"/>
    </row>
    <row r="726" spans="1:71" ht="12.5" x14ac:dyDescent="0.25">
      <c r="A726" s="170"/>
      <c r="B726" s="170"/>
      <c r="C726" s="170"/>
      <c r="D726" s="170"/>
      <c r="E726" s="171"/>
      <c r="F726" s="171"/>
      <c r="G726" s="170"/>
      <c r="H726" s="170"/>
      <c r="I726" s="170"/>
      <c r="J726" s="171"/>
      <c r="K726" s="171"/>
      <c r="L726" s="170"/>
      <c r="M726" s="170"/>
      <c r="N726" s="170"/>
      <c r="O726" s="171"/>
      <c r="P726" s="171"/>
      <c r="Q726" s="170"/>
      <c r="R726" s="170"/>
      <c r="S726" s="170"/>
      <c r="T726" s="171"/>
      <c r="U726" s="171"/>
      <c r="V726" s="171"/>
      <c r="W726" s="171"/>
      <c r="X726" s="171"/>
      <c r="Y726" s="171"/>
      <c r="Z726" s="171"/>
      <c r="AA726" s="171"/>
      <c r="AB726" s="171"/>
      <c r="AC726" s="170"/>
      <c r="AD726" s="170"/>
      <c r="AE726" s="170"/>
      <c r="AF726" s="170"/>
      <c r="AG726" s="170"/>
      <c r="AH726" s="170"/>
      <c r="AI726" s="170"/>
      <c r="AJ726" s="170"/>
      <c r="AK726" s="171"/>
      <c r="AL726" s="171"/>
      <c r="AM726" s="170"/>
      <c r="AN726" s="170"/>
      <c r="AO726" s="170"/>
      <c r="AP726" s="171"/>
      <c r="AQ726" s="171"/>
      <c r="AR726" s="170"/>
      <c r="AS726" s="170"/>
      <c r="AT726" s="170"/>
      <c r="AU726" s="171"/>
      <c r="AV726" s="171"/>
      <c r="AW726" s="171"/>
      <c r="AX726" s="171"/>
      <c r="AY726" s="171"/>
      <c r="AZ726" s="171"/>
      <c r="BA726" s="171"/>
      <c r="BB726" s="171"/>
      <c r="BC726" s="171"/>
      <c r="BD726" s="172"/>
      <c r="BE726" s="172"/>
      <c r="BF726" s="172"/>
      <c r="BG726" s="172"/>
      <c r="BH726" s="172"/>
      <c r="BI726" s="172"/>
      <c r="BJ726" s="172"/>
      <c r="BK726" s="172"/>
      <c r="BL726" s="172"/>
      <c r="BM726" s="172"/>
      <c r="BN726" s="172"/>
      <c r="BO726" s="172"/>
      <c r="BP726" s="172"/>
      <c r="BQ726" s="172"/>
      <c r="BR726" s="172"/>
      <c r="BS726" s="172"/>
    </row>
    <row r="727" spans="1:71" ht="12.5" x14ac:dyDescent="0.25">
      <c r="A727" s="170"/>
      <c r="B727" s="170"/>
      <c r="C727" s="170"/>
      <c r="D727" s="170"/>
      <c r="E727" s="171"/>
      <c r="F727" s="171"/>
      <c r="G727" s="170"/>
      <c r="H727" s="170"/>
      <c r="I727" s="170"/>
      <c r="J727" s="171"/>
      <c r="K727" s="171"/>
      <c r="L727" s="170"/>
      <c r="M727" s="170"/>
      <c r="N727" s="170"/>
      <c r="O727" s="171"/>
      <c r="P727" s="171"/>
      <c r="Q727" s="170"/>
      <c r="R727" s="170"/>
      <c r="S727" s="170"/>
      <c r="T727" s="171"/>
      <c r="U727" s="171"/>
      <c r="V727" s="171"/>
      <c r="W727" s="171"/>
      <c r="X727" s="171"/>
      <c r="Y727" s="171"/>
      <c r="Z727" s="171"/>
      <c r="AA727" s="171"/>
      <c r="AB727" s="171"/>
      <c r="AC727" s="170"/>
      <c r="AD727" s="170"/>
      <c r="AE727" s="170"/>
      <c r="AF727" s="170"/>
      <c r="AG727" s="170"/>
      <c r="AH727" s="170"/>
      <c r="AI727" s="170"/>
      <c r="AJ727" s="170"/>
      <c r="AK727" s="171"/>
      <c r="AL727" s="171"/>
      <c r="AM727" s="170"/>
      <c r="AN727" s="170"/>
      <c r="AO727" s="170"/>
      <c r="AP727" s="171"/>
      <c r="AQ727" s="171"/>
      <c r="AR727" s="170"/>
      <c r="AS727" s="170"/>
      <c r="AT727" s="170"/>
      <c r="AU727" s="171"/>
      <c r="AV727" s="171"/>
      <c r="AW727" s="171"/>
      <c r="AX727" s="171"/>
      <c r="AY727" s="171"/>
      <c r="AZ727" s="171"/>
      <c r="BA727" s="171"/>
      <c r="BB727" s="171"/>
      <c r="BC727" s="171"/>
      <c r="BD727" s="172"/>
      <c r="BE727" s="172"/>
      <c r="BF727" s="172"/>
      <c r="BG727" s="172"/>
      <c r="BH727" s="172"/>
      <c r="BI727" s="172"/>
      <c r="BJ727" s="172"/>
      <c r="BK727" s="172"/>
      <c r="BL727" s="172"/>
      <c r="BM727" s="172"/>
      <c r="BN727" s="172"/>
      <c r="BO727" s="172"/>
      <c r="BP727" s="172"/>
      <c r="BQ727" s="172"/>
      <c r="BR727" s="172"/>
      <c r="BS727" s="172"/>
    </row>
    <row r="728" spans="1:71" ht="12.5" x14ac:dyDescent="0.25">
      <c r="A728" s="170"/>
      <c r="B728" s="170"/>
      <c r="C728" s="170"/>
      <c r="D728" s="170"/>
      <c r="E728" s="171"/>
      <c r="F728" s="171"/>
      <c r="G728" s="170"/>
      <c r="H728" s="170"/>
      <c r="I728" s="170"/>
      <c r="J728" s="171"/>
      <c r="K728" s="171"/>
      <c r="L728" s="170"/>
      <c r="M728" s="170"/>
      <c r="N728" s="170"/>
      <c r="O728" s="171"/>
      <c r="P728" s="171"/>
      <c r="Q728" s="170"/>
      <c r="R728" s="170"/>
      <c r="S728" s="170"/>
      <c r="T728" s="171"/>
      <c r="U728" s="171"/>
      <c r="V728" s="171"/>
      <c r="W728" s="171"/>
      <c r="X728" s="171"/>
      <c r="Y728" s="171"/>
      <c r="Z728" s="171"/>
      <c r="AA728" s="171"/>
      <c r="AB728" s="171"/>
      <c r="AC728" s="170"/>
      <c r="AD728" s="170"/>
      <c r="AE728" s="170"/>
      <c r="AF728" s="170"/>
      <c r="AG728" s="170"/>
      <c r="AH728" s="170"/>
      <c r="AI728" s="170"/>
      <c r="AJ728" s="170"/>
      <c r="AK728" s="171"/>
      <c r="AL728" s="171"/>
      <c r="AM728" s="170"/>
      <c r="AN728" s="170"/>
      <c r="AO728" s="170"/>
      <c r="AP728" s="171"/>
      <c r="AQ728" s="171"/>
      <c r="AR728" s="170"/>
      <c r="AS728" s="170"/>
      <c r="AT728" s="170"/>
      <c r="AU728" s="171"/>
      <c r="AV728" s="171"/>
      <c r="AW728" s="171"/>
      <c r="AX728" s="171"/>
      <c r="AY728" s="171"/>
      <c r="AZ728" s="171"/>
      <c r="BA728" s="171"/>
      <c r="BB728" s="171"/>
      <c r="BC728" s="171"/>
      <c r="BD728" s="172"/>
      <c r="BE728" s="172"/>
      <c r="BF728" s="172"/>
      <c r="BG728" s="172"/>
      <c r="BH728" s="172"/>
      <c r="BI728" s="172"/>
      <c r="BJ728" s="172"/>
      <c r="BK728" s="172"/>
      <c r="BL728" s="172"/>
      <c r="BM728" s="172"/>
      <c r="BN728" s="172"/>
      <c r="BO728" s="172"/>
      <c r="BP728" s="172"/>
      <c r="BQ728" s="172"/>
      <c r="BR728" s="172"/>
      <c r="BS728" s="172"/>
    </row>
    <row r="729" spans="1:71" ht="12.5" x14ac:dyDescent="0.25">
      <c r="A729" s="170"/>
      <c r="B729" s="170"/>
      <c r="C729" s="170"/>
      <c r="D729" s="170"/>
      <c r="E729" s="171"/>
      <c r="F729" s="171"/>
      <c r="G729" s="170"/>
      <c r="H729" s="170"/>
      <c r="I729" s="170"/>
      <c r="J729" s="171"/>
      <c r="K729" s="171"/>
      <c r="L729" s="170"/>
      <c r="M729" s="170"/>
      <c r="N729" s="170"/>
      <c r="O729" s="171"/>
      <c r="P729" s="171"/>
      <c r="Q729" s="170"/>
      <c r="R729" s="170"/>
      <c r="S729" s="170"/>
      <c r="T729" s="171"/>
      <c r="U729" s="171"/>
      <c r="V729" s="171"/>
      <c r="W729" s="171"/>
      <c r="X729" s="171"/>
      <c r="Y729" s="171"/>
      <c r="Z729" s="171"/>
      <c r="AA729" s="171"/>
      <c r="AB729" s="171"/>
      <c r="AC729" s="170"/>
      <c r="AD729" s="170"/>
      <c r="AE729" s="170"/>
      <c r="AF729" s="170"/>
      <c r="AG729" s="170"/>
      <c r="AH729" s="170"/>
      <c r="AI729" s="170"/>
      <c r="AJ729" s="170"/>
      <c r="AK729" s="171"/>
      <c r="AL729" s="171"/>
      <c r="AM729" s="170"/>
      <c r="AN729" s="170"/>
      <c r="AO729" s="170"/>
      <c r="AP729" s="171"/>
      <c r="AQ729" s="171"/>
      <c r="AR729" s="170"/>
      <c r="AS729" s="170"/>
      <c r="AT729" s="170"/>
      <c r="AU729" s="171"/>
      <c r="AV729" s="171"/>
      <c r="AW729" s="171"/>
      <c r="AX729" s="171"/>
      <c r="AY729" s="171"/>
      <c r="AZ729" s="171"/>
      <c r="BA729" s="171"/>
      <c r="BB729" s="171"/>
      <c r="BC729" s="171"/>
      <c r="BD729" s="172"/>
      <c r="BE729" s="172"/>
      <c r="BF729" s="172"/>
      <c r="BG729" s="172"/>
      <c r="BH729" s="172"/>
      <c r="BI729" s="172"/>
      <c r="BJ729" s="172"/>
      <c r="BK729" s="172"/>
      <c r="BL729" s="172"/>
      <c r="BM729" s="172"/>
      <c r="BN729" s="172"/>
      <c r="BO729" s="172"/>
      <c r="BP729" s="172"/>
      <c r="BQ729" s="172"/>
      <c r="BR729" s="172"/>
      <c r="BS729" s="172"/>
    </row>
    <row r="730" spans="1:71" ht="12.5" x14ac:dyDescent="0.25">
      <c r="A730" s="170"/>
      <c r="B730" s="170"/>
      <c r="C730" s="170"/>
      <c r="D730" s="170"/>
      <c r="E730" s="171"/>
      <c r="F730" s="171"/>
      <c r="G730" s="170"/>
      <c r="H730" s="170"/>
      <c r="I730" s="170"/>
      <c r="J730" s="171"/>
      <c r="K730" s="171"/>
      <c r="L730" s="170"/>
      <c r="M730" s="170"/>
      <c r="N730" s="170"/>
      <c r="O730" s="171"/>
      <c r="P730" s="171"/>
      <c r="Q730" s="170"/>
      <c r="R730" s="170"/>
      <c r="S730" s="170"/>
      <c r="T730" s="171"/>
      <c r="U730" s="171"/>
      <c r="V730" s="171"/>
      <c r="W730" s="171"/>
      <c r="X730" s="171"/>
      <c r="Y730" s="171"/>
      <c r="Z730" s="171"/>
      <c r="AA730" s="171"/>
      <c r="AB730" s="171"/>
      <c r="AC730" s="170"/>
      <c r="AD730" s="170"/>
      <c r="AE730" s="170"/>
      <c r="AF730" s="170"/>
      <c r="AG730" s="170"/>
      <c r="AH730" s="170"/>
      <c r="AI730" s="170"/>
      <c r="AJ730" s="170"/>
      <c r="AK730" s="171"/>
      <c r="AL730" s="171"/>
      <c r="AM730" s="170"/>
      <c r="AN730" s="170"/>
      <c r="AO730" s="170"/>
      <c r="AP730" s="171"/>
      <c r="AQ730" s="171"/>
      <c r="AR730" s="170"/>
      <c r="AS730" s="170"/>
      <c r="AT730" s="170"/>
      <c r="AU730" s="171"/>
      <c r="AV730" s="171"/>
      <c r="AW730" s="171"/>
      <c r="AX730" s="171"/>
      <c r="AY730" s="171"/>
      <c r="AZ730" s="171"/>
      <c r="BA730" s="171"/>
      <c r="BB730" s="171"/>
      <c r="BC730" s="171"/>
      <c r="BD730" s="172"/>
      <c r="BE730" s="172"/>
      <c r="BF730" s="172"/>
      <c r="BG730" s="172"/>
      <c r="BH730" s="172"/>
      <c r="BI730" s="172"/>
      <c r="BJ730" s="172"/>
      <c r="BK730" s="172"/>
      <c r="BL730" s="172"/>
      <c r="BM730" s="172"/>
      <c r="BN730" s="172"/>
      <c r="BO730" s="172"/>
      <c r="BP730" s="172"/>
      <c r="BQ730" s="172"/>
      <c r="BR730" s="172"/>
      <c r="BS730" s="172"/>
    </row>
    <row r="731" spans="1:71" ht="12.5" x14ac:dyDescent="0.25">
      <c r="A731" s="170"/>
      <c r="B731" s="170"/>
      <c r="C731" s="170"/>
      <c r="D731" s="170"/>
      <c r="E731" s="171"/>
      <c r="F731" s="171"/>
      <c r="G731" s="170"/>
      <c r="H731" s="170"/>
      <c r="I731" s="170"/>
      <c r="J731" s="171"/>
      <c r="K731" s="171"/>
      <c r="L731" s="170"/>
      <c r="M731" s="170"/>
      <c r="N731" s="170"/>
      <c r="O731" s="171"/>
      <c r="P731" s="171"/>
      <c r="Q731" s="170"/>
      <c r="R731" s="170"/>
      <c r="S731" s="170"/>
      <c r="T731" s="171"/>
      <c r="U731" s="171"/>
      <c r="V731" s="171"/>
      <c r="W731" s="171"/>
      <c r="X731" s="171"/>
      <c r="Y731" s="171"/>
      <c r="Z731" s="171"/>
      <c r="AA731" s="171"/>
      <c r="AB731" s="171"/>
      <c r="AC731" s="170"/>
      <c r="AD731" s="170"/>
      <c r="AE731" s="170"/>
      <c r="AF731" s="170"/>
      <c r="AG731" s="170"/>
      <c r="AH731" s="170"/>
      <c r="AI731" s="170"/>
      <c r="AJ731" s="170"/>
      <c r="AK731" s="171"/>
      <c r="AL731" s="171"/>
      <c r="AM731" s="170"/>
      <c r="AN731" s="170"/>
      <c r="AO731" s="170"/>
      <c r="AP731" s="171"/>
      <c r="AQ731" s="171"/>
      <c r="AR731" s="170"/>
      <c r="AS731" s="170"/>
      <c r="AT731" s="170"/>
      <c r="AU731" s="171"/>
      <c r="AV731" s="171"/>
      <c r="AW731" s="171"/>
      <c r="AX731" s="171"/>
      <c r="AY731" s="171"/>
      <c r="AZ731" s="171"/>
      <c r="BA731" s="171"/>
      <c r="BB731" s="171"/>
      <c r="BC731" s="171"/>
      <c r="BD731" s="172"/>
      <c r="BE731" s="172"/>
      <c r="BF731" s="172"/>
      <c r="BG731" s="172"/>
      <c r="BH731" s="172"/>
      <c r="BI731" s="172"/>
      <c r="BJ731" s="172"/>
      <c r="BK731" s="172"/>
      <c r="BL731" s="172"/>
      <c r="BM731" s="172"/>
      <c r="BN731" s="172"/>
      <c r="BO731" s="172"/>
      <c r="BP731" s="172"/>
      <c r="BQ731" s="172"/>
      <c r="BR731" s="172"/>
      <c r="BS731" s="172"/>
    </row>
    <row r="732" spans="1:71" ht="12.5" x14ac:dyDescent="0.25">
      <c r="A732" s="170"/>
      <c r="B732" s="170"/>
      <c r="C732" s="170"/>
      <c r="D732" s="170"/>
      <c r="E732" s="171"/>
      <c r="F732" s="171"/>
      <c r="G732" s="170"/>
      <c r="H732" s="170"/>
      <c r="I732" s="170"/>
      <c r="J732" s="171"/>
      <c r="K732" s="171"/>
      <c r="L732" s="170"/>
      <c r="M732" s="170"/>
      <c r="N732" s="170"/>
      <c r="O732" s="171"/>
      <c r="P732" s="171"/>
      <c r="Q732" s="170"/>
      <c r="R732" s="170"/>
      <c r="S732" s="170"/>
      <c r="T732" s="171"/>
      <c r="U732" s="171"/>
      <c r="V732" s="171"/>
      <c r="W732" s="171"/>
      <c r="X732" s="171"/>
      <c r="Y732" s="171"/>
      <c r="Z732" s="171"/>
      <c r="AA732" s="171"/>
      <c r="AB732" s="171"/>
      <c r="AC732" s="170"/>
      <c r="AD732" s="170"/>
      <c r="AE732" s="170"/>
      <c r="AF732" s="170"/>
      <c r="AG732" s="170"/>
      <c r="AH732" s="170"/>
      <c r="AI732" s="170"/>
      <c r="AJ732" s="170"/>
      <c r="AK732" s="171"/>
      <c r="AL732" s="171"/>
      <c r="AM732" s="170"/>
      <c r="AN732" s="170"/>
      <c r="AO732" s="170"/>
      <c r="AP732" s="171"/>
      <c r="AQ732" s="171"/>
      <c r="AR732" s="170"/>
      <c r="AS732" s="170"/>
      <c r="AT732" s="170"/>
      <c r="AU732" s="171"/>
      <c r="AV732" s="171"/>
      <c r="AW732" s="171"/>
      <c r="AX732" s="171"/>
      <c r="AY732" s="171"/>
      <c r="AZ732" s="171"/>
      <c r="BA732" s="171"/>
      <c r="BB732" s="171"/>
      <c r="BC732" s="171"/>
      <c r="BD732" s="172"/>
      <c r="BE732" s="172"/>
      <c r="BF732" s="172"/>
      <c r="BG732" s="172"/>
      <c r="BH732" s="172"/>
      <c r="BI732" s="172"/>
      <c r="BJ732" s="172"/>
      <c r="BK732" s="172"/>
      <c r="BL732" s="172"/>
      <c r="BM732" s="172"/>
      <c r="BN732" s="172"/>
      <c r="BO732" s="172"/>
      <c r="BP732" s="172"/>
      <c r="BQ732" s="172"/>
      <c r="BR732" s="172"/>
      <c r="BS732" s="172"/>
    </row>
    <row r="733" spans="1:71" ht="12.5" x14ac:dyDescent="0.25">
      <c r="A733" s="170"/>
      <c r="B733" s="170"/>
      <c r="C733" s="170"/>
      <c r="D733" s="170"/>
      <c r="E733" s="171"/>
      <c r="F733" s="171"/>
      <c r="G733" s="170"/>
      <c r="H733" s="170"/>
      <c r="I733" s="170"/>
      <c r="J733" s="171"/>
      <c r="K733" s="171"/>
      <c r="L733" s="170"/>
      <c r="M733" s="170"/>
      <c r="N733" s="170"/>
      <c r="O733" s="171"/>
      <c r="P733" s="171"/>
      <c r="Q733" s="170"/>
      <c r="R733" s="170"/>
      <c r="S733" s="170"/>
      <c r="T733" s="171"/>
      <c r="U733" s="171"/>
      <c r="V733" s="171"/>
      <c r="W733" s="171"/>
      <c r="X733" s="171"/>
      <c r="Y733" s="171"/>
      <c r="Z733" s="171"/>
      <c r="AA733" s="171"/>
      <c r="AB733" s="171"/>
      <c r="AC733" s="170"/>
      <c r="AD733" s="170"/>
      <c r="AE733" s="170"/>
      <c r="AF733" s="170"/>
      <c r="AG733" s="170"/>
      <c r="AH733" s="170"/>
      <c r="AI733" s="170"/>
      <c r="AJ733" s="170"/>
      <c r="AK733" s="171"/>
      <c r="AL733" s="171"/>
      <c r="AM733" s="170"/>
      <c r="AN733" s="170"/>
      <c r="AO733" s="170"/>
      <c r="AP733" s="171"/>
      <c r="AQ733" s="171"/>
      <c r="AR733" s="170"/>
      <c r="AS733" s="170"/>
      <c r="AT733" s="170"/>
      <c r="AU733" s="171"/>
      <c r="AV733" s="171"/>
      <c r="AW733" s="171"/>
      <c r="AX733" s="171"/>
      <c r="AY733" s="171"/>
      <c r="AZ733" s="171"/>
      <c r="BA733" s="171"/>
      <c r="BB733" s="171"/>
      <c r="BC733" s="171"/>
      <c r="BD733" s="172"/>
      <c r="BE733" s="172"/>
      <c r="BF733" s="172"/>
      <c r="BG733" s="172"/>
      <c r="BH733" s="172"/>
      <c r="BI733" s="172"/>
      <c r="BJ733" s="172"/>
      <c r="BK733" s="172"/>
      <c r="BL733" s="172"/>
      <c r="BM733" s="172"/>
      <c r="BN733" s="172"/>
      <c r="BO733" s="172"/>
      <c r="BP733" s="172"/>
      <c r="BQ733" s="172"/>
      <c r="BR733" s="172"/>
      <c r="BS733" s="172"/>
    </row>
    <row r="734" spans="1:71" ht="12.5" x14ac:dyDescent="0.25">
      <c r="A734" s="170"/>
      <c r="B734" s="170"/>
      <c r="C734" s="170"/>
      <c r="D734" s="170"/>
      <c r="E734" s="171"/>
      <c r="F734" s="171"/>
      <c r="G734" s="170"/>
      <c r="H734" s="170"/>
      <c r="I734" s="170"/>
      <c r="J734" s="171"/>
      <c r="K734" s="171"/>
      <c r="L734" s="170"/>
      <c r="M734" s="170"/>
      <c r="N734" s="170"/>
      <c r="O734" s="171"/>
      <c r="P734" s="171"/>
      <c r="Q734" s="170"/>
      <c r="R734" s="170"/>
      <c r="S734" s="170"/>
      <c r="T734" s="171"/>
      <c r="U734" s="171"/>
      <c r="V734" s="171"/>
      <c r="W734" s="171"/>
      <c r="X734" s="171"/>
      <c r="Y734" s="171"/>
      <c r="Z734" s="171"/>
      <c r="AA734" s="171"/>
      <c r="AB734" s="171"/>
      <c r="AC734" s="170"/>
      <c r="AD734" s="170"/>
      <c r="AE734" s="170"/>
      <c r="AF734" s="170"/>
      <c r="AG734" s="170"/>
      <c r="AH734" s="170"/>
      <c r="AI734" s="170"/>
      <c r="AJ734" s="170"/>
      <c r="AK734" s="171"/>
      <c r="AL734" s="171"/>
      <c r="AM734" s="170"/>
      <c r="AN734" s="170"/>
      <c r="AO734" s="170"/>
      <c r="AP734" s="171"/>
      <c r="AQ734" s="171"/>
      <c r="AR734" s="170"/>
      <c r="AS734" s="170"/>
      <c r="AT734" s="170"/>
      <c r="AU734" s="171"/>
      <c r="AV734" s="171"/>
      <c r="AW734" s="171"/>
      <c r="AX734" s="171"/>
      <c r="AY734" s="171"/>
      <c r="AZ734" s="171"/>
      <c r="BA734" s="171"/>
      <c r="BB734" s="171"/>
      <c r="BC734" s="171"/>
      <c r="BD734" s="172"/>
      <c r="BE734" s="172"/>
      <c r="BF734" s="172"/>
      <c r="BG734" s="172"/>
      <c r="BH734" s="172"/>
      <c r="BI734" s="172"/>
      <c r="BJ734" s="172"/>
      <c r="BK734" s="172"/>
      <c r="BL734" s="172"/>
      <c r="BM734" s="172"/>
      <c r="BN734" s="172"/>
      <c r="BO734" s="172"/>
      <c r="BP734" s="172"/>
      <c r="BQ734" s="172"/>
      <c r="BR734" s="172"/>
      <c r="BS734" s="172"/>
    </row>
    <row r="735" spans="1:71" ht="12.5" x14ac:dyDescent="0.25">
      <c r="A735" s="170"/>
      <c r="B735" s="170"/>
      <c r="C735" s="170"/>
      <c r="D735" s="170"/>
      <c r="E735" s="171"/>
      <c r="F735" s="171"/>
      <c r="G735" s="170"/>
      <c r="H735" s="170"/>
      <c r="I735" s="170"/>
      <c r="J735" s="171"/>
      <c r="K735" s="171"/>
      <c r="L735" s="170"/>
      <c r="M735" s="170"/>
      <c r="N735" s="170"/>
      <c r="O735" s="171"/>
      <c r="P735" s="171"/>
      <c r="Q735" s="170"/>
      <c r="R735" s="170"/>
      <c r="S735" s="170"/>
      <c r="T735" s="171"/>
      <c r="U735" s="171"/>
      <c r="V735" s="171"/>
      <c r="W735" s="171"/>
      <c r="X735" s="171"/>
      <c r="Y735" s="171"/>
      <c r="Z735" s="171"/>
      <c r="AA735" s="171"/>
      <c r="AB735" s="171"/>
      <c r="AC735" s="170"/>
      <c r="AD735" s="170"/>
      <c r="AE735" s="170"/>
      <c r="AF735" s="170"/>
      <c r="AG735" s="170"/>
      <c r="AH735" s="170"/>
      <c r="AI735" s="170"/>
      <c r="AJ735" s="170"/>
      <c r="AK735" s="171"/>
      <c r="AL735" s="171"/>
      <c r="AM735" s="170"/>
      <c r="AN735" s="170"/>
      <c r="AO735" s="170"/>
      <c r="AP735" s="171"/>
      <c r="AQ735" s="171"/>
      <c r="AR735" s="170"/>
      <c r="AS735" s="170"/>
      <c r="AT735" s="170"/>
      <c r="AU735" s="171"/>
      <c r="AV735" s="171"/>
      <c r="AW735" s="171"/>
      <c r="AX735" s="171"/>
      <c r="AY735" s="171"/>
      <c r="AZ735" s="171"/>
      <c r="BA735" s="171"/>
      <c r="BB735" s="171"/>
      <c r="BC735" s="171"/>
      <c r="BD735" s="172"/>
      <c r="BE735" s="172"/>
      <c r="BF735" s="172"/>
      <c r="BG735" s="172"/>
      <c r="BH735" s="172"/>
      <c r="BI735" s="172"/>
      <c r="BJ735" s="172"/>
      <c r="BK735" s="172"/>
      <c r="BL735" s="172"/>
      <c r="BM735" s="172"/>
      <c r="BN735" s="172"/>
      <c r="BO735" s="172"/>
      <c r="BP735" s="172"/>
      <c r="BQ735" s="172"/>
      <c r="BR735" s="172"/>
      <c r="BS735" s="172"/>
    </row>
    <row r="736" spans="1:71" ht="12.5" x14ac:dyDescent="0.25">
      <c r="A736" s="170"/>
      <c r="B736" s="170"/>
      <c r="C736" s="170"/>
      <c r="D736" s="170"/>
      <c r="E736" s="171"/>
      <c r="F736" s="171"/>
      <c r="G736" s="170"/>
      <c r="H736" s="170"/>
      <c r="I736" s="170"/>
      <c r="J736" s="171"/>
      <c r="K736" s="171"/>
      <c r="L736" s="170"/>
      <c r="M736" s="170"/>
      <c r="N736" s="170"/>
      <c r="O736" s="171"/>
      <c r="P736" s="171"/>
      <c r="Q736" s="170"/>
      <c r="R736" s="170"/>
      <c r="S736" s="170"/>
      <c r="T736" s="171"/>
      <c r="U736" s="171"/>
      <c r="V736" s="171"/>
      <c r="W736" s="171"/>
      <c r="X736" s="171"/>
      <c r="Y736" s="171"/>
      <c r="Z736" s="171"/>
      <c r="AA736" s="171"/>
      <c r="AB736" s="171"/>
      <c r="AC736" s="170"/>
      <c r="AD736" s="170"/>
      <c r="AE736" s="170"/>
      <c r="AF736" s="170"/>
      <c r="AG736" s="170"/>
      <c r="AH736" s="170"/>
      <c r="AI736" s="170"/>
      <c r="AJ736" s="170"/>
      <c r="AK736" s="171"/>
      <c r="AL736" s="171"/>
      <c r="AM736" s="170"/>
      <c r="AN736" s="170"/>
      <c r="AO736" s="170"/>
      <c r="AP736" s="171"/>
      <c r="AQ736" s="171"/>
      <c r="AR736" s="170"/>
      <c r="AS736" s="170"/>
      <c r="AT736" s="170"/>
      <c r="AU736" s="171"/>
      <c r="AV736" s="171"/>
      <c r="AW736" s="171"/>
      <c r="AX736" s="171"/>
      <c r="AY736" s="171"/>
      <c r="AZ736" s="171"/>
      <c r="BA736" s="171"/>
      <c r="BB736" s="171"/>
      <c r="BC736" s="171"/>
      <c r="BD736" s="172"/>
      <c r="BE736" s="172"/>
      <c r="BF736" s="172"/>
      <c r="BG736" s="172"/>
      <c r="BH736" s="172"/>
      <c r="BI736" s="172"/>
      <c r="BJ736" s="172"/>
      <c r="BK736" s="172"/>
      <c r="BL736" s="172"/>
      <c r="BM736" s="172"/>
      <c r="BN736" s="172"/>
      <c r="BO736" s="172"/>
      <c r="BP736" s="172"/>
      <c r="BQ736" s="172"/>
      <c r="BR736" s="172"/>
      <c r="BS736" s="172"/>
    </row>
    <row r="737" spans="1:71" ht="12.5" x14ac:dyDescent="0.25">
      <c r="A737" s="170"/>
      <c r="B737" s="170"/>
      <c r="C737" s="170"/>
      <c r="D737" s="170"/>
      <c r="E737" s="171"/>
      <c r="F737" s="171"/>
      <c r="G737" s="170"/>
      <c r="H737" s="170"/>
      <c r="I737" s="170"/>
      <c r="J737" s="171"/>
      <c r="K737" s="171"/>
      <c r="L737" s="170"/>
      <c r="M737" s="170"/>
      <c r="N737" s="170"/>
      <c r="O737" s="171"/>
      <c r="P737" s="171"/>
      <c r="Q737" s="170"/>
      <c r="R737" s="170"/>
      <c r="S737" s="170"/>
      <c r="T737" s="171"/>
      <c r="U737" s="171"/>
      <c r="V737" s="171"/>
      <c r="W737" s="171"/>
      <c r="X737" s="171"/>
      <c r="Y737" s="171"/>
      <c r="Z737" s="171"/>
      <c r="AA737" s="171"/>
      <c r="AB737" s="171"/>
      <c r="AC737" s="170"/>
      <c r="AD737" s="170"/>
      <c r="AE737" s="170"/>
      <c r="AF737" s="170"/>
      <c r="AG737" s="170"/>
      <c r="AH737" s="170"/>
      <c r="AI737" s="170"/>
      <c r="AJ737" s="170"/>
      <c r="AK737" s="171"/>
      <c r="AL737" s="171"/>
      <c r="AM737" s="170"/>
      <c r="AN737" s="170"/>
      <c r="AO737" s="170"/>
      <c r="AP737" s="171"/>
      <c r="AQ737" s="171"/>
      <c r="AR737" s="170"/>
      <c r="AS737" s="170"/>
      <c r="AT737" s="170"/>
      <c r="AU737" s="171"/>
      <c r="AV737" s="171"/>
      <c r="AW737" s="171"/>
      <c r="AX737" s="171"/>
      <c r="AY737" s="171"/>
      <c r="AZ737" s="171"/>
      <c r="BA737" s="171"/>
      <c r="BB737" s="171"/>
      <c r="BC737" s="171"/>
      <c r="BD737" s="172"/>
      <c r="BE737" s="172"/>
      <c r="BF737" s="172"/>
      <c r="BG737" s="172"/>
      <c r="BH737" s="172"/>
      <c r="BI737" s="172"/>
      <c r="BJ737" s="172"/>
      <c r="BK737" s="172"/>
      <c r="BL737" s="172"/>
      <c r="BM737" s="172"/>
      <c r="BN737" s="172"/>
      <c r="BO737" s="172"/>
      <c r="BP737" s="172"/>
      <c r="BQ737" s="172"/>
      <c r="BR737" s="172"/>
      <c r="BS737" s="172"/>
    </row>
    <row r="738" spans="1:71" ht="12.5" x14ac:dyDescent="0.25">
      <c r="A738" s="170"/>
      <c r="B738" s="170"/>
      <c r="C738" s="170"/>
      <c r="D738" s="170"/>
      <c r="E738" s="171"/>
      <c r="F738" s="171"/>
      <c r="G738" s="170"/>
      <c r="H738" s="170"/>
      <c r="I738" s="170"/>
      <c r="J738" s="171"/>
      <c r="K738" s="171"/>
      <c r="L738" s="170"/>
      <c r="M738" s="170"/>
      <c r="N738" s="170"/>
      <c r="O738" s="171"/>
      <c r="P738" s="171"/>
      <c r="Q738" s="170"/>
      <c r="R738" s="170"/>
      <c r="S738" s="170"/>
      <c r="T738" s="171"/>
      <c r="U738" s="171"/>
      <c r="V738" s="171"/>
      <c r="W738" s="171"/>
      <c r="X738" s="171"/>
      <c r="Y738" s="171"/>
      <c r="Z738" s="171"/>
      <c r="AA738" s="171"/>
      <c r="AB738" s="171"/>
      <c r="AC738" s="170"/>
      <c r="AD738" s="170"/>
      <c r="AE738" s="170"/>
      <c r="AF738" s="170"/>
      <c r="AG738" s="170"/>
      <c r="AH738" s="170"/>
      <c r="AI738" s="170"/>
      <c r="AJ738" s="170"/>
      <c r="AK738" s="171"/>
      <c r="AL738" s="171"/>
      <c r="AM738" s="170"/>
      <c r="AN738" s="170"/>
      <c r="AO738" s="170"/>
      <c r="AP738" s="171"/>
      <c r="AQ738" s="171"/>
      <c r="AR738" s="170"/>
      <c r="AS738" s="170"/>
      <c r="AT738" s="170"/>
      <c r="AU738" s="171"/>
      <c r="AV738" s="171"/>
      <c r="AW738" s="171"/>
      <c r="AX738" s="171"/>
      <c r="AY738" s="171"/>
      <c r="AZ738" s="171"/>
      <c r="BA738" s="171"/>
      <c r="BB738" s="171"/>
      <c r="BC738" s="171"/>
      <c r="BD738" s="172"/>
      <c r="BE738" s="172"/>
      <c r="BF738" s="172"/>
      <c r="BG738" s="172"/>
      <c r="BH738" s="172"/>
      <c r="BI738" s="172"/>
      <c r="BJ738" s="172"/>
      <c r="BK738" s="172"/>
      <c r="BL738" s="172"/>
      <c r="BM738" s="172"/>
      <c r="BN738" s="172"/>
      <c r="BO738" s="172"/>
      <c r="BP738" s="172"/>
      <c r="BQ738" s="172"/>
      <c r="BR738" s="172"/>
      <c r="BS738" s="172"/>
    </row>
    <row r="739" spans="1:71" ht="12.5" x14ac:dyDescent="0.25">
      <c r="A739" s="170"/>
      <c r="B739" s="170"/>
      <c r="C739" s="170"/>
      <c r="D739" s="170"/>
      <c r="E739" s="171"/>
      <c r="F739" s="171"/>
      <c r="G739" s="170"/>
      <c r="H739" s="170"/>
      <c r="I739" s="170"/>
      <c r="J739" s="171"/>
      <c r="K739" s="171"/>
      <c r="L739" s="170"/>
      <c r="M739" s="170"/>
      <c r="N739" s="170"/>
      <c r="O739" s="171"/>
      <c r="P739" s="171"/>
      <c r="Q739" s="170"/>
      <c r="R739" s="170"/>
      <c r="S739" s="170"/>
      <c r="T739" s="171"/>
      <c r="U739" s="171"/>
      <c r="V739" s="171"/>
      <c r="W739" s="171"/>
      <c r="X739" s="171"/>
      <c r="Y739" s="171"/>
      <c r="Z739" s="171"/>
      <c r="AA739" s="171"/>
      <c r="AB739" s="171"/>
      <c r="AC739" s="170"/>
      <c r="AD739" s="170"/>
      <c r="AE739" s="170"/>
      <c r="AF739" s="170"/>
      <c r="AG739" s="170"/>
      <c r="AH739" s="170"/>
      <c r="AI739" s="170"/>
      <c r="AJ739" s="170"/>
      <c r="AK739" s="171"/>
      <c r="AL739" s="171"/>
      <c r="AM739" s="170"/>
      <c r="AN739" s="170"/>
      <c r="AO739" s="170"/>
      <c r="AP739" s="171"/>
      <c r="AQ739" s="171"/>
      <c r="AR739" s="170"/>
      <c r="AS739" s="170"/>
      <c r="AT739" s="170"/>
      <c r="AU739" s="171"/>
      <c r="AV739" s="171"/>
      <c r="AW739" s="171"/>
      <c r="AX739" s="171"/>
      <c r="AY739" s="171"/>
      <c r="AZ739" s="171"/>
      <c r="BA739" s="171"/>
      <c r="BB739" s="171"/>
      <c r="BC739" s="171"/>
      <c r="BD739" s="172"/>
      <c r="BE739" s="172"/>
      <c r="BF739" s="172"/>
      <c r="BG739" s="172"/>
      <c r="BH739" s="172"/>
      <c r="BI739" s="172"/>
      <c r="BJ739" s="172"/>
      <c r="BK739" s="172"/>
      <c r="BL739" s="172"/>
      <c r="BM739" s="172"/>
      <c r="BN739" s="172"/>
      <c r="BO739" s="172"/>
      <c r="BP739" s="172"/>
      <c r="BQ739" s="172"/>
      <c r="BR739" s="172"/>
      <c r="BS739" s="172"/>
    </row>
    <row r="740" spans="1:71" ht="12.5" x14ac:dyDescent="0.25">
      <c r="A740" s="170"/>
      <c r="B740" s="170"/>
      <c r="C740" s="170"/>
      <c r="D740" s="170"/>
      <c r="E740" s="171"/>
      <c r="F740" s="171"/>
      <c r="G740" s="170"/>
      <c r="H740" s="170"/>
      <c r="I740" s="170"/>
      <c r="J740" s="171"/>
      <c r="K740" s="171"/>
      <c r="L740" s="170"/>
      <c r="M740" s="170"/>
      <c r="N740" s="170"/>
      <c r="O740" s="171"/>
      <c r="P740" s="171"/>
      <c r="Q740" s="170"/>
      <c r="R740" s="170"/>
      <c r="S740" s="170"/>
      <c r="T740" s="171"/>
      <c r="U740" s="171"/>
      <c r="V740" s="171"/>
      <c r="W740" s="171"/>
      <c r="X740" s="171"/>
      <c r="Y740" s="171"/>
      <c r="Z740" s="171"/>
      <c r="AA740" s="171"/>
      <c r="AB740" s="171"/>
      <c r="AC740" s="170"/>
      <c r="AD740" s="170"/>
      <c r="AE740" s="170"/>
      <c r="AF740" s="170"/>
      <c r="AG740" s="170"/>
      <c r="AH740" s="170"/>
      <c r="AI740" s="170"/>
      <c r="AJ740" s="170"/>
      <c r="AK740" s="171"/>
      <c r="AL740" s="171"/>
      <c r="AM740" s="170"/>
      <c r="AN740" s="170"/>
      <c r="AO740" s="170"/>
      <c r="AP740" s="171"/>
      <c r="AQ740" s="171"/>
      <c r="AR740" s="170"/>
      <c r="AS740" s="170"/>
      <c r="AT740" s="170"/>
      <c r="AU740" s="171"/>
      <c r="AV740" s="171"/>
      <c r="AW740" s="171"/>
      <c r="AX740" s="171"/>
      <c r="AY740" s="171"/>
      <c r="AZ740" s="171"/>
      <c r="BA740" s="171"/>
      <c r="BB740" s="171"/>
      <c r="BC740" s="171"/>
      <c r="BD740" s="172"/>
      <c r="BE740" s="172"/>
      <c r="BF740" s="172"/>
      <c r="BG740" s="172"/>
      <c r="BH740" s="172"/>
      <c r="BI740" s="172"/>
      <c r="BJ740" s="172"/>
      <c r="BK740" s="172"/>
      <c r="BL740" s="172"/>
      <c r="BM740" s="172"/>
      <c r="BN740" s="172"/>
      <c r="BO740" s="172"/>
      <c r="BP740" s="172"/>
      <c r="BQ740" s="172"/>
      <c r="BR740" s="172"/>
      <c r="BS740" s="172"/>
    </row>
    <row r="741" spans="1:71" ht="12.5" x14ac:dyDescent="0.25">
      <c r="A741" s="170"/>
      <c r="B741" s="170"/>
      <c r="C741" s="170"/>
      <c r="D741" s="170"/>
      <c r="E741" s="171"/>
      <c r="F741" s="171"/>
      <c r="G741" s="170"/>
      <c r="H741" s="170"/>
      <c r="I741" s="170"/>
      <c r="J741" s="171"/>
      <c r="K741" s="171"/>
      <c r="L741" s="170"/>
      <c r="M741" s="170"/>
      <c r="N741" s="170"/>
      <c r="O741" s="171"/>
      <c r="P741" s="171"/>
      <c r="Q741" s="170"/>
      <c r="R741" s="170"/>
      <c r="S741" s="170"/>
      <c r="T741" s="171"/>
      <c r="U741" s="171"/>
      <c r="V741" s="171"/>
      <c r="W741" s="171"/>
      <c r="X741" s="171"/>
      <c r="Y741" s="171"/>
      <c r="Z741" s="171"/>
      <c r="AA741" s="171"/>
      <c r="AB741" s="171"/>
      <c r="AC741" s="170"/>
      <c r="AD741" s="170"/>
      <c r="AE741" s="170"/>
      <c r="AF741" s="170"/>
      <c r="AG741" s="170"/>
      <c r="AH741" s="170"/>
      <c r="AI741" s="170"/>
      <c r="AJ741" s="170"/>
      <c r="AK741" s="171"/>
      <c r="AL741" s="171"/>
      <c r="AM741" s="170"/>
      <c r="AN741" s="170"/>
      <c r="AO741" s="170"/>
      <c r="AP741" s="171"/>
      <c r="AQ741" s="171"/>
      <c r="AR741" s="170"/>
      <c r="AS741" s="170"/>
      <c r="AT741" s="170"/>
      <c r="AU741" s="171"/>
      <c r="AV741" s="171"/>
      <c r="AW741" s="171"/>
      <c r="AX741" s="171"/>
      <c r="AY741" s="171"/>
      <c r="AZ741" s="171"/>
      <c r="BA741" s="171"/>
      <c r="BB741" s="171"/>
      <c r="BC741" s="171"/>
      <c r="BD741" s="172"/>
      <c r="BE741" s="172"/>
      <c r="BF741" s="172"/>
      <c r="BG741" s="172"/>
      <c r="BH741" s="172"/>
      <c r="BI741" s="172"/>
      <c r="BJ741" s="172"/>
      <c r="BK741" s="172"/>
      <c r="BL741" s="172"/>
      <c r="BM741" s="172"/>
      <c r="BN741" s="172"/>
      <c r="BO741" s="172"/>
      <c r="BP741" s="172"/>
      <c r="BQ741" s="172"/>
      <c r="BR741" s="172"/>
      <c r="BS741" s="172"/>
    </row>
    <row r="742" spans="1:71" ht="12.5" x14ac:dyDescent="0.25">
      <c r="A742" s="170"/>
      <c r="B742" s="170"/>
      <c r="C742" s="170"/>
      <c r="D742" s="170"/>
      <c r="E742" s="171"/>
      <c r="F742" s="171"/>
      <c r="G742" s="170"/>
      <c r="H742" s="170"/>
      <c r="I742" s="170"/>
      <c r="J742" s="171"/>
      <c r="K742" s="171"/>
      <c r="L742" s="170"/>
      <c r="M742" s="170"/>
      <c r="N742" s="170"/>
      <c r="O742" s="171"/>
      <c r="P742" s="171"/>
      <c r="Q742" s="170"/>
      <c r="R742" s="170"/>
      <c r="S742" s="170"/>
      <c r="T742" s="171"/>
      <c r="U742" s="171"/>
      <c r="V742" s="171"/>
      <c r="W742" s="171"/>
      <c r="X742" s="171"/>
      <c r="Y742" s="171"/>
      <c r="Z742" s="171"/>
      <c r="AA742" s="171"/>
      <c r="AB742" s="171"/>
      <c r="AC742" s="170"/>
      <c r="AD742" s="170"/>
      <c r="AE742" s="170"/>
      <c r="AF742" s="170"/>
      <c r="AG742" s="170"/>
      <c r="AH742" s="170"/>
      <c r="AI742" s="170"/>
      <c r="AJ742" s="170"/>
      <c r="AK742" s="171"/>
      <c r="AL742" s="171"/>
      <c r="AM742" s="170"/>
      <c r="AN742" s="170"/>
      <c r="AO742" s="170"/>
      <c r="AP742" s="171"/>
      <c r="AQ742" s="171"/>
      <c r="AR742" s="170"/>
      <c r="AS742" s="170"/>
      <c r="AT742" s="170"/>
      <c r="AU742" s="171"/>
      <c r="AV742" s="171"/>
      <c r="AW742" s="171"/>
      <c r="AX742" s="171"/>
      <c r="AY742" s="171"/>
      <c r="AZ742" s="171"/>
      <c r="BA742" s="171"/>
      <c r="BB742" s="171"/>
      <c r="BC742" s="171"/>
      <c r="BD742" s="172"/>
      <c r="BE742" s="172"/>
      <c r="BF742" s="172"/>
      <c r="BG742" s="172"/>
      <c r="BH742" s="172"/>
      <c r="BI742" s="172"/>
      <c r="BJ742" s="172"/>
      <c r="BK742" s="172"/>
      <c r="BL742" s="172"/>
      <c r="BM742" s="172"/>
      <c r="BN742" s="172"/>
      <c r="BO742" s="172"/>
      <c r="BP742" s="172"/>
      <c r="BQ742" s="172"/>
      <c r="BR742" s="172"/>
      <c r="BS742" s="172"/>
    </row>
    <row r="743" spans="1:71" ht="12.5" x14ac:dyDescent="0.25">
      <c r="A743" s="170"/>
      <c r="B743" s="170"/>
      <c r="C743" s="170"/>
      <c r="D743" s="170"/>
      <c r="E743" s="171"/>
      <c r="F743" s="171"/>
      <c r="G743" s="170"/>
      <c r="H743" s="170"/>
      <c r="I743" s="170"/>
      <c r="J743" s="171"/>
      <c r="K743" s="171"/>
      <c r="L743" s="170"/>
      <c r="M743" s="170"/>
      <c r="N743" s="170"/>
      <c r="O743" s="171"/>
      <c r="P743" s="171"/>
      <c r="Q743" s="170"/>
      <c r="R743" s="170"/>
      <c r="S743" s="170"/>
      <c r="T743" s="171"/>
      <c r="U743" s="171"/>
      <c r="V743" s="171"/>
      <c r="W743" s="171"/>
      <c r="X743" s="171"/>
      <c r="Y743" s="171"/>
      <c r="Z743" s="171"/>
      <c r="AA743" s="171"/>
      <c r="AB743" s="171"/>
      <c r="AC743" s="170"/>
      <c r="AD743" s="170"/>
      <c r="AE743" s="170"/>
      <c r="AF743" s="170"/>
      <c r="AG743" s="170"/>
      <c r="AH743" s="170"/>
      <c r="AI743" s="170"/>
      <c r="AJ743" s="170"/>
      <c r="AK743" s="171"/>
      <c r="AL743" s="171"/>
      <c r="AM743" s="170"/>
      <c r="AN743" s="170"/>
      <c r="AO743" s="170"/>
      <c r="AP743" s="171"/>
      <c r="AQ743" s="171"/>
      <c r="AR743" s="170"/>
      <c r="AS743" s="170"/>
      <c r="AT743" s="170"/>
      <c r="AU743" s="171"/>
      <c r="AV743" s="171"/>
      <c r="AW743" s="171"/>
      <c r="AX743" s="171"/>
      <c r="AY743" s="171"/>
      <c r="AZ743" s="171"/>
      <c r="BA743" s="171"/>
      <c r="BB743" s="171"/>
      <c r="BC743" s="171"/>
      <c r="BD743" s="172"/>
      <c r="BE743" s="172"/>
      <c r="BF743" s="172"/>
      <c r="BG743" s="172"/>
      <c r="BH743" s="172"/>
      <c r="BI743" s="172"/>
      <c r="BJ743" s="172"/>
      <c r="BK743" s="172"/>
      <c r="BL743" s="172"/>
      <c r="BM743" s="172"/>
      <c r="BN743" s="172"/>
      <c r="BO743" s="172"/>
      <c r="BP743" s="172"/>
      <c r="BQ743" s="172"/>
      <c r="BR743" s="172"/>
      <c r="BS743" s="172"/>
    </row>
    <row r="744" spans="1:71" ht="12.5" x14ac:dyDescent="0.25">
      <c r="A744" s="170"/>
      <c r="B744" s="170"/>
      <c r="C744" s="170"/>
      <c r="D744" s="170"/>
      <c r="E744" s="171"/>
      <c r="F744" s="171"/>
      <c r="G744" s="170"/>
      <c r="H744" s="170"/>
      <c r="I744" s="170"/>
      <c r="J744" s="171"/>
      <c r="K744" s="171"/>
      <c r="L744" s="170"/>
      <c r="M744" s="170"/>
      <c r="N744" s="170"/>
      <c r="O744" s="171"/>
      <c r="P744" s="171"/>
      <c r="Q744" s="170"/>
      <c r="R744" s="170"/>
      <c r="S744" s="170"/>
      <c r="T744" s="171"/>
      <c r="U744" s="171"/>
      <c r="V744" s="171"/>
      <c r="W744" s="171"/>
      <c r="X744" s="171"/>
      <c r="Y744" s="171"/>
      <c r="Z744" s="171"/>
      <c r="AA744" s="171"/>
      <c r="AB744" s="171"/>
      <c r="AC744" s="170"/>
      <c r="AD744" s="170"/>
      <c r="AE744" s="170"/>
      <c r="AF744" s="170"/>
      <c r="AG744" s="170"/>
      <c r="AH744" s="170"/>
      <c r="AI744" s="170"/>
      <c r="AJ744" s="170"/>
      <c r="AK744" s="171"/>
      <c r="AL744" s="171"/>
      <c r="AM744" s="170"/>
      <c r="AN744" s="170"/>
      <c r="AO744" s="170"/>
      <c r="AP744" s="171"/>
      <c r="AQ744" s="171"/>
      <c r="AR744" s="170"/>
      <c r="AS744" s="170"/>
      <c r="AT744" s="170"/>
      <c r="AU744" s="171"/>
      <c r="AV744" s="171"/>
      <c r="AW744" s="171"/>
      <c r="AX744" s="171"/>
      <c r="AY744" s="171"/>
      <c r="AZ744" s="171"/>
      <c r="BA744" s="171"/>
      <c r="BB744" s="171"/>
      <c r="BC744" s="171"/>
      <c r="BD744" s="172"/>
      <c r="BE744" s="172"/>
      <c r="BF744" s="172"/>
      <c r="BG744" s="172"/>
      <c r="BH744" s="172"/>
      <c r="BI744" s="172"/>
      <c r="BJ744" s="172"/>
      <c r="BK744" s="172"/>
      <c r="BL744" s="172"/>
      <c r="BM744" s="172"/>
      <c r="BN744" s="172"/>
      <c r="BO744" s="172"/>
      <c r="BP744" s="172"/>
      <c r="BQ744" s="172"/>
      <c r="BR744" s="172"/>
      <c r="BS744" s="172"/>
    </row>
    <row r="745" spans="1:71" ht="12.5" x14ac:dyDescent="0.25">
      <c r="A745" s="170"/>
      <c r="B745" s="170"/>
      <c r="C745" s="170"/>
      <c r="D745" s="170"/>
      <c r="E745" s="171"/>
      <c r="F745" s="171"/>
      <c r="G745" s="170"/>
      <c r="H745" s="170"/>
      <c r="I745" s="170"/>
      <c r="J745" s="171"/>
      <c r="K745" s="171"/>
      <c r="L745" s="170"/>
      <c r="M745" s="170"/>
      <c r="N745" s="170"/>
      <c r="O745" s="171"/>
      <c r="P745" s="171"/>
      <c r="Q745" s="170"/>
      <c r="R745" s="170"/>
      <c r="S745" s="170"/>
      <c r="T745" s="171"/>
      <c r="U745" s="171"/>
      <c r="V745" s="171"/>
      <c r="W745" s="171"/>
      <c r="X745" s="171"/>
      <c r="Y745" s="171"/>
      <c r="Z745" s="171"/>
      <c r="AA745" s="171"/>
      <c r="AB745" s="171"/>
      <c r="AC745" s="170"/>
      <c r="AD745" s="170"/>
      <c r="AE745" s="170"/>
      <c r="AF745" s="170"/>
      <c r="AG745" s="170"/>
      <c r="AH745" s="170"/>
      <c r="AI745" s="170"/>
      <c r="AJ745" s="170"/>
      <c r="AK745" s="171"/>
      <c r="AL745" s="171"/>
      <c r="AM745" s="170"/>
      <c r="AN745" s="170"/>
      <c r="AO745" s="170"/>
      <c r="AP745" s="171"/>
      <c r="AQ745" s="171"/>
      <c r="AR745" s="170"/>
      <c r="AS745" s="170"/>
      <c r="AT745" s="170"/>
      <c r="AU745" s="171"/>
      <c r="AV745" s="171"/>
      <c r="AW745" s="171"/>
      <c r="AX745" s="171"/>
      <c r="AY745" s="171"/>
      <c r="AZ745" s="171"/>
      <c r="BA745" s="171"/>
      <c r="BB745" s="171"/>
      <c r="BC745" s="171"/>
      <c r="BD745" s="172"/>
      <c r="BE745" s="172"/>
      <c r="BF745" s="172"/>
      <c r="BG745" s="172"/>
      <c r="BH745" s="172"/>
      <c r="BI745" s="172"/>
      <c r="BJ745" s="172"/>
      <c r="BK745" s="172"/>
      <c r="BL745" s="172"/>
      <c r="BM745" s="172"/>
      <c r="BN745" s="172"/>
      <c r="BO745" s="172"/>
      <c r="BP745" s="172"/>
      <c r="BQ745" s="172"/>
      <c r="BR745" s="172"/>
      <c r="BS745" s="172"/>
    </row>
    <row r="746" spans="1:71" ht="12.5" x14ac:dyDescent="0.25">
      <c r="A746" s="170"/>
      <c r="B746" s="170"/>
      <c r="C746" s="170"/>
      <c r="D746" s="170"/>
      <c r="E746" s="171"/>
      <c r="F746" s="171"/>
      <c r="G746" s="170"/>
      <c r="H746" s="170"/>
      <c r="I746" s="170"/>
      <c r="J746" s="171"/>
      <c r="K746" s="171"/>
      <c r="L746" s="170"/>
      <c r="M746" s="170"/>
      <c r="N746" s="170"/>
      <c r="O746" s="171"/>
      <c r="P746" s="171"/>
      <c r="Q746" s="170"/>
      <c r="R746" s="170"/>
      <c r="S746" s="170"/>
      <c r="T746" s="171"/>
      <c r="U746" s="171"/>
      <c r="V746" s="171"/>
      <c r="W746" s="171"/>
      <c r="X746" s="171"/>
      <c r="Y746" s="171"/>
      <c r="Z746" s="171"/>
      <c r="AA746" s="171"/>
      <c r="AB746" s="171"/>
      <c r="AC746" s="170"/>
      <c r="AD746" s="170"/>
      <c r="AE746" s="170"/>
      <c r="AF746" s="170"/>
      <c r="AG746" s="170"/>
      <c r="AH746" s="170"/>
      <c r="AI746" s="170"/>
      <c r="AJ746" s="170"/>
      <c r="AK746" s="171"/>
      <c r="AL746" s="171"/>
      <c r="AM746" s="170"/>
      <c r="AN746" s="170"/>
      <c r="AO746" s="170"/>
      <c r="AP746" s="171"/>
      <c r="AQ746" s="171"/>
      <c r="AR746" s="170"/>
      <c r="AS746" s="170"/>
      <c r="AT746" s="170"/>
      <c r="AU746" s="171"/>
      <c r="AV746" s="171"/>
      <c r="AW746" s="171"/>
      <c r="AX746" s="171"/>
      <c r="AY746" s="171"/>
      <c r="AZ746" s="171"/>
      <c r="BA746" s="171"/>
      <c r="BB746" s="171"/>
      <c r="BC746" s="171"/>
      <c r="BD746" s="172"/>
      <c r="BE746" s="172"/>
      <c r="BF746" s="172"/>
      <c r="BG746" s="172"/>
      <c r="BH746" s="172"/>
      <c r="BI746" s="172"/>
      <c r="BJ746" s="172"/>
      <c r="BK746" s="172"/>
      <c r="BL746" s="172"/>
      <c r="BM746" s="172"/>
      <c r="BN746" s="172"/>
      <c r="BO746" s="172"/>
      <c r="BP746" s="172"/>
      <c r="BQ746" s="172"/>
      <c r="BR746" s="172"/>
      <c r="BS746" s="172"/>
    </row>
    <row r="747" spans="1:71" ht="12.5" x14ac:dyDescent="0.25">
      <c r="A747" s="170"/>
      <c r="B747" s="170"/>
      <c r="C747" s="170"/>
      <c r="D747" s="170"/>
      <c r="E747" s="171"/>
      <c r="F747" s="171"/>
      <c r="G747" s="170"/>
      <c r="H747" s="170"/>
      <c r="I747" s="170"/>
      <c r="J747" s="171"/>
      <c r="K747" s="171"/>
      <c r="L747" s="170"/>
      <c r="M747" s="170"/>
      <c r="N747" s="170"/>
      <c r="O747" s="171"/>
      <c r="P747" s="171"/>
      <c r="Q747" s="170"/>
      <c r="R747" s="170"/>
      <c r="S747" s="170"/>
      <c r="T747" s="171"/>
      <c r="U747" s="171"/>
      <c r="V747" s="171"/>
      <c r="W747" s="171"/>
      <c r="X747" s="171"/>
      <c r="Y747" s="171"/>
      <c r="Z747" s="171"/>
      <c r="AA747" s="171"/>
      <c r="AB747" s="171"/>
      <c r="AC747" s="170"/>
      <c r="AD747" s="170"/>
      <c r="AE747" s="170"/>
      <c r="AF747" s="170"/>
      <c r="AG747" s="170"/>
      <c r="AH747" s="170"/>
      <c r="AI747" s="170"/>
      <c r="AJ747" s="170"/>
      <c r="AK747" s="171"/>
      <c r="AL747" s="171"/>
      <c r="AM747" s="170"/>
      <c r="AN747" s="170"/>
      <c r="AO747" s="170"/>
      <c r="AP747" s="171"/>
      <c r="AQ747" s="171"/>
      <c r="AR747" s="170"/>
      <c r="AS747" s="170"/>
      <c r="AT747" s="170"/>
      <c r="AU747" s="171"/>
      <c r="AV747" s="171"/>
      <c r="AW747" s="171"/>
      <c r="AX747" s="171"/>
      <c r="AY747" s="171"/>
      <c r="AZ747" s="171"/>
      <c r="BA747" s="171"/>
      <c r="BB747" s="171"/>
      <c r="BC747" s="171"/>
      <c r="BD747" s="172"/>
      <c r="BE747" s="172"/>
      <c r="BF747" s="172"/>
      <c r="BG747" s="172"/>
      <c r="BH747" s="172"/>
      <c r="BI747" s="172"/>
      <c r="BJ747" s="172"/>
      <c r="BK747" s="172"/>
      <c r="BL747" s="172"/>
      <c r="BM747" s="172"/>
      <c r="BN747" s="172"/>
      <c r="BO747" s="172"/>
      <c r="BP747" s="172"/>
      <c r="BQ747" s="172"/>
      <c r="BR747" s="172"/>
      <c r="BS747" s="172"/>
    </row>
    <row r="748" spans="1:71" ht="12.5" x14ac:dyDescent="0.25">
      <c r="A748" s="170"/>
      <c r="B748" s="170"/>
      <c r="C748" s="170"/>
      <c r="D748" s="170"/>
      <c r="E748" s="171"/>
      <c r="F748" s="171"/>
      <c r="G748" s="170"/>
      <c r="H748" s="170"/>
      <c r="I748" s="170"/>
      <c r="J748" s="171"/>
      <c r="K748" s="171"/>
      <c r="L748" s="170"/>
      <c r="M748" s="170"/>
      <c r="N748" s="170"/>
      <c r="O748" s="171"/>
      <c r="P748" s="171"/>
      <c r="Q748" s="170"/>
      <c r="R748" s="170"/>
      <c r="S748" s="170"/>
      <c r="T748" s="171"/>
      <c r="U748" s="171"/>
      <c r="V748" s="171"/>
      <c r="W748" s="171"/>
      <c r="X748" s="171"/>
      <c r="Y748" s="171"/>
      <c r="Z748" s="171"/>
      <c r="AA748" s="171"/>
      <c r="AB748" s="171"/>
      <c r="AC748" s="170"/>
      <c r="AD748" s="170"/>
      <c r="AE748" s="170"/>
      <c r="AF748" s="170"/>
      <c r="AG748" s="170"/>
      <c r="AH748" s="170"/>
      <c r="AI748" s="170"/>
      <c r="AJ748" s="170"/>
      <c r="AK748" s="171"/>
      <c r="AL748" s="171"/>
      <c r="AM748" s="170"/>
      <c r="AN748" s="170"/>
      <c r="AO748" s="170"/>
      <c r="AP748" s="171"/>
      <c r="AQ748" s="171"/>
      <c r="AR748" s="170"/>
      <c r="AS748" s="170"/>
      <c r="AT748" s="170"/>
      <c r="AU748" s="171"/>
      <c r="AV748" s="171"/>
      <c r="AW748" s="171"/>
      <c r="AX748" s="171"/>
      <c r="AY748" s="171"/>
      <c r="AZ748" s="171"/>
      <c r="BA748" s="171"/>
      <c r="BB748" s="171"/>
      <c r="BC748" s="171"/>
      <c r="BD748" s="172"/>
      <c r="BE748" s="172"/>
      <c r="BF748" s="172"/>
      <c r="BG748" s="172"/>
      <c r="BH748" s="172"/>
      <c r="BI748" s="172"/>
      <c r="BJ748" s="172"/>
      <c r="BK748" s="172"/>
      <c r="BL748" s="172"/>
      <c r="BM748" s="172"/>
      <c r="BN748" s="172"/>
      <c r="BO748" s="172"/>
      <c r="BP748" s="172"/>
      <c r="BQ748" s="172"/>
      <c r="BR748" s="172"/>
      <c r="BS748" s="172"/>
    </row>
    <row r="749" spans="1:71" ht="12.5" x14ac:dyDescent="0.25">
      <c r="A749" s="170"/>
      <c r="B749" s="170"/>
      <c r="C749" s="170"/>
      <c r="D749" s="170"/>
      <c r="E749" s="171"/>
      <c r="F749" s="171"/>
      <c r="G749" s="170"/>
      <c r="H749" s="170"/>
      <c r="I749" s="170"/>
      <c r="J749" s="171"/>
      <c r="K749" s="171"/>
      <c r="L749" s="170"/>
      <c r="M749" s="170"/>
      <c r="N749" s="170"/>
      <c r="O749" s="171"/>
      <c r="P749" s="171"/>
      <c r="Q749" s="170"/>
      <c r="R749" s="170"/>
      <c r="S749" s="170"/>
      <c r="T749" s="171"/>
      <c r="U749" s="171"/>
      <c r="V749" s="171"/>
      <c r="W749" s="171"/>
      <c r="X749" s="171"/>
      <c r="Y749" s="171"/>
      <c r="Z749" s="171"/>
      <c r="AA749" s="171"/>
      <c r="AB749" s="171"/>
      <c r="AC749" s="170"/>
      <c r="AD749" s="170"/>
      <c r="AE749" s="170"/>
      <c r="AF749" s="170"/>
      <c r="AG749" s="170"/>
      <c r="AH749" s="170"/>
      <c r="AI749" s="170"/>
      <c r="AJ749" s="170"/>
      <c r="AK749" s="171"/>
      <c r="AL749" s="171"/>
      <c r="AM749" s="170"/>
      <c r="AN749" s="170"/>
      <c r="AO749" s="170"/>
      <c r="AP749" s="171"/>
      <c r="AQ749" s="171"/>
      <c r="AR749" s="170"/>
      <c r="AS749" s="170"/>
      <c r="AT749" s="170"/>
      <c r="AU749" s="171"/>
      <c r="AV749" s="171"/>
      <c r="AW749" s="171"/>
      <c r="AX749" s="171"/>
      <c r="AY749" s="171"/>
      <c r="AZ749" s="171"/>
      <c r="BA749" s="171"/>
      <c r="BB749" s="171"/>
      <c r="BC749" s="171"/>
      <c r="BD749" s="172"/>
      <c r="BE749" s="172"/>
      <c r="BF749" s="172"/>
      <c r="BG749" s="172"/>
      <c r="BH749" s="172"/>
      <c r="BI749" s="172"/>
      <c r="BJ749" s="172"/>
      <c r="BK749" s="172"/>
      <c r="BL749" s="172"/>
      <c r="BM749" s="172"/>
      <c r="BN749" s="172"/>
      <c r="BO749" s="172"/>
      <c r="BP749" s="172"/>
      <c r="BQ749" s="172"/>
      <c r="BR749" s="172"/>
      <c r="BS749" s="172"/>
    </row>
    <row r="750" spans="1:71" ht="12.5" x14ac:dyDescent="0.25">
      <c r="A750" s="170"/>
      <c r="B750" s="170"/>
      <c r="C750" s="170"/>
      <c r="D750" s="170"/>
      <c r="E750" s="171"/>
      <c r="F750" s="171"/>
      <c r="G750" s="170"/>
      <c r="H750" s="170"/>
      <c r="I750" s="170"/>
      <c r="J750" s="171"/>
      <c r="K750" s="171"/>
      <c r="L750" s="170"/>
      <c r="M750" s="170"/>
      <c r="N750" s="170"/>
      <c r="O750" s="171"/>
      <c r="P750" s="171"/>
      <c r="Q750" s="170"/>
      <c r="R750" s="170"/>
      <c r="S750" s="170"/>
      <c r="T750" s="171"/>
      <c r="U750" s="171"/>
      <c r="V750" s="171"/>
      <c r="W750" s="171"/>
      <c r="X750" s="171"/>
      <c r="Y750" s="171"/>
      <c r="Z750" s="171"/>
      <c r="AA750" s="171"/>
      <c r="AB750" s="171"/>
      <c r="AC750" s="170"/>
      <c r="AD750" s="170"/>
      <c r="AE750" s="170"/>
      <c r="AF750" s="170"/>
      <c r="AG750" s="170"/>
      <c r="AH750" s="170"/>
      <c r="AI750" s="170"/>
      <c r="AJ750" s="170"/>
      <c r="AK750" s="171"/>
      <c r="AL750" s="171"/>
      <c r="AM750" s="170"/>
      <c r="AN750" s="170"/>
      <c r="AO750" s="170"/>
      <c r="AP750" s="171"/>
      <c r="AQ750" s="171"/>
      <c r="AR750" s="170"/>
      <c r="AS750" s="170"/>
      <c r="AT750" s="170"/>
      <c r="AU750" s="171"/>
      <c r="AV750" s="171"/>
      <c r="AW750" s="171"/>
      <c r="AX750" s="171"/>
      <c r="AY750" s="171"/>
      <c r="AZ750" s="171"/>
      <c r="BA750" s="171"/>
      <c r="BB750" s="171"/>
      <c r="BC750" s="171"/>
      <c r="BD750" s="172"/>
      <c r="BE750" s="172"/>
      <c r="BF750" s="172"/>
      <c r="BG750" s="172"/>
      <c r="BH750" s="172"/>
      <c r="BI750" s="172"/>
      <c r="BJ750" s="172"/>
      <c r="BK750" s="172"/>
      <c r="BL750" s="172"/>
      <c r="BM750" s="172"/>
      <c r="BN750" s="172"/>
      <c r="BO750" s="172"/>
      <c r="BP750" s="172"/>
      <c r="BQ750" s="172"/>
      <c r="BR750" s="172"/>
      <c r="BS750" s="172"/>
    </row>
    <row r="751" spans="1:71" ht="12.5" x14ac:dyDescent="0.25">
      <c r="A751" s="170"/>
      <c r="B751" s="170"/>
      <c r="C751" s="170"/>
      <c r="D751" s="170"/>
      <c r="E751" s="171"/>
      <c r="F751" s="171"/>
      <c r="G751" s="170"/>
      <c r="H751" s="170"/>
      <c r="I751" s="170"/>
      <c r="J751" s="171"/>
      <c r="K751" s="171"/>
      <c r="L751" s="170"/>
      <c r="M751" s="170"/>
      <c r="N751" s="170"/>
      <c r="O751" s="171"/>
      <c r="P751" s="171"/>
      <c r="Q751" s="170"/>
      <c r="R751" s="170"/>
      <c r="S751" s="170"/>
      <c r="T751" s="171"/>
      <c r="U751" s="171"/>
      <c r="V751" s="171"/>
      <c r="W751" s="171"/>
      <c r="X751" s="171"/>
      <c r="Y751" s="171"/>
      <c r="Z751" s="171"/>
      <c r="AA751" s="171"/>
      <c r="AB751" s="171"/>
      <c r="AC751" s="170"/>
      <c r="AD751" s="170"/>
      <c r="AE751" s="170"/>
      <c r="AF751" s="170"/>
      <c r="AG751" s="170"/>
      <c r="AH751" s="170"/>
      <c r="AI751" s="170"/>
      <c r="AJ751" s="170"/>
      <c r="AK751" s="171"/>
      <c r="AL751" s="171"/>
      <c r="AM751" s="170"/>
      <c r="AN751" s="170"/>
      <c r="AO751" s="170"/>
      <c r="AP751" s="171"/>
      <c r="AQ751" s="171"/>
      <c r="AR751" s="170"/>
      <c r="AS751" s="170"/>
      <c r="AT751" s="170"/>
      <c r="AU751" s="171"/>
      <c r="AV751" s="171"/>
      <c r="AW751" s="171"/>
      <c r="AX751" s="171"/>
      <c r="AY751" s="171"/>
      <c r="AZ751" s="171"/>
      <c r="BA751" s="171"/>
      <c r="BB751" s="171"/>
      <c r="BC751" s="171"/>
      <c r="BD751" s="172"/>
      <c r="BE751" s="172"/>
      <c r="BF751" s="172"/>
      <c r="BG751" s="172"/>
      <c r="BH751" s="172"/>
      <c r="BI751" s="172"/>
      <c r="BJ751" s="172"/>
      <c r="BK751" s="172"/>
      <c r="BL751" s="172"/>
      <c r="BM751" s="172"/>
      <c r="BN751" s="172"/>
      <c r="BO751" s="172"/>
      <c r="BP751" s="172"/>
      <c r="BQ751" s="172"/>
      <c r="BR751" s="172"/>
      <c r="BS751" s="172"/>
    </row>
    <row r="752" spans="1:71" ht="12.5" x14ac:dyDescent="0.25">
      <c r="A752" s="170"/>
      <c r="B752" s="170"/>
      <c r="C752" s="170"/>
      <c r="D752" s="170"/>
      <c r="E752" s="171"/>
      <c r="F752" s="171"/>
      <c r="G752" s="170"/>
      <c r="H752" s="170"/>
      <c r="I752" s="170"/>
      <c r="J752" s="171"/>
      <c r="K752" s="171"/>
      <c r="L752" s="170"/>
      <c r="M752" s="170"/>
      <c r="N752" s="170"/>
      <c r="O752" s="171"/>
      <c r="P752" s="171"/>
      <c r="Q752" s="170"/>
      <c r="R752" s="170"/>
      <c r="S752" s="170"/>
      <c r="T752" s="171"/>
      <c r="U752" s="171"/>
      <c r="V752" s="171"/>
      <c r="W752" s="171"/>
      <c r="X752" s="171"/>
      <c r="Y752" s="171"/>
      <c r="Z752" s="171"/>
      <c r="AA752" s="171"/>
      <c r="AB752" s="171"/>
      <c r="AC752" s="170"/>
      <c r="AD752" s="170"/>
      <c r="AE752" s="170"/>
      <c r="AF752" s="170"/>
      <c r="AG752" s="170"/>
      <c r="AH752" s="170"/>
      <c r="AI752" s="170"/>
      <c r="AJ752" s="170"/>
      <c r="AK752" s="171"/>
      <c r="AL752" s="171"/>
      <c r="AM752" s="170"/>
      <c r="AN752" s="170"/>
      <c r="AO752" s="170"/>
      <c r="AP752" s="171"/>
      <c r="AQ752" s="171"/>
      <c r="AR752" s="170"/>
      <c r="AS752" s="170"/>
      <c r="AT752" s="170"/>
      <c r="AU752" s="171"/>
      <c r="AV752" s="171"/>
      <c r="AW752" s="171"/>
      <c r="AX752" s="171"/>
      <c r="AY752" s="171"/>
      <c r="AZ752" s="171"/>
      <c r="BA752" s="171"/>
      <c r="BB752" s="171"/>
      <c r="BC752" s="171"/>
      <c r="BD752" s="172"/>
      <c r="BE752" s="172"/>
      <c r="BF752" s="172"/>
      <c r="BG752" s="172"/>
      <c r="BH752" s="172"/>
      <c r="BI752" s="172"/>
      <c r="BJ752" s="172"/>
      <c r="BK752" s="172"/>
      <c r="BL752" s="172"/>
      <c r="BM752" s="172"/>
      <c r="BN752" s="172"/>
      <c r="BO752" s="172"/>
      <c r="BP752" s="172"/>
      <c r="BQ752" s="172"/>
      <c r="BR752" s="172"/>
      <c r="BS752" s="172"/>
    </row>
    <row r="753" spans="1:71" ht="12.5" x14ac:dyDescent="0.25">
      <c r="A753" s="170"/>
      <c r="B753" s="170"/>
      <c r="C753" s="170"/>
      <c r="D753" s="170"/>
      <c r="E753" s="171"/>
      <c r="F753" s="171"/>
      <c r="G753" s="170"/>
      <c r="H753" s="170"/>
      <c r="I753" s="170"/>
      <c r="J753" s="171"/>
      <c r="K753" s="171"/>
      <c r="L753" s="170"/>
      <c r="M753" s="170"/>
      <c r="N753" s="170"/>
      <c r="O753" s="171"/>
      <c r="P753" s="171"/>
      <c r="Q753" s="170"/>
      <c r="R753" s="170"/>
      <c r="S753" s="170"/>
      <c r="T753" s="171"/>
      <c r="U753" s="171"/>
      <c r="V753" s="171"/>
      <c r="W753" s="171"/>
      <c r="X753" s="171"/>
      <c r="Y753" s="171"/>
      <c r="Z753" s="171"/>
      <c r="AA753" s="171"/>
      <c r="AB753" s="171"/>
      <c r="AC753" s="170"/>
      <c r="AD753" s="170"/>
      <c r="AE753" s="170"/>
      <c r="AF753" s="170"/>
      <c r="AG753" s="170"/>
      <c r="AH753" s="170"/>
      <c r="AI753" s="170"/>
      <c r="AJ753" s="170"/>
      <c r="AK753" s="171"/>
      <c r="AL753" s="171"/>
      <c r="AM753" s="170"/>
      <c r="AN753" s="170"/>
      <c r="AO753" s="170"/>
      <c r="AP753" s="171"/>
      <c r="AQ753" s="171"/>
      <c r="AR753" s="170"/>
      <c r="AS753" s="170"/>
      <c r="AT753" s="170"/>
      <c r="AU753" s="171"/>
      <c r="AV753" s="171"/>
      <c r="AW753" s="171"/>
      <c r="AX753" s="171"/>
      <c r="AY753" s="171"/>
      <c r="AZ753" s="171"/>
      <c r="BA753" s="171"/>
      <c r="BB753" s="171"/>
      <c r="BC753" s="171"/>
      <c r="BD753" s="172"/>
      <c r="BE753" s="172"/>
      <c r="BF753" s="172"/>
      <c r="BG753" s="172"/>
      <c r="BH753" s="172"/>
      <c r="BI753" s="172"/>
      <c r="BJ753" s="172"/>
      <c r="BK753" s="172"/>
      <c r="BL753" s="172"/>
      <c r="BM753" s="172"/>
      <c r="BN753" s="172"/>
      <c r="BO753" s="172"/>
      <c r="BP753" s="172"/>
      <c r="BQ753" s="172"/>
      <c r="BR753" s="172"/>
      <c r="BS753" s="172"/>
    </row>
    <row r="754" spans="1:71" ht="12.5" x14ac:dyDescent="0.25">
      <c r="A754" s="170"/>
      <c r="B754" s="170"/>
      <c r="C754" s="170"/>
      <c r="D754" s="170"/>
      <c r="E754" s="171"/>
      <c r="F754" s="171"/>
      <c r="G754" s="170"/>
      <c r="H754" s="170"/>
      <c r="I754" s="170"/>
      <c r="J754" s="171"/>
      <c r="K754" s="171"/>
      <c r="L754" s="170"/>
      <c r="M754" s="170"/>
      <c r="N754" s="170"/>
      <c r="O754" s="171"/>
      <c r="P754" s="171"/>
      <c r="Q754" s="170"/>
      <c r="R754" s="170"/>
      <c r="S754" s="170"/>
      <c r="T754" s="171"/>
      <c r="U754" s="171"/>
      <c r="V754" s="171"/>
      <c r="W754" s="171"/>
      <c r="X754" s="171"/>
      <c r="Y754" s="171"/>
      <c r="Z754" s="171"/>
      <c r="AA754" s="171"/>
      <c r="AB754" s="171"/>
      <c r="AC754" s="170"/>
      <c r="AD754" s="170"/>
      <c r="AE754" s="170"/>
      <c r="AF754" s="170"/>
      <c r="AG754" s="170"/>
      <c r="AH754" s="170"/>
      <c r="AI754" s="170"/>
      <c r="AJ754" s="170"/>
      <c r="AK754" s="171"/>
      <c r="AL754" s="171"/>
      <c r="AM754" s="170"/>
      <c r="AN754" s="170"/>
      <c r="AO754" s="170"/>
      <c r="AP754" s="171"/>
      <c r="AQ754" s="171"/>
      <c r="AR754" s="170"/>
      <c r="AS754" s="170"/>
      <c r="AT754" s="170"/>
      <c r="AU754" s="171"/>
      <c r="AV754" s="171"/>
      <c r="AW754" s="171"/>
      <c r="AX754" s="171"/>
      <c r="AY754" s="171"/>
      <c r="AZ754" s="171"/>
      <c r="BA754" s="171"/>
      <c r="BB754" s="171"/>
      <c r="BC754" s="171"/>
      <c r="BD754" s="172"/>
      <c r="BE754" s="172"/>
      <c r="BF754" s="172"/>
      <c r="BG754" s="172"/>
      <c r="BH754" s="172"/>
      <c r="BI754" s="172"/>
      <c r="BJ754" s="172"/>
      <c r="BK754" s="172"/>
      <c r="BL754" s="172"/>
      <c r="BM754" s="172"/>
      <c r="BN754" s="172"/>
      <c r="BO754" s="172"/>
      <c r="BP754" s="172"/>
      <c r="BQ754" s="172"/>
      <c r="BR754" s="172"/>
      <c r="BS754" s="172"/>
    </row>
    <row r="755" spans="1:71" ht="12.5" x14ac:dyDescent="0.25">
      <c r="A755" s="170"/>
      <c r="B755" s="170"/>
      <c r="C755" s="170"/>
      <c r="D755" s="170"/>
      <c r="E755" s="171"/>
      <c r="F755" s="171"/>
      <c r="G755" s="170"/>
      <c r="H755" s="170"/>
      <c r="I755" s="170"/>
      <c r="J755" s="171"/>
      <c r="K755" s="171"/>
      <c r="L755" s="170"/>
      <c r="M755" s="170"/>
      <c r="N755" s="170"/>
      <c r="O755" s="171"/>
      <c r="P755" s="171"/>
      <c r="Q755" s="170"/>
      <c r="R755" s="170"/>
      <c r="S755" s="170"/>
      <c r="T755" s="171"/>
      <c r="U755" s="171"/>
      <c r="V755" s="171"/>
      <c r="W755" s="171"/>
      <c r="X755" s="171"/>
      <c r="Y755" s="171"/>
      <c r="Z755" s="171"/>
      <c r="AA755" s="171"/>
      <c r="AB755" s="171"/>
      <c r="AC755" s="170"/>
      <c r="AD755" s="170"/>
      <c r="AE755" s="170"/>
      <c r="AF755" s="170"/>
      <c r="AG755" s="170"/>
      <c r="AH755" s="170"/>
      <c r="AI755" s="170"/>
      <c r="AJ755" s="170"/>
      <c r="AK755" s="171"/>
      <c r="AL755" s="171"/>
      <c r="AM755" s="170"/>
      <c r="AN755" s="170"/>
      <c r="AO755" s="170"/>
      <c r="AP755" s="171"/>
      <c r="AQ755" s="171"/>
      <c r="AR755" s="170"/>
      <c r="AS755" s="170"/>
      <c r="AT755" s="170"/>
      <c r="AU755" s="171"/>
      <c r="AV755" s="171"/>
      <c r="AW755" s="171"/>
      <c r="AX755" s="171"/>
      <c r="AY755" s="171"/>
      <c r="AZ755" s="171"/>
      <c r="BA755" s="171"/>
      <c r="BB755" s="171"/>
      <c r="BC755" s="171"/>
      <c r="BD755" s="172"/>
      <c r="BE755" s="172"/>
      <c r="BF755" s="172"/>
      <c r="BG755" s="172"/>
      <c r="BH755" s="172"/>
      <c r="BI755" s="172"/>
      <c r="BJ755" s="172"/>
      <c r="BK755" s="172"/>
      <c r="BL755" s="172"/>
      <c r="BM755" s="172"/>
      <c r="BN755" s="172"/>
      <c r="BO755" s="172"/>
      <c r="BP755" s="172"/>
      <c r="BQ755" s="172"/>
      <c r="BR755" s="172"/>
      <c r="BS755" s="172"/>
    </row>
    <row r="756" spans="1:71" ht="12.5" x14ac:dyDescent="0.25">
      <c r="A756" s="170"/>
      <c r="B756" s="170"/>
      <c r="C756" s="170"/>
      <c r="D756" s="170"/>
      <c r="E756" s="171"/>
      <c r="F756" s="171"/>
      <c r="G756" s="170"/>
      <c r="H756" s="170"/>
      <c r="I756" s="170"/>
      <c r="J756" s="171"/>
      <c r="K756" s="171"/>
      <c r="L756" s="170"/>
      <c r="M756" s="170"/>
      <c r="N756" s="170"/>
      <c r="O756" s="171"/>
      <c r="P756" s="171"/>
      <c r="Q756" s="170"/>
      <c r="R756" s="170"/>
      <c r="S756" s="170"/>
      <c r="T756" s="171"/>
      <c r="U756" s="171"/>
      <c r="V756" s="171"/>
      <c r="W756" s="171"/>
      <c r="X756" s="171"/>
      <c r="Y756" s="171"/>
      <c r="Z756" s="171"/>
      <c r="AA756" s="171"/>
      <c r="AB756" s="171"/>
      <c r="AC756" s="170"/>
      <c r="AD756" s="170"/>
      <c r="AE756" s="170"/>
      <c r="AF756" s="170"/>
      <c r="AG756" s="170"/>
      <c r="AH756" s="170"/>
      <c r="AI756" s="170"/>
      <c r="AJ756" s="170"/>
      <c r="AK756" s="171"/>
      <c r="AL756" s="171"/>
      <c r="AM756" s="170"/>
      <c r="AN756" s="170"/>
      <c r="AO756" s="170"/>
      <c r="AP756" s="171"/>
      <c r="AQ756" s="171"/>
      <c r="AR756" s="170"/>
      <c r="AS756" s="170"/>
      <c r="AT756" s="170"/>
      <c r="AU756" s="171"/>
      <c r="AV756" s="171"/>
      <c r="AW756" s="171"/>
      <c r="AX756" s="171"/>
      <c r="AY756" s="171"/>
      <c r="AZ756" s="171"/>
      <c r="BA756" s="171"/>
      <c r="BB756" s="171"/>
      <c r="BC756" s="171"/>
      <c r="BD756" s="172"/>
      <c r="BE756" s="172"/>
      <c r="BF756" s="172"/>
      <c r="BG756" s="172"/>
      <c r="BH756" s="172"/>
      <c r="BI756" s="172"/>
      <c r="BJ756" s="172"/>
      <c r="BK756" s="172"/>
      <c r="BL756" s="172"/>
      <c r="BM756" s="172"/>
      <c r="BN756" s="172"/>
      <c r="BO756" s="172"/>
      <c r="BP756" s="172"/>
      <c r="BQ756" s="172"/>
      <c r="BR756" s="172"/>
      <c r="BS756" s="172"/>
    </row>
    <row r="757" spans="1:71" ht="12.5" x14ac:dyDescent="0.25">
      <c r="A757" s="170"/>
      <c r="B757" s="170"/>
      <c r="C757" s="170"/>
      <c r="D757" s="170"/>
      <c r="E757" s="171"/>
      <c r="F757" s="171"/>
      <c r="G757" s="170"/>
      <c r="H757" s="170"/>
      <c r="I757" s="170"/>
      <c r="J757" s="171"/>
      <c r="K757" s="171"/>
      <c r="L757" s="170"/>
      <c r="M757" s="170"/>
      <c r="N757" s="170"/>
      <c r="O757" s="171"/>
      <c r="P757" s="171"/>
      <c r="Q757" s="170"/>
      <c r="R757" s="170"/>
      <c r="S757" s="170"/>
      <c r="T757" s="171"/>
      <c r="U757" s="171"/>
      <c r="V757" s="171"/>
      <c r="W757" s="171"/>
      <c r="X757" s="171"/>
      <c r="Y757" s="171"/>
      <c r="Z757" s="171"/>
      <c r="AA757" s="171"/>
      <c r="AB757" s="171"/>
      <c r="AC757" s="170"/>
      <c r="AD757" s="170"/>
      <c r="AE757" s="170"/>
      <c r="AF757" s="170"/>
      <c r="AG757" s="170"/>
      <c r="AH757" s="170"/>
      <c r="AI757" s="170"/>
      <c r="AJ757" s="170"/>
      <c r="AK757" s="171"/>
      <c r="AL757" s="171"/>
      <c r="AM757" s="170"/>
      <c r="AN757" s="170"/>
      <c r="AO757" s="170"/>
      <c r="AP757" s="171"/>
      <c r="AQ757" s="171"/>
      <c r="AR757" s="170"/>
      <c r="AS757" s="170"/>
      <c r="AT757" s="170"/>
      <c r="AU757" s="171"/>
      <c r="AV757" s="171"/>
      <c r="AW757" s="171"/>
      <c r="AX757" s="171"/>
      <c r="AY757" s="171"/>
      <c r="AZ757" s="171"/>
      <c r="BA757" s="171"/>
      <c r="BB757" s="171"/>
      <c r="BC757" s="171"/>
      <c r="BD757" s="172"/>
      <c r="BE757" s="172"/>
      <c r="BF757" s="172"/>
      <c r="BG757" s="172"/>
      <c r="BH757" s="172"/>
      <c r="BI757" s="172"/>
      <c r="BJ757" s="172"/>
      <c r="BK757" s="172"/>
      <c r="BL757" s="172"/>
      <c r="BM757" s="172"/>
      <c r="BN757" s="172"/>
      <c r="BO757" s="172"/>
      <c r="BP757" s="172"/>
      <c r="BQ757" s="172"/>
      <c r="BR757" s="172"/>
      <c r="BS757" s="172"/>
    </row>
    <row r="758" spans="1:71" ht="12.5" x14ac:dyDescent="0.25">
      <c r="A758" s="170"/>
      <c r="B758" s="170"/>
      <c r="C758" s="170"/>
      <c r="D758" s="170"/>
      <c r="E758" s="171"/>
      <c r="F758" s="171"/>
      <c r="G758" s="170"/>
      <c r="H758" s="170"/>
      <c r="I758" s="170"/>
      <c r="J758" s="171"/>
      <c r="K758" s="171"/>
      <c r="L758" s="170"/>
      <c r="M758" s="170"/>
      <c r="N758" s="170"/>
      <c r="O758" s="171"/>
      <c r="P758" s="171"/>
      <c r="Q758" s="170"/>
      <c r="R758" s="170"/>
      <c r="S758" s="170"/>
      <c r="T758" s="171"/>
      <c r="U758" s="171"/>
      <c r="V758" s="171"/>
      <c r="W758" s="171"/>
      <c r="X758" s="171"/>
      <c r="Y758" s="171"/>
      <c r="Z758" s="171"/>
      <c r="AA758" s="171"/>
      <c r="AB758" s="171"/>
      <c r="AC758" s="170"/>
      <c r="AD758" s="170"/>
      <c r="AE758" s="170"/>
      <c r="AF758" s="170"/>
      <c r="AG758" s="170"/>
      <c r="AH758" s="170"/>
      <c r="AI758" s="170"/>
      <c r="AJ758" s="170"/>
      <c r="AK758" s="171"/>
      <c r="AL758" s="171"/>
      <c r="AM758" s="170"/>
      <c r="AN758" s="170"/>
      <c r="AO758" s="170"/>
      <c r="AP758" s="171"/>
      <c r="AQ758" s="171"/>
      <c r="AR758" s="170"/>
      <c r="AS758" s="170"/>
      <c r="AT758" s="170"/>
      <c r="AU758" s="171"/>
      <c r="AV758" s="171"/>
      <c r="AW758" s="171"/>
      <c r="AX758" s="171"/>
      <c r="AY758" s="171"/>
      <c r="AZ758" s="171"/>
      <c r="BA758" s="171"/>
      <c r="BB758" s="171"/>
      <c r="BC758" s="171"/>
      <c r="BD758" s="172"/>
      <c r="BE758" s="172"/>
      <c r="BF758" s="172"/>
      <c r="BG758" s="172"/>
      <c r="BH758" s="172"/>
      <c r="BI758" s="172"/>
      <c r="BJ758" s="172"/>
      <c r="BK758" s="172"/>
      <c r="BL758" s="172"/>
      <c r="BM758" s="172"/>
      <c r="BN758" s="172"/>
      <c r="BO758" s="172"/>
      <c r="BP758" s="172"/>
      <c r="BQ758" s="172"/>
      <c r="BR758" s="172"/>
      <c r="BS758" s="172"/>
    </row>
    <row r="759" spans="1:71" ht="12.5" x14ac:dyDescent="0.25">
      <c r="A759" s="170"/>
      <c r="B759" s="170"/>
      <c r="C759" s="170"/>
      <c r="D759" s="170"/>
      <c r="E759" s="171"/>
      <c r="F759" s="171"/>
      <c r="G759" s="170"/>
      <c r="H759" s="170"/>
      <c r="I759" s="170"/>
      <c r="J759" s="171"/>
      <c r="K759" s="171"/>
      <c r="L759" s="170"/>
      <c r="M759" s="170"/>
      <c r="N759" s="170"/>
      <c r="O759" s="171"/>
      <c r="P759" s="171"/>
      <c r="Q759" s="170"/>
      <c r="R759" s="170"/>
      <c r="S759" s="170"/>
      <c r="T759" s="171"/>
      <c r="U759" s="171"/>
      <c r="V759" s="171"/>
      <c r="W759" s="171"/>
      <c r="X759" s="171"/>
      <c r="Y759" s="171"/>
      <c r="Z759" s="171"/>
      <c r="AA759" s="171"/>
      <c r="AB759" s="171"/>
      <c r="AC759" s="170"/>
      <c r="AD759" s="170"/>
      <c r="AE759" s="170"/>
      <c r="AF759" s="170"/>
      <c r="AG759" s="170"/>
      <c r="AH759" s="170"/>
      <c r="AI759" s="170"/>
      <c r="AJ759" s="170"/>
      <c r="AK759" s="171"/>
      <c r="AL759" s="171"/>
      <c r="AM759" s="170"/>
      <c r="AN759" s="170"/>
      <c r="AO759" s="170"/>
      <c r="AP759" s="171"/>
      <c r="AQ759" s="171"/>
      <c r="AR759" s="170"/>
      <c r="AS759" s="170"/>
      <c r="AT759" s="170"/>
      <c r="AU759" s="171"/>
      <c r="AV759" s="171"/>
      <c r="AW759" s="171"/>
      <c r="AX759" s="171"/>
      <c r="AY759" s="171"/>
      <c r="AZ759" s="171"/>
      <c r="BA759" s="171"/>
      <c r="BB759" s="171"/>
      <c r="BC759" s="171"/>
      <c r="BD759" s="172"/>
      <c r="BE759" s="172"/>
      <c r="BF759" s="172"/>
      <c r="BG759" s="172"/>
      <c r="BH759" s="172"/>
      <c r="BI759" s="172"/>
      <c r="BJ759" s="172"/>
      <c r="BK759" s="172"/>
      <c r="BL759" s="172"/>
      <c r="BM759" s="172"/>
      <c r="BN759" s="172"/>
      <c r="BO759" s="172"/>
      <c r="BP759" s="172"/>
      <c r="BQ759" s="172"/>
      <c r="BR759" s="172"/>
      <c r="BS759" s="172"/>
    </row>
    <row r="760" spans="1:71" ht="12.5" x14ac:dyDescent="0.25">
      <c r="A760" s="170"/>
      <c r="B760" s="170"/>
      <c r="C760" s="170"/>
      <c r="D760" s="170"/>
      <c r="E760" s="171"/>
      <c r="F760" s="171"/>
      <c r="G760" s="170"/>
      <c r="H760" s="170"/>
      <c r="I760" s="170"/>
      <c r="J760" s="171"/>
      <c r="K760" s="171"/>
      <c r="L760" s="170"/>
      <c r="M760" s="170"/>
      <c r="N760" s="170"/>
      <c r="O760" s="171"/>
      <c r="P760" s="171"/>
      <c r="Q760" s="170"/>
      <c r="R760" s="170"/>
      <c r="S760" s="170"/>
      <c r="T760" s="171"/>
      <c r="U760" s="171"/>
      <c r="V760" s="171"/>
      <c r="W760" s="171"/>
      <c r="X760" s="171"/>
      <c r="Y760" s="171"/>
      <c r="Z760" s="171"/>
      <c r="AA760" s="171"/>
      <c r="AB760" s="171"/>
      <c r="AC760" s="170"/>
      <c r="AD760" s="170"/>
      <c r="AE760" s="170"/>
      <c r="AF760" s="170"/>
      <c r="AG760" s="170"/>
      <c r="AH760" s="170"/>
      <c r="AI760" s="170"/>
      <c r="AJ760" s="170"/>
      <c r="AK760" s="171"/>
      <c r="AL760" s="171"/>
      <c r="AM760" s="170"/>
      <c r="AN760" s="170"/>
      <c r="AO760" s="170"/>
      <c r="AP760" s="171"/>
      <c r="AQ760" s="171"/>
      <c r="AR760" s="170"/>
      <c r="AS760" s="170"/>
      <c r="AT760" s="170"/>
      <c r="AU760" s="171"/>
      <c r="AV760" s="171"/>
      <c r="AW760" s="171"/>
      <c r="AX760" s="171"/>
      <c r="AY760" s="171"/>
      <c r="AZ760" s="171"/>
      <c r="BA760" s="171"/>
      <c r="BB760" s="171"/>
      <c r="BC760" s="171"/>
      <c r="BD760" s="172"/>
      <c r="BE760" s="172"/>
      <c r="BF760" s="172"/>
      <c r="BG760" s="172"/>
      <c r="BH760" s="172"/>
      <c r="BI760" s="172"/>
      <c r="BJ760" s="172"/>
      <c r="BK760" s="172"/>
      <c r="BL760" s="172"/>
      <c r="BM760" s="172"/>
      <c r="BN760" s="172"/>
      <c r="BO760" s="172"/>
      <c r="BP760" s="172"/>
      <c r="BQ760" s="172"/>
      <c r="BR760" s="172"/>
      <c r="BS760" s="172"/>
    </row>
    <row r="761" spans="1:71" ht="12.5" x14ac:dyDescent="0.25">
      <c r="A761" s="170"/>
      <c r="B761" s="170"/>
      <c r="C761" s="170"/>
      <c r="D761" s="170"/>
      <c r="E761" s="171"/>
      <c r="F761" s="171"/>
      <c r="G761" s="170"/>
      <c r="H761" s="170"/>
      <c r="I761" s="170"/>
      <c r="J761" s="171"/>
      <c r="K761" s="171"/>
      <c r="L761" s="170"/>
      <c r="M761" s="170"/>
      <c r="N761" s="170"/>
      <c r="O761" s="171"/>
      <c r="P761" s="171"/>
      <c r="Q761" s="170"/>
      <c r="R761" s="170"/>
      <c r="S761" s="170"/>
      <c r="T761" s="171"/>
      <c r="U761" s="171"/>
      <c r="V761" s="171"/>
      <c r="W761" s="171"/>
      <c r="X761" s="171"/>
      <c r="Y761" s="171"/>
      <c r="Z761" s="171"/>
      <c r="AA761" s="171"/>
      <c r="AB761" s="171"/>
      <c r="AC761" s="170"/>
      <c r="AD761" s="170"/>
      <c r="AE761" s="170"/>
      <c r="AF761" s="170"/>
      <c r="AG761" s="170"/>
      <c r="AH761" s="170"/>
      <c r="AI761" s="170"/>
      <c r="AJ761" s="170"/>
      <c r="AK761" s="171"/>
      <c r="AL761" s="171"/>
      <c r="AM761" s="170"/>
      <c r="AN761" s="170"/>
      <c r="AO761" s="170"/>
      <c r="AP761" s="171"/>
      <c r="AQ761" s="171"/>
      <c r="AR761" s="170"/>
      <c r="AS761" s="170"/>
      <c r="AT761" s="170"/>
      <c r="AU761" s="171"/>
      <c r="AV761" s="171"/>
      <c r="AW761" s="171"/>
      <c r="AX761" s="171"/>
      <c r="AY761" s="171"/>
      <c r="AZ761" s="171"/>
      <c r="BA761" s="171"/>
      <c r="BB761" s="171"/>
      <c r="BC761" s="171"/>
      <c r="BD761" s="172"/>
      <c r="BE761" s="172"/>
      <c r="BF761" s="172"/>
      <c r="BG761" s="172"/>
      <c r="BH761" s="172"/>
      <c r="BI761" s="172"/>
      <c r="BJ761" s="172"/>
      <c r="BK761" s="172"/>
      <c r="BL761" s="172"/>
      <c r="BM761" s="172"/>
      <c r="BN761" s="172"/>
      <c r="BO761" s="172"/>
      <c r="BP761" s="172"/>
      <c r="BQ761" s="172"/>
      <c r="BR761" s="172"/>
      <c r="BS761" s="172"/>
    </row>
    <row r="762" spans="1:71" ht="12.5" x14ac:dyDescent="0.25">
      <c r="A762" s="170"/>
      <c r="B762" s="170"/>
      <c r="C762" s="170"/>
      <c r="D762" s="170"/>
      <c r="E762" s="171"/>
      <c r="F762" s="171"/>
      <c r="G762" s="170"/>
      <c r="H762" s="170"/>
      <c r="I762" s="170"/>
      <c r="J762" s="171"/>
      <c r="K762" s="171"/>
      <c r="L762" s="170"/>
      <c r="M762" s="170"/>
      <c r="N762" s="170"/>
      <c r="O762" s="171"/>
      <c r="P762" s="171"/>
      <c r="Q762" s="170"/>
      <c r="R762" s="170"/>
      <c r="S762" s="170"/>
      <c r="T762" s="171"/>
      <c r="U762" s="171"/>
      <c r="V762" s="171"/>
      <c r="W762" s="171"/>
      <c r="X762" s="171"/>
      <c r="Y762" s="171"/>
      <c r="Z762" s="171"/>
      <c r="AA762" s="171"/>
      <c r="AB762" s="171"/>
      <c r="AC762" s="170"/>
      <c r="AD762" s="170"/>
      <c r="AE762" s="170"/>
      <c r="AF762" s="170"/>
      <c r="AG762" s="170"/>
      <c r="AH762" s="170"/>
      <c r="AI762" s="170"/>
      <c r="AJ762" s="170"/>
      <c r="AK762" s="171"/>
      <c r="AL762" s="171"/>
      <c r="AM762" s="170"/>
      <c r="AN762" s="170"/>
      <c r="AO762" s="170"/>
      <c r="AP762" s="171"/>
      <c r="AQ762" s="171"/>
      <c r="AR762" s="170"/>
      <c r="AS762" s="170"/>
      <c r="AT762" s="170"/>
      <c r="AU762" s="171"/>
      <c r="AV762" s="171"/>
      <c r="AW762" s="171"/>
      <c r="AX762" s="171"/>
      <c r="AY762" s="171"/>
      <c r="AZ762" s="171"/>
      <c r="BA762" s="171"/>
      <c r="BB762" s="171"/>
      <c r="BC762" s="171"/>
      <c r="BD762" s="172"/>
      <c r="BE762" s="172"/>
      <c r="BF762" s="172"/>
      <c r="BG762" s="172"/>
      <c r="BH762" s="172"/>
      <c r="BI762" s="172"/>
      <c r="BJ762" s="172"/>
      <c r="BK762" s="172"/>
      <c r="BL762" s="172"/>
      <c r="BM762" s="172"/>
      <c r="BN762" s="172"/>
      <c r="BO762" s="172"/>
      <c r="BP762" s="172"/>
      <c r="BQ762" s="172"/>
      <c r="BR762" s="172"/>
      <c r="BS762" s="172"/>
    </row>
    <row r="763" spans="1:71" ht="12.5" x14ac:dyDescent="0.25">
      <c r="A763" s="170"/>
      <c r="B763" s="170"/>
      <c r="C763" s="170"/>
      <c r="D763" s="170"/>
      <c r="E763" s="171"/>
      <c r="F763" s="171"/>
      <c r="G763" s="170"/>
      <c r="H763" s="170"/>
      <c r="I763" s="170"/>
      <c r="J763" s="171"/>
      <c r="K763" s="171"/>
      <c r="L763" s="170"/>
      <c r="M763" s="170"/>
      <c r="N763" s="170"/>
      <c r="O763" s="171"/>
      <c r="P763" s="171"/>
      <c r="Q763" s="170"/>
      <c r="R763" s="170"/>
      <c r="S763" s="170"/>
      <c r="T763" s="171"/>
      <c r="U763" s="171"/>
      <c r="V763" s="171"/>
      <c r="W763" s="171"/>
      <c r="X763" s="171"/>
      <c r="Y763" s="171"/>
      <c r="Z763" s="171"/>
      <c r="AA763" s="171"/>
      <c r="AB763" s="171"/>
      <c r="AC763" s="170"/>
      <c r="AD763" s="170"/>
      <c r="AE763" s="170"/>
      <c r="AF763" s="170"/>
      <c r="AG763" s="170"/>
      <c r="AH763" s="170"/>
      <c r="AI763" s="170"/>
      <c r="AJ763" s="170"/>
      <c r="AK763" s="171"/>
      <c r="AL763" s="171"/>
      <c r="AM763" s="170"/>
      <c r="AN763" s="170"/>
      <c r="AO763" s="170"/>
      <c r="AP763" s="171"/>
      <c r="AQ763" s="171"/>
      <c r="AR763" s="170"/>
      <c r="AS763" s="170"/>
      <c r="AT763" s="170"/>
      <c r="AU763" s="171"/>
      <c r="AV763" s="171"/>
      <c r="AW763" s="171"/>
      <c r="AX763" s="171"/>
      <c r="AY763" s="171"/>
      <c r="AZ763" s="171"/>
      <c r="BA763" s="171"/>
      <c r="BB763" s="171"/>
      <c r="BC763" s="171"/>
      <c r="BD763" s="172"/>
      <c r="BE763" s="172"/>
      <c r="BF763" s="172"/>
      <c r="BG763" s="172"/>
      <c r="BH763" s="172"/>
      <c r="BI763" s="172"/>
      <c r="BJ763" s="172"/>
      <c r="BK763" s="172"/>
      <c r="BL763" s="172"/>
      <c r="BM763" s="172"/>
      <c r="BN763" s="172"/>
      <c r="BO763" s="172"/>
      <c r="BP763" s="172"/>
      <c r="BQ763" s="172"/>
      <c r="BR763" s="172"/>
      <c r="BS763" s="172"/>
    </row>
    <row r="764" spans="1:71" ht="12.5" x14ac:dyDescent="0.25">
      <c r="A764" s="170"/>
      <c r="B764" s="170"/>
      <c r="C764" s="170"/>
      <c r="D764" s="170"/>
      <c r="E764" s="171"/>
      <c r="F764" s="171"/>
      <c r="G764" s="170"/>
      <c r="H764" s="170"/>
      <c r="I764" s="170"/>
      <c r="J764" s="171"/>
      <c r="K764" s="171"/>
      <c r="L764" s="170"/>
      <c r="M764" s="170"/>
      <c r="N764" s="170"/>
      <c r="O764" s="171"/>
      <c r="P764" s="171"/>
      <c r="Q764" s="170"/>
      <c r="R764" s="170"/>
      <c r="S764" s="170"/>
      <c r="T764" s="171"/>
      <c r="U764" s="171"/>
      <c r="V764" s="171"/>
      <c r="W764" s="171"/>
      <c r="X764" s="171"/>
      <c r="Y764" s="171"/>
      <c r="Z764" s="171"/>
      <c r="AA764" s="171"/>
      <c r="AB764" s="171"/>
      <c r="AC764" s="170"/>
      <c r="AD764" s="170"/>
      <c r="AE764" s="170"/>
      <c r="AF764" s="170"/>
      <c r="AG764" s="170"/>
      <c r="AH764" s="170"/>
      <c r="AI764" s="170"/>
      <c r="AJ764" s="170"/>
      <c r="AK764" s="171"/>
      <c r="AL764" s="171"/>
      <c r="AM764" s="170"/>
      <c r="AN764" s="170"/>
      <c r="AO764" s="170"/>
      <c r="AP764" s="171"/>
      <c r="AQ764" s="171"/>
      <c r="AR764" s="170"/>
      <c r="AS764" s="170"/>
      <c r="AT764" s="170"/>
      <c r="AU764" s="171"/>
      <c r="AV764" s="171"/>
      <c r="AW764" s="171"/>
      <c r="AX764" s="171"/>
      <c r="AY764" s="171"/>
      <c r="AZ764" s="171"/>
      <c r="BA764" s="171"/>
      <c r="BB764" s="171"/>
      <c r="BC764" s="171"/>
      <c r="BD764" s="172"/>
      <c r="BE764" s="172"/>
      <c r="BF764" s="172"/>
      <c r="BG764" s="172"/>
      <c r="BH764" s="172"/>
      <c r="BI764" s="172"/>
      <c r="BJ764" s="172"/>
      <c r="BK764" s="172"/>
      <c r="BL764" s="172"/>
      <c r="BM764" s="172"/>
      <c r="BN764" s="172"/>
      <c r="BO764" s="172"/>
      <c r="BP764" s="172"/>
      <c r="BQ764" s="172"/>
      <c r="BR764" s="172"/>
      <c r="BS764" s="172"/>
    </row>
    <row r="765" spans="1:71" ht="12.5" x14ac:dyDescent="0.25">
      <c r="A765" s="170"/>
      <c r="B765" s="170"/>
      <c r="C765" s="170"/>
      <c r="D765" s="170"/>
      <c r="E765" s="171"/>
      <c r="F765" s="171"/>
      <c r="G765" s="170"/>
      <c r="H765" s="170"/>
      <c r="I765" s="170"/>
      <c r="J765" s="171"/>
      <c r="K765" s="171"/>
      <c r="L765" s="170"/>
      <c r="M765" s="170"/>
      <c r="N765" s="170"/>
      <c r="O765" s="171"/>
      <c r="P765" s="171"/>
      <c r="Q765" s="170"/>
      <c r="R765" s="170"/>
      <c r="S765" s="170"/>
      <c r="T765" s="171"/>
      <c r="U765" s="171"/>
      <c r="V765" s="171"/>
      <c r="W765" s="171"/>
      <c r="X765" s="171"/>
      <c r="Y765" s="171"/>
      <c r="Z765" s="171"/>
      <c r="AA765" s="171"/>
      <c r="AB765" s="171"/>
      <c r="AC765" s="170"/>
      <c r="AD765" s="170"/>
      <c r="AE765" s="170"/>
      <c r="AF765" s="170"/>
      <c r="AG765" s="170"/>
      <c r="AH765" s="170"/>
      <c r="AI765" s="170"/>
      <c r="AJ765" s="170"/>
      <c r="AK765" s="171"/>
      <c r="AL765" s="171"/>
      <c r="AM765" s="170"/>
      <c r="AN765" s="170"/>
      <c r="AO765" s="170"/>
      <c r="AP765" s="171"/>
      <c r="AQ765" s="171"/>
      <c r="AR765" s="170"/>
      <c r="AS765" s="170"/>
      <c r="AT765" s="170"/>
      <c r="AU765" s="171"/>
      <c r="AV765" s="171"/>
      <c r="AW765" s="171"/>
      <c r="AX765" s="171"/>
      <c r="AY765" s="171"/>
      <c r="AZ765" s="171"/>
      <c r="BA765" s="171"/>
      <c r="BB765" s="171"/>
      <c r="BC765" s="171"/>
      <c r="BD765" s="172"/>
      <c r="BE765" s="172"/>
      <c r="BF765" s="172"/>
      <c r="BG765" s="172"/>
      <c r="BH765" s="172"/>
      <c r="BI765" s="172"/>
      <c r="BJ765" s="172"/>
      <c r="BK765" s="172"/>
      <c r="BL765" s="172"/>
      <c r="BM765" s="172"/>
      <c r="BN765" s="172"/>
      <c r="BO765" s="172"/>
      <c r="BP765" s="172"/>
      <c r="BQ765" s="172"/>
      <c r="BR765" s="172"/>
      <c r="BS765" s="172"/>
    </row>
    <row r="766" spans="1:71" ht="12.5" x14ac:dyDescent="0.25">
      <c r="A766" s="170"/>
      <c r="B766" s="170"/>
      <c r="C766" s="170"/>
      <c r="D766" s="170"/>
      <c r="E766" s="171"/>
      <c r="F766" s="171"/>
      <c r="G766" s="170"/>
      <c r="H766" s="170"/>
      <c r="I766" s="170"/>
      <c r="J766" s="171"/>
      <c r="K766" s="171"/>
      <c r="L766" s="170"/>
      <c r="M766" s="170"/>
      <c r="N766" s="170"/>
      <c r="O766" s="171"/>
      <c r="P766" s="171"/>
      <c r="Q766" s="170"/>
      <c r="R766" s="170"/>
      <c r="S766" s="170"/>
      <c r="T766" s="171"/>
      <c r="U766" s="171"/>
      <c r="V766" s="171"/>
      <c r="W766" s="171"/>
      <c r="X766" s="171"/>
      <c r="Y766" s="171"/>
      <c r="Z766" s="171"/>
      <c r="AA766" s="171"/>
      <c r="AB766" s="171"/>
      <c r="AC766" s="170"/>
      <c r="AD766" s="170"/>
      <c r="AE766" s="170"/>
      <c r="AF766" s="170"/>
      <c r="AG766" s="170"/>
      <c r="AH766" s="170"/>
      <c r="AI766" s="170"/>
      <c r="AJ766" s="170"/>
      <c r="AK766" s="171"/>
      <c r="AL766" s="171"/>
      <c r="AM766" s="170"/>
      <c r="AN766" s="170"/>
      <c r="AO766" s="170"/>
      <c r="AP766" s="171"/>
      <c r="AQ766" s="171"/>
      <c r="AR766" s="170"/>
      <c r="AS766" s="170"/>
      <c r="AT766" s="170"/>
      <c r="AU766" s="171"/>
      <c r="AV766" s="171"/>
      <c r="AW766" s="171"/>
      <c r="AX766" s="171"/>
      <c r="AY766" s="171"/>
      <c r="AZ766" s="171"/>
      <c r="BA766" s="171"/>
      <c r="BB766" s="171"/>
      <c r="BC766" s="171"/>
      <c r="BD766" s="172"/>
      <c r="BE766" s="172"/>
      <c r="BF766" s="172"/>
      <c r="BG766" s="172"/>
      <c r="BH766" s="172"/>
      <c r="BI766" s="172"/>
      <c r="BJ766" s="172"/>
      <c r="BK766" s="172"/>
      <c r="BL766" s="172"/>
      <c r="BM766" s="172"/>
      <c r="BN766" s="172"/>
      <c r="BO766" s="172"/>
      <c r="BP766" s="172"/>
      <c r="BQ766" s="172"/>
      <c r="BR766" s="172"/>
      <c r="BS766" s="172"/>
    </row>
    <row r="767" spans="1:71" ht="12.5" x14ac:dyDescent="0.25">
      <c r="A767" s="170"/>
      <c r="B767" s="170"/>
      <c r="C767" s="170"/>
      <c r="D767" s="170"/>
      <c r="E767" s="171"/>
      <c r="F767" s="171"/>
      <c r="G767" s="170"/>
      <c r="H767" s="170"/>
      <c r="I767" s="170"/>
      <c r="J767" s="171"/>
      <c r="K767" s="171"/>
      <c r="L767" s="170"/>
      <c r="M767" s="170"/>
      <c r="N767" s="170"/>
      <c r="O767" s="171"/>
      <c r="P767" s="171"/>
      <c r="Q767" s="170"/>
      <c r="R767" s="170"/>
      <c r="S767" s="170"/>
      <c r="T767" s="171"/>
      <c r="U767" s="171"/>
      <c r="V767" s="171"/>
      <c r="W767" s="171"/>
      <c r="X767" s="171"/>
      <c r="Y767" s="171"/>
      <c r="Z767" s="171"/>
      <c r="AA767" s="171"/>
      <c r="AB767" s="171"/>
      <c r="AC767" s="170"/>
      <c r="AD767" s="170"/>
      <c r="AE767" s="170"/>
      <c r="AF767" s="170"/>
      <c r="AG767" s="170"/>
      <c r="AH767" s="170"/>
      <c r="AI767" s="170"/>
      <c r="AJ767" s="170"/>
      <c r="AK767" s="171"/>
      <c r="AL767" s="171"/>
      <c r="AM767" s="170"/>
      <c r="AN767" s="170"/>
      <c r="AO767" s="170"/>
      <c r="AP767" s="171"/>
      <c r="AQ767" s="171"/>
      <c r="AR767" s="170"/>
      <c r="AS767" s="170"/>
      <c r="AT767" s="170"/>
      <c r="AU767" s="171"/>
      <c r="AV767" s="171"/>
      <c r="AW767" s="171"/>
      <c r="AX767" s="171"/>
      <c r="AY767" s="171"/>
      <c r="AZ767" s="171"/>
      <c r="BA767" s="171"/>
      <c r="BB767" s="171"/>
      <c r="BC767" s="171"/>
      <c r="BD767" s="172"/>
      <c r="BE767" s="172"/>
      <c r="BF767" s="172"/>
      <c r="BG767" s="172"/>
      <c r="BH767" s="172"/>
      <c r="BI767" s="172"/>
      <c r="BJ767" s="172"/>
      <c r="BK767" s="172"/>
      <c r="BL767" s="172"/>
      <c r="BM767" s="172"/>
      <c r="BN767" s="172"/>
      <c r="BO767" s="172"/>
      <c r="BP767" s="172"/>
      <c r="BQ767" s="172"/>
      <c r="BR767" s="172"/>
      <c r="BS767" s="172"/>
    </row>
    <row r="768" spans="1:71" ht="12.5" x14ac:dyDescent="0.25">
      <c r="A768" s="170"/>
      <c r="B768" s="170"/>
      <c r="C768" s="170"/>
      <c r="D768" s="170"/>
      <c r="E768" s="171"/>
      <c r="F768" s="171"/>
      <c r="G768" s="170"/>
      <c r="H768" s="170"/>
      <c r="I768" s="170"/>
      <c r="J768" s="171"/>
      <c r="K768" s="171"/>
      <c r="L768" s="170"/>
      <c r="M768" s="170"/>
      <c r="N768" s="170"/>
      <c r="O768" s="171"/>
      <c r="P768" s="171"/>
      <c r="Q768" s="170"/>
      <c r="R768" s="170"/>
      <c r="S768" s="170"/>
      <c r="T768" s="171"/>
      <c r="U768" s="171"/>
      <c r="V768" s="171"/>
      <c r="W768" s="171"/>
      <c r="X768" s="171"/>
      <c r="Y768" s="171"/>
      <c r="Z768" s="171"/>
      <c r="AA768" s="171"/>
      <c r="AB768" s="171"/>
      <c r="AC768" s="170"/>
      <c r="AD768" s="170"/>
      <c r="AE768" s="170"/>
      <c r="AF768" s="170"/>
      <c r="AG768" s="170"/>
      <c r="AH768" s="170"/>
      <c r="AI768" s="170"/>
      <c r="AJ768" s="170"/>
      <c r="AK768" s="171"/>
      <c r="AL768" s="171"/>
      <c r="AM768" s="170"/>
      <c r="AN768" s="170"/>
      <c r="AO768" s="170"/>
      <c r="AP768" s="171"/>
      <c r="AQ768" s="171"/>
      <c r="AR768" s="170"/>
      <c r="AS768" s="170"/>
      <c r="AT768" s="170"/>
      <c r="AU768" s="171"/>
      <c r="AV768" s="171"/>
      <c r="AW768" s="171"/>
      <c r="AX768" s="171"/>
      <c r="AY768" s="171"/>
      <c r="AZ768" s="171"/>
      <c r="BA768" s="171"/>
      <c r="BB768" s="171"/>
      <c r="BC768" s="171"/>
      <c r="BD768" s="172"/>
      <c r="BE768" s="172"/>
      <c r="BF768" s="172"/>
      <c r="BG768" s="172"/>
      <c r="BH768" s="172"/>
      <c r="BI768" s="172"/>
      <c r="BJ768" s="172"/>
      <c r="BK768" s="172"/>
      <c r="BL768" s="172"/>
      <c r="BM768" s="172"/>
      <c r="BN768" s="172"/>
      <c r="BO768" s="172"/>
      <c r="BP768" s="172"/>
      <c r="BQ768" s="172"/>
      <c r="BR768" s="172"/>
      <c r="BS768" s="172"/>
    </row>
    <row r="769" spans="1:71" ht="12.5" x14ac:dyDescent="0.25">
      <c r="A769" s="170"/>
      <c r="B769" s="170"/>
      <c r="C769" s="170"/>
      <c r="D769" s="170"/>
      <c r="E769" s="171"/>
      <c r="F769" s="171"/>
      <c r="G769" s="170"/>
      <c r="H769" s="170"/>
      <c r="I769" s="170"/>
      <c r="J769" s="171"/>
      <c r="K769" s="171"/>
      <c r="L769" s="170"/>
      <c r="M769" s="170"/>
      <c r="N769" s="170"/>
      <c r="O769" s="171"/>
      <c r="P769" s="171"/>
      <c r="Q769" s="170"/>
      <c r="R769" s="170"/>
      <c r="S769" s="170"/>
      <c r="T769" s="171"/>
      <c r="U769" s="171"/>
      <c r="V769" s="171"/>
      <c r="W769" s="171"/>
      <c r="X769" s="171"/>
      <c r="Y769" s="171"/>
      <c r="Z769" s="171"/>
      <c r="AA769" s="171"/>
      <c r="AB769" s="171"/>
      <c r="AC769" s="170"/>
      <c r="AD769" s="170"/>
      <c r="AE769" s="170"/>
      <c r="AF769" s="170"/>
      <c r="AG769" s="170"/>
      <c r="AH769" s="170"/>
      <c r="AI769" s="170"/>
      <c r="AJ769" s="170"/>
      <c r="AK769" s="171"/>
      <c r="AL769" s="171"/>
      <c r="AM769" s="170"/>
      <c r="AN769" s="170"/>
      <c r="AO769" s="170"/>
      <c r="AP769" s="171"/>
      <c r="AQ769" s="171"/>
      <c r="AR769" s="170"/>
      <c r="AS769" s="170"/>
      <c r="AT769" s="170"/>
      <c r="AU769" s="171"/>
      <c r="AV769" s="171"/>
      <c r="AW769" s="171"/>
      <c r="AX769" s="171"/>
      <c r="AY769" s="171"/>
      <c r="AZ769" s="171"/>
      <c r="BA769" s="171"/>
      <c r="BB769" s="171"/>
      <c r="BC769" s="171"/>
      <c r="BD769" s="172"/>
      <c r="BE769" s="172"/>
      <c r="BF769" s="172"/>
      <c r="BG769" s="172"/>
      <c r="BH769" s="172"/>
      <c r="BI769" s="172"/>
      <c r="BJ769" s="172"/>
      <c r="BK769" s="172"/>
      <c r="BL769" s="172"/>
      <c r="BM769" s="172"/>
      <c r="BN769" s="172"/>
      <c r="BO769" s="172"/>
      <c r="BP769" s="172"/>
      <c r="BQ769" s="172"/>
      <c r="BR769" s="172"/>
      <c r="BS769" s="172"/>
    </row>
    <row r="770" spans="1:71" ht="12.5" x14ac:dyDescent="0.25">
      <c r="A770" s="170"/>
      <c r="B770" s="170"/>
      <c r="C770" s="170"/>
      <c r="D770" s="170"/>
      <c r="E770" s="171"/>
      <c r="F770" s="171"/>
      <c r="G770" s="170"/>
      <c r="H770" s="170"/>
      <c r="I770" s="170"/>
      <c r="J770" s="171"/>
      <c r="K770" s="171"/>
      <c r="L770" s="170"/>
      <c r="M770" s="170"/>
      <c r="N770" s="170"/>
      <c r="O770" s="171"/>
      <c r="P770" s="171"/>
      <c r="Q770" s="170"/>
      <c r="R770" s="170"/>
      <c r="S770" s="170"/>
      <c r="T770" s="171"/>
      <c r="U770" s="171"/>
      <c r="V770" s="171"/>
      <c r="W770" s="171"/>
      <c r="X770" s="171"/>
      <c r="Y770" s="171"/>
      <c r="Z770" s="171"/>
      <c r="AA770" s="171"/>
      <c r="AB770" s="171"/>
      <c r="AC770" s="170"/>
      <c r="AD770" s="170"/>
      <c r="AE770" s="170"/>
      <c r="AF770" s="170"/>
      <c r="AG770" s="170"/>
      <c r="AH770" s="170"/>
      <c r="AI770" s="170"/>
      <c r="AJ770" s="170"/>
      <c r="AK770" s="171"/>
      <c r="AL770" s="171"/>
      <c r="AM770" s="170"/>
      <c r="AN770" s="170"/>
      <c r="AO770" s="170"/>
      <c r="AP770" s="171"/>
      <c r="AQ770" s="171"/>
      <c r="AR770" s="170"/>
      <c r="AS770" s="170"/>
      <c r="AT770" s="170"/>
      <c r="AU770" s="171"/>
      <c r="AV770" s="171"/>
      <c r="AW770" s="171"/>
      <c r="AX770" s="171"/>
      <c r="AY770" s="171"/>
      <c r="AZ770" s="171"/>
      <c r="BA770" s="171"/>
      <c r="BB770" s="171"/>
      <c r="BC770" s="171"/>
      <c r="BD770" s="172"/>
      <c r="BE770" s="172"/>
      <c r="BF770" s="172"/>
      <c r="BG770" s="172"/>
      <c r="BH770" s="172"/>
      <c r="BI770" s="172"/>
      <c r="BJ770" s="172"/>
      <c r="BK770" s="172"/>
      <c r="BL770" s="172"/>
      <c r="BM770" s="172"/>
      <c r="BN770" s="172"/>
      <c r="BO770" s="172"/>
      <c r="BP770" s="172"/>
      <c r="BQ770" s="172"/>
      <c r="BR770" s="172"/>
      <c r="BS770" s="172"/>
    </row>
    <row r="771" spans="1:71" ht="12.5" x14ac:dyDescent="0.25">
      <c r="A771" s="170"/>
      <c r="B771" s="170"/>
      <c r="C771" s="170"/>
      <c r="D771" s="170"/>
      <c r="E771" s="171"/>
      <c r="F771" s="171"/>
      <c r="G771" s="170"/>
      <c r="H771" s="170"/>
      <c r="I771" s="170"/>
      <c r="J771" s="171"/>
      <c r="K771" s="171"/>
      <c r="L771" s="170"/>
      <c r="M771" s="170"/>
      <c r="N771" s="170"/>
      <c r="O771" s="171"/>
      <c r="P771" s="171"/>
      <c r="Q771" s="170"/>
      <c r="R771" s="170"/>
      <c r="S771" s="170"/>
      <c r="T771" s="171"/>
      <c r="U771" s="171"/>
      <c r="V771" s="171"/>
      <c r="W771" s="171"/>
      <c r="X771" s="171"/>
      <c r="Y771" s="171"/>
      <c r="Z771" s="171"/>
      <c r="AA771" s="171"/>
      <c r="AB771" s="171"/>
      <c r="AC771" s="170"/>
      <c r="AD771" s="170"/>
      <c r="AE771" s="170"/>
      <c r="AF771" s="170"/>
      <c r="AG771" s="170"/>
      <c r="AH771" s="170"/>
      <c r="AI771" s="170"/>
      <c r="AJ771" s="170"/>
      <c r="AK771" s="171"/>
      <c r="AL771" s="171"/>
      <c r="AM771" s="170"/>
      <c r="AN771" s="170"/>
      <c r="AO771" s="170"/>
      <c r="AP771" s="171"/>
      <c r="AQ771" s="171"/>
      <c r="AR771" s="170"/>
      <c r="AS771" s="170"/>
      <c r="AT771" s="170"/>
      <c r="AU771" s="171"/>
      <c r="AV771" s="171"/>
      <c r="AW771" s="171"/>
      <c r="AX771" s="171"/>
      <c r="AY771" s="171"/>
      <c r="AZ771" s="171"/>
      <c r="BA771" s="171"/>
      <c r="BB771" s="171"/>
      <c r="BC771" s="171"/>
      <c r="BD771" s="172"/>
      <c r="BE771" s="172"/>
      <c r="BF771" s="172"/>
      <c r="BG771" s="172"/>
      <c r="BH771" s="172"/>
      <c r="BI771" s="172"/>
      <c r="BJ771" s="172"/>
      <c r="BK771" s="172"/>
      <c r="BL771" s="172"/>
      <c r="BM771" s="172"/>
      <c r="BN771" s="172"/>
      <c r="BO771" s="172"/>
      <c r="BP771" s="172"/>
      <c r="BQ771" s="172"/>
      <c r="BR771" s="172"/>
      <c r="BS771" s="172"/>
    </row>
    <row r="772" spans="1:71" ht="12.5" x14ac:dyDescent="0.25">
      <c r="A772" s="170"/>
      <c r="B772" s="170"/>
      <c r="C772" s="170"/>
      <c r="D772" s="170"/>
      <c r="E772" s="171"/>
      <c r="F772" s="171"/>
      <c r="G772" s="170"/>
      <c r="H772" s="170"/>
      <c r="I772" s="170"/>
      <c r="J772" s="171"/>
      <c r="K772" s="171"/>
      <c r="L772" s="170"/>
      <c r="M772" s="170"/>
      <c r="N772" s="170"/>
      <c r="O772" s="171"/>
      <c r="P772" s="171"/>
      <c r="Q772" s="170"/>
      <c r="R772" s="170"/>
      <c r="S772" s="170"/>
      <c r="T772" s="171"/>
      <c r="U772" s="171"/>
      <c r="V772" s="171"/>
      <c r="W772" s="171"/>
      <c r="X772" s="171"/>
      <c r="Y772" s="171"/>
      <c r="Z772" s="171"/>
      <c r="AA772" s="171"/>
      <c r="AB772" s="171"/>
      <c r="AC772" s="170"/>
      <c r="AD772" s="170"/>
      <c r="AE772" s="170"/>
      <c r="AF772" s="170"/>
      <c r="AG772" s="170"/>
      <c r="AH772" s="170"/>
      <c r="AI772" s="170"/>
      <c r="AJ772" s="170"/>
      <c r="AK772" s="171"/>
      <c r="AL772" s="171"/>
      <c r="AM772" s="170"/>
      <c r="AN772" s="170"/>
      <c r="AO772" s="170"/>
      <c r="AP772" s="171"/>
      <c r="AQ772" s="171"/>
      <c r="AR772" s="170"/>
      <c r="AS772" s="170"/>
      <c r="AT772" s="170"/>
      <c r="AU772" s="171"/>
      <c r="AV772" s="171"/>
      <c r="AW772" s="171"/>
      <c r="AX772" s="171"/>
      <c r="AY772" s="171"/>
      <c r="AZ772" s="171"/>
      <c r="BA772" s="171"/>
      <c r="BB772" s="171"/>
      <c r="BC772" s="171"/>
      <c r="BD772" s="172"/>
      <c r="BE772" s="172"/>
      <c r="BF772" s="172"/>
      <c r="BG772" s="172"/>
      <c r="BH772" s="172"/>
      <c r="BI772" s="172"/>
      <c r="BJ772" s="172"/>
      <c r="BK772" s="172"/>
      <c r="BL772" s="172"/>
      <c r="BM772" s="172"/>
      <c r="BN772" s="172"/>
      <c r="BO772" s="172"/>
      <c r="BP772" s="172"/>
      <c r="BQ772" s="172"/>
      <c r="BR772" s="172"/>
      <c r="BS772" s="172"/>
    </row>
    <row r="773" spans="1:71" ht="12.5" x14ac:dyDescent="0.25">
      <c r="A773" s="170"/>
      <c r="B773" s="170"/>
      <c r="C773" s="170"/>
      <c r="D773" s="170"/>
      <c r="E773" s="171"/>
      <c r="F773" s="171"/>
      <c r="G773" s="170"/>
      <c r="H773" s="170"/>
      <c r="I773" s="170"/>
      <c r="J773" s="171"/>
      <c r="K773" s="171"/>
      <c r="L773" s="170"/>
      <c r="M773" s="170"/>
      <c r="N773" s="170"/>
      <c r="O773" s="171"/>
      <c r="P773" s="171"/>
      <c r="Q773" s="170"/>
      <c r="R773" s="170"/>
      <c r="S773" s="170"/>
      <c r="T773" s="171"/>
      <c r="U773" s="171"/>
      <c r="V773" s="171"/>
      <c r="W773" s="171"/>
      <c r="X773" s="171"/>
      <c r="Y773" s="171"/>
      <c r="Z773" s="171"/>
      <c r="AA773" s="171"/>
      <c r="AB773" s="171"/>
      <c r="AC773" s="170"/>
      <c r="AD773" s="170"/>
      <c r="AE773" s="170"/>
      <c r="AF773" s="170"/>
      <c r="AG773" s="170"/>
      <c r="AH773" s="170"/>
      <c r="AI773" s="170"/>
      <c r="AJ773" s="170"/>
      <c r="AK773" s="171"/>
      <c r="AL773" s="171"/>
      <c r="AM773" s="170"/>
      <c r="AN773" s="170"/>
      <c r="AO773" s="170"/>
      <c r="AP773" s="171"/>
      <c r="AQ773" s="171"/>
      <c r="AR773" s="170"/>
      <c r="AS773" s="170"/>
      <c r="AT773" s="170"/>
      <c r="AU773" s="171"/>
      <c r="AV773" s="171"/>
      <c r="AW773" s="171"/>
      <c r="AX773" s="171"/>
      <c r="AY773" s="171"/>
      <c r="AZ773" s="171"/>
      <c r="BA773" s="171"/>
      <c r="BB773" s="171"/>
      <c r="BC773" s="171"/>
      <c r="BD773" s="172"/>
      <c r="BE773" s="172"/>
      <c r="BF773" s="172"/>
      <c r="BG773" s="172"/>
      <c r="BH773" s="172"/>
      <c r="BI773" s="172"/>
      <c r="BJ773" s="172"/>
      <c r="BK773" s="172"/>
      <c r="BL773" s="172"/>
      <c r="BM773" s="172"/>
      <c r="BN773" s="172"/>
      <c r="BO773" s="172"/>
      <c r="BP773" s="172"/>
      <c r="BQ773" s="172"/>
      <c r="BR773" s="172"/>
      <c r="BS773" s="172"/>
    </row>
    <row r="774" spans="1:71" ht="12.5" x14ac:dyDescent="0.25">
      <c r="A774" s="170"/>
      <c r="B774" s="170"/>
      <c r="C774" s="170"/>
      <c r="D774" s="170"/>
      <c r="E774" s="171"/>
      <c r="F774" s="171"/>
      <c r="G774" s="170"/>
      <c r="H774" s="170"/>
      <c r="I774" s="170"/>
      <c r="J774" s="171"/>
      <c r="K774" s="171"/>
      <c r="L774" s="170"/>
      <c r="M774" s="170"/>
      <c r="N774" s="170"/>
      <c r="O774" s="171"/>
      <c r="P774" s="171"/>
      <c r="Q774" s="170"/>
      <c r="R774" s="170"/>
      <c r="S774" s="170"/>
      <c r="T774" s="171"/>
      <c r="U774" s="171"/>
      <c r="V774" s="171"/>
      <c r="W774" s="171"/>
      <c r="X774" s="171"/>
      <c r="Y774" s="171"/>
      <c r="Z774" s="171"/>
      <c r="AA774" s="171"/>
      <c r="AB774" s="171"/>
      <c r="AC774" s="170"/>
      <c r="AD774" s="170"/>
      <c r="AE774" s="170"/>
      <c r="AF774" s="170"/>
      <c r="AG774" s="170"/>
      <c r="AH774" s="170"/>
      <c r="AI774" s="170"/>
      <c r="AJ774" s="170"/>
      <c r="AK774" s="171"/>
      <c r="AL774" s="171"/>
      <c r="AM774" s="170"/>
      <c r="AN774" s="170"/>
      <c r="AO774" s="170"/>
      <c r="AP774" s="171"/>
      <c r="AQ774" s="171"/>
      <c r="AR774" s="170"/>
      <c r="AS774" s="170"/>
      <c r="AT774" s="170"/>
      <c r="AU774" s="171"/>
      <c r="AV774" s="171"/>
      <c r="AW774" s="171"/>
      <c r="AX774" s="171"/>
      <c r="AY774" s="171"/>
      <c r="AZ774" s="171"/>
      <c r="BA774" s="171"/>
      <c r="BB774" s="171"/>
      <c r="BC774" s="171"/>
      <c r="BD774" s="172"/>
      <c r="BE774" s="172"/>
      <c r="BF774" s="172"/>
      <c r="BG774" s="172"/>
      <c r="BH774" s="172"/>
      <c r="BI774" s="172"/>
      <c r="BJ774" s="172"/>
      <c r="BK774" s="172"/>
      <c r="BL774" s="172"/>
      <c r="BM774" s="172"/>
      <c r="BN774" s="172"/>
      <c r="BO774" s="172"/>
      <c r="BP774" s="172"/>
      <c r="BQ774" s="172"/>
      <c r="BR774" s="172"/>
      <c r="BS774" s="172"/>
    </row>
    <row r="775" spans="1:71" ht="12.5" x14ac:dyDescent="0.25">
      <c r="A775" s="170"/>
      <c r="B775" s="170"/>
      <c r="C775" s="170"/>
      <c r="D775" s="170"/>
      <c r="E775" s="171"/>
      <c r="F775" s="171"/>
      <c r="G775" s="170"/>
      <c r="H775" s="170"/>
      <c r="I775" s="170"/>
      <c r="J775" s="171"/>
      <c r="K775" s="171"/>
      <c r="L775" s="170"/>
      <c r="M775" s="170"/>
      <c r="N775" s="170"/>
      <c r="O775" s="171"/>
      <c r="P775" s="171"/>
      <c r="Q775" s="170"/>
      <c r="R775" s="170"/>
      <c r="S775" s="170"/>
      <c r="T775" s="171"/>
      <c r="U775" s="171"/>
      <c r="V775" s="171"/>
      <c r="W775" s="171"/>
      <c r="X775" s="171"/>
      <c r="Y775" s="171"/>
      <c r="Z775" s="171"/>
      <c r="AA775" s="171"/>
      <c r="AB775" s="171"/>
      <c r="AC775" s="170"/>
      <c r="AD775" s="170"/>
      <c r="AE775" s="170"/>
      <c r="AF775" s="170"/>
      <c r="AG775" s="170"/>
      <c r="AH775" s="170"/>
      <c r="AI775" s="170"/>
      <c r="AJ775" s="170"/>
      <c r="AK775" s="171"/>
      <c r="AL775" s="171"/>
      <c r="AM775" s="170"/>
      <c r="AN775" s="170"/>
      <c r="AO775" s="170"/>
      <c r="AP775" s="171"/>
      <c r="AQ775" s="171"/>
      <c r="AR775" s="170"/>
      <c r="AS775" s="170"/>
      <c r="AT775" s="170"/>
      <c r="AU775" s="171"/>
      <c r="AV775" s="171"/>
      <c r="AW775" s="171"/>
      <c r="AX775" s="171"/>
      <c r="AY775" s="171"/>
      <c r="AZ775" s="171"/>
      <c r="BA775" s="171"/>
      <c r="BB775" s="171"/>
      <c r="BC775" s="171"/>
      <c r="BD775" s="172"/>
      <c r="BE775" s="172"/>
      <c r="BF775" s="172"/>
      <c r="BG775" s="172"/>
      <c r="BH775" s="172"/>
      <c r="BI775" s="172"/>
      <c r="BJ775" s="172"/>
      <c r="BK775" s="172"/>
      <c r="BL775" s="172"/>
      <c r="BM775" s="172"/>
      <c r="BN775" s="172"/>
      <c r="BO775" s="172"/>
      <c r="BP775" s="172"/>
      <c r="BQ775" s="172"/>
      <c r="BR775" s="172"/>
      <c r="BS775" s="172"/>
    </row>
    <row r="776" spans="1:71" ht="12.5" x14ac:dyDescent="0.25">
      <c r="A776" s="170"/>
      <c r="B776" s="170"/>
      <c r="C776" s="170"/>
      <c r="D776" s="170"/>
      <c r="E776" s="171"/>
      <c r="F776" s="171"/>
      <c r="G776" s="170"/>
      <c r="H776" s="170"/>
      <c r="I776" s="170"/>
      <c r="J776" s="171"/>
      <c r="K776" s="171"/>
      <c r="L776" s="170"/>
      <c r="M776" s="170"/>
      <c r="N776" s="170"/>
      <c r="O776" s="171"/>
      <c r="P776" s="171"/>
      <c r="Q776" s="170"/>
      <c r="R776" s="170"/>
      <c r="S776" s="170"/>
      <c r="T776" s="171"/>
      <c r="U776" s="171"/>
      <c r="V776" s="171"/>
      <c r="W776" s="171"/>
      <c r="X776" s="171"/>
      <c r="Y776" s="171"/>
      <c r="Z776" s="171"/>
      <c r="AA776" s="171"/>
      <c r="AB776" s="171"/>
      <c r="AC776" s="170"/>
      <c r="AD776" s="170"/>
      <c r="AE776" s="170"/>
      <c r="AF776" s="170"/>
      <c r="AG776" s="170"/>
      <c r="AH776" s="170"/>
      <c r="AI776" s="170"/>
      <c r="AJ776" s="170"/>
      <c r="AK776" s="171"/>
      <c r="AL776" s="171"/>
      <c r="AM776" s="170"/>
      <c r="AN776" s="170"/>
      <c r="AO776" s="170"/>
      <c r="AP776" s="171"/>
      <c r="AQ776" s="171"/>
      <c r="AR776" s="170"/>
      <c r="AS776" s="170"/>
      <c r="AT776" s="170"/>
      <c r="AU776" s="171"/>
      <c r="AV776" s="171"/>
      <c r="AW776" s="171"/>
      <c r="AX776" s="171"/>
      <c r="AY776" s="171"/>
      <c r="AZ776" s="171"/>
      <c r="BA776" s="171"/>
      <c r="BB776" s="171"/>
      <c r="BC776" s="171"/>
      <c r="BD776" s="172"/>
      <c r="BE776" s="172"/>
      <c r="BF776" s="172"/>
      <c r="BG776" s="172"/>
      <c r="BH776" s="172"/>
      <c r="BI776" s="172"/>
      <c r="BJ776" s="172"/>
      <c r="BK776" s="172"/>
      <c r="BL776" s="172"/>
      <c r="BM776" s="172"/>
      <c r="BN776" s="172"/>
      <c r="BO776" s="172"/>
      <c r="BP776" s="172"/>
      <c r="BQ776" s="172"/>
      <c r="BR776" s="172"/>
      <c r="BS776" s="172"/>
    </row>
    <row r="777" spans="1:71" ht="12.5" x14ac:dyDescent="0.25">
      <c r="A777" s="170"/>
      <c r="B777" s="170"/>
      <c r="C777" s="170"/>
      <c r="D777" s="170"/>
      <c r="E777" s="171"/>
      <c r="F777" s="171"/>
      <c r="G777" s="170"/>
      <c r="H777" s="170"/>
      <c r="I777" s="170"/>
      <c r="J777" s="171"/>
      <c r="K777" s="171"/>
      <c r="L777" s="170"/>
      <c r="M777" s="170"/>
      <c r="N777" s="170"/>
      <c r="O777" s="171"/>
      <c r="P777" s="171"/>
      <c r="Q777" s="170"/>
      <c r="R777" s="170"/>
      <c r="S777" s="170"/>
      <c r="T777" s="171"/>
      <c r="U777" s="171"/>
      <c r="V777" s="171"/>
      <c r="W777" s="171"/>
      <c r="X777" s="171"/>
      <c r="Y777" s="171"/>
      <c r="Z777" s="171"/>
      <c r="AA777" s="171"/>
      <c r="AB777" s="171"/>
      <c r="AC777" s="170"/>
      <c r="AD777" s="170"/>
      <c r="AE777" s="170"/>
      <c r="AF777" s="170"/>
      <c r="AG777" s="170"/>
      <c r="AH777" s="170"/>
      <c r="AI777" s="170"/>
      <c r="AJ777" s="170"/>
      <c r="AK777" s="171"/>
      <c r="AL777" s="171"/>
      <c r="AM777" s="170"/>
      <c r="AN777" s="170"/>
      <c r="AO777" s="170"/>
      <c r="AP777" s="171"/>
      <c r="AQ777" s="171"/>
      <c r="AR777" s="170"/>
      <c r="AS777" s="170"/>
      <c r="AT777" s="170"/>
      <c r="AU777" s="171"/>
      <c r="AV777" s="171"/>
      <c r="AW777" s="171"/>
      <c r="AX777" s="171"/>
      <c r="AY777" s="171"/>
      <c r="AZ777" s="171"/>
      <c r="BA777" s="171"/>
      <c r="BB777" s="171"/>
      <c r="BC777" s="171"/>
      <c r="BD777" s="172"/>
      <c r="BE777" s="172"/>
      <c r="BF777" s="172"/>
      <c r="BG777" s="172"/>
      <c r="BH777" s="172"/>
      <c r="BI777" s="172"/>
      <c r="BJ777" s="172"/>
      <c r="BK777" s="172"/>
      <c r="BL777" s="172"/>
      <c r="BM777" s="172"/>
      <c r="BN777" s="172"/>
      <c r="BO777" s="172"/>
      <c r="BP777" s="172"/>
      <c r="BQ777" s="172"/>
      <c r="BR777" s="172"/>
      <c r="BS777" s="172"/>
    </row>
    <row r="778" spans="1:71" ht="12.5" x14ac:dyDescent="0.25">
      <c r="A778" s="170"/>
      <c r="B778" s="170"/>
      <c r="C778" s="170"/>
      <c r="D778" s="170"/>
      <c r="E778" s="171"/>
      <c r="F778" s="171"/>
      <c r="G778" s="170"/>
      <c r="H778" s="170"/>
      <c r="I778" s="170"/>
      <c r="J778" s="171"/>
      <c r="K778" s="171"/>
      <c r="L778" s="170"/>
      <c r="M778" s="170"/>
      <c r="N778" s="170"/>
      <c r="O778" s="171"/>
      <c r="P778" s="171"/>
      <c r="Q778" s="170"/>
      <c r="R778" s="170"/>
      <c r="S778" s="170"/>
      <c r="T778" s="171"/>
      <c r="U778" s="171"/>
      <c r="V778" s="171"/>
      <c r="W778" s="171"/>
      <c r="X778" s="171"/>
      <c r="Y778" s="171"/>
      <c r="Z778" s="171"/>
      <c r="AA778" s="171"/>
      <c r="AB778" s="171"/>
      <c r="AC778" s="170"/>
      <c r="AD778" s="170"/>
      <c r="AE778" s="170"/>
      <c r="AF778" s="170"/>
      <c r="AG778" s="170"/>
      <c r="AH778" s="170"/>
      <c r="AI778" s="170"/>
      <c r="AJ778" s="170"/>
      <c r="AK778" s="171"/>
      <c r="AL778" s="171"/>
      <c r="AM778" s="170"/>
      <c r="AN778" s="170"/>
      <c r="AO778" s="170"/>
      <c r="AP778" s="171"/>
      <c r="AQ778" s="171"/>
      <c r="AR778" s="170"/>
      <c r="AS778" s="170"/>
      <c r="AT778" s="170"/>
      <c r="AU778" s="171"/>
      <c r="AV778" s="171"/>
      <c r="AW778" s="171"/>
      <c r="AX778" s="171"/>
      <c r="AY778" s="171"/>
      <c r="AZ778" s="171"/>
      <c r="BA778" s="171"/>
      <c r="BB778" s="171"/>
      <c r="BC778" s="171"/>
      <c r="BD778" s="172"/>
      <c r="BE778" s="172"/>
      <c r="BF778" s="172"/>
      <c r="BG778" s="172"/>
      <c r="BH778" s="172"/>
      <c r="BI778" s="172"/>
      <c r="BJ778" s="172"/>
      <c r="BK778" s="172"/>
      <c r="BL778" s="172"/>
      <c r="BM778" s="172"/>
      <c r="BN778" s="172"/>
      <c r="BO778" s="172"/>
      <c r="BP778" s="172"/>
      <c r="BQ778" s="172"/>
      <c r="BR778" s="172"/>
      <c r="BS778" s="172"/>
    </row>
    <row r="779" spans="1:71" ht="12.5" x14ac:dyDescent="0.25">
      <c r="A779" s="170"/>
      <c r="B779" s="170"/>
      <c r="C779" s="170"/>
      <c r="D779" s="170"/>
      <c r="E779" s="171"/>
      <c r="F779" s="171"/>
      <c r="G779" s="170"/>
      <c r="H779" s="170"/>
      <c r="I779" s="170"/>
      <c r="J779" s="171"/>
      <c r="K779" s="171"/>
      <c r="L779" s="170"/>
      <c r="M779" s="170"/>
      <c r="N779" s="170"/>
      <c r="O779" s="171"/>
      <c r="P779" s="171"/>
      <c r="Q779" s="170"/>
      <c r="R779" s="170"/>
      <c r="S779" s="170"/>
      <c r="T779" s="171"/>
      <c r="U779" s="171"/>
      <c r="V779" s="171"/>
      <c r="W779" s="171"/>
      <c r="X779" s="171"/>
      <c r="Y779" s="171"/>
      <c r="Z779" s="171"/>
      <c r="AA779" s="171"/>
      <c r="AB779" s="171"/>
      <c r="AC779" s="170"/>
      <c r="AD779" s="170"/>
      <c r="AE779" s="170"/>
      <c r="AF779" s="170"/>
      <c r="AG779" s="170"/>
      <c r="AH779" s="170"/>
      <c r="AI779" s="170"/>
      <c r="AJ779" s="170"/>
      <c r="AK779" s="171"/>
      <c r="AL779" s="171"/>
      <c r="AM779" s="170"/>
      <c r="AN779" s="170"/>
      <c r="AO779" s="170"/>
      <c r="AP779" s="171"/>
      <c r="AQ779" s="171"/>
      <c r="AR779" s="170"/>
      <c r="AS779" s="170"/>
      <c r="AT779" s="170"/>
      <c r="AU779" s="171"/>
      <c r="AV779" s="171"/>
      <c r="AW779" s="171"/>
      <c r="AX779" s="171"/>
      <c r="AY779" s="171"/>
      <c r="AZ779" s="171"/>
      <c r="BA779" s="171"/>
      <c r="BB779" s="171"/>
      <c r="BC779" s="171"/>
      <c r="BD779" s="172"/>
      <c r="BE779" s="172"/>
      <c r="BF779" s="172"/>
      <c r="BG779" s="172"/>
      <c r="BH779" s="172"/>
      <c r="BI779" s="172"/>
      <c r="BJ779" s="172"/>
      <c r="BK779" s="172"/>
      <c r="BL779" s="172"/>
      <c r="BM779" s="172"/>
      <c r="BN779" s="172"/>
      <c r="BO779" s="172"/>
      <c r="BP779" s="172"/>
      <c r="BQ779" s="172"/>
      <c r="BR779" s="172"/>
      <c r="BS779" s="172"/>
    </row>
    <row r="780" spans="1:71" ht="12.5" x14ac:dyDescent="0.25">
      <c r="A780" s="170"/>
      <c r="B780" s="170"/>
      <c r="C780" s="170"/>
      <c r="D780" s="170"/>
      <c r="E780" s="171"/>
      <c r="F780" s="171"/>
      <c r="G780" s="170"/>
      <c r="H780" s="170"/>
      <c r="I780" s="170"/>
      <c r="J780" s="171"/>
      <c r="K780" s="171"/>
      <c r="L780" s="170"/>
      <c r="M780" s="170"/>
      <c r="N780" s="170"/>
      <c r="O780" s="171"/>
      <c r="P780" s="171"/>
      <c r="Q780" s="170"/>
      <c r="R780" s="170"/>
      <c r="S780" s="170"/>
      <c r="T780" s="171"/>
      <c r="U780" s="171"/>
      <c r="V780" s="171"/>
      <c r="W780" s="171"/>
      <c r="X780" s="171"/>
      <c r="Y780" s="171"/>
      <c r="Z780" s="171"/>
      <c r="AA780" s="171"/>
      <c r="AB780" s="171"/>
      <c r="AC780" s="170"/>
      <c r="AD780" s="170"/>
      <c r="AE780" s="170"/>
      <c r="AF780" s="170"/>
      <c r="AG780" s="170"/>
      <c r="AH780" s="170"/>
      <c r="AI780" s="170"/>
      <c r="AJ780" s="170"/>
      <c r="AK780" s="171"/>
      <c r="AL780" s="171"/>
      <c r="AM780" s="170"/>
      <c r="AN780" s="170"/>
      <c r="AO780" s="170"/>
      <c r="AP780" s="171"/>
      <c r="AQ780" s="171"/>
      <c r="AR780" s="170"/>
      <c r="AS780" s="170"/>
      <c r="AT780" s="170"/>
      <c r="AU780" s="171"/>
      <c r="AV780" s="171"/>
      <c r="AW780" s="171"/>
      <c r="AX780" s="171"/>
      <c r="AY780" s="171"/>
      <c r="AZ780" s="171"/>
      <c r="BA780" s="171"/>
      <c r="BB780" s="171"/>
      <c r="BC780" s="171"/>
      <c r="BD780" s="172"/>
      <c r="BE780" s="172"/>
      <c r="BF780" s="172"/>
      <c r="BG780" s="172"/>
      <c r="BH780" s="172"/>
      <c r="BI780" s="172"/>
      <c r="BJ780" s="172"/>
      <c r="BK780" s="172"/>
      <c r="BL780" s="172"/>
      <c r="BM780" s="172"/>
      <c r="BN780" s="172"/>
      <c r="BO780" s="172"/>
      <c r="BP780" s="172"/>
      <c r="BQ780" s="172"/>
      <c r="BR780" s="172"/>
      <c r="BS780" s="172"/>
    </row>
    <row r="781" spans="1:71" ht="12.5" x14ac:dyDescent="0.25">
      <c r="A781" s="170"/>
      <c r="B781" s="170"/>
      <c r="C781" s="170"/>
      <c r="D781" s="170"/>
      <c r="E781" s="171"/>
      <c r="F781" s="171"/>
      <c r="G781" s="170"/>
      <c r="H781" s="170"/>
      <c r="I781" s="170"/>
      <c r="J781" s="171"/>
      <c r="K781" s="171"/>
      <c r="L781" s="170"/>
      <c r="M781" s="170"/>
      <c r="N781" s="170"/>
      <c r="O781" s="171"/>
      <c r="P781" s="171"/>
      <c r="Q781" s="170"/>
      <c r="R781" s="170"/>
      <c r="S781" s="170"/>
      <c r="T781" s="171"/>
      <c r="U781" s="171"/>
      <c r="V781" s="171"/>
      <c r="W781" s="171"/>
      <c r="X781" s="171"/>
      <c r="Y781" s="171"/>
      <c r="Z781" s="171"/>
      <c r="AA781" s="171"/>
      <c r="AB781" s="171"/>
      <c r="AC781" s="170"/>
      <c r="AD781" s="170"/>
      <c r="AE781" s="170"/>
      <c r="AF781" s="170"/>
      <c r="AG781" s="170"/>
      <c r="AH781" s="170"/>
      <c r="AI781" s="170"/>
      <c r="AJ781" s="170"/>
      <c r="AK781" s="171"/>
      <c r="AL781" s="171"/>
      <c r="AM781" s="170"/>
      <c r="AN781" s="170"/>
      <c r="AO781" s="170"/>
      <c r="AP781" s="171"/>
      <c r="AQ781" s="171"/>
      <c r="AR781" s="170"/>
      <c r="AS781" s="170"/>
      <c r="AT781" s="170"/>
      <c r="AU781" s="171"/>
      <c r="AV781" s="171"/>
      <c r="AW781" s="171"/>
      <c r="AX781" s="171"/>
      <c r="AY781" s="171"/>
      <c r="AZ781" s="171"/>
      <c r="BA781" s="171"/>
      <c r="BB781" s="171"/>
      <c r="BC781" s="171"/>
      <c r="BD781" s="172"/>
      <c r="BE781" s="172"/>
      <c r="BF781" s="172"/>
      <c r="BG781" s="172"/>
      <c r="BH781" s="172"/>
      <c r="BI781" s="172"/>
      <c r="BJ781" s="172"/>
      <c r="BK781" s="172"/>
      <c r="BL781" s="172"/>
      <c r="BM781" s="172"/>
      <c r="BN781" s="172"/>
      <c r="BO781" s="172"/>
      <c r="BP781" s="172"/>
      <c r="BQ781" s="172"/>
      <c r="BR781" s="172"/>
      <c r="BS781" s="172"/>
    </row>
    <row r="782" spans="1:71" ht="12.5" x14ac:dyDescent="0.25">
      <c r="A782" s="170"/>
      <c r="B782" s="170"/>
      <c r="C782" s="170"/>
      <c r="D782" s="170"/>
      <c r="E782" s="171"/>
      <c r="F782" s="171"/>
      <c r="G782" s="170"/>
      <c r="H782" s="170"/>
      <c r="I782" s="170"/>
      <c r="J782" s="171"/>
      <c r="K782" s="171"/>
      <c r="L782" s="170"/>
      <c r="M782" s="170"/>
      <c r="N782" s="170"/>
      <c r="O782" s="171"/>
      <c r="P782" s="171"/>
      <c r="Q782" s="170"/>
      <c r="R782" s="170"/>
      <c r="S782" s="170"/>
      <c r="T782" s="171"/>
      <c r="U782" s="171"/>
      <c r="V782" s="171"/>
      <c r="W782" s="171"/>
      <c r="X782" s="171"/>
      <c r="Y782" s="171"/>
      <c r="Z782" s="171"/>
      <c r="AA782" s="171"/>
      <c r="AB782" s="171"/>
      <c r="AC782" s="170"/>
      <c r="AD782" s="170"/>
      <c r="AE782" s="170"/>
      <c r="AF782" s="170"/>
      <c r="AG782" s="170"/>
      <c r="AH782" s="170"/>
      <c r="AI782" s="170"/>
      <c r="AJ782" s="170"/>
      <c r="AK782" s="171"/>
      <c r="AL782" s="171"/>
      <c r="AM782" s="170"/>
      <c r="AN782" s="170"/>
      <c r="AO782" s="170"/>
      <c r="AP782" s="171"/>
      <c r="AQ782" s="171"/>
      <c r="AR782" s="170"/>
      <c r="AS782" s="170"/>
      <c r="AT782" s="170"/>
      <c r="AU782" s="171"/>
      <c r="AV782" s="171"/>
      <c r="AW782" s="171"/>
      <c r="AX782" s="171"/>
      <c r="AY782" s="171"/>
      <c r="AZ782" s="171"/>
      <c r="BA782" s="171"/>
      <c r="BB782" s="171"/>
      <c r="BC782" s="171"/>
      <c r="BD782" s="172"/>
      <c r="BE782" s="172"/>
      <c r="BF782" s="172"/>
      <c r="BG782" s="172"/>
      <c r="BH782" s="172"/>
      <c r="BI782" s="172"/>
      <c r="BJ782" s="172"/>
      <c r="BK782" s="172"/>
      <c r="BL782" s="172"/>
      <c r="BM782" s="172"/>
      <c r="BN782" s="172"/>
      <c r="BO782" s="172"/>
      <c r="BP782" s="172"/>
      <c r="BQ782" s="172"/>
      <c r="BR782" s="172"/>
      <c r="BS782" s="172"/>
    </row>
    <row r="783" spans="1:71" ht="12.5" x14ac:dyDescent="0.25">
      <c r="A783" s="170"/>
      <c r="B783" s="170"/>
      <c r="C783" s="170"/>
      <c r="D783" s="170"/>
      <c r="E783" s="171"/>
      <c r="F783" s="171"/>
      <c r="G783" s="170"/>
      <c r="H783" s="170"/>
      <c r="I783" s="170"/>
      <c r="J783" s="171"/>
      <c r="K783" s="171"/>
      <c r="L783" s="170"/>
      <c r="M783" s="170"/>
      <c r="N783" s="170"/>
      <c r="O783" s="171"/>
      <c r="P783" s="171"/>
      <c r="Q783" s="170"/>
      <c r="R783" s="170"/>
      <c r="S783" s="170"/>
      <c r="T783" s="171"/>
      <c r="U783" s="171"/>
      <c r="V783" s="171"/>
      <c r="W783" s="171"/>
      <c r="X783" s="171"/>
      <c r="Y783" s="171"/>
      <c r="Z783" s="171"/>
      <c r="AA783" s="171"/>
      <c r="AB783" s="171"/>
      <c r="AC783" s="170"/>
      <c r="AD783" s="170"/>
      <c r="AE783" s="170"/>
      <c r="AF783" s="170"/>
      <c r="AG783" s="170"/>
      <c r="AH783" s="170"/>
      <c r="AI783" s="170"/>
      <c r="AJ783" s="170"/>
      <c r="AK783" s="171"/>
      <c r="AL783" s="171"/>
      <c r="AM783" s="170"/>
      <c r="AN783" s="170"/>
      <c r="AO783" s="170"/>
      <c r="AP783" s="171"/>
      <c r="AQ783" s="171"/>
      <c r="AR783" s="170"/>
      <c r="AS783" s="170"/>
      <c r="AT783" s="170"/>
      <c r="AU783" s="171"/>
      <c r="AV783" s="171"/>
      <c r="AW783" s="171"/>
      <c r="AX783" s="171"/>
      <c r="AY783" s="171"/>
      <c r="AZ783" s="171"/>
      <c r="BA783" s="171"/>
      <c r="BB783" s="171"/>
      <c r="BC783" s="171"/>
      <c r="BD783" s="172"/>
      <c r="BE783" s="172"/>
      <c r="BF783" s="172"/>
      <c r="BG783" s="172"/>
      <c r="BH783" s="172"/>
      <c r="BI783" s="172"/>
      <c r="BJ783" s="172"/>
      <c r="BK783" s="172"/>
      <c r="BL783" s="172"/>
      <c r="BM783" s="172"/>
      <c r="BN783" s="172"/>
      <c r="BO783" s="172"/>
      <c r="BP783" s="172"/>
      <c r="BQ783" s="172"/>
      <c r="BR783" s="172"/>
      <c r="BS783" s="172"/>
    </row>
    <row r="784" spans="1:71" ht="12.5" x14ac:dyDescent="0.25">
      <c r="A784" s="170"/>
      <c r="B784" s="170"/>
      <c r="C784" s="170"/>
      <c r="D784" s="170"/>
      <c r="E784" s="171"/>
      <c r="F784" s="171"/>
      <c r="G784" s="170"/>
      <c r="H784" s="170"/>
      <c r="I784" s="170"/>
      <c r="J784" s="171"/>
      <c r="K784" s="171"/>
      <c r="L784" s="170"/>
      <c r="M784" s="170"/>
      <c r="N784" s="170"/>
      <c r="O784" s="171"/>
      <c r="P784" s="171"/>
      <c r="Q784" s="170"/>
      <c r="R784" s="170"/>
      <c r="S784" s="170"/>
      <c r="T784" s="171"/>
      <c r="U784" s="171"/>
      <c r="V784" s="171"/>
      <c r="W784" s="171"/>
      <c r="X784" s="171"/>
      <c r="Y784" s="171"/>
      <c r="Z784" s="171"/>
      <c r="AA784" s="171"/>
      <c r="AB784" s="171"/>
      <c r="AC784" s="170"/>
      <c r="AD784" s="170"/>
      <c r="AE784" s="170"/>
      <c r="AF784" s="170"/>
      <c r="AG784" s="170"/>
      <c r="AH784" s="170"/>
      <c r="AI784" s="170"/>
      <c r="AJ784" s="170"/>
      <c r="AK784" s="171"/>
      <c r="AL784" s="171"/>
      <c r="AM784" s="170"/>
      <c r="AN784" s="170"/>
      <c r="AO784" s="170"/>
      <c r="AP784" s="171"/>
      <c r="AQ784" s="171"/>
      <c r="AR784" s="170"/>
      <c r="AS784" s="170"/>
      <c r="AT784" s="170"/>
      <c r="AU784" s="171"/>
      <c r="AV784" s="171"/>
      <c r="AW784" s="171"/>
      <c r="AX784" s="171"/>
      <c r="AY784" s="171"/>
      <c r="AZ784" s="171"/>
      <c r="BA784" s="171"/>
      <c r="BB784" s="171"/>
      <c r="BC784" s="171"/>
      <c r="BD784" s="172"/>
      <c r="BE784" s="172"/>
      <c r="BF784" s="172"/>
      <c r="BG784" s="172"/>
      <c r="BH784" s="172"/>
      <c r="BI784" s="172"/>
      <c r="BJ784" s="172"/>
      <c r="BK784" s="172"/>
      <c r="BL784" s="172"/>
      <c r="BM784" s="172"/>
      <c r="BN784" s="172"/>
      <c r="BO784" s="172"/>
      <c r="BP784" s="172"/>
      <c r="BQ784" s="172"/>
      <c r="BR784" s="172"/>
      <c r="BS784" s="172"/>
    </row>
    <row r="785" spans="1:71" ht="12.5" x14ac:dyDescent="0.25">
      <c r="A785" s="170"/>
      <c r="B785" s="170"/>
      <c r="C785" s="170"/>
      <c r="D785" s="170"/>
      <c r="E785" s="171"/>
      <c r="F785" s="171"/>
      <c r="G785" s="170"/>
      <c r="H785" s="170"/>
      <c r="I785" s="170"/>
      <c r="J785" s="171"/>
      <c r="K785" s="171"/>
      <c r="L785" s="170"/>
      <c r="M785" s="170"/>
      <c r="N785" s="170"/>
      <c r="O785" s="171"/>
      <c r="P785" s="171"/>
      <c r="Q785" s="170"/>
      <c r="R785" s="170"/>
      <c r="S785" s="170"/>
      <c r="T785" s="171"/>
      <c r="U785" s="171"/>
      <c r="V785" s="171"/>
      <c r="W785" s="171"/>
      <c r="X785" s="171"/>
      <c r="Y785" s="171"/>
      <c r="Z785" s="171"/>
      <c r="AA785" s="171"/>
      <c r="AB785" s="171"/>
      <c r="AC785" s="170"/>
      <c r="AD785" s="170"/>
      <c r="AE785" s="170"/>
      <c r="AF785" s="170"/>
      <c r="AG785" s="170"/>
      <c r="AH785" s="170"/>
      <c r="AI785" s="170"/>
      <c r="AJ785" s="170"/>
      <c r="AK785" s="171"/>
      <c r="AL785" s="171"/>
      <c r="AM785" s="170"/>
      <c r="AN785" s="170"/>
      <c r="AO785" s="170"/>
      <c r="AP785" s="171"/>
      <c r="AQ785" s="171"/>
      <c r="AR785" s="170"/>
      <c r="AS785" s="170"/>
      <c r="AT785" s="170"/>
      <c r="AU785" s="171"/>
      <c r="AV785" s="171"/>
      <c r="AW785" s="171"/>
      <c r="AX785" s="171"/>
      <c r="AY785" s="171"/>
      <c r="AZ785" s="171"/>
      <c r="BA785" s="171"/>
      <c r="BB785" s="171"/>
      <c r="BC785" s="171"/>
      <c r="BD785" s="172"/>
      <c r="BE785" s="172"/>
      <c r="BF785" s="172"/>
      <c r="BG785" s="172"/>
      <c r="BH785" s="172"/>
      <c r="BI785" s="172"/>
      <c r="BJ785" s="172"/>
      <c r="BK785" s="172"/>
      <c r="BL785" s="172"/>
      <c r="BM785" s="172"/>
      <c r="BN785" s="172"/>
      <c r="BO785" s="172"/>
      <c r="BP785" s="172"/>
      <c r="BQ785" s="172"/>
      <c r="BR785" s="172"/>
      <c r="BS785" s="172"/>
    </row>
    <row r="786" spans="1:71" ht="12.5" x14ac:dyDescent="0.25">
      <c r="A786" s="170"/>
      <c r="B786" s="170"/>
      <c r="C786" s="170"/>
      <c r="D786" s="170"/>
      <c r="E786" s="171"/>
      <c r="F786" s="171"/>
      <c r="G786" s="170"/>
      <c r="H786" s="170"/>
      <c r="I786" s="170"/>
      <c r="J786" s="171"/>
      <c r="K786" s="171"/>
      <c r="L786" s="170"/>
      <c r="M786" s="170"/>
      <c r="N786" s="170"/>
      <c r="O786" s="171"/>
      <c r="P786" s="171"/>
      <c r="Q786" s="170"/>
      <c r="R786" s="170"/>
      <c r="S786" s="170"/>
      <c r="T786" s="171"/>
      <c r="U786" s="171"/>
      <c r="V786" s="171"/>
      <c r="W786" s="171"/>
      <c r="X786" s="171"/>
      <c r="Y786" s="171"/>
      <c r="Z786" s="171"/>
      <c r="AA786" s="171"/>
      <c r="AB786" s="171"/>
      <c r="AC786" s="170"/>
      <c r="AD786" s="170"/>
      <c r="AE786" s="170"/>
      <c r="AF786" s="170"/>
      <c r="AG786" s="170"/>
      <c r="AH786" s="170"/>
      <c r="AI786" s="170"/>
      <c r="AJ786" s="170"/>
      <c r="AK786" s="171"/>
      <c r="AL786" s="171"/>
      <c r="AM786" s="170"/>
      <c r="AN786" s="170"/>
      <c r="AO786" s="170"/>
      <c r="AP786" s="171"/>
      <c r="AQ786" s="171"/>
      <c r="AR786" s="170"/>
      <c r="AS786" s="170"/>
      <c r="AT786" s="170"/>
      <c r="AU786" s="171"/>
      <c r="AV786" s="171"/>
      <c r="AW786" s="171"/>
      <c r="AX786" s="171"/>
      <c r="AY786" s="171"/>
      <c r="AZ786" s="171"/>
      <c r="BA786" s="171"/>
      <c r="BB786" s="171"/>
      <c r="BC786" s="171"/>
      <c r="BD786" s="172"/>
      <c r="BE786" s="172"/>
      <c r="BF786" s="172"/>
      <c r="BG786" s="172"/>
      <c r="BH786" s="172"/>
      <c r="BI786" s="172"/>
      <c r="BJ786" s="172"/>
      <c r="BK786" s="172"/>
      <c r="BL786" s="172"/>
      <c r="BM786" s="172"/>
      <c r="BN786" s="172"/>
      <c r="BO786" s="172"/>
      <c r="BP786" s="172"/>
      <c r="BQ786" s="172"/>
      <c r="BR786" s="172"/>
      <c r="BS786" s="172"/>
    </row>
    <row r="787" spans="1:71" ht="12.5" x14ac:dyDescent="0.25">
      <c r="A787" s="170"/>
      <c r="B787" s="170"/>
      <c r="C787" s="170"/>
      <c r="D787" s="170"/>
      <c r="E787" s="171"/>
      <c r="F787" s="171"/>
      <c r="G787" s="170"/>
      <c r="H787" s="170"/>
      <c r="I787" s="170"/>
      <c r="J787" s="171"/>
      <c r="K787" s="171"/>
      <c r="L787" s="170"/>
      <c r="M787" s="170"/>
      <c r="N787" s="170"/>
      <c r="O787" s="171"/>
      <c r="P787" s="171"/>
      <c r="Q787" s="170"/>
      <c r="R787" s="170"/>
      <c r="S787" s="170"/>
      <c r="T787" s="171"/>
      <c r="U787" s="171"/>
      <c r="V787" s="171"/>
      <c r="W787" s="171"/>
      <c r="X787" s="171"/>
      <c r="Y787" s="171"/>
      <c r="Z787" s="171"/>
      <c r="AA787" s="171"/>
      <c r="AB787" s="171"/>
      <c r="AC787" s="170"/>
      <c r="AD787" s="170"/>
      <c r="AE787" s="170"/>
      <c r="AF787" s="170"/>
      <c r="AG787" s="170"/>
      <c r="AH787" s="170"/>
      <c r="AI787" s="170"/>
      <c r="AJ787" s="170"/>
      <c r="AK787" s="171"/>
      <c r="AL787" s="171"/>
      <c r="AM787" s="170"/>
      <c r="AN787" s="170"/>
      <c r="AO787" s="170"/>
      <c r="AP787" s="171"/>
      <c r="AQ787" s="171"/>
      <c r="AR787" s="170"/>
      <c r="AS787" s="170"/>
      <c r="AT787" s="170"/>
      <c r="AU787" s="171"/>
      <c r="AV787" s="171"/>
      <c r="AW787" s="171"/>
      <c r="AX787" s="171"/>
      <c r="AY787" s="171"/>
      <c r="AZ787" s="171"/>
      <c r="BA787" s="171"/>
      <c r="BB787" s="171"/>
      <c r="BC787" s="171"/>
      <c r="BD787" s="172"/>
      <c r="BE787" s="172"/>
      <c r="BF787" s="172"/>
      <c r="BG787" s="172"/>
      <c r="BH787" s="172"/>
      <c r="BI787" s="172"/>
      <c r="BJ787" s="172"/>
      <c r="BK787" s="172"/>
      <c r="BL787" s="172"/>
      <c r="BM787" s="172"/>
      <c r="BN787" s="172"/>
      <c r="BO787" s="172"/>
      <c r="BP787" s="172"/>
      <c r="BQ787" s="172"/>
      <c r="BR787" s="172"/>
      <c r="BS787" s="172"/>
    </row>
    <row r="788" spans="1:71" ht="12.5" x14ac:dyDescent="0.25">
      <c r="A788" s="170"/>
      <c r="B788" s="170"/>
      <c r="C788" s="170"/>
      <c r="D788" s="170"/>
      <c r="E788" s="171"/>
      <c r="F788" s="171"/>
      <c r="G788" s="170"/>
      <c r="H788" s="170"/>
      <c r="I788" s="170"/>
      <c r="J788" s="171"/>
      <c r="K788" s="171"/>
      <c r="L788" s="170"/>
      <c r="M788" s="170"/>
      <c r="N788" s="170"/>
      <c r="O788" s="171"/>
      <c r="P788" s="171"/>
      <c r="Q788" s="170"/>
      <c r="R788" s="170"/>
      <c r="S788" s="170"/>
      <c r="T788" s="171"/>
      <c r="U788" s="171"/>
      <c r="V788" s="171"/>
      <c r="W788" s="171"/>
      <c r="X788" s="171"/>
      <c r="Y788" s="171"/>
      <c r="Z788" s="171"/>
      <c r="AA788" s="171"/>
      <c r="AB788" s="171"/>
      <c r="AC788" s="170"/>
      <c r="AD788" s="170"/>
      <c r="AE788" s="170"/>
      <c r="AF788" s="170"/>
      <c r="AG788" s="170"/>
      <c r="AH788" s="170"/>
      <c r="AI788" s="170"/>
      <c r="AJ788" s="170"/>
      <c r="AK788" s="171"/>
      <c r="AL788" s="171"/>
      <c r="AM788" s="170"/>
      <c r="AN788" s="170"/>
      <c r="AO788" s="170"/>
      <c r="AP788" s="171"/>
      <c r="AQ788" s="171"/>
      <c r="AR788" s="170"/>
      <c r="AS788" s="170"/>
      <c r="AT788" s="170"/>
      <c r="AU788" s="171"/>
      <c r="AV788" s="171"/>
      <c r="AW788" s="171"/>
      <c r="AX788" s="171"/>
      <c r="AY788" s="171"/>
      <c r="AZ788" s="171"/>
      <c r="BA788" s="171"/>
      <c r="BB788" s="171"/>
      <c r="BC788" s="171"/>
      <c r="BD788" s="172"/>
      <c r="BE788" s="172"/>
      <c r="BF788" s="172"/>
      <c r="BG788" s="172"/>
      <c r="BH788" s="172"/>
      <c r="BI788" s="172"/>
      <c r="BJ788" s="172"/>
      <c r="BK788" s="172"/>
      <c r="BL788" s="172"/>
      <c r="BM788" s="172"/>
      <c r="BN788" s="172"/>
      <c r="BO788" s="172"/>
      <c r="BP788" s="172"/>
      <c r="BQ788" s="172"/>
      <c r="BR788" s="172"/>
      <c r="BS788" s="172"/>
    </row>
    <row r="789" spans="1:71" ht="12.5" x14ac:dyDescent="0.25">
      <c r="A789" s="170"/>
      <c r="B789" s="170"/>
      <c r="C789" s="170"/>
      <c r="D789" s="170"/>
      <c r="E789" s="171"/>
      <c r="F789" s="171"/>
      <c r="G789" s="170"/>
      <c r="H789" s="170"/>
      <c r="I789" s="170"/>
      <c r="J789" s="171"/>
      <c r="K789" s="171"/>
      <c r="L789" s="170"/>
      <c r="M789" s="170"/>
      <c r="N789" s="170"/>
      <c r="O789" s="171"/>
      <c r="P789" s="171"/>
      <c r="Q789" s="170"/>
      <c r="R789" s="170"/>
      <c r="S789" s="170"/>
      <c r="T789" s="171"/>
      <c r="U789" s="171"/>
      <c r="V789" s="171"/>
      <c r="W789" s="171"/>
      <c r="X789" s="171"/>
      <c r="Y789" s="171"/>
      <c r="Z789" s="171"/>
      <c r="AA789" s="171"/>
      <c r="AB789" s="171"/>
      <c r="AC789" s="170"/>
      <c r="AD789" s="170"/>
      <c r="AE789" s="170"/>
      <c r="AF789" s="170"/>
      <c r="AG789" s="170"/>
      <c r="AH789" s="170"/>
      <c r="AI789" s="170"/>
      <c r="AJ789" s="170"/>
      <c r="AK789" s="171"/>
      <c r="AL789" s="171"/>
      <c r="AM789" s="170"/>
      <c r="AN789" s="170"/>
      <c r="AO789" s="170"/>
      <c r="AP789" s="171"/>
      <c r="AQ789" s="171"/>
      <c r="AR789" s="170"/>
      <c r="AS789" s="170"/>
      <c r="AT789" s="170"/>
      <c r="AU789" s="171"/>
      <c r="AV789" s="171"/>
      <c r="AW789" s="171"/>
      <c r="AX789" s="171"/>
      <c r="AY789" s="171"/>
      <c r="AZ789" s="171"/>
      <c r="BA789" s="171"/>
      <c r="BB789" s="171"/>
      <c r="BC789" s="171"/>
      <c r="BD789" s="172"/>
      <c r="BE789" s="172"/>
      <c r="BF789" s="172"/>
      <c r="BG789" s="172"/>
      <c r="BH789" s="172"/>
      <c r="BI789" s="172"/>
      <c r="BJ789" s="172"/>
      <c r="BK789" s="172"/>
      <c r="BL789" s="172"/>
      <c r="BM789" s="172"/>
      <c r="BN789" s="172"/>
      <c r="BO789" s="172"/>
      <c r="BP789" s="172"/>
      <c r="BQ789" s="172"/>
      <c r="BR789" s="172"/>
      <c r="BS789" s="172"/>
    </row>
    <row r="790" spans="1:71" ht="12.5" x14ac:dyDescent="0.25">
      <c r="A790" s="170"/>
      <c r="B790" s="170"/>
      <c r="C790" s="170"/>
      <c r="D790" s="170"/>
      <c r="E790" s="171"/>
      <c r="F790" s="171"/>
      <c r="G790" s="170"/>
      <c r="H790" s="170"/>
      <c r="I790" s="170"/>
      <c r="J790" s="171"/>
      <c r="K790" s="171"/>
      <c r="L790" s="170"/>
      <c r="M790" s="170"/>
      <c r="N790" s="170"/>
      <c r="O790" s="171"/>
      <c r="P790" s="171"/>
      <c r="Q790" s="170"/>
      <c r="R790" s="170"/>
      <c r="S790" s="170"/>
      <c r="T790" s="171"/>
      <c r="U790" s="171"/>
      <c r="V790" s="171"/>
      <c r="W790" s="171"/>
      <c r="X790" s="171"/>
      <c r="Y790" s="171"/>
      <c r="Z790" s="171"/>
      <c r="AA790" s="171"/>
      <c r="AB790" s="171"/>
      <c r="AC790" s="170"/>
      <c r="AD790" s="170"/>
      <c r="AE790" s="170"/>
      <c r="AF790" s="170"/>
      <c r="AG790" s="170"/>
      <c r="AH790" s="170"/>
      <c r="AI790" s="170"/>
      <c r="AJ790" s="170"/>
      <c r="AK790" s="171"/>
      <c r="AL790" s="171"/>
      <c r="AM790" s="170"/>
      <c r="AN790" s="170"/>
      <c r="AO790" s="170"/>
      <c r="AP790" s="171"/>
      <c r="AQ790" s="171"/>
      <c r="AR790" s="170"/>
      <c r="AS790" s="170"/>
      <c r="AT790" s="170"/>
      <c r="AU790" s="171"/>
      <c r="AV790" s="171"/>
      <c r="AW790" s="171"/>
      <c r="AX790" s="171"/>
      <c r="AY790" s="171"/>
      <c r="AZ790" s="171"/>
      <c r="BA790" s="171"/>
      <c r="BB790" s="171"/>
      <c r="BC790" s="171"/>
      <c r="BD790" s="172"/>
      <c r="BE790" s="172"/>
      <c r="BF790" s="172"/>
      <c r="BG790" s="172"/>
      <c r="BH790" s="172"/>
      <c r="BI790" s="172"/>
      <c r="BJ790" s="172"/>
      <c r="BK790" s="172"/>
      <c r="BL790" s="172"/>
      <c r="BM790" s="172"/>
      <c r="BN790" s="172"/>
      <c r="BO790" s="172"/>
      <c r="BP790" s="172"/>
      <c r="BQ790" s="172"/>
      <c r="BR790" s="172"/>
      <c r="BS790" s="172"/>
    </row>
    <row r="791" spans="1:71" ht="12.5" x14ac:dyDescent="0.25">
      <c r="A791" s="170"/>
      <c r="B791" s="170"/>
      <c r="C791" s="170"/>
      <c r="D791" s="170"/>
      <c r="E791" s="171"/>
      <c r="F791" s="171"/>
      <c r="G791" s="170"/>
      <c r="H791" s="170"/>
      <c r="I791" s="170"/>
      <c r="J791" s="171"/>
      <c r="K791" s="171"/>
      <c r="L791" s="170"/>
      <c r="M791" s="170"/>
      <c r="N791" s="170"/>
      <c r="O791" s="171"/>
      <c r="P791" s="171"/>
      <c r="Q791" s="170"/>
      <c r="R791" s="170"/>
      <c r="S791" s="170"/>
      <c r="T791" s="171"/>
      <c r="U791" s="171"/>
      <c r="V791" s="171"/>
      <c r="W791" s="171"/>
      <c r="X791" s="171"/>
      <c r="Y791" s="171"/>
      <c r="Z791" s="171"/>
      <c r="AA791" s="171"/>
      <c r="AB791" s="171"/>
      <c r="AC791" s="170"/>
      <c r="AD791" s="170"/>
      <c r="AE791" s="170"/>
      <c r="AF791" s="170"/>
      <c r="AG791" s="170"/>
      <c r="AH791" s="170"/>
      <c r="AI791" s="170"/>
      <c r="AJ791" s="170"/>
      <c r="AK791" s="171"/>
      <c r="AL791" s="171"/>
      <c r="AM791" s="170"/>
      <c r="AN791" s="170"/>
      <c r="AO791" s="170"/>
      <c r="AP791" s="171"/>
      <c r="AQ791" s="171"/>
      <c r="AR791" s="170"/>
      <c r="AS791" s="170"/>
      <c r="AT791" s="170"/>
      <c r="AU791" s="171"/>
      <c r="AV791" s="171"/>
      <c r="AW791" s="171"/>
      <c r="AX791" s="171"/>
      <c r="AY791" s="171"/>
      <c r="AZ791" s="171"/>
      <c r="BA791" s="171"/>
      <c r="BB791" s="171"/>
      <c r="BC791" s="171"/>
      <c r="BD791" s="172"/>
      <c r="BE791" s="172"/>
      <c r="BF791" s="172"/>
      <c r="BG791" s="172"/>
      <c r="BH791" s="172"/>
      <c r="BI791" s="172"/>
      <c r="BJ791" s="172"/>
      <c r="BK791" s="172"/>
      <c r="BL791" s="172"/>
      <c r="BM791" s="172"/>
      <c r="BN791" s="172"/>
      <c r="BO791" s="172"/>
      <c r="BP791" s="172"/>
      <c r="BQ791" s="172"/>
      <c r="BR791" s="172"/>
      <c r="BS791" s="172"/>
    </row>
    <row r="792" spans="1:71" ht="12.5" x14ac:dyDescent="0.25">
      <c r="A792" s="170"/>
      <c r="B792" s="170"/>
      <c r="C792" s="170"/>
      <c r="D792" s="170"/>
      <c r="E792" s="171"/>
      <c r="F792" s="171"/>
      <c r="G792" s="170"/>
      <c r="H792" s="170"/>
      <c r="I792" s="170"/>
      <c r="J792" s="171"/>
      <c r="K792" s="171"/>
      <c r="L792" s="170"/>
      <c r="M792" s="170"/>
      <c r="N792" s="170"/>
      <c r="O792" s="171"/>
      <c r="P792" s="171"/>
      <c r="Q792" s="170"/>
      <c r="R792" s="170"/>
      <c r="S792" s="170"/>
      <c r="T792" s="171"/>
      <c r="U792" s="171"/>
      <c r="V792" s="171"/>
      <c r="W792" s="171"/>
      <c r="X792" s="171"/>
      <c r="Y792" s="171"/>
      <c r="Z792" s="171"/>
      <c r="AA792" s="171"/>
      <c r="AB792" s="171"/>
      <c r="AC792" s="170"/>
      <c r="AD792" s="170"/>
      <c r="AE792" s="170"/>
      <c r="AF792" s="170"/>
      <c r="AG792" s="170"/>
      <c r="AH792" s="170"/>
      <c r="AI792" s="170"/>
      <c r="AJ792" s="170"/>
      <c r="AK792" s="171"/>
      <c r="AL792" s="171"/>
      <c r="AM792" s="170"/>
      <c r="AN792" s="170"/>
      <c r="AO792" s="170"/>
      <c r="AP792" s="171"/>
      <c r="AQ792" s="171"/>
      <c r="AR792" s="170"/>
      <c r="AS792" s="170"/>
      <c r="AT792" s="170"/>
      <c r="AU792" s="171"/>
      <c r="AV792" s="171"/>
      <c r="AW792" s="171"/>
      <c r="AX792" s="171"/>
      <c r="AY792" s="171"/>
      <c r="AZ792" s="171"/>
      <c r="BA792" s="171"/>
      <c r="BB792" s="171"/>
      <c r="BC792" s="171"/>
      <c r="BD792" s="172"/>
      <c r="BE792" s="172"/>
      <c r="BF792" s="172"/>
      <c r="BG792" s="172"/>
      <c r="BH792" s="172"/>
      <c r="BI792" s="172"/>
      <c r="BJ792" s="172"/>
      <c r="BK792" s="172"/>
      <c r="BL792" s="172"/>
      <c r="BM792" s="172"/>
      <c r="BN792" s="172"/>
      <c r="BO792" s="172"/>
      <c r="BP792" s="172"/>
      <c r="BQ792" s="172"/>
      <c r="BR792" s="172"/>
      <c r="BS792" s="172"/>
    </row>
    <row r="793" spans="1:71" ht="12.5" x14ac:dyDescent="0.25">
      <c r="A793" s="170"/>
      <c r="B793" s="170"/>
      <c r="C793" s="170"/>
      <c r="D793" s="170"/>
      <c r="E793" s="171"/>
      <c r="F793" s="171"/>
      <c r="G793" s="170"/>
      <c r="H793" s="170"/>
      <c r="I793" s="170"/>
      <c r="J793" s="171"/>
      <c r="K793" s="171"/>
      <c r="L793" s="170"/>
      <c r="M793" s="170"/>
      <c r="N793" s="170"/>
      <c r="O793" s="171"/>
      <c r="P793" s="171"/>
      <c r="Q793" s="170"/>
      <c r="R793" s="170"/>
      <c r="S793" s="170"/>
      <c r="T793" s="171"/>
      <c r="U793" s="171"/>
      <c r="V793" s="171"/>
      <c r="W793" s="171"/>
      <c r="X793" s="171"/>
      <c r="Y793" s="171"/>
      <c r="Z793" s="171"/>
      <c r="AA793" s="171"/>
      <c r="AB793" s="171"/>
      <c r="AC793" s="170"/>
      <c r="AD793" s="170"/>
      <c r="AE793" s="170"/>
      <c r="AF793" s="170"/>
      <c r="AG793" s="170"/>
      <c r="AH793" s="170"/>
      <c r="AI793" s="170"/>
      <c r="AJ793" s="170"/>
      <c r="AK793" s="171"/>
      <c r="AL793" s="171"/>
      <c r="AM793" s="170"/>
      <c r="AN793" s="170"/>
      <c r="AO793" s="170"/>
      <c r="AP793" s="171"/>
      <c r="AQ793" s="171"/>
      <c r="AR793" s="170"/>
      <c r="AS793" s="170"/>
      <c r="AT793" s="170"/>
      <c r="AU793" s="171"/>
      <c r="AV793" s="171"/>
      <c r="AW793" s="171"/>
      <c r="AX793" s="171"/>
      <c r="AY793" s="171"/>
      <c r="AZ793" s="171"/>
      <c r="BA793" s="171"/>
      <c r="BB793" s="171"/>
      <c r="BC793" s="171"/>
      <c r="BD793" s="172"/>
      <c r="BE793" s="172"/>
      <c r="BF793" s="172"/>
      <c r="BG793" s="172"/>
      <c r="BH793" s="172"/>
      <c r="BI793" s="172"/>
      <c r="BJ793" s="172"/>
      <c r="BK793" s="172"/>
      <c r="BL793" s="172"/>
      <c r="BM793" s="172"/>
      <c r="BN793" s="172"/>
      <c r="BO793" s="172"/>
      <c r="BP793" s="172"/>
      <c r="BQ793" s="172"/>
      <c r="BR793" s="172"/>
      <c r="BS793" s="172"/>
    </row>
    <row r="794" spans="1:71" ht="12.5" x14ac:dyDescent="0.25">
      <c r="A794" s="170"/>
      <c r="B794" s="170"/>
      <c r="C794" s="170"/>
      <c r="D794" s="170"/>
      <c r="E794" s="171"/>
      <c r="F794" s="171"/>
      <c r="G794" s="170"/>
      <c r="H794" s="170"/>
      <c r="I794" s="170"/>
      <c r="J794" s="171"/>
      <c r="K794" s="171"/>
      <c r="L794" s="170"/>
      <c r="M794" s="170"/>
      <c r="N794" s="170"/>
      <c r="O794" s="171"/>
      <c r="P794" s="171"/>
      <c r="Q794" s="170"/>
      <c r="R794" s="170"/>
      <c r="S794" s="170"/>
      <c r="T794" s="171"/>
      <c r="U794" s="171"/>
      <c r="V794" s="171"/>
      <c r="W794" s="171"/>
      <c r="X794" s="171"/>
      <c r="Y794" s="171"/>
      <c r="Z794" s="171"/>
      <c r="AA794" s="171"/>
      <c r="AB794" s="171"/>
      <c r="AC794" s="170"/>
      <c r="AD794" s="170"/>
      <c r="AE794" s="170"/>
      <c r="AF794" s="170"/>
      <c r="AG794" s="170"/>
      <c r="AH794" s="170"/>
      <c r="AI794" s="170"/>
      <c r="AJ794" s="170"/>
      <c r="AK794" s="171"/>
      <c r="AL794" s="171"/>
      <c r="AM794" s="170"/>
      <c r="AN794" s="170"/>
      <c r="AO794" s="170"/>
      <c r="AP794" s="171"/>
      <c r="AQ794" s="171"/>
      <c r="AR794" s="170"/>
      <c r="AS794" s="170"/>
      <c r="AT794" s="170"/>
      <c r="AU794" s="171"/>
      <c r="AV794" s="171"/>
      <c r="AW794" s="171"/>
      <c r="AX794" s="171"/>
      <c r="AY794" s="171"/>
      <c r="AZ794" s="171"/>
      <c r="BA794" s="171"/>
      <c r="BB794" s="171"/>
      <c r="BC794" s="171"/>
      <c r="BD794" s="172"/>
      <c r="BE794" s="172"/>
      <c r="BF794" s="172"/>
      <c r="BG794" s="172"/>
      <c r="BH794" s="172"/>
      <c r="BI794" s="172"/>
      <c r="BJ794" s="172"/>
      <c r="BK794" s="172"/>
      <c r="BL794" s="172"/>
      <c r="BM794" s="172"/>
      <c r="BN794" s="172"/>
      <c r="BO794" s="172"/>
      <c r="BP794" s="172"/>
      <c r="BQ794" s="172"/>
      <c r="BR794" s="172"/>
      <c r="BS794" s="172"/>
    </row>
    <row r="795" spans="1:71" ht="12.5" x14ac:dyDescent="0.25">
      <c r="A795" s="170"/>
      <c r="B795" s="170"/>
      <c r="C795" s="170"/>
      <c r="D795" s="170"/>
      <c r="E795" s="171"/>
      <c r="F795" s="171"/>
      <c r="G795" s="170"/>
      <c r="H795" s="170"/>
      <c r="I795" s="170"/>
      <c r="J795" s="171"/>
      <c r="K795" s="171"/>
      <c r="L795" s="170"/>
      <c r="M795" s="170"/>
      <c r="N795" s="170"/>
      <c r="O795" s="171"/>
      <c r="P795" s="171"/>
      <c r="Q795" s="170"/>
      <c r="R795" s="170"/>
      <c r="S795" s="170"/>
      <c r="T795" s="171"/>
      <c r="U795" s="171"/>
      <c r="V795" s="171"/>
      <c r="W795" s="171"/>
      <c r="X795" s="171"/>
      <c r="Y795" s="171"/>
      <c r="Z795" s="171"/>
      <c r="AA795" s="171"/>
      <c r="AB795" s="171"/>
      <c r="AC795" s="170"/>
      <c r="AD795" s="170"/>
      <c r="AE795" s="170"/>
      <c r="AF795" s="170"/>
      <c r="AG795" s="170"/>
      <c r="AH795" s="170"/>
      <c r="AI795" s="170"/>
      <c r="AJ795" s="170"/>
      <c r="AK795" s="171"/>
      <c r="AL795" s="171"/>
      <c r="AM795" s="170"/>
      <c r="AN795" s="170"/>
      <c r="AO795" s="170"/>
      <c r="AP795" s="171"/>
      <c r="AQ795" s="171"/>
      <c r="AR795" s="170"/>
      <c r="AS795" s="170"/>
      <c r="AT795" s="170"/>
      <c r="AU795" s="171"/>
      <c r="AV795" s="171"/>
      <c r="AW795" s="171"/>
      <c r="AX795" s="171"/>
      <c r="AY795" s="171"/>
      <c r="AZ795" s="171"/>
      <c r="BA795" s="171"/>
      <c r="BB795" s="171"/>
      <c r="BC795" s="171"/>
      <c r="BD795" s="172"/>
      <c r="BE795" s="172"/>
      <c r="BF795" s="172"/>
      <c r="BG795" s="172"/>
      <c r="BH795" s="172"/>
      <c r="BI795" s="172"/>
      <c r="BJ795" s="172"/>
      <c r="BK795" s="172"/>
      <c r="BL795" s="172"/>
      <c r="BM795" s="172"/>
      <c r="BN795" s="172"/>
      <c r="BO795" s="172"/>
      <c r="BP795" s="172"/>
      <c r="BQ795" s="172"/>
      <c r="BR795" s="172"/>
      <c r="BS795" s="172"/>
    </row>
    <row r="796" spans="1:71" ht="12.5" x14ac:dyDescent="0.25">
      <c r="A796" s="170"/>
      <c r="B796" s="170"/>
      <c r="C796" s="170"/>
      <c r="D796" s="170"/>
      <c r="E796" s="171"/>
      <c r="F796" s="171"/>
      <c r="G796" s="170"/>
      <c r="H796" s="170"/>
      <c r="I796" s="170"/>
      <c r="J796" s="171"/>
      <c r="K796" s="171"/>
      <c r="L796" s="170"/>
      <c r="M796" s="170"/>
      <c r="N796" s="170"/>
      <c r="O796" s="171"/>
      <c r="P796" s="171"/>
      <c r="Q796" s="170"/>
      <c r="R796" s="170"/>
      <c r="S796" s="170"/>
      <c r="T796" s="171"/>
      <c r="U796" s="171"/>
      <c r="V796" s="171"/>
      <c r="W796" s="171"/>
      <c r="X796" s="171"/>
      <c r="Y796" s="171"/>
      <c r="Z796" s="171"/>
      <c r="AA796" s="171"/>
      <c r="AB796" s="171"/>
      <c r="AC796" s="170"/>
      <c r="AD796" s="170"/>
      <c r="AE796" s="170"/>
      <c r="AF796" s="170"/>
      <c r="AG796" s="170"/>
      <c r="AH796" s="170"/>
      <c r="AI796" s="170"/>
      <c r="AJ796" s="170"/>
      <c r="AK796" s="171"/>
      <c r="AL796" s="171"/>
      <c r="AM796" s="170"/>
      <c r="AN796" s="170"/>
      <c r="AO796" s="170"/>
      <c r="AP796" s="171"/>
      <c r="AQ796" s="171"/>
      <c r="AR796" s="170"/>
      <c r="AS796" s="170"/>
      <c r="AT796" s="170"/>
      <c r="AU796" s="171"/>
      <c r="AV796" s="171"/>
      <c r="AW796" s="171"/>
      <c r="AX796" s="171"/>
      <c r="AY796" s="171"/>
      <c r="AZ796" s="171"/>
      <c r="BA796" s="171"/>
      <c r="BB796" s="171"/>
      <c r="BC796" s="171"/>
      <c r="BD796" s="172"/>
      <c r="BE796" s="172"/>
      <c r="BF796" s="172"/>
      <c r="BG796" s="172"/>
      <c r="BH796" s="172"/>
      <c r="BI796" s="172"/>
      <c r="BJ796" s="172"/>
      <c r="BK796" s="172"/>
      <c r="BL796" s="172"/>
      <c r="BM796" s="172"/>
      <c r="BN796" s="172"/>
      <c r="BO796" s="172"/>
      <c r="BP796" s="172"/>
      <c r="BQ796" s="172"/>
      <c r="BR796" s="172"/>
      <c r="BS796" s="172"/>
    </row>
    <row r="797" spans="1:71" ht="12.5" x14ac:dyDescent="0.25">
      <c r="A797" s="170"/>
      <c r="B797" s="170"/>
      <c r="C797" s="170"/>
      <c r="D797" s="170"/>
      <c r="E797" s="171"/>
      <c r="F797" s="171"/>
      <c r="G797" s="170"/>
      <c r="H797" s="170"/>
      <c r="I797" s="170"/>
      <c r="J797" s="171"/>
      <c r="K797" s="171"/>
      <c r="L797" s="170"/>
      <c r="M797" s="170"/>
      <c r="N797" s="170"/>
      <c r="O797" s="171"/>
      <c r="P797" s="171"/>
      <c r="Q797" s="170"/>
      <c r="R797" s="170"/>
      <c r="S797" s="170"/>
      <c r="T797" s="171"/>
      <c r="U797" s="171"/>
      <c r="V797" s="171"/>
      <c r="W797" s="171"/>
      <c r="X797" s="171"/>
      <c r="Y797" s="171"/>
      <c r="Z797" s="171"/>
      <c r="AA797" s="171"/>
      <c r="AB797" s="171"/>
      <c r="AC797" s="170"/>
      <c r="AD797" s="170"/>
      <c r="AE797" s="170"/>
      <c r="AF797" s="170"/>
      <c r="AG797" s="170"/>
      <c r="AH797" s="170"/>
      <c r="AI797" s="170"/>
      <c r="AJ797" s="170"/>
      <c r="AK797" s="171"/>
      <c r="AL797" s="171"/>
      <c r="AM797" s="170"/>
      <c r="AN797" s="170"/>
      <c r="AO797" s="170"/>
      <c r="AP797" s="171"/>
      <c r="AQ797" s="171"/>
      <c r="AR797" s="170"/>
      <c r="AS797" s="170"/>
      <c r="AT797" s="170"/>
      <c r="AU797" s="171"/>
      <c r="AV797" s="171"/>
      <c r="AW797" s="171"/>
      <c r="AX797" s="171"/>
      <c r="AY797" s="171"/>
      <c r="AZ797" s="171"/>
      <c r="BA797" s="171"/>
      <c r="BB797" s="171"/>
      <c r="BC797" s="171"/>
      <c r="BD797" s="172"/>
      <c r="BE797" s="172"/>
      <c r="BF797" s="172"/>
      <c r="BG797" s="172"/>
      <c r="BH797" s="172"/>
      <c r="BI797" s="172"/>
      <c r="BJ797" s="172"/>
      <c r="BK797" s="172"/>
      <c r="BL797" s="172"/>
      <c r="BM797" s="172"/>
      <c r="BN797" s="172"/>
      <c r="BO797" s="172"/>
      <c r="BP797" s="172"/>
      <c r="BQ797" s="172"/>
      <c r="BR797" s="172"/>
      <c r="BS797" s="172"/>
    </row>
    <row r="798" spans="1:71" ht="12.5" x14ac:dyDescent="0.25">
      <c r="A798" s="170"/>
      <c r="B798" s="170"/>
      <c r="C798" s="170"/>
      <c r="D798" s="170"/>
      <c r="E798" s="171"/>
      <c r="F798" s="171"/>
      <c r="G798" s="170"/>
      <c r="H798" s="170"/>
      <c r="I798" s="170"/>
      <c r="J798" s="171"/>
      <c r="K798" s="171"/>
      <c r="L798" s="170"/>
      <c r="M798" s="170"/>
      <c r="N798" s="170"/>
      <c r="O798" s="171"/>
      <c r="P798" s="171"/>
      <c r="Q798" s="170"/>
      <c r="R798" s="170"/>
      <c r="S798" s="170"/>
      <c r="T798" s="171"/>
      <c r="U798" s="171"/>
      <c r="V798" s="171"/>
      <c r="W798" s="171"/>
      <c r="X798" s="171"/>
      <c r="Y798" s="171"/>
      <c r="Z798" s="171"/>
      <c r="AA798" s="171"/>
      <c r="AB798" s="171"/>
      <c r="AC798" s="170"/>
      <c r="AD798" s="170"/>
      <c r="AE798" s="170"/>
      <c r="AF798" s="170"/>
      <c r="AG798" s="170"/>
      <c r="AH798" s="170"/>
      <c r="AI798" s="170"/>
      <c r="AJ798" s="170"/>
      <c r="AK798" s="171"/>
      <c r="AL798" s="171"/>
      <c r="AM798" s="170"/>
      <c r="AN798" s="170"/>
      <c r="AO798" s="170"/>
      <c r="AP798" s="171"/>
      <c r="AQ798" s="171"/>
      <c r="AR798" s="170"/>
      <c r="AS798" s="170"/>
      <c r="AT798" s="170"/>
      <c r="AU798" s="171"/>
      <c r="AV798" s="171"/>
      <c r="AW798" s="171"/>
      <c r="AX798" s="171"/>
      <c r="AY798" s="171"/>
      <c r="AZ798" s="171"/>
      <c r="BA798" s="171"/>
      <c r="BB798" s="171"/>
      <c r="BC798" s="171"/>
      <c r="BD798" s="172"/>
      <c r="BE798" s="172"/>
      <c r="BF798" s="172"/>
      <c r="BG798" s="172"/>
      <c r="BH798" s="172"/>
      <c r="BI798" s="172"/>
      <c r="BJ798" s="172"/>
      <c r="BK798" s="172"/>
      <c r="BL798" s="172"/>
      <c r="BM798" s="172"/>
      <c r="BN798" s="172"/>
      <c r="BO798" s="172"/>
      <c r="BP798" s="172"/>
      <c r="BQ798" s="172"/>
      <c r="BR798" s="172"/>
      <c r="BS798" s="172"/>
    </row>
    <row r="799" spans="1:71" ht="12.5" x14ac:dyDescent="0.25">
      <c r="A799" s="170"/>
      <c r="B799" s="170"/>
      <c r="C799" s="170"/>
      <c r="D799" s="170"/>
      <c r="E799" s="171"/>
      <c r="F799" s="171"/>
      <c r="G799" s="170"/>
      <c r="H799" s="170"/>
      <c r="I799" s="170"/>
      <c r="J799" s="171"/>
      <c r="K799" s="171"/>
      <c r="L799" s="170"/>
      <c r="M799" s="170"/>
      <c r="N799" s="170"/>
      <c r="O799" s="171"/>
      <c r="P799" s="171"/>
      <c r="Q799" s="170"/>
      <c r="R799" s="170"/>
      <c r="S799" s="170"/>
      <c r="T799" s="171"/>
      <c r="U799" s="171"/>
      <c r="V799" s="171"/>
      <c r="W799" s="171"/>
      <c r="X799" s="171"/>
      <c r="Y799" s="171"/>
      <c r="Z799" s="171"/>
      <c r="AA799" s="171"/>
      <c r="AB799" s="171"/>
      <c r="AC799" s="170"/>
      <c r="AD799" s="170"/>
      <c r="AE799" s="170"/>
      <c r="AF799" s="170"/>
      <c r="AG799" s="170"/>
      <c r="AH799" s="170"/>
      <c r="AI799" s="170"/>
      <c r="AJ799" s="170"/>
      <c r="AK799" s="171"/>
      <c r="AL799" s="171"/>
      <c r="AM799" s="170"/>
      <c r="AN799" s="170"/>
      <c r="AO799" s="170"/>
      <c r="AP799" s="171"/>
      <c r="AQ799" s="171"/>
      <c r="AR799" s="170"/>
      <c r="AS799" s="170"/>
      <c r="AT799" s="170"/>
      <c r="AU799" s="171"/>
      <c r="AV799" s="171"/>
      <c r="AW799" s="171"/>
      <c r="AX799" s="171"/>
      <c r="AY799" s="171"/>
      <c r="AZ799" s="171"/>
      <c r="BA799" s="171"/>
      <c r="BB799" s="171"/>
      <c r="BC799" s="171"/>
      <c r="BD799" s="172"/>
      <c r="BE799" s="172"/>
      <c r="BF799" s="172"/>
      <c r="BG799" s="172"/>
      <c r="BH799" s="172"/>
      <c r="BI799" s="172"/>
      <c r="BJ799" s="172"/>
      <c r="BK799" s="172"/>
      <c r="BL799" s="172"/>
      <c r="BM799" s="172"/>
      <c r="BN799" s="172"/>
      <c r="BO799" s="172"/>
      <c r="BP799" s="172"/>
      <c r="BQ799" s="172"/>
      <c r="BR799" s="172"/>
      <c r="BS799" s="172"/>
    </row>
    <row r="800" spans="1:71" ht="12.5" x14ac:dyDescent="0.25">
      <c r="A800" s="170"/>
      <c r="B800" s="170"/>
      <c r="C800" s="170"/>
      <c r="D800" s="170"/>
      <c r="E800" s="171"/>
      <c r="F800" s="171"/>
      <c r="G800" s="170"/>
      <c r="H800" s="170"/>
      <c r="I800" s="170"/>
      <c r="J800" s="171"/>
      <c r="K800" s="171"/>
      <c r="L800" s="170"/>
      <c r="M800" s="170"/>
      <c r="N800" s="170"/>
      <c r="O800" s="171"/>
      <c r="P800" s="171"/>
      <c r="Q800" s="170"/>
      <c r="R800" s="170"/>
      <c r="S800" s="170"/>
      <c r="T800" s="171"/>
      <c r="U800" s="171"/>
      <c r="V800" s="171"/>
      <c r="W800" s="171"/>
      <c r="X800" s="171"/>
      <c r="Y800" s="171"/>
      <c r="Z800" s="171"/>
      <c r="AA800" s="171"/>
      <c r="AB800" s="171"/>
      <c r="AC800" s="170"/>
      <c r="AD800" s="170"/>
      <c r="AE800" s="170"/>
      <c r="AF800" s="170"/>
      <c r="AG800" s="170"/>
      <c r="AH800" s="170"/>
      <c r="AI800" s="170"/>
      <c r="AJ800" s="170"/>
      <c r="AK800" s="171"/>
      <c r="AL800" s="171"/>
      <c r="AM800" s="170"/>
      <c r="AN800" s="170"/>
      <c r="AO800" s="170"/>
      <c r="AP800" s="171"/>
      <c r="AQ800" s="171"/>
      <c r="AR800" s="170"/>
      <c r="AS800" s="170"/>
      <c r="AT800" s="170"/>
      <c r="AU800" s="171"/>
      <c r="AV800" s="171"/>
      <c r="AW800" s="171"/>
      <c r="AX800" s="171"/>
      <c r="AY800" s="171"/>
      <c r="AZ800" s="171"/>
      <c r="BA800" s="171"/>
      <c r="BB800" s="171"/>
      <c r="BC800" s="171"/>
      <c r="BD800" s="172"/>
      <c r="BE800" s="172"/>
      <c r="BF800" s="172"/>
      <c r="BG800" s="172"/>
      <c r="BH800" s="172"/>
      <c r="BI800" s="172"/>
      <c r="BJ800" s="172"/>
      <c r="BK800" s="172"/>
      <c r="BL800" s="172"/>
      <c r="BM800" s="172"/>
      <c r="BN800" s="172"/>
      <c r="BO800" s="172"/>
      <c r="BP800" s="172"/>
      <c r="BQ800" s="172"/>
      <c r="BR800" s="172"/>
      <c r="BS800" s="172"/>
    </row>
    <row r="801" spans="1:71" ht="12.5" x14ac:dyDescent="0.25">
      <c r="A801" s="170"/>
      <c r="B801" s="170"/>
      <c r="C801" s="170"/>
      <c r="D801" s="170"/>
      <c r="E801" s="171"/>
      <c r="F801" s="171"/>
      <c r="G801" s="170"/>
      <c r="H801" s="170"/>
      <c r="I801" s="170"/>
      <c r="J801" s="171"/>
      <c r="K801" s="171"/>
      <c r="L801" s="170"/>
      <c r="M801" s="170"/>
      <c r="N801" s="170"/>
      <c r="O801" s="171"/>
      <c r="P801" s="171"/>
      <c r="Q801" s="170"/>
      <c r="R801" s="170"/>
      <c r="S801" s="170"/>
      <c r="T801" s="171"/>
      <c r="U801" s="171"/>
      <c r="V801" s="171"/>
      <c r="W801" s="171"/>
      <c r="X801" s="171"/>
      <c r="Y801" s="171"/>
      <c r="Z801" s="171"/>
      <c r="AA801" s="171"/>
      <c r="AB801" s="171"/>
      <c r="AC801" s="170"/>
      <c r="AD801" s="170"/>
      <c r="AE801" s="170"/>
      <c r="AF801" s="170"/>
      <c r="AG801" s="170"/>
      <c r="AH801" s="170"/>
      <c r="AI801" s="170"/>
      <c r="AJ801" s="170"/>
      <c r="AK801" s="171"/>
      <c r="AL801" s="171"/>
      <c r="AM801" s="170"/>
      <c r="AN801" s="170"/>
      <c r="AO801" s="170"/>
      <c r="AP801" s="171"/>
      <c r="AQ801" s="171"/>
      <c r="AR801" s="170"/>
      <c r="AS801" s="170"/>
      <c r="AT801" s="170"/>
      <c r="AU801" s="171"/>
      <c r="AV801" s="171"/>
      <c r="AW801" s="171"/>
      <c r="AX801" s="171"/>
      <c r="AY801" s="171"/>
      <c r="AZ801" s="171"/>
      <c r="BA801" s="171"/>
      <c r="BB801" s="171"/>
      <c r="BC801" s="171"/>
      <c r="BD801" s="172"/>
      <c r="BE801" s="172"/>
      <c r="BF801" s="172"/>
      <c r="BG801" s="172"/>
      <c r="BH801" s="172"/>
      <c r="BI801" s="172"/>
      <c r="BJ801" s="172"/>
      <c r="BK801" s="172"/>
      <c r="BL801" s="172"/>
      <c r="BM801" s="172"/>
      <c r="BN801" s="172"/>
      <c r="BO801" s="172"/>
      <c r="BP801" s="172"/>
      <c r="BQ801" s="172"/>
      <c r="BR801" s="172"/>
      <c r="BS801" s="172"/>
    </row>
    <row r="802" spans="1:71" ht="12.5" x14ac:dyDescent="0.25">
      <c r="A802" s="170"/>
      <c r="B802" s="170"/>
      <c r="C802" s="170"/>
      <c r="D802" s="170"/>
      <c r="E802" s="171"/>
      <c r="F802" s="171"/>
      <c r="G802" s="170"/>
      <c r="H802" s="170"/>
      <c r="I802" s="170"/>
      <c r="J802" s="171"/>
      <c r="K802" s="171"/>
      <c r="L802" s="170"/>
      <c r="M802" s="170"/>
      <c r="N802" s="170"/>
      <c r="O802" s="171"/>
      <c r="P802" s="171"/>
      <c r="Q802" s="170"/>
      <c r="R802" s="170"/>
      <c r="S802" s="170"/>
      <c r="T802" s="171"/>
      <c r="U802" s="171"/>
      <c r="V802" s="171"/>
      <c r="W802" s="171"/>
      <c r="X802" s="171"/>
      <c r="Y802" s="171"/>
      <c r="Z802" s="171"/>
      <c r="AA802" s="171"/>
      <c r="AB802" s="171"/>
      <c r="AC802" s="170"/>
      <c r="AD802" s="170"/>
      <c r="AE802" s="170"/>
      <c r="AF802" s="170"/>
      <c r="AG802" s="170"/>
      <c r="AH802" s="170"/>
      <c r="AI802" s="170"/>
      <c r="AJ802" s="170"/>
      <c r="AK802" s="171"/>
      <c r="AL802" s="171"/>
      <c r="AM802" s="170"/>
      <c r="AN802" s="170"/>
      <c r="AO802" s="170"/>
      <c r="AP802" s="171"/>
      <c r="AQ802" s="171"/>
      <c r="AR802" s="170"/>
      <c r="AS802" s="170"/>
      <c r="AT802" s="170"/>
      <c r="AU802" s="171"/>
      <c r="AV802" s="171"/>
      <c r="AW802" s="171"/>
      <c r="AX802" s="171"/>
      <c r="AY802" s="171"/>
      <c r="AZ802" s="171"/>
      <c r="BA802" s="171"/>
      <c r="BB802" s="171"/>
      <c r="BC802" s="171"/>
      <c r="BD802" s="172"/>
      <c r="BE802" s="172"/>
      <c r="BF802" s="172"/>
      <c r="BG802" s="172"/>
      <c r="BH802" s="172"/>
      <c r="BI802" s="172"/>
      <c r="BJ802" s="172"/>
      <c r="BK802" s="172"/>
      <c r="BL802" s="172"/>
      <c r="BM802" s="172"/>
      <c r="BN802" s="172"/>
      <c r="BO802" s="172"/>
      <c r="BP802" s="172"/>
      <c r="BQ802" s="172"/>
      <c r="BR802" s="172"/>
      <c r="BS802" s="172"/>
    </row>
    <row r="803" spans="1:71" ht="12.5" x14ac:dyDescent="0.25">
      <c r="A803" s="170"/>
      <c r="B803" s="170"/>
      <c r="C803" s="170"/>
      <c r="D803" s="170"/>
      <c r="E803" s="171"/>
      <c r="F803" s="171"/>
      <c r="G803" s="170"/>
      <c r="H803" s="170"/>
      <c r="I803" s="170"/>
      <c r="J803" s="171"/>
      <c r="K803" s="171"/>
      <c r="L803" s="170"/>
      <c r="M803" s="170"/>
      <c r="N803" s="170"/>
      <c r="O803" s="171"/>
      <c r="P803" s="171"/>
      <c r="Q803" s="170"/>
      <c r="R803" s="170"/>
      <c r="S803" s="170"/>
      <c r="T803" s="171"/>
      <c r="U803" s="171"/>
      <c r="V803" s="171"/>
      <c r="W803" s="171"/>
      <c r="X803" s="171"/>
      <c r="Y803" s="171"/>
      <c r="Z803" s="171"/>
      <c r="AA803" s="171"/>
      <c r="AB803" s="171"/>
      <c r="AC803" s="170"/>
      <c r="AD803" s="170"/>
      <c r="AE803" s="170"/>
      <c r="AF803" s="170"/>
      <c r="AG803" s="170"/>
      <c r="AH803" s="170"/>
      <c r="AI803" s="170"/>
      <c r="AJ803" s="170"/>
      <c r="AK803" s="171"/>
      <c r="AL803" s="171"/>
      <c r="AM803" s="170"/>
      <c r="AN803" s="170"/>
      <c r="AO803" s="170"/>
      <c r="AP803" s="171"/>
      <c r="AQ803" s="171"/>
      <c r="AR803" s="170"/>
      <c r="AS803" s="170"/>
      <c r="AT803" s="170"/>
      <c r="AU803" s="171"/>
      <c r="AV803" s="171"/>
      <c r="AW803" s="171"/>
      <c r="AX803" s="171"/>
      <c r="AY803" s="171"/>
      <c r="AZ803" s="171"/>
      <c r="BA803" s="171"/>
      <c r="BB803" s="171"/>
      <c r="BC803" s="171"/>
      <c r="BD803" s="172"/>
      <c r="BE803" s="172"/>
      <c r="BF803" s="172"/>
      <c r="BG803" s="172"/>
      <c r="BH803" s="172"/>
      <c r="BI803" s="172"/>
      <c r="BJ803" s="172"/>
      <c r="BK803" s="172"/>
      <c r="BL803" s="172"/>
      <c r="BM803" s="172"/>
      <c r="BN803" s="172"/>
      <c r="BO803" s="172"/>
      <c r="BP803" s="172"/>
      <c r="BQ803" s="172"/>
      <c r="BR803" s="172"/>
      <c r="BS803" s="172"/>
    </row>
    <row r="804" spans="1:71" ht="12.5" x14ac:dyDescent="0.25">
      <c r="A804" s="170"/>
      <c r="B804" s="170"/>
      <c r="C804" s="170"/>
      <c r="D804" s="170"/>
      <c r="E804" s="171"/>
      <c r="F804" s="171"/>
      <c r="G804" s="170"/>
      <c r="H804" s="170"/>
      <c r="I804" s="170"/>
      <c r="J804" s="171"/>
      <c r="K804" s="171"/>
      <c r="L804" s="170"/>
      <c r="M804" s="170"/>
      <c r="N804" s="170"/>
      <c r="O804" s="171"/>
      <c r="P804" s="171"/>
      <c r="Q804" s="170"/>
      <c r="R804" s="170"/>
      <c r="S804" s="170"/>
      <c r="T804" s="171"/>
      <c r="U804" s="171"/>
      <c r="V804" s="171"/>
      <c r="W804" s="171"/>
      <c r="X804" s="171"/>
      <c r="Y804" s="171"/>
      <c r="Z804" s="171"/>
      <c r="AA804" s="171"/>
      <c r="AB804" s="171"/>
      <c r="AC804" s="170"/>
      <c r="AD804" s="170"/>
      <c r="AE804" s="170"/>
      <c r="AF804" s="170"/>
      <c r="AG804" s="170"/>
      <c r="AH804" s="170"/>
      <c r="AI804" s="170"/>
      <c r="AJ804" s="170"/>
      <c r="AK804" s="171"/>
      <c r="AL804" s="171"/>
      <c r="AM804" s="170"/>
      <c r="AN804" s="170"/>
      <c r="AO804" s="170"/>
      <c r="AP804" s="171"/>
      <c r="AQ804" s="171"/>
      <c r="AR804" s="170"/>
      <c r="AS804" s="170"/>
      <c r="AT804" s="170"/>
      <c r="AU804" s="171"/>
      <c r="AV804" s="171"/>
      <c r="AW804" s="171"/>
      <c r="AX804" s="171"/>
      <c r="AY804" s="171"/>
      <c r="AZ804" s="171"/>
      <c r="BA804" s="171"/>
      <c r="BB804" s="171"/>
      <c r="BC804" s="171"/>
      <c r="BD804" s="172"/>
      <c r="BE804" s="172"/>
      <c r="BF804" s="172"/>
      <c r="BG804" s="172"/>
      <c r="BH804" s="172"/>
      <c r="BI804" s="172"/>
      <c r="BJ804" s="172"/>
      <c r="BK804" s="172"/>
      <c r="BL804" s="172"/>
      <c r="BM804" s="172"/>
      <c r="BN804" s="172"/>
      <c r="BO804" s="172"/>
      <c r="BP804" s="172"/>
      <c r="BQ804" s="172"/>
      <c r="BR804" s="172"/>
      <c r="BS804" s="172"/>
    </row>
    <row r="805" spans="1:71" ht="12.5" x14ac:dyDescent="0.25">
      <c r="A805" s="170"/>
      <c r="B805" s="170"/>
      <c r="C805" s="170"/>
      <c r="D805" s="170"/>
      <c r="E805" s="171"/>
      <c r="F805" s="171"/>
      <c r="G805" s="170"/>
      <c r="H805" s="170"/>
      <c r="I805" s="170"/>
      <c r="J805" s="171"/>
      <c r="K805" s="171"/>
      <c r="L805" s="170"/>
      <c r="M805" s="170"/>
      <c r="N805" s="170"/>
      <c r="O805" s="171"/>
      <c r="P805" s="171"/>
      <c r="Q805" s="170"/>
      <c r="R805" s="170"/>
      <c r="S805" s="170"/>
      <c r="T805" s="171"/>
      <c r="U805" s="171"/>
      <c r="V805" s="171"/>
      <c r="W805" s="171"/>
      <c r="X805" s="171"/>
      <c r="Y805" s="171"/>
      <c r="Z805" s="171"/>
      <c r="AA805" s="171"/>
      <c r="AB805" s="171"/>
      <c r="AC805" s="170"/>
      <c r="AD805" s="170"/>
      <c r="AE805" s="170"/>
      <c r="AF805" s="170"/>
      <c r="AG805" s="170"/>
      <c r="AH805" s="170"/>
      <c r="AI805" s="170"/>
      <c r="AJ805" s="170"/>
      <c r="AK805" s="171"/>
      <c r="AL805" s="171"/>
      <c r="AM805" s="170"/>
      <c r="AN805" s="170"/>
      <c r="AO805" s="170"/>
      <c r="AP805" s="171"/>
      <c r="AQ805" s="171"/>
      <c r="AR805" s="170"/>
      <c r="AS805" s="170"/>
      <c r="AT805" s="170"/>
      <c r="AU805" s="171"/>
      <c r="AV805" s="171"/>
      <c r="AW805" s="171"/>
      <c r="AX805" s="171"/>
      <c r="AY805" s="171"/>
      <c r="AZ805" s="171"/>
      <c r="BA805" s="171"/>
      <c r="BB805" s="171"/>
      <c r="BC805" s="171"/>
      <c r="BD805" s="172"/>
      <c r="BE805" s="172"/>
      <c r="BF805" s="172"/>
      <c r="BG805" s="172"/>
      <c r="BH805" s="172"/>
      <c r="BI805" s="172"/>
      <c r="BJ805" s="172"/>
      <c r="BK805" s="172"/>
      <c r="BL805" s="172"/>
      <c r="BM805" s="172"/>
      <c r="BN805" s="172"/>
      <c r="BO805" s="172"/>
      <c r="BP805" s="172"/>
      <c r="BQ805" s="172"/>
      <c r="BR805" s="172"/>
      <c r="BS805" s="172"/>
    </row>
    <row r="806" spans="1:71" ht="12.5" x14ac:dyDescent="0.25">
      <c r="A806" s="170"/>
      <c r="B806" s="170"/>
      <c r="C806" s="170"/>
      <c r="D806" s="170"/>
      <c r="E806" s="171"/>
      <c r="F806" s="171"/>
      <c r="G806" s="170"/>
      <c r="H806" s="170"/>
      <c r="I806" s="170"/>
      <c r="J806" s="171"/>
      <c r="K806" s="171"/>
      <c r="L806" s="170"/>
      <c r="M806" s="170"/>
      <c r="N806" s="170"/>
      <c r="O806" s="171"/>
      <c r="P806" s="171"/>
      <c r="Q806" s="170"/>
      <c r="R806" s="170"/>
      <c r="S806" s="170"/>
      <c r="T806" s="171"/>
      <c r="U806" s="171"/>
      <c r="V806" s="171"/>
      <c r="W806" s="171"/>
      <c r="X806" s="171"/>
      <c r="Y806" s="171"/>
      <c r="Z806" s="171"/>
      <c r="AA806" s="171"/>
      <c r="AB806" s="171"/>
      <c r="AC806" s="170"/>
      <c r="AD806" s="170"/>
      <c r="AE806" s="170"/>
      <c r="AF806" s="170"/>
      <c r="AG806" s="170"/>
      <c r="AH806" s="170"/>
      <c r="AI806" s="170"/>
      <c r="AJ806" s="170"/>
      <c r="AK806" s="171"/>
      <c r="AL806" s="171"/>
      <c r="AM806" s="170"/>
      <c r="AN806" s="170"/>
      <c r="AO806" s="170"/>
      <c r="AP806" s="171"/>
      <c r="AQ806" s="171"/>
      <c r="AR806" s="170"/>
      <c r="AS806" s="170"/>
      <c r="AT806" s="170"/>
      <c r="AU806" s="171"/>
      <c r="AV806" s="171"/>
      <c r="AW806" s="171"/>
      <c r="AX806" s="171"/>
      <c r="AY806" s="171"/>
      <c r="AZ806" s="171"/>
      <c r="BA806" s="171"/>
      <c r="BB806" s="171"/>
      <c r="BC806" s="171"/>
      <c r="BD806" s="172"/>
      <c r="BE806" s="172"/>
      <c r="BF806" s="172"/>
      <c r="BG806" s="172"/>
      <c r="BH806" s="172"/>
      <c r="BI806" s="172"/>
      <c r="BJ806" s="172"/>
      <c r="BK806" s="172"/>
      <c r="BL806" s="172"/>
      <c r="BM806" s="172"/>
      <c r="BN806" s="172"/>
      <c r="BO806" s="172"/>
      <c r="BP806" s="172"/>
      <c r="BQ806" s="172"/>
      <c r="BR806" s="172"/>
      <c r="BS806" s="172"/>
    </row>
    <row r="807" spans="1:71" ht="12.5" x14ac:dyDescent="0.25">
      <c r="A807" s="170"/>
      <c r="B807" s="170"/>
      <c r="C807" s="170"/>
      <c r="D807" s="170"/>
      <c r="E807" s="171"/>
      <c r="F807" s="171"/>
      <c r="G807" s="170"/>
      <c r="H807" s="170"/>
      <c r="I807" s="170"/>
      <c r="J807" s="171"/>
      <c r="K807" s="171"/>
      <c r="L807" s="170"/>
      <c r="M807" s="170"/>
      <c r="N807" s="170"/>
      <c r="O807" s="171"/>
      <c r="P807" s="171"/>
      <c r="Q807" s="170"/>
      <c r="R807" s="170"/>
      <c r="S807" s="170"/>
      <c r="T807" s="171"/>
      <c r="U807" s="171"/>
      <c r="V807" s="171"/>
      <c r="W807" s="171"/>
      <c r="X807" s="171"/>
      <c r="Y807" s="171"/>
      <c r="Z807" s="171"/>
      <c r="AA807" s="171"/>
      <c r="AB807" s="171"/>
      <c r="AC807" s="170"/>
      <c r="AD807" s="170"/>
      <c r="AE807" s="170"/>
      <c r="AF807" s="170"/>
      <c r="AG807" s="170"/>
      <c r="AH807" s="170"/>
      <c r="AI807" s="170"/>
      <c r="AJ807" s="170"/>
      <c r="AK807" s="171"/>
      <c r="AL807" s="171"/>
      <c r="AM807" s="170"/>
      <c r="AN807" s="170"/>
      <c r="AO807" s="170"/>
      <c r="AP807" s="171"/>
      <c r="AQ807" s="171"/>
      <c r="AR807" s="170"/>
      <c r="AS807" s="170"/>
      <c r="AT807" s="170"/>
      <c r="AU807" s="171"/>
      <c r="AV807" s="171"/>
      <c r="AW807" s="171"/>
      <c r="AX807" s="171"/>
      <c r="AY807" s="171"/>
      <c r="AZ807" s="171"/>
      <c r="BA807" s="171"/>
      <c r="BB807" s="171"/>
      <c r="BC807" s="171"/>
      <c r="BD807" s="172"/>
      <c r="BE807" s="172"/>
      <c r="BF807" s="172"/>
      <c r="BG807" s="172"/>
      <c r="BH807" s="172"/>
      <c r="BI807" s="172"/>
      <c r="BJ807" s="172"/>
      <c r="BK807" s="172"/>
      <c r="BL807" s="172"/>
      <c r="BM807" s="172"/>
      <c r="BN807" s="172"/>
      <c r="BO807" s="172"/>
      <c r="BP807" s="172"/>
      <c r="BQ807" s="172"/>
      <c r="BR807" s="172"/>
      <c r="BS807" s="172"/>
    </row>
    <row r="808" spans="1:71" ht="12.5" x14ac:dyDescent="0.25">
      <c r="A808" s="170"/>
      <c r="B808" s="170"/>
      <c r="C808" s="170"/>
      <c r="D808" s="170"/>
      <c r="E808" s="171"/>
      <c r="F808" s="171"/>
      <c r="G808" s="170"/>
      <c r="H808" s="170"/>
      <c r="I808" s="170"/>
      <c r="J808" s="171"/>
      <c r="K808" s="171"/>
      <c r="L808" s="170"/>
      <c r="M808" s="170"/>
      <c r="N808" s="170"/>
      <c r="O808" s="171"/>
      <c r="P808" s="171"/>
      <c r="Q808" s="170"/>
      <c r="R808" s="170"/>
      <c r="S808" s="170"/>
      <c r="T808" s="171"/>
      <c r="U808" s="171"/>
      <c r="V808" s="171"/>
      <c r="W808" s="171"/>
      <c r="X808" s="171"/>
      <c r="Y808" s="171"/>
      <c r="Z808" s="171"/>
      <c r="AA808" s="171"/>
      <c r="AB808" s="171"/>
      <c r="AC808" s="170"/>
      <c r="AD808" s="170"/>
      <c r="AE808" s="170"/>
      <c r="AF808" s="170"/>
      <c r="AG808" s="170"/>
      <c r="AH808" s="170"/>
      <c r="AI808" s="170"/>
      <c r="AJ808" s="170"/>
      <c r="AK808" s="171"/>
      <c r="AL808" s="171"/>
      <c r="AM808" s="170"/>
      <c r="AN808" s="170"/>
      <c r="AO808" s="170"/>
      <c r="AP808" s="171"/>
      <c r="AQ808" s="171"/>
      <c r="AR808" s="170"/>
      <c r="AS808" s="170"/>
      <c r="AT808" s="170"/>
      <c r="AU808" s="171"/>
      <c r="AV808" s="171"/>
      <c r="AW808" s="171"/>
      <c r="AX808" s="171"/>
      <c r="AY808" s="171"/>
      <c r="AZ808" s="171"/>
      <c r="BA808" s="171"/>
      <c r="BB808" s="171"/>
      <c r="BC808" s="171"/>
      <c r="BD808" s="172"/>
      <c r="BE808" s="172"/>
      <c r="BF808" s="172"/>
      <c r="BG808" s="172"/>
      <c r="BH808" s="172"/>
      <c r="BI808" s="172"/>
      <c r="BJ808" s="172"/>
      <c r="BK808" s="172"/>
      <c r="BL808" s="172"/>
      <c r="BM808" s="172"/>
      <c r="BN808" s="172"/>
      <c r="BO808" s="172"/>
      <c r="BP808" s="172"/>
      <c r="BQ808" s="172"/>
      <c r="BR808" s="172"/>
      <c r="BS808" s="172"/>
    </row>
    <row r="809" spans="1:71" ht="12.5" x14ac:dyDescent="0.25">
      <c r="A809" s="170"/>
      <c r="B809" s="170"/>
      <c r="C809" s="170"/>
      <c r="D809" s="170"/>
      <c r="E809" s="171"/>
      <c r="F809" s="171"/>
      <c r="G809" s="170"/>
      <c r="H809" s="170"/>
      <c r="I809" s="170"/>
      <c r="J809" s="171"/>
      <c r="K809" s="171"/>
      <c r="L809" s="170"/>
      <c r="M809" s="170"/>
      <c r="N809" s="170"/>
      <c r="O809" s="171"/>
      <c r="P809" s="171"/>
      <c r="Q809" s="170"/>
      <c r="R809" s="170"/>
      <c r="S809" s="170"/>
      <c r="T809" s="171"/>
      <c r="U809" s="171"/>
      <c r="V809" s="171"/>
      <c r="W809" s="171"/>
      <c r="X809" s="171"/>
      <c r="Y809" s="171"/>
      <c r="Z809" s="171"/>
      <c r="AA809" s="171"/>
      <c r="AB809" s="171"/>
      <c r="AC809" s="170"/>
      <c r="AD809" s="170"/>
      <c r="AE809" s="170"/>
      <c r="AF809" s="170"/>
      <c r="AG809" s="170"/>
      <c r="AH809" s="170"/>
      <c r="AI809" s="170"/>
      <c r="AJ809" s="170"/>
      <c r="AK809" s="171"/>
      <c r="AL809" s="171"/>
      <c r="AM809" s="170"/>
      <c r="AN809" s="170"/>
      <c r="AO809" s="170"/>
      <c r="AP809" s="171"/>
      <c r="AQ809" s="171"/>
      <c r="AR809" s="170"/>
      <c r="AS809" s="170"/>
      <c r="AT809" s="170"/>
      <c r="AU809" s="171"/>
      <c r="AV809" s="171"/>
      <c r="AW809" s="171"/>
      <c r="AX809" s="171"/>
      <c r="AY809" s="171"/>
      <c r="AZ809" s="171"/>
      <c r="BA809" s="171"/>
      <c r="BB809" s="171"/>
      <c r="BC809" s="171"/>
      <c r="BD809" s="172"/>
      <c r="BE809" s="172"/>
      <c r="BF809" s="172"/>
      <c r="BG809" s="172"/>
      <c r="BH809" s="172"/>
      <c r="BI809" s="172"/>
      <c r="BJ809" s="172"/>
      <c r="BK809" s="172"/>
      <c r="BL809" s="172"/>
      <c r="BM809" s="172"/>
      <c r="BN809" s="172"/>
      <c r="BO809" s="172"/>
      <c r="BP809" s="172"/>
      <c r="BQ809" s="172"/>
      <c r="BR809" s="172"/>
      <c r="BS809" s="172"/>
    </row>
    <row r="810" spans="1:71" ht="12.5" x14ac:dyDescent="0.25">
      <c r="A810" s="170"/>
      <c r="B810" s="170"/>
      <c r="C810" s="170"/>
      <c r="D810" s="170"/>
      <c r="E810" s="171"/>
      <c r="F810" s="171"/>
      <c r="G810" s="170"/>
      <c r="H810" s="170"/>
      <c r="I810" s="170"/>
      <c r="J810" s="171"/>
      <c r="K810" s="171"/>
      <c r="L810" s="170"/>
      <c r="M810" s="170"/>
      <c r="N810" s="170"/>
      <c r="O810" s="171"/>
      <c r="P810" s="171"/>
      <c r="Q810" s="170"/>
      <c r="R810" s="170"/>
      <c r="S810" s="170"/>
      <c r="T810" s="171"/>
      <c r="U810" s="171"/>
      <c r="V810" s="171"/>
      <c r="W810" s="171"/>
      <c r="X810" s="171"/>
      <c r="Y810" s="171"/>
      <c r="Z810" s="171"/>
      <c r="AA810" s="171"/>
      <c r="AB810" s="171"/>
      <c r="AC810" s="170"/>
      <c r="AD810" s="170"/>
      <c r="AE810" s="170"/>
      <c r="AF810" s="170"/>
      <c r="AG810" s="170"/>
      <c r="AH810" s="170"/>
      <c r="AI810" s="170"/>
      <c r="AJ810" s="170"/>
      <c r="AK810" s="171"/>
      <c r="AL810" s="171"/>
      <c r="AM810" s="170"/>
      <c r="AN810" s="170"/>
      <c r="AO810" s="170"/>
      <c r="AP810" s="171"/>
      <c r="AQ810" s="171"/>
      <c r="AR810" s="170"/>
      <c r="AS810" s="170"/>
      <c r="AT810" s="170"/>
      <c r="AU810" s="171"/>
      <c r="AV810" s="171"/>
      <c r="AW810" s="171"/>
      <c r="AX810" s="171"/>
      <c r="AY810" s="171"/>
      <c r="AZ810" s="171"/>
      <c r="BA810" s="171"/>
      <c r="BB810" s="171"/>
      <c r="BC810" s="171"/>
      <c r="BD810" s="172"/>
      <c r="BE810" s="172"/>
      <c r="BF810" s="172"/>
      <c r="BG810" s="172"/>
      <c r="BH810" s="172"/>
      <c r="BI810" s="172"/>
      <c r="BJ810" s="172"/>
      <c r="BK810" s="172"/>
      <c r="BL810" s="172"/>
      <c r="BM810" s="172"/>
      <c r="BN810" s="172"/>
      <c r="BO810" s="172"/>
      <c r="BP810" s="172"/>
      <c r="BQ810" s="172"/>
      <c r="BR810" s="172"/>
      <c r="BS810" s="172"/>
    </row>
    <row r="811" spans="1:71" ht="12.5" x14ac:dyDescent="0.25">
      <c r="A811" s="170"/>
      <c r="B811" s="170"/>
      <c r="C811" s="170"/>
      <c r="D811" s="170"/>
      <c r="E811" s="171"/>
      <c r="F811" s="171"/>
      <c r="G811" s="170"/>
      <c r="H811" s="170"/>
      <c r="I811" s="170"/>
      <c r="J811" s="171"/>
      <c r="K811" s="171"/>
      <c r="L811" s="170"/>
      <c r="M811" s="170"/>
      <c r="N811" s="170"/>
      <c r="O811" s="171"/>
      <c r="P811" s="171"/>
      <c r="Q811" s="170"/>
      <c r="R811" s="170"/>
      <c r="S811" s="170"/>
      <c r="T811" s="171"/>
      <c r="U811" s="171"/>
      <c r="V811" s="171"/>
      <c r="W811" s="171"/>
      <c r="X811" s="171"/>
      <c r="Y811" s="171"/>
      <c r="Z811" s="171"/>
      <c r="AA811" s="171"/>
      <c r="AB811" s="171"/>
      <c r="AC811" s="170"/>
      <c r="AD811" s="170"/>
      <c r="AE811" s="170"/>
      <c r="AF811" s="170"/>
      <c r="AG811" s="170"/>
      <c r="AH811" s="170"/>
      <c r="AI811" s="170"/>
      <c r="AJ811" s="170"/>
      <c r="AK811" s="171"/>
      <c r="AL811" s="171"/>
      <c r="AM811" s="170"/>
      <c r="AN811" s="170"/>
      <c r="AO811" s="170"/>
      <c r="AP811" s="171"/>
      <c r="AQ811" s="171"/>
      <c r="AR811" s="170"/>
      <c r="AS811" s="170"/>
      <c r="AT811" s="170"/>
      <c r="AU811" s="171"/>
      <c r="AV811" s="171"/>
      <c r="AW811" s="171"/>
      <c r="AX811" s="171"/>
      <c r="AY811" s="171"/>
      <c r="AZ811" s="171"/>
      <c r="BA811" s="171"/>
      <c r="BB811" s="171"/>
      <c r="BC811" s="171"/>
      <c r="BD811" s="172"/>
      <c r="BE811" s="172"/>
      <c r="BF811" s="172"/>
      <c r="BG811" s="172"/>
      <c r="BH811" s="172"/>
      <c r="BI811" s="172"/>
      <c r="BJ811" s="172"/>
      <c r="BK811" s="172"/>
      <c r="BL811" s="172"/>
      <c r="BM811" s="172"/>
      <c r="BN811" s="172"/>
      <c r="BO811" s="172"/>
      <c r="BP811" s="172"/>
      <c r="BQ811" s="172"/>
      <c r="BR811" s="172"/>
      <c r="BS811" s="172"/>
    </row>
    <row r="812" spans="1:71" ht="12.5" x14ac:dyDescent="0.25">
      <c r="A812" s="170"/>
      <c r="B812" s="170"/>
      <c r="C812" s="170"/>
      <c r="D812" s="170"/>
      <c r="E812" s="171"/>
      <c r="F812" s="171"/>
      <c r="G812" s="170"/>
      <c r="H812" s="170"/>
      <c r="I812" s="170"/>
      <c r="J812" s="171"/>
      <c r="K812" s="171"/>
      <c r="L812" s="170"/>
      <c r="M812" s="170"/>
      <c r="N812" s="170"/>
      <c r="O812" s="171"/>
      <c r="P812" s="171"/>
      <c r="Q812" s="170"/>
      <c r="R812" s="170"/>
      <c r="S812" s="170"/>
      <c r="T812" s="171"/>
      <c r="U812" s="171"/>
      <c r="V812" s="171"/>
      <c r="W812" s="171"/>
      <c r="X812" s="171"/>
      <c r="Y812" s="171"/>
      <c r="Z812" s="171"/>
      <c r="AA812" s="171"/>
      <c r="AB812" s="171"/>
      <c r="AC812" s="170"/>
      <c r="AD812" s="170"/>
      <c r="AE812" s="170"/>
      <c r="AF812" s="170"/>
      <c r="AG812" s="170"/>
      <c r="AH812" s="170"/>
      <c r="AI812" s="170"/>
      <c r="AJ812" s="170"/>
      <c r="AK812" s="171"/>
      <c r="AL812" s="171"/>
      <c r="AM812" s="170"/>
      <c r="AN812" s="170"/>
      <c r="AO812" s="170"/>
      <c r="AP812" s="171"/>
      <c r="AQ812" s="171"/>
      <c r="AR812" s="170"/>
      <c r="AS812" s="170"/>
      <c r="AT812" s="170"/>
      <c r="AU812" s="171"/>
      <c r="AV812" s="171"/>
      <c r="AW812" s="171"/>
      <c r="AX812" s="171"/>
      <c r="AY812" s="171"/>
      <c r="AZ812" s="171"/>
      <c r="BA812" s="171"/>
      <c r="BB812" s="171"/>
      <c r="BC812" s="171"/>
      <c r="BD812" s="172"/>
      <c r="BE812" s="172"/>
      <c r="BF812" s="172"/>
      <c r="BG812" s="172"/>
      <c r="BH812" s="172"/>
      <c r="BI812" s="172"/>
      <c r="BJ812" s="172"/>
      <c r="BK812" s="172"/>
      <c r="BL812" s="172"/>
      <c r="BM812" s="172"/>
      <c r="BN812" s="172"/>
      <c r="BO812" s="172"/>
      <c r="BP812" s="172"/>
      <c r="BQ812" s="172"/>
      <c r="BR812" s="172"/>
      <c r="BS812" s="172"/>
    </row>
    <row r="813" spans="1:71" ht="12.5" x14ac:dyDescent="0.25">
      <c r="A813" s="170"/>
      <c r="B813" s="170"/>
      <c r="C813" s="170"/>
      <c r="D813" s="170"/>
      <c r="E813" s="171"/>
      <c r="F813" s="171"/>
      <c r="G813" s="170"/>
      <c r="H813" s="170"/>
      <c r="I813" s="170"/>
      <c r="J813" s="171"/>
      <c r="K813" s="171"/>
      <c r="L813" s="170"/>
      <c r="M813" s="170"/>
      <c r="N813" s="170"/>
      <c r="O813" s="171"/>
      <c r="P813" s="171"/>
      <c r="Q813" s="170"/>
      <c r="R813" s="170"/>
      <c r="S813" s="170"/>
      <c r="T813" s="171"/>
      <c r="U813" s="171"/>
      <c r="V813" s="171"/>
      <c r="W813" s="171"/>
      <c r="X813" s="171"/>
      <c r="Y813" s="171"/>
      <c r="Z813" s="171"/>
      <c r="AA813" s="171"/>
      <c r="AB813" s="171"/>
      <c r="AC813" s="170"/>
      <c r="AD813" s="170"/>
      <c r="AE813" s="170"/>
      <c r="AF813" s="170"/>
      <c r="AG813" s="170"/>
      <c r="AH813" s="170"/>
      <c r="AI813" s="170"/>
      <c r="AJ813" s="170"/>
      <c r="AK813" s="171"/>
      <c r="AL813" s="171"/>
      <c r="AM813" s="170"/>
      <c r="AN813" s="170"/>
      <c r="AO813" s="170"/>
      <c r="AP813" s="171"/>
      <c r="AQ813" s="171"/>
      <c r="AR813" s="170"/>
      <c r="AS813" s="170"/>
      <c r="AT813" s="170"/>
      <c r="AU813" s="171"/>
      <c r="AV813" s="171"/>
      <c r="AW813" s="171"/>
      <c r="AX813" s="171"/>
      <c r="AY813" s="171"/>
      <c r="AZ813" s="171"/>
      <c r="BA813" s="171"/>
      <c r="BB813" s="171"/>
      <c r="BC813" s="171"/>
      <c r="BD813" s="172"/>
      <c r="BE813" s="172"/>
      <c r="BF813" s="172"/>
      <c r="BG813" s="172"/>
      <c r="BH813" s="172"/>
      <c r="BI813" s="172"/>
      <c r="BJ813" s="172"/>
      <c r="BK813" s="172"/>
      <c r="BL813" s="172"/>
      <c r="BM813" s="172"/>
      <c r="BN813" s="172"/>
      <c r="BO813" s="172"/>
      <c r="BP813" s="172"/>
      <c r="BQ813" s="172"/>
      <c r="BR813" s="172"/>
      <c r="BS813" s="172"/>
    </row>
    <row r="814" spans="1:71" ht="12.5" x14ac:dyDescent="0.25">
      <c r="A814" s="170"/>
      <c r="B814" s="170"/>
      <c r="C814" s="170"/>
      <c r="D814" s="170"/>
      <c r="E814" s="171"/>
      <c r="F814" s="171"/>
      <c r="G814" s="170"/>
      <c r="H814" s="170"/>
      <c r="I814" s="170"/>
      <c r="J814" s="171"/>
      <c r="K814" s="171"/>
      <c r="L814" s="170"/>
      <c r="M814" s="170"/>
      <c r="N814" s="170"/>
      <c r="O814" s="171"/>
      <c r="P814" s="171"/>
      <c r="Q814" s="170"/>
      <c r="R814" s="170"/>
      <c r="S814" s="170"/>
      <c r="T814" s="171"/>
      <c r="U814" s="171"/>
      <c r="V814" s="171"/>
      <c r="W814" s="171"/>
      <c r="X814" s="171"/>
      <c r="Y814" s="171"/>
      <c r="Z814" s="171"/>
      <c r="AA814" s="171"/>
      <c r="AB814" s="171"/>
      <c r="AC814" s="170"/>
      <c r="AD814" s="170"/>
      <c r="AE814" s="170"/>
      <c r="AF814" s="170"/>
      <c r="AG814" s="170"/>
      <c r="AH814" s="170"/>
      <c r="AI814" s="170"/>
      <c r="AJ814" s="170"/>
      <c r="AK814" s="171"/>
      <c r="AL814" s="171"/>
      <c r="AM814" s="170"/>
      <c r="AN814" s="170"/>
      <c r="AO814" s="170"/>
      <c r="AP814" s="171"/>
      <c r="AQ814" s="171"/>
      <c r="AR814" s="170"/>
      <c r="AS814" s="170"/>
      <c r="AT814" s="170"/>
      <c r="AU814" s="171"/>
      <c r="AV814" s="171"/>
      <c r="AW814" s="171"/>
      <c r="AX814" s="171"/>
      <c r="AY814" s="171"/>
      <c r="AZ814" s="171"/>
      <c r="BA814" s="171"/>
      <c r="BB814" s="171"/>
      <c r="BC814" s="171"/>
      <c r="BD814" s="172"/>
      <c r="BE814" s="172"/>
      <c r="BF814" s="172"/>
      <c r="BG814" s="172"/>
      <c r="BH814" s="172"/>
      <c r="BI814" s="172"/>
      <c r="BJ814" s="172"/>
      <c r="BK814" s="172"/>
      <c r="BL814" s="172"/>
      <c r="BM814" s="172"/>
      <c r="BN814" s="172"/>
      <c r="BO814" s="172"/>
      <c r="BP814" s="172"/>
      <c r="BQ814" s="172"/>
      <c r="BR814" s="172"/>
      <c r="BS814" s="172"/>
    </row>
    <row r="815" spans="1:71" ht="12.5" x14ac:dyDescent="0.25">
      <c r="A815" s="170"/>
      <c r="B815" s="170"/>
      <c r="C815" s="170"/>
      <c r="D815" s="170"/>
      <c r="E815" s="171"/>
      <c r="F815" s="171"/>
      <c r="G815" s="170"/>
      <c r="H815" s="170"/>
      <c r="I815" s="170"/>
      <c r="J815" s="171"/>
      <c r="K815" s="171"/>
      <c r="L815" s="170"/>
      <c r="M815" s="170"/>
      <c r="N815" s="170"/>
      <c r="O815" s="171"/>
      <c r="P815" s="171"/>
      <c r="Q815" s="170"/>
      <c r="R815" s="170"/>
      <c r="S815" s="170"/>
      <c r="T815" s="171"/>
      <c r="U815" s="171"/>
      <c r="V815" s="171"/>
      <c r="W815" s="171"/>
      <c r="X815" s="171"/>
      <c r="Y815" s="171"/>
      <c r="Z815" s="171"/>
      <c r="AA815" s="171"/>
      <c r="AB815" s="171"/>
      <c r="AC815" s="170"/>
      <c r="AD815" s="170"/>
      <c r="AE815" s="170"/>
      <c r="AF815" s="170"/>
      <c r="AG815" s="170"/>
      <c r="AH815" s="170"/>
      <c r="AI815" s="170"/>
      <c r="AJ815" s="170"/>
      <c r="AK815" s="171"/>
      <c r="AL815" s="171"/>
      <c r="AM815" s="170"/>
      <c r="AN815" s="170"/>
      <c r="AO815" s="170"/>
      <c r="AP815" s="171"/>
      <c r="AQ815" s="171"/>
      <c r="AR815" s="170"/>
      <c r="AS815" s="170"/>
      <c r="AT815" s="170"/>
      <c r="AU815" s="171"/>
      <c r="AV815" s="171"/>
      <c r="AW815" s="171"/>
      <c r="AX815" s="171"/>
      <c r="AY815" s="171"/>
      <c r="AZ815" s="171"/>
      <c r="BA815" s="171"/>
      <c r="BB815" s="171"/>
      <c r="BC815" s="171"/>
      <c r="BD815" s="172"/>
      <c r="BE815" s="172"/>
      <c r="BF815" s="172"/>
      <c r="BG815" s="172"/>
      <c r="BH815" s="172"/>
      <c r="BI815" s="172"/>
      <c r="BJ815" s="172"/>
      <c r="BK815" s="172"/>
      <c r="BL815" s="172"/>
      <c r="BM815" s="172"/>
      <c r="BN815" s="172"/>
      <c r="BO815" s="172"/>
      <c r="BP815" s="172"/>
      <c r="BQ815" s="172"/>
      <c r="BR815" s="172"/>
      <c r="BS815" s="172"/>
    </row>
    <row r="816" spans="1:71" ht="12.5" x14ac:dyDescent="0.25">
      <c r="A816" s="170"/>
      <c r="B816" s="170"/>
      <c r="C816" s="170"/>
      <c r="D816" s="170"/>
      <c r="E816" s="171"/>
      <c r="F816" s="171"/>
      <c r="G816" s="170"/>
      <c r="H816" s="170"/>
      <c r="I816" s="170"/>
      <c r="J816" s="171"/>
      <c r="K816" s="171"/>
      <c r="L816" s="170"/>
      <c r="M816" s="170"/>
      <c r="N816" s="170"/>
      <c r="O816" s="171"/>
      <c r="P816" s="171"/>
      <c r="Q816" s="170"/>
      <c r="R816" s="170"/>
      <c r="S816" s="170"/>
      <c r="T816" s="171"/>
      <c r="U816" s="171"/>
      <c r="V816" s="171"/>
      <c r="W816" s="171"/>
      <c r="X816" s="171"/>
      <c r="Y816" s="171"/>
      <c r="Z816" s="171"/>
      <c r="AA816" s="171"/>
      <c r="AB816" s="171"/>
      <c r="AC816" s="170"/>
      <c r="AD816" s="170"/>
      <c r="AE816" s="170"/>
      <c r="AF816" s="170"/>
      <c r="AG816" s="170"/>
      <c r="AH816" s="170"/>
      <c r="AI816" s="170"/>
      <c r="AJ816" s="170"/>
      <c r="AK816" s="171"/>
      <c r="AL816" s="171"/>
      <c r="AM816" s="170"/>
      <c r="AN816" s="170"/>
      <c r="AO816" s="170"/>
      <c r="AP816" s="171"/>
      <c r="AQ816" s="171"/>
      <c r="AR816" s="170"/>
      <c r="AS816" s="170"/>
      <c r="AT816" s="170"/>
      <c r="AU816" s="171"/>
      <c r="AV816" s="171"/>
      <c r="AW816" s="171"/>
      <c r="AX816" s="171"/>
      <c r="AY816" s="171"/>
      <c r="AZ816" s="171"/>
      <c r="BA816" s="171"/>
      <c r="BB816" s="171"/>
      <c r="BC816" s="171"/>
      <c r="BD816" s="172"/>
      <c r="BE816" s="172"/>
      <c r="BF816" s="172"/>
      <c r="BG816" s="172"/>
      <c r="BH816" s="172"/>
      <c r="BI816" s="172"/>
      <c r="BJ816" s="172"/>
      <c r="BK816" s="172"/>
      <c r="BL816" s="172"/>
      <c r="BM816" s="172"/>
      <c r="BN816" s="172"/>
      <c r="BO816" s="172"/>
      <c r="BP816" s="172"/>
      <c r="BQ816" s="172"/>
      <c r="BR816" s="172"/>
      <c r="BS816" s="172"/>
    </row>
    <row r="817" spans="1:71" ht="12.5" x14ac:dyDescent="0.25">
      <c r="A817" s="170"/>
      <c r="B817" s="170"/>
      <c r="C817" s="170"/>
      <c r="D817" s="170"/>
      <c r="E817" s="171"/>
      <c r="F817" s="171"/>
      <c r="G817" s="170"/>
      <c r="H817" s="170"/>
      <c r="I817" s="170"/>
      <c r="J817" s="171"/>
      <c r="K817" s="171"/>
      <c r="L817" s="170"/>
      <c r="M817" s="170"/>
      <c r="N817" s="170"/>
      <c r="O817" s="171"/>
      <c r="P817" s="171"/>
      <c r="Q817" s="170"/>
      <c r="R817" s="170"/>
      <c r="S817" s="170"/>
      <c r="T817" s="171"/>
      <c r="U817" s="171"/>
      <c r="V817" s="171"/>
      <c r="W817" s="171"/>
      <c r="X817" s="171"/>
      <c r="Y817" s="171"/>
      <c r="Z817" s="171"/>
      <c r="AA817" s="171"/>
      <c r="AB817" s="171"/>
      <c r="AC817" s="170"/>
      <c r="AD817" s="170"/>
      <c r="AE817" s="170"/>
      <c r="AF817" s="170"/>
      <c r="AG817" s="170"/>
      <c r="AH817" s="170"/>
      <c r="AI817" s="170"/>
      <c r="AJ817" s="170"/>
      <c r="AK817" s="171"/>
      <c r="AL817" s="171"/>
      <c r="AM817" s="170"/>
      <c r="AN817" s="170"/>
      <c r="AO817" s="170"/>
      <c r="AP817" s="171"/>
      <c r="AQ817" s="171"/>
      <c r="AR817" s="170"/>
      <c r="AS817" s="170"/>
      <c r="AT817" s="170"/>
      <c r="AU817" s="171"/>
      <c r="AV817" s="171"/>
      <c r="AW817" s="171"/>
      <c r="AX817" s="171"/>
      <c r="AY817" s="171"/>
      <c r="AZ817" s="171"/>
      <c r="BA817" s="171"/>
      <c r="BB817" s="171"/>
      <c r="BC817" s="171"/>
      <c r="BD817" s="172"/>
      <c r="BE817" s="172"/>
      <c r="BF817" s="172"/>
      <c r="BG817" s="172"/>
      <c r="BH817" s="172"/>
      <c r="BI817" s="172"/>
      <c r="BJ817" s="172"/>
      <c r="BK817" s="172"/>
      <c r="BL817" s="172"/>
      <c r="BM817" s="172"/>
      <c r="BN817" s="172"/>
      <c r="BO817" s="172"/>
      <c r="BP817" s="172"/>
      <c r="BQ817" s="172"/>
      <c r="BR817" s="172"/>
      <c r="BS817" s="172"/>
    </row>
    <row r="818" spans="1:71" ht="12.5" x14ac:dyDescent="0.25">
      <c r="A818" s="170"/>
      <c r="B818" s="170"/>
      <c r="C818" s="170"/>
      <c r="D818" s="170"/>
      <c r="E818" s="171"/>
      <c r="F818" s="171"/>
      <c r="G818" s="170"/>
      <c r="H818" s="170"/>
      <c r="I818" s="170"/>
      <c r="J818" s="171"/>
      <c r="K818" s="171"/>
      <c r="L818" s="170"/>
      <c r="M818" s="170"/>
      <c r="N818" s="170"/>
      <c r="O818" s="171"/>
      <c r="P818" s="171"/>
      <c r="Q818" s="170"/>
      <c r="R818" s="170"/>
      <c r="S818" s="170"/>
      <c r="T818" s="171"/>
      <c r="U818" s="171"/>
      <c r="V818" s="171"/>
      <c r="W818" s="171"/>
      <c r="X818" s="171"/>
      <c r="Y818" s="171"/>
      <c r="Z818" s="171"/>
      <c r="AA818" s="171"/>
      <c r="AB818" s="171"/>
      <c r="AC818" s="170"/>
      <c r="AD818" s="170"/>
      <c r="AE818" s="170"/>
      <c r="AF818" s="170"/>
      <c r="AG818" s="170"/>
      <c r="AH818" s="170"/>
      <c r="AI818" s="170"/>
      <c r="AJ818" s="170"/>
      <c r="AK818" s="171"/>
      <c r="AL818" s="171"/>
      <c r="AM818" s="170"/>
      <c r="AN818" s="170"/>
      <c r="AO818" s="170"/>
      <c r="AP818" s="171"/>
      <c r="AQ818" s="171"/>
      <c r="AR818" s="170"/>
      <c r="AS818" s="170"/>
      <c r="AT818" s="170"/>
      <c r="AU818" s="171"/>
      <c r="AV818" s="171"/>
      <c r="AW818" s="171"/>
      <c r="AX818" s="171"/>
      <c r="AY818" s="171"/>
      <c r="AZ818" s="171"/>
      <c r="BA818" s="171"/>
      <c r="BB818" s="171"/>
      <c r="BC818" s="171"/>
      <c r="BD818" s="172"/>
      <c r="BE818" s="172"/>
      <c r="BF818" s="172"/>
      <c r="BG818" s="172"/>
      <c r="BH818" s="172"/>
      <c r="BI818" s="172"/>
      <c r="BJ818" s="172"/>
      <c r="BK818" s="172"/>
      <c r="BL818" s="172"/>
      <c r="BM818" s="172"/>
      <c r="BN818" s="172"/>
      <c r="BO818" s="172"/>
      <c r="BP818" s="172"/>
      <c r="BQ818" s="172"/>
      <c r="BR818" s="172"/>
      <c r="BS818" s="172"/>
    </row>
    <row r="819" spans="1:71" ht="12.5" x14ac:dyDescent="0.25">
      <c r="A819" s="170"/>
      <c r="B819" s="170"/>
      <c r="C819" s="170"/>
      <c r="D819" s="170"/>
      <c r="E819" s="171"/>
      <c r="F819" s="171"/>
      <c r="G819" s="170"/>
      <c r="H819" s="170"/>
      <c r="I819" s="170"/>
      <c r="J819" s="171"/>
      <c r="K819" s="171"/>
      <c r="L819" s="170"/>
      <c r="M819" s="170"/>
      <c r="N819" s="170"/>
      <c r="O819" s="171"/>
      <c r="P819" s="171"/>
      <c r="Q819" s="170"/>
      <c r="R819" s="170"/>
      <c r="S819" s="170"/>
      <c r="T819" s="171"/>
      <c r="U819" s="171"/>
      <c r="V819" s="171"/>
      <c r="W819" s="171"/>
      <c r="X819" s="171"/>
      <c r="Y819" s="171"/>
      <c r="Z819" s="171"/>
      <c r="AA819" s="171"/>
      <c r="AB819" s="171"/>
      <c r="AC819" s="170"/>
      <c r="AD819" s="170"/>
      <c r="AE819" s="170"/>
      <c r="AF819" s="170"/>
      <c r="AG819" s="170"/>
      <c r="AH819" s="170"/>
      <c r="AI819" s="170"/>
      <c r="AJ819" s="170"/>
      <c r="AK819" s="171"/>
      <c r="AL819" s="171"/>
      <c r="AM819" s="170"/>
      <c r="AN819" s="170"/>
      <c r="AO819" s="170"/>
      <c r="AP819" s="171"/>
      <c r="AQ819" s="171"/>
      <c r="AR819" s="170"/>
      <c r="AS819" s="170"/>
      <c r="AT819" s="170"/>
      <c r="AU819" s="171"/>
      <c r="AV819" s="171"/>
      <c r="AW819" s="171"/>
      <c r="AX819" s="171"/>
      <c r="AY819" s="171"/>
      <c r="AZ819" s="171"/>
      <c r="BA819" s="171"/>
      <c r="BB819" s="171"/>
      <c r="BC819" s="171"/>
      <c r="BD819" s="172"/>
      <c r="BE819" s="172"/>
      <c r="BF819" s="172"/>
      <c r="BG819" s="172"/>
      <c r="BH819" s="172"/>
      <c r="BI819" s="172"/>
      <c r="BJ819" s="172"/>
      <c r="BK819" s="172"/>
      <c r="BL819" s="172"/>
      <c r="BM819" s="172"/>
      <c r="BN819" s="172"/>
      <c r="BO819" s="172"/>
      <c r="BP819" s="172"/>
      <c r="BQ819" s="172"/>
      <c r="BR819" s="172"/>
      <c r="BS819" s="172"/>
    </row>
    <row r="820" spans="1:71" ht="12.5" x14ac:dyDescent="0.25">
      <c r="A820" s="170"/>
      <c r="B820" s="170"/>
      <c r="C820" s="170"/>
      <c r="D820" s="170"/>
      <c r="E820" s="171"/>
      <c r="F820" s="171"/>
      <c r="G820" s="170"/>
      <c r="H820" s="170"/>
      <c r="I820" s="170"/>
      <c r="J820" s="171"/>
      <c r="K820" s="171"/>
      <c r="L820" s="170"/>
      <c r="M820" s="170"/>
      <c r="N820" s="170"/>
      <c r="O820" s="171"/>
      <c r="P820" s="171"/>
      <c r="Q820" s="170"/>
      <c r="R820" s="170"/>
      <c r="S820" s="170"/>
      <c r="T820" s="171"/>
      <c r="U820" s="171"/>
      <c r="V820" s="171"/>
      <c r="W820" s="171"/>
      <c r="X820" s="171"/>
      <c r="Y820" s="171"/>
      <c r="Z820" s="171"/>
      <c r="AA820" s="171"/>
      <c r="AB820" s="171"/>
      <c r="AC820" s="170"/>
      <c r="AD820" s="170"/>
      <c r="AE820" s="170"/>
      <c r="AF820" s="170"/>
      <c r="AG820" s="170"/>
      <c r="AH820" s="170"/>
      <c r="AI820" s="170"/>
      <c r="AJ820" s="170"/>
      <c r="AK820" s="171"/>
      <c r="AL820" s="171"/>
      <c r="AM820" s="170"/>
      <c r="AN820" s="170"/>
      <c r="AO820" s="170"/>
      <c r="AP820" s="171"/>
      <c r="AQ820" s="171"/>
      <c r="AR820" s="170"/>
      <c r="AS820" s="170"/>
      <c r="AT820" s="170"/>
      <c r="AU820" s="171"/>
      <c r="AV820" s="171"/>
      <c r="AW820" s="171"/>
      <c r="AX820" s="171"/>
      <c r="AY820" s="171"/>
      <c r="AZ820" s="171"/>
      <c r="BA820" s="171"/>
      <c r="BB820" s="171"/>
      <c r="BC820" s="171"/>
      <c r="BD820" s="172"/>
      <c r="BE820" s="172"/>
      <c r="BF820" s="172"/>
      <c r="BG820" s="172"/>
      <c r="BH820" s="172"/>
      <c r="BI820" s="172"/>
      <c r="BJ820" s="172"/>
      <c r="BK820" s="172"/>
      <c r="BL820" s="172"/>
      <c r="BM820" s="172"/>
      <c r="BN820" s="172"/>
      <c r="BO820" s="172"/>
      <c r="BP820" s="172"/>
      <c r="BQ820" s="172"/>
      <c r="BR820" s="172"/>
      <c r="BS820" s="172"/>
    </row>
    <row r="821" spans="1:71" ht="12.5" x14ac:dyDescent="0.25">
      <c r="A821" s="170"/>
      <c r="B821" s="170"/>
      <c r="C821" s="170"/>
      <c r="D821" s="170"/>
      <c r="E821" s="171"/>
      <c r="F821" s="171"/>
      <c r="G821" s="170"/>
      <c r="H821" s="170"/>
      <c r="I821" s="170"/>
      <c r="J821" s="171"/>
      <c r="K821" s="171"/>
      <c r="L821" s="170"/>
      <c r="M821" s="170"/>
      <c r="N821" s="170"/>
      <c r="O821" s="171"/>
      <c r="P821" s="171"/>
      <c r="Q821" s="170"/>
      <c r="R821" s="170"/>
      <c r="S821" s="170"/>
      <c r="T821" s="171"/>
      <c r="U821" s="171"/>
      <c r="V821" s="171"/>
      <c r="W821" s="171"/>
      <c r="X821" s="171"/>
      <c r="Y821" s="171"/>
      <c r="Z821" s="171"/>
      <c r="AA821" s="171"/>
      <c r="AB821" s="171"/>
      <c r="AC821" s="170"/>
      <c r="AD821" s="170"/>
      <c r="AE821" s="170"/>
      <c r="AF821" s="170"/>
      <c r="AG821" s="170"/>
      <c r="AH821" s="170"/>
      <c r="AI821" s="170"/>
      <c r="AJ821" s="170"/>
      <c r="AK821" s="171"/>
      <c r="AL821" s="171"/>
      <c r="AM821" s="170"/>
      <c r="AN821" s="170"/>
      <c r="AO821" s="170"/>
      <c r="AP821" s="171"/>
      <c r="AQ821" s="171"/>
      <c r="AR821" s="170"/>
      <c r="AS821" s="170"/>
      <c r="AT821" s="170"/>
      <c r="AU821" s="171"/>
      <c r="AV821" s="171"/>
      <c r="AW821" s="171"/>
      <c r="AX821" s="171"/>
      <c r="AY821" s="171"/>
      <c r="AZ821" s="171"/>
      <c r="BA821" s="171"/>
      <c r="BB821" s="171"/>
      <c r="BC821" s="171"/>
      <c r="BD821" s="172"/>
      <c r="BE821" s="172"/>
      <c r="BF821" s="172"/>
      <c r="BG821" s="172"/>
      <c r="BH821" s="172"/>
      <c r="BI821" s="172"/>
      <c r="BJ821" s="172"/>
      <c r="BK821" s="172"/>
      <c r="BL821" s="172"/>
      <c r="BM821" s="172"/>
      <c r="BN821" s="172"/>
      <c r="BO821" s="172"/>
      <c r="BP821" s="172"/>
      <c r="BQ821" s="172"/>
      <c r="BR821" s="172"/>
      <c r="BS821" s="172"/>
    </row>
    <row r="822" spans="1:71" ht="12.5" x14ac:dyDescent="0.25">
      <c r="A822" s="170"/>
      <c r="B822" s="170"/>
      <c r="C822" s="170"/>
      <c r="D822" s="170"/>
      <c r="E822" s="171"/>
      <c r="F822" s="171"/>
      <c r="G822" s="170"/>
      <c r="H822" s="170"/>
      <c r="I822" s="170"/>
      <c r="J822" s="171"/>
      <c r="K822" s="171"/>
      <c r="L822" s="170"/>
      <c r="M822" s="170"/>
      <c r="N822" s="170"/>
      <c r="O822" s="171"/>
      <c r="P822" s="171"/>
      <c r="Q822" s="170"/>
      <c r="R822" s="170"/>
      <c r="S822" s="170"/>
      <c r="T822" s="171"/>
      <c r="U822" s="171"/>
      <c r="V822" s="171"/>
      <c r="W822" s="171"/>
      <c r="X822" s="171"/>
      <c r="Y822" s="171"/>
      <c r="Z822" s="171"/>
      <c r="AA822" s="171"/>
      <c r="AB822" s="171"/>
      <c r="AC822" s="170"/>
      <c r="AD822" s="170"/>
      <c r="AE822" s="170"/>
      <c r="AF822" s="170"/>
      <c r="AG822" s="170"/>
      <c r="AH822" s="170"/>
      <c r="AI822" s="170"/>
      <c r="AJ822" s="170"/>
      <c r="AK822" s="171"/>
      <c r="AL822" s="171"/>
      <c r="AM822" s="170"/>
      <c r="AN822" s="170"/>
      <c r="AO822" s="170"/>
      <c r="AP822" s="171"/>
      <c r="AQ822" s="171"/>
      <c r="AR822" s="170"/>
      <c r="AS822" s="170"/>
      <c r="AT822" s="170"/>
      <c r="AU822" s="171"/>
      <c r="AV822" s="171"/>
      <c r="AW822" s="171"/>
      <c r="AX822" s="171"/>
      <c r="AY822" s="171"/>
      <c r="AZ822" s="171"/>
      <c r="BA822" s="171"/>
      <c r="BB822" s="171"/>
      <c r="BC822" s="171"/>
      <c r="BD822" s="172"/>
      <c r="BE822" s="172"/>
      <c r="BF822" s="172"/>
      <c r="BG822" s="172"/>
      <c r="BH822" s="172"/>
      <c r="BI822" s="172"/>
      <c r="BJ822" s="172"/>
      <c r="BK822" s="172"/>
      <c r="BL822" s="172"/>
      <c r="BM822" s="172"/>
      <c r="BN822" s="172"/>
      <c r="BO822" s="172"/>
      <c r="BP822" s="172"/>
      <c r="BQ822" s="172"/>
      <c r="BR822" s="172"/>
      <c r="BS822" s="172"/>
    </row>
    <row r="823" spans="1:71" ht="12.5" x14ac:dyDescent="0.25">
      <c r="A823" s="170"/>
      <c r="B823" s="170"/>
      <c r="C823" s="170"/>
      <c r="D823" s="170"/>
      <c r="E823" s="171"/>
      <c r="F823" s="171"/>
      <c r="G823" s="170"/>
      <c r="H823" s="170"/>
      <c r="I823" s="170"/>
      <c r="J823" s="171"/>
      <c r="K823" s="171"/>
      <c r="L823" s="170"/>
      <c r="M823" s="170"/>
      <c r="N823" s="170"/>
      <c r="O823" s="171"/>
      <c r="P823" s="171"/>
      <c r="Q823" s="170"/>
      <c r="R823" s="170"/>
      <c r="S823" s="170"/>
      <c r="T823" s="171"/>
      <c r="U823" s="171"/>
      <c r="V823" s="171"/>
      <c r="W823" s="171"/>
      <c r="X823" s="171"/>
      <c r="Y823" s="171"/>
      <c r="Z823" s="171"/>
      <c r="AA823" s="171"/>
      <c r="AB823" s="171"/>
      <c r="AC823" s="170"/>
      <c r="AD823" s="170"/>
      <c r="AE823" s="170"/>
      <c r="AF823" s="170"/>
      <c r="AG823" s="170"/>
      <c r="AH823" s="170"/>
      <c r="AI823" s="170"/>
      <c r="AJ823" s="170"/>
      <c r="AK823" s="171"/>
      <c r="AL823" s="171"/>
      <c r="AM823" s="170"/>
      <c r="AN823" s="170"/>
      <c r="AO823" s="170"/>
      <c r="AP823" s="171"/>
      <c r="AQ823" s="171"/>
      <c r="AR823" s="170"/>
      <c r="AS823" s="170"/>
      <c r="AT823" s="170"/>
      <c r="AU823" s="171"/>
      <c r="AV823" s="171"/>
      <c r="AW823" s="171"/>
      <c r="AX823" s="171"/>
      <c r="AY823" s="171"/>
      <c r="AZ823" s="171"/>
      <c r="BA823" s="171"/>
      <c r="BB823" s="171"/>
      <c r="BC823" s="171"/>
      <c r="BD823" s="172"/>
      <c r="BE823" s="172"/>
      <c r="BF823" s="172"/>
      <c r="BG823" s="172"/>
      <c r="BH823" s="172"/>
      <c r="BI823" s="172"/>
      <c r="BJ823" s="172"/>
      <c r="BK823" s="172"/>
      <c r="BL823" s="172"/>
      <c r="BM823" s="172"/>
      <c r="BN823" s="172"/>
      <c r="BO823" s="172"/>
      <c r="BP823" s="172"/>
      <c r="BQ823" s="172"/>
      <c r="BR823" s="172"/>
      <c r="BS823" s="172"/>
    </row>
    <row r="824" spans="1:71" ht="12.5" x14ac:dyDescent="0.25">
      <c r="A824" s="170"/>
      <c r="B824" s="170"/>
      <c r="C824" s="170"/>
      <c r="D824" s="170"/>
      <c r="E824" s="171"/>
      <c r="F824" s="171"/>
      <c r="G824" s="170"/>
      <c r="H824" s="170"/>
      <c r="I824" s="170"/>
      <c r="J824" s="171"/>
      <c r="K824" s="171"/>
      <c r="L824" s="170"/>
      <c r="M824" s="170"/>
      <c r="N824" s="170"/>
      <c r="O824" s="171"/>
      <c r="P824" s="171"/>
      <c r="Q824" s="170"/>
      <c r="R824" s="170"/>
      <c r="S824" s="170"/>
      <c r="T824" s="171"/>
      <c r="U824" s="171"/>
      <c r="V824" s="171"/>
      <c r="W824" s="171"/>
      <c r="X824" s="171"/>
      <c r="Y824" s="171"/>
      <c r="Z824" s="171"/>
      <c r="AA824" s="171"/>
      <c r="AB824" s="171"/>
      <c r="AC824" s="170"/>
      <c r="AD824" s="170"/>
      <c r="AE824" s="170"/>
      <c r="AF824" s="170"/>
      <c r="AG824" s="170"/>
      <c r="AH824" s="170"/>
      <c r="AI824" s="170"/>
      <c r="AJ824" s="170"/>
      <c r="AK824" s="171"/>
      <c r="AL824" s="171"/>
      <c r="AM824" s="170"/>
      <c r="AN824" s="170"/>
      <c r="AO824" s="170"/>
      <c r="AP824" s="171"/>
      <c r="AQ824" s="171"/>
      <c r="AR824" s="170"/>
      <c r="AS824" s="170"/>
      <c r="AT824" s="170"/>
      <c r="AU824" s="171"/>
      <c r="AV824" s="171"/>
      <c r="AW824" s="171"/>
      <c r="AX824" s="171"/>
      <c r="AY824" s="171"/>
      <c r="AZ824" s="171"/>
      <c r="BA824" s="171"/>
      <c r="BB824" s="171"/>
      <c r="BC824" s="171"/>
      <c r="BD824" s="172"/>
      <c r="BE824" s="172"/>
      <c r="BF824" s="172"/>
      <c r="BG824" s="172"/>
      <c r="BH824" s="172"/>
      <c r="BI824" s="172"/>
      <c r="BJ824" s="172"/>
      <c r="BK824" s="172"/>
      <c r="BL824" s="172"/>
      <c r="BM824" s="172"/>
      <c r="BN824" s="172"/>
      <c r="BO824" s="172"/>
      <c r="BP824" s="172"/>
      <c r="BQ824" s="172"/>
      <c r="BR824" s="172"/>
      <c r="BS824" s="172"/>
    </row>
    <row r="825" spans="1:71" ht="12.5" x14ac:dyDescent="0.25">
      <c r="A825" s="170"/>
      <c r="B825" s="170"/>
      <c r="C825" s="170"/>
      <c r="D825" s="170"/>
      <c r="E825" s="171"/>
      <c r="F825" s="171"/>
      <c r="G825" s="170"/>
      <c r="H825" s="170"/>
      <c r="I825" s="170"/>
      <c r="J825" s="171"/>
      <c r="K825" s="171"/>
      <c r="L825" s="170"/>
      <c r="M825" s="170"/>
      <c r="N825" s="170"/>
      <c r="O825" s="171"/>
      <c r="P825" s="171"/>
      <c r="Q825" s="170"/>
      <c r="R825" s="170"/>
      <c r="S825" s="170"/>
      <c r="T825" s="171"/>
      <c r="U825" s="171"/>
      <c r="V825" s="171"/>
      <c r="W825" s="171"/>
      <c r="X825" s="171"/>
      <c r="Y825" s="171"/>
      <c r="Z825" s="171"/>
      <c r="AA825" s="171"/>
      <c r="AB825" s="171"/>
      <c r="AC825" s="170"/>
      <c r="AD825" s="170"/>
      <c r="AE825" s="170"/>
      <c r="AF825" s="170"/>
      <c r="AG825" s="170"/>
      <c r="AH825" s="170"/>
      <c r="AI825" s="170"/>
      <c r="AJ825" s="170"/>
      <c r="AK825" s="171"/>
      <c r="AL825" s="171"/>
      <c r="AM825" s="170"/>
      <c r="AN825" s="170"/>
      <c r="AO825" s="170"/>
      <c r="AP825" s="171"/>
      <c r="AQ825" s="171"/>
      <c r="AR825" s="170"/>
      <c r="AS825" s="170"/>
      <c r="AT825" s="170"/>
      <c r="AU825" s="171"/>
      <c r="AV825" s="171"/>
      <c r="AW825" s="171"/>
      <c r="AX825" s="171"/>
      <c r="AY825" s="171"/>
      <c r="AZ825" s="171"/>
      <c r="BA825" s="171"/>
      <c r="BB825" s="171"/>
      <c r="BC825" s="171"/>
      <c r="BD825" s="172"/>
      <c r="BE825" s="172"/>
      <c r="BF825" s="172"/>
      <c r="BG825" s="172"/>
      <c r="BH825" s="172"/>
      <c r="BI825" s="172"/>
      <c r="BJ825" s="172"/>
      <c r="BK825" s="172"/>
      <c r="BL825" s="172"/>
      <c r="BM825" s="172"/>
      <c r="BN825" s="172"/>
      <c r="BO825" s="172"/>
      <c r="BP825" s="172"/>
      <c r="BQ825" s="172"/>
      <c r="BR825" s="172"/>
      <c r="BS825" s="172"/>
    </row>
    <row r="826" spans="1:71" ht="12.5" x14ac:dyDescent="0.25">
      <c r="A826" s="170"/>
      <c r="B826" s="170"/>
      <c r="C826" s="170"/>
      <c r="D826" s="170"/>
      <c r="E826" s="171"/>
      <c r="F826" s="171"/>
      <c r="G826" s="170"/>
      <c r="H826" s="170"/>
      <c r="I826" s="170"/>
      <c r="J826" s="171"/>
      <c r="K826" s="171"/>
      <c r="L826" s="170"/>
      <c r="M826" s="170"/>
      <c r="N826" s="170"/>
      <c r="O826" s="171"/>
      <c r="P826" s="171"/>
      <c r="Q826" s="170"/>
      <c r="R826" s="170"/>
      <c r="S826" s="170"/>
      <c r="T826" s="171"/>
      <c r="U826" s="171"/>
      <c r="V826" s="171"/>
      <c r="W826" s="171"/>
      <c r="X826" s="171"/>
      <c r="Y826" s="171"/>
      <c r="Z826" s="171"/>
      <c r="AA826" s="171"/>
      <c r="AB826" s="171"/>
      <c r="AC826" s="170"/>
      <c r="AD826" s="170"/>
      <c r="AE826" s="170"/>
      <c r="AF826" s="170"/>
      <c r="AG826" s="170"/>
      <c r="AH826" s="170"/>
      <c r="AI826" s="170"/>
      <c r="AJ826" s="170"/>
      <c r="AK826" s="171"/>
      <c r="AL826" s="171"/>
      <c r="AM826" s="170"/>
      <c r="AN826" s="170"/>
      <c r="AO826" s="170"/>
      <c r="AP826" s="171"/>
      <c r="AQ826" s="171"/>
      <c r="AR826" s="170"/>
      <c r="AS826" s="170"/>
      <c r="AT826" s="170"/>
      <c r="AU826" s="171"/>
      <c r="AV826" s="171"/>
      <c r="AW826" s="171"/>
      <c r="AX826" s="171"/>
      <c r="AY826" s="171"/>
      <c r="AZ826" s="171"/>
      <c r="BA826" s="171"/>
      <c r="BB826" s="171"/>
      <c r="BC826" s="171"/>
      <c r="BD826" s="172"/>
      <c r="BE826" s="172"/>
      <c r="BF826" s="172"/>
      <c r="BG826" s="172"/>
      <c r="BH826" s="172"/>
      <c r="BI826" s="172"/>
      <c r="BJ826" s="172"/>
      <c r="BK826" s="172"/>
      <c r="BL826" s="172"/>
      <c r="BM826" s="172"/>
      <c r="BN826" s="172"/>
      <c r="BO826" s="172"/>
      <c r="BP826" s="172"/>
      <c r="BQ826" s="172"/>
      <c r="BR826" s="172"/>
      <c r="BS826" s="172"/>
    </row>
    <row r="827" spans="1:71" ht="12.5" x14ac:dyDescent="0.25">
      <c r="A827" s="170"/>
      <c r="B827" s="170"/>
      <c r="C827" s="170"/>
      <c r="D827" s="170"/>
      <c r="E827" s="171"/>
      <c r="F827" s="171"/>
      <c r="G827" s="170"/>
      <c r="H827" s="170"/>
      <c r="I827" s="170"/>
      <c r="J827" s="171"/>
      <c r="K827" s="171"/>
      <c r="L827" s="170"/>
      <c r="M827" s="170"/>
      <c r="N827" s="170"/>
      <c r="O827" s="171"/>
      <c r="P827" s="171"/>
      <c r="Q827" s="170"/>
      <c r="R827" s="170"/>
      <c r="S827" s="170"/>
      <c r="T827" s="171"/>
      <c r="U827" s="171"/>
      <c r="V827" s="171"/>
      <c r="W827" s="171"/>
      <c r="X827" s="171"/>
      <c r="Y827" s="171"/>
      <c r="Z827" s="171"/>
      <c r="AA827" s="171"/>
      <c r="AB827" s="171"/>
      <c r="AC827" s="170"/>
      <c r="AD827" s="170"/>
      <c r="AE827" s="170"/>
      <c r="AF827" s="170"/>
      <c r="AG827" s="170"/>
      <c r="AH827" s="170"/>
      <c r="AI827" s="170"/>
      <c r="AJ827" s="170"/>
      <c r="AK827" s="171"/>
      <c r="AL827" s="171"/>
      <c r="AM827" s="170"/>
      <c r="AN827" s="170"/>
      <c r="AO827" s="170"/>
      <c r="AP827" s="171"/>
      <c r="AQ827" s="171"/>
      <c r="AR827" s="170"/>
      <c r="AS827" s="170"/>
      <c r="AT827" s="170"/>
      <c r="AU827" s="171"/>
      <c r="AV827" s="171"/>
      <c r="AW827" s="171"/>
      <c r="AX827" s="171"/>
      <c r="AY827" s="171"/>
      <c r="AZ827" s="171"/>
      <c r="BA827" s="171"/>
      <c r="BB827" s="171"/>
      <c r="BC827" s="171"/>
      <c r="BD827" s="172"/>
      <c r="BE827" s="172"/>
      <c r="BF827" s="172"/>
      <c r="BG827" s="172"/>
      <c r="BH827" s="172"/>
      <c r="BI827" s="172"/>
      <c r="BJ827" s="172"/>
      <c r="BK827" s="172"/>
      <c r="BL827" s="172"/>
      <c r="BM827" s="172"/>
      <c r="BN827" s="172"/>
      <c r="BO827" s="172"/>
      <c r="BP827" s="172"/>
      <c r="BQ827" s="172"/>
      <c r="BR827" s="172"/>
      <c r="BS827" s="172"/>
    </row>
    <row r="828" spans="1:71" ht="12.5" x14ac:dyDescent="0.25">
      <c r="A828" s="170"/>
      <c r="B828" s="170"/>
      <c r="C828" s="170"/>
      <c r="D828" s="170"/>
      <c r="E828" s="171"/>
      <c r="F828" s="171"/>
      <c r="G828" s="170"/>
      <c r="H828" s="170"/>
      <c r="I828" s="170"/>
      <c r="J828" s="171"/>
      <c r="K828" s="171"/>
      <c r="L828" s="170"/>
      <c r="M828" s="170"/>
      <c r="N828" s="170"/>
      <c r="O828" s="171"/>
      <c r="P828" s="171"/>
      <c r="Q828" s="170"/>
      <c r="R828" s="170"/>
      <c r="S828" s="170"/>
      <c r="T828" s="171"/>
      <c r="U828" s="171"/>
      <c r="V828" s="171"/>
      <c r="W828" s="171"/>
      <c r="X828" s="171"/>
      <c r="Y828" s="171"/>
      <c r="Z828" s="171"/>
      <c r="AA828" s="171"/>
      <c r="AB828" s="171"/>
      <c r="AC828" s="170"/>
      <c r="AD828" s="170"/>
      <c r="AE828" s="170"/>
      <c r="AF828" s="170"/>
      <c r="AG828" s="170"/>
      <c r="AH828" s="170"/>
      <c r="AI828" s="170"/>
      <c r="AJ828" s="170"/>
      <c r="AK828" s="171"/>
      <c r="AL828" s="171"/>
      <c r="AM828" s="170"/>
      <c r="AN828" s="170"/>
      <c r="AO828" s="170"/>
      <c r="AP828" s="171"/>
      <c r="AQ828" s="171"/>
      <c r="AR828" s="170"/>
      <c r="AS828" s="170"/>
      <c r="AT828" s="170"/>
      <c r="AU828" s="171"/>
      <c r="AV828" s="171"/>
      <c r="AW828" s="171"/>
      <c r="AX828" s="171"/>
      <c r="AY828" s="171"/>
      <c r="AZ828" s="171"/>
      <c r="BA828" s="171"/>
      <c r="BB828" s="171"/>
      <c r="BC828" s="171"/>
      <c r="BD828" s="172"/>
      <c r="BE828" s="172"/>
      <c r="BF828" s="172"/>
      <c r="BG828" s="172"/>
      <c r="BH828" s="172"/>
      <c r="BI828" s="172"/>
      <c r="BJ828" s="172"/>
      <c r="BK828" s="172"/>
      <c r="BL828" s="172"/>
      <c r="BM828" s="172"/>
      <c r="BN828" s="172"/>
      <c r="BO828" s="172"/>
      <c r="BP828" s="172"/>
      <c r="BQ828" s="172"/>
      <c r="BR828" s="172"/>
      <c r="BS828" s="172"/>
    </row>
    <row r="829" spans="1:71" ht="12.5" x14ac:dyDescent="0.25">
      <c r="A829" s="170"/>
      <c r="B829" s="170"/>
      <c r="C829" s="170"/>
      <c r="D829" s="170"/>
      <c r="E829" s="171"/>
      <c r="F829" s="171"/>
      <c r="G829" s="170"/>
      <c r="H829" s="170"/>
      <c r="I829" s="170"/>
      <c r="J829" s="171"/>
      <c r="K829" s="171"/>
      <c r="L829" s="170"/>
      <c r="M829" s="170"/>
      <c r="N829" s="170"/>
      <c r="O829" s="171"/>
      <c r="P829" s="171"/>
      <c r="Q829" s="170"/>
      <c r="R829" s="170"/>
      <c r="S829" s="170"/>
      <c r="T829" s="171"/>
      <c r="U829" s="171"/>
      <c r="V829" s="171"/>
      <c r="W829" s="171"/>
      <c r="X829" s="171"/>
      <c r="Y829" s="171"/>
      <c r="Z829" s="171"/>
      <c r="AA829" s="171"/>
      <c r="AB829" s="171"/>
      <c r="AC829" s="170"/>
      <c r="AD829" s="170"/>
      <c r="AE829" s="170"/>
      <c r="AF829" s="170"/>
      <c r="AG829" s="170"/>
      <c r="AH829" s="170"/>
      <c r="AI829" s="170"/>
      <c r="AJ829" s="170"/>
      <c r="AK829" s="171"/>
      <c r="AL829" s="171"/>
      <c r="AM829" s="170"/>
      <c r="AN829" s="170"/>
      <c r="AO829" s="170"/>
      <c r="AP829" s="171"/>
      <c r="AQ829" s="171"/>
      <c r="AR829" s="170"/>
      <c r="AS829" s="170"/>
      <c r="AT829" s="170"/>
      <c r="AU829" s="171"/>
      <c r="AV829" s="171"/>
      <c r="AW829" s="171"/>
      <c r="AX829" s="171"/>
      <c r="AY829" s="171"/>
      <c r="AZ829" s="171"/>
      <c r="BA829" s="171"/>
      <c r="BB829" s="171"/>
      <c r="BC829" s="171"/>
      <c r="BD829" s="172"/>
      <c r="BE829" s="172"/>
      <c r="BF829" s="172"/>
      <c r="BG829" s="172"/>
      <c r="BH829" s="172"/>
      <c r="BI829" s="172"/>
      <c r="BJ829" s="172"/>
      <c r="BK829" s="172"/>
      <c r="BL829" s="172"/>
      <c r="BM829" s="172"/>
      <c r="BN829" s="172"/>
      <c r="BO829" s="172"/>
      <c r="BP829" s="172"/>
      <c r="BQ829" s="172"/>
      <c r="BR829" s="172"/>
      <c r="BS829" s="172"/>
    </row>
    <row r="830" spans="1:71" ht="12.5" x14ac:dyDescent="0.25">
      <c r="A830" s="170"/>
      <c r="B830" s="170"/>
      <c r="C830" s="170"/>
      <c r="D830" s="170"/>
      <c r="E830" s="171"/>
      <c r="F830" s="171"/>
      <c r="G830" s="170"/>
      <c r="H830" s="170"/>
      <c r="I830" s="170"/>
      <c r="J830" s="171"/>
      <c r="K830" s="171"/>
      <c r="L830" s="170"/>
      <c r="M830" s="170"/>
      <c r="N830" s="170"/>
      <c r="O830" s="171"/>
      <c r="P830" s="171"/>
      <c r="Q830" s="170"/>
      <c r="R830" s="170"/>
      <c r="S830" s="170"/>
      <c r="T830" s="171"/>
      <c r="U830" s="171"/>
      <c r="V830" s="171"/>
      <c r="W830" s="171"/>
      <c r="X830" s="171"/>
      <c r="Y830" s="171"/>
      <c r="Z830" s="171"/>
      <c r="AA830" s="171"/>
      <c r="AB830" s="171"/>
      <c r="AC830" s="170"/>
      <c r="AD830" s="170"/>
      <c r="AE830" s="170"/>
      <c r="AF830" s="170"/>
      <c r="AG830" s="170"/>
      <c r="AH830" s="170"/>
      <c r="AI830" s="170"/>
      <c r="AJ830" s="170"/>
      <c r="AK830" s="171"/>
      <c r="AL830" s="171"/>
      <c r="AM830" s="170"/>
      <c r="AN830" s="170"/>
      <c r="AO830" s="170"/>
      <c r="AP830" s="171"/>
      <c r="AQ830" s="171"/>
      <c r="AR830" s="170"/>
      <c r="AS830" s="170"/>
      <c r="AT830" s="170"/>
      <c r="AU830" s="171"/>
      <c r="AV830" s="171"/>
      <c r="AW830" s="171"/>
      <c r="AX830" s="171"/>
      <c r="AY830" s="171"/>
      <c r="AZ830" s="171"/>
      <c r="BA830" s="171"/>
      <c r="BB830" s="171"/>
      <c r="BC830" s="171"/>
      <c r="BD830" s="172"/>
      <c r="BE830" s="172"/>
      <c r="BF830" s="172"/>
      <c r="BG830" s="172"/>
      <c r="BH830" s="172"/>
      <c r="BI830" s="172"/>
      <c r="BJ830" s="172"/>
      <c r="BK830" s="172"/>
      <c r="BL830" s="172"/>
      <c r="BM830" s="172"/>
      <c r="BN830" s="172"/>
      <c r="BO830" s="172"/>
      <c r="BP830" s="172"/>
      <c r="BQ830" s="172"/>
      <c r="BR830" s="172"/>
      <c r="BS830" s="172"/>
    </row>
    <row r="831" spans="1:71" ht="12.5" x14ac:dyDescent="0.25">
      <c r="A831" s="170"/>
      <c r="B831" s="170"/>
      <c r="C831" s="170"/>
      <c r="D831" s="170"/>
      <c r="E831" s="171"/>
      <c r="F831" s="171"/>
      <c r="G831" s="170"/>
      <c r="H831" s="170"/>
      <c r="I831" s="170"/>
      <c r="J831" s="171"/>
      <c r="K831" s="171"/>
      <c r="L831" s="170"/>
      <c r="M831" s="170"/>
      <c r="N831" s="170"/>
      <c r="O831" s="171"/>
      <c r="P831" s="171"/>
      <c r="Q831" s="170"/>
      <c r="R831" s="170"/>
      <c r="S831" s="170"/>
      <c r="T831" s="171"/>
      <c r="U831" s="171"/>
      <c r="V831" s="171"/>
      <c r="W831" s="171"/>
      <c r="X831" s="171"/>
      <c r="Y831" s="171"/>
      <c r="Z831" s="171"/>
      <c r="AA831" s="171"/>
      <c r="AB831" s="171"/>
      <c r="AC831" s="170"/>
      <c r="AD831" s="170"/>
      <c r="AE831" s="170"/>
      <c r="AF831" s="170"/>
      <c r="AG831" s="170"/>
      <c r="AH831" s="170"/>
      <c r="AI831" s="170"/>
      <c r="AJ831" s="170"/>
      <c r="AK831" s="171"/>
      <c r="AL831" s="171"/>
      <c r="AM831" s="170"/>
      <c r="AN831" s="170"/>
      <c r="AO831" s="170"/>
      <c r="AP831" s="171"/>
      <c r="AQ831" s="171"/>
      <c r="AR831" s="170"/>
      <c r="AS831" s="170"/>
      <c r="AT831" s="170"/>
      <c r="AU831" s="171"/>
      <c r="AV831" s="171"/>
      <c r="AW831" s="171"/>
      <c r="AX831" s="171"/>
      <c r="AY831" s="171"/>
      <c r="AZ831" s="171"/>
      <c r="BA831" s="171"/>
      <c r="BB831" s="171"/>
      <c r="BC831" s="171"/>
      <c r="BD831" s="172"/>
      <c r="BE831" s="172"/>
      <c r="BF831" s="172"/>
      <c r="BG831" s="172"/>
      <c r="BH831" s="172"/>
      <c r="BI831" s="172"/>
      <c r="BJ831" s="172"/>
      <c r="BK831" s="172"/>
      <c r="BL831" s="172"/>
      <c r="BM831" s="172"/>
      <c r="BN831" s="172"/>
      <c r="BO831" s="172"/>
      <c r="BP831" s="172"/>
      <c r="BQ831" s="172"/>
      <c r="BR831" s="172"/>
      <c r="BS831" s="172"/>
    </row>
    <row r="832" spans="1:71" ht="12.5" x14ac:dyDescent="0.25">
      <c r="A832" s="170"/>
      <c r="B832" s="170"/>
      <c r="C832" s="170"/>
      <c r="D832" s="170"/>
      <c r="E832" s="171"/>
      <c r="F832" s="171"/>
      <c r="G832" s="170"/>
      <c r="H832" s="170"/>
      <c r="I832" s="170"/>
      <c r="J832" s="171"/>
      <c r="K832" s="171"/>
      <c r="L832" s="170"/>
      <c r="M832" s="170"/>
      <c r="N832" s="170"/>
      <c r="O832" s="171"/>
      <c r="P832" s="171"/>
      <c r="Q832" s="170"/>
      <c r="R832" s="170"/>
      <c r="S832" s="170"/>
      <c r="T832" s="171"/>
      <c r="U832" s="171"/>
      <c r="V832" s="171"/>
      <c r="W832" s="171"/>
      <c r="X832" s="171"/>
      <c r="Y832" s="171"/>
      <c r="Z832" s="171"/>
      <c r="AA832" s="171"/>
      <c r="AB832" s="171"/>
      <c r="AC832" s="170"/>
      <c r="AD832" s="170"/>
      <c r="AE832" s="170"/>
      <c r="AF832" s="170"/>
      <c r="AG832" s="170"/>
      <c r="AH832" s="170"/>
      <c r="AI832" s="170"/>
      <c r="AJ832" s="170"/>
      <c r="AK832" s="171"/>
      <c r="AL832" s="171"/>
      <c r="AM832" s="170"/>
      <c r="AN832" s="170"/>
      <c r="AO832" s="170"/>
      <c r="AP832" s="171"/>
      <c r="AQ832" s="171"/>
      <c r="AR832" s="170"/>
      <c r="AS832" s="170"/>
      <c r="AT832" s="170"/>
      <c r="AU832" s="171"/>
      <c r="AV832" s="171"/>
      <c r="AW832" s="171"/>
      <c r="AX832" s="171"/>
      <c r="AY832" s="171"/>
      <c r="AZ832" s="171"/>
      <c r="BA832" s="171"/>
      <c r="BB832" s="171"/>
      <c r="BC832" s="171"/>
      <c r="BD832" s="172"/>
      <c r="BE832" s="172"/>
      <c r="BF832" s="172"/>
      <c r="BG832" s="172"/>
      <c r="BH832" s="172"/>
      <c r="BI832" s="172"/>
      <c r="BJ832" s="172"/>
      <c r="BK832" s="172"/>
      <c r="BL832" s="172"/>
      <c r="BM832" s="172"/>
      <c r="BN832" s="172"/>
      <c r="BO832" s="172"/>
      <c r="BP832" s="172"/>
      <c r="BQ832" s="172"/>
      <c r="BR832" s="172"/>
      <c r="BS832" s="172"/>
    </row>
    <row r="833" spans="1:71" ht="12.5" x14ac:dyDescent="0.25">
      <c r="A833" s="170"/>
      <c r="B833" s="170"/>
      <c r="C833" s="170"/>
      <c r="D833" s="170"/>
      <c r="E833" s="171"/>
      <c r="F833" s="171"/>
      <c r="G833" s="170"/>
      <c r="H833" s="170"/>
      <c r="I833" s="170"/>
      <c r="J833" s="171"/>
      <c r="K833" s="171"/>
      <c r="L833" s="170"/>
      <c r="M833" s="170"/>
      <c r="N833" s="170"/>
      <c r="O833" s="171"/>
      <c r="P833" s="171"/>
      <c r="Q833" s="170"/>
      <c r="R833" s="170"/>
      <c r="S833" s="170"/>
      <c r="T833" s="171"/>
      <c r="U833" s="171"/>
      <c r="V833" s="171"/>
      <c r="W833" s="171"/>
      <c r="X833" s="171"/>
      <c r="Y833" s="171"/>
      <c r="Z833" s="171"/>
      <c r="AA833" s="171"/>
      <c r="AB833" s="171"/>
      <c r="AC833" s="170"/>
      <c r="AD833" s="170"/>
      <c r="AE833" s="170"/>
      <c r="AF833" s="170"/>
      <c r="AG833" s="170"/>
      <c r="AH833" s="170"/>
      <c r="AI833" s="170"/>
      <c r="AJ833" s="170"/>
      <c r="AK833" s="171"/>
      <c r="AL833" s="171"/>
      <c r="AM833" s="170"/>
      <c r="AN833" s="170"/>
      <c r="AO833" s="170"/>
      <c r="AP833" s="171"/>
      <c r="AQ833" s="171"/>
      <c r="AR833" s="170"/>
      <c r="AS833" s="170"/>
      <c r="AT833" s="170"/>
      <c r="AU833" s="171"/>
      <c r="AV833" s="171"/>
      <c r="AW833" s="171"/>
      <c r="AX833" s="171"/>
      <c r="AY833" s="171"/>
      <c r="AZ833" s="171"/>
      <c r="BA833" s="171"/>
      <c r="BB833" s="171"/>
      <c r="BC833" s="171"/>
      <c r="BD833" s="172"/>
      <c r="BE833" s="172"/>
      <c r="BF833" s="172"/>
      <c r="BG833" s="172"/>
      <c r="BH833" s="172"/>
      <c r="BI833" s="172"/>
      <c r="BJ833" s="172"/>
      <c r="BK833" s="172"/>
      <c r="BL833" s="172"/>
      <c r="BM833" s="172"/>
      <c r="BN833" s="172"/>
      <c r="BO833" s="172"/>
      <c r="BP833" s="172"/>
      <c r="BQ833" s="172"/>
      <c r="BR833" s="172"/>
      <c r="BS833" s="172"/>
    </row>
    <row r="834" spans="1:71" ht="12.5" x14ac:dyDescent="0.25">
      <c r="A834" s="170"/>
      <c r="B834" s="170"/>
      <c r="C834" s="170"/>
      <c r="D834" s="170"/>
      <c r="E834" s="171"/>
      <c r="F834" s="171"/>
      <c r="G834" s="170"/>
      <c r="H834" s="170"/>
      <c r="I834" s="170"/>
      <c r="J834" s="171"/>
      <c r="K834" s="171"/>
      <c r="L834" s="170"/>
      <c r="M834" s="170"/>
      <c r="N834" s="170"/>
      <c r="O834" s="171"/>
      <c r="P834" s="171"/>
      <c r="Q834" s="170"/>
      <c r="R834" s="170"/>
      <c r="S834" s="170"/>
      <c r="T834" s="171"/>
      <c r="U834" s="171"/>
      <c r="V834" s="171"/>
      <c r="W834" s="171"/>
      <c r="X834" s="171"/>
      <c r="Y834" s="171"/>
      <c r="Z834" s="171"/>
      <c r="AA834" s="171"/>
      <c r="AB834" s="171"/>
      <c r="AC834" s="170"/>
      <c r="AD834" s="170"/>
      <c r="AE834" s="170"/>
      <c r="AF834" s="170"/>
      <c r="AG834" s="170"/>
      <c r="AH834" s="170"/>
      <c r="AI834" s="170"/>
      <c r="AJ834" s="170"/>
      <c r="AK834" s="171"/>
      <c r="AL834" s="171"/>
      <c r="AM834" s="170"/>
      <c r="AN834" s="170"/>
      <c r="AO834" s="170"/>
      <c r="AP834" s="171"/>
      <c r="AQ834" s="171"/>
      <c r="AR834" s="170"/>
      <c r="AS834" s="170"/>
      <c r="AT834" s="170"/>
      <c r="AU834" s="171"/>
      <c r="AV834" s="171"/>
      <c r="AW834" s="171"/>
      <c r="AX834" s="171"/>
      <c r="AY834" s="171"/>
      <c r="AZ834" s="171"/>
      <c r="BA834" s="171"/>
      <c r="BB834" s="171"/>
      <c r="BC834" s="171"/>
      <c r="BD834" s="172"/>
      <c r="BE834" s="172"/>
      <c r="BF834" s="172"/>
      <c r="BG834" s="172"/>
      <c r="BH834" s="172"/>
      <c r="BI834" s="172"/>
      <c r="BJ834" s="172"/>
      <c r="BK834" s="172"/>
      <c r="BL834" s="172"/>
      <c r="BM834" s="172"/>
      <c r="BN834" s="172"/>
      <c r="BO834" s="172"/>
      <c r="BP834" s="172"/>
      <c r="BQ834" s="172"/>
      <c r="BR834" s="172"/>
      <c r="BS834" s="172"/>
    </row>
    <row r="835" spans="1:71" ht="12.5" x14ac:dyDescent="0.25">
      <c r="A835" s="170"/>
      <c r="B835" s="170"/>
      <c r="C835" s="170"/>
      <c r="D835" s="170"/>
      <c r="E835" s="171"/>
      <c r="F835" s="171"/>
      <c r="G835" s="170"/>
      <c r="H835" s="170"/>
      <c r="I835" s="170"/>
      <c r="J835" s="171"/>
      <c r="K835" s="171"/>
      <c r="L835" s="170"/>
      <c r="M835" s="170"/>
      <c r="N835" s="170"/>
      <c r="O835" s="171"/>
      <c r="P835" s="171"/>
      <c r="Q835" s="170"/>
      <c r="R835" s="170"/>
      <c r="S835" s="170"/>
      <c r="T835" s="171"/>
      <c r="U835" s="171"/>
      <c r="V835" s="171"/>
      <c r="W835" s="171"/>
      <c r="X835" s="171"/>
      <c r="Y835" s="171"/>
      <c r="Z835" s="171"/>
      <c r="AA835" s="171"/>
      <c r="AB835" s="171"/>
      <c r="AC835" s="170"/>
      <c r="AD835" s="170"/>
      <c r="AE835" s="170"/>
      <c r="AF835" s="170"/>
      <c r="AG835" s="170"/>
      <c r="AH835" s="170"/>
      <c r="AI835" s="170"/>
      <c r="AJ835" s="170"/>
      <c r="AK835" s="171"/>
      <c r="AL835" s="171"/>
      <c r="AM835" s="170"/>
      <c r="AN835" s="170"/>
      <c r="AO835" s="170"/>
      <c r="AP835" s="171"/>
      <c r="AQ835" s="171"/>
      <c r="AR835" s="170"/>
      <c r="AS835" s="170"/>
      <c r="AT835" s="170"/>
      <c r="AU835" s="171"/>
      <c r="AV835" s="171"/>
      <c r="AW835" s="171"/>
      <c r="AX835" s="171"/>
      <c r="AY835" s="171"/>
      <c r="AZ835" s="171"/>
      <c r="BA835" s="171"/>
      <c r="BB835" s="171"/>
      <c r="BC835" s="171"/>
      <c r="BD835" s="172"/>
      <c r="BE835" s="172"/>
      <c r="BF835" s="172"/>
      <c r="BG835" s="172"/>
      <c r="BH835" s="172"/>
      <c r="BI835" s="172"/>
      <c r="BJ835" s="172"/>
      <c r="BK835" s="172"/>
      <c r="BL835" s="172"/>
      <c r="BM835" s="172"/>
      <c r="BN835" s="172"/>
      <c r="BO835" s="172"/>
      <c r="BP835" s="172"/>
      <c r="BQ835" s="172"/>
      <c r="BR835" s="172"/>
      <c r="BS835" s="172"/>
    </row>
    <row r="836" spans="1:71" ht="12.5" x14ac:dyDescent="0.25">
      <c r="A836" s="170"/>
      <c r="B836" s="170"/>
      <c r="C836" s="170"/>
      <c r="D836" s="170"/>
      <c r="E836" s="171"/>
      <c r="F836" s="171"/>
      <c r="G836" s="170"/>
      <c r="H836" s="170"/>
      <c r="I836" s="170"/>
      <c r="J836" s="171"/>
      <c r="K836" s="171"/>
      <c r="L836" s="170"/>
      <c r="M836" s="170"/>
      <c r="N836" s="170"/>
      <c r="O836" s="171"/>
      <c r="P836" s="171"/>
      <c r="Q836" s="170"/>
      <c r="R836" s="170"/>
      <c r="S836" s="170"/>
      <c r="T836" s="171"/>
      <c r="U836" s="171"/>
      <c r="V836" s="171"/>
      <c r="W836" s="171"/>
      <c r="X836" s="171"/>
      <c r="Y836" s="171"/>
      <c r="Z836" s="171"/>
      <c r="AA836" s="171"/>
      <c r="AB836" s="171"/>
      <c r="AC836" s="170"/>
      <c r="AD836" s="170"/>
      <c r="AE836" s="170"/>
      <c r="AF836" s="170"/>
      <c r="AG836" s="170"/>
      <c r="AH836" s="170"/>
      <c r="AI836" s="170"/>
      <c r="AJ836" s="170"/>
      <c r="AK836" s="171"/>
      <c r="AL836" s="171"/>
      <c r="AM836" s="170"/>
      <c r="AN836" s="170"/>
      <c r="AO836" s="170"/>
      <c r="AP836" s="171"/>
      <c r="AQ836" s="171"/>
      <c r="AR836" s="170"/>
      <c r="AS836" s="170"/>
      <c r="AT836" s="170"/>
      <c r="AU836" s="171"/>
      <c r="AV836" s="171"/>
      <c r="AW836" s="171"/>
      <c r="AX836" s="171"/>
      <c r="AY836" s="171"/>
      <c r="AZ836" s="171"/>
      <c r="BA836" s="171"/>
      <c r="BB836" s="171"/>
      <c r="BC836" s="171"/>
      <c r="BD836" s="172"/>
      <c r="BE836" s="172"/>
      <c r="BF836" s="172"/>
      <c r="BG836" s="172"/>
      <c r="BH836" s="172"/>
      <c r="BI836" s="172"/>
      <c r="BJ836" s="172"/>
      <c r="BK836" s="172"/>
      <c r="BL836" s="172"/>
      <c r="BM836" s="172"/>
      <c r="BN836" s="172"/>
      <c r="BO836" s="172"/>
      <c r="BP836" s="172"/>
      <c r="BQ836" s="172"/>
      <c r="BR836" s="172"/>
      <c r="BS836" s="172"/>
    </row>
    <row r="837" spans="1:71" ht="12.5" x14ac:dyDescent="0.25">
      <c r="A837" s="170"/>
      <c r="B837" s="170"/>
      <c r="C837" s="170"/>
      <c r="D837" s="170"/>
      <c r="E837" s="171"/>
      <c r="F837" s="171"/>
      <c r="G837" s="170"/>
      <c r="H837" s="170"/>
      <c r="I837" s="170"/>
      <c r="J837" s="171"/>
      <c r="K837" s="171"/>
      <c r="L837" s="170"/>
      <c r="M837" s="170"/>
      <c r="N837" s="170"/>
      <c r="O837" s="171"/>
      <c r="P837" s="171"/>
      <c r="Q837" s="170"/>
      <c r="R837" s="170"/>
      <c r="S837" s="170"/>
      <c r="T837" s="171"/>
      <c r="U837" s="171"/>
      <c r="V837" s="171"/>
      <c r="W837" s="171"/>
      <c r="X837" s="171"/>
      <c r="Y837" s="171"/>
      <c r="Z837" s="171"/>
      <c r="AA837" s="171"/>
      <c r="AB837" s="171"/>
      <c r="AC837" s="170"/>
      <c r="AD837" s="170"/>
      <c r="AE837" s="170"/>
      <c r="AF837" s="170"/>
      <c r="AG837" s="170"/>
      <c r="AH837" s="170"/>
      <c r="AI837" s="170"/>
      <c r="AJ837" s="170"/>
      <c r="AK837" s="171"/>
      <c r="AL837" s="171"/>
      <c r="AM837" s="170"/>
      <c r="AN837" s="170"/>
      <c r="AO837" s="170"/>
      <c r="AP837" s="171"/>
      <c r="AQ837" s="171"/>
      <c r="AR837" s="170"/>
      <c r="AS837" s="170"/>
      <c r="AT837" s="170"/>
      <c r="AU837" s="171"/>
      <c r="AV837" s="171"/>
      <c r="AW837" s="171"/>
      <c r="AX837" s="171"/>
      <c r="AY837" s="171"/>
      <c r="AZ837" s="171"/>
      <c r="BA837" s="171"/>
      <c r="BB837" s="171"/>
      <c r="BC837" s="171"/>
      <c r="BD837" s="172"/>
      <c r="BE837" s="172"/>
      <c r="BF837" s="172"/>
      <c r="BG837" s="172"/>
      <c r="BH837" s="172"/>
      <c r="BI837" s="172"/>
      <c r="BJ837" s="172"/>
      <c r="BK837" s="172"/>
      <c r="BL837" s="172"/>
      <c r="BM837" s="172"/>
      <c r="BN837" s="172"/>
      <c r="BO837" s="172"/>
      <c r="BP837" s="172"/>
      <c r="BQ837" s="172"/>
      <c r="BR837" s="172"/>
      <c r="BS837" s="172"/>
    </row>
    <row r="838" spans="1:71" ht="12.5" x14ac:dyDescent="0.25">
      <c r="A838" s="170"/>
      <c r="B838" s="170"/>
      <c r="C838" s="170"/>
      <c r="D838" s="170"/>
      <c r="E838" s="171"/>
      <c r="F838" s="171"/>
      <c r="G838" s="170"/>
      <c r="H838" s="170"/>
      <c r="I838" s="170"/>
      <c r="J838" s="171"/>
      <c r="K838" s="171"/>
      <c r="L838" s="170"/>
      <c r="M838" s="170"/>
      <c r="N838" s="170"/>
      <c r="O838" s="171"/>
      <c r="P838" s="171"/>
      <c r="Q838" s="170"/>
      <c r="R838" s="170"/>
      <c r="S838" s="170"/>
      <c r="T838" s="171"/>
      <c r="U838" s="171"/>
      <c r="V838" s="171"/>
      <c r="W838" s="171"/>
      <c r="X838" s="171"/>
      <c r="Y838" s="171"/>
      <c r="Z838" s="171"/>
      <c r="AA838" s="171"/>
      <c r="AB838" s="171"/>
      <c r="AC838" s="170"/>
      <c r="AD838" s="170"/>
      <c r="AE838" s="170"/>
      <c r="AF838" s="170"/>
      <c r="AG838" s="170"/>
      <c r="AH838" s="170"/>
      <c r="AI838" s="170"/>
      <c r="AJ838" s="170"/>
      <c r="AK838" s="171"/>
      <c r="AL838" s="171"/>
      <c r="AM838" s="170"/>
      <c r="AN838" s="170"/>
      <c r="AO838" s="170"/>
      <c r="AP838" s="171"/>
      <c r="AQ838" s="171"/>
      <c r="AR838" s="170"/>
      <c r="AS838" s="170"/>
      <c r="AT838" s="170"/>
      <c r="AU838" s="171"/>
      <c r="AV838" s="171"/>
      <c r="AW838" s="171"/>
      <c r="AX838" s="171"/>
      <c r="AY838" s="171"/>
      <c r="AZ838" s="171"/>
      <c r="BA838" s="171"/>
      <c r="BB838" s="171"/>
      <c r="BC838" s="171"/>
      <c r="BD838" s="172"/>
      <c r="BE838" s="172"/>
      <c r="BF838" s="172"/>
      <c r="BG838" s="172"/>
      <c r="BH838" s="172"/>
      <c r="BI838" s="172"/>
      <c r="BJ838" s="172"/>
      <c r="BK838" s="172"/>
      <c r="BL838" s="172"/>
      <c r="BM838" s="172"/>
      <c r="BN838" s="172"/>
      <c r="BO838" s="172"/>
      <c r="BP838" s="172"/>
      <c r="BQ838" s="172"/>
      <c r="BR838" s="172"/>
      <c r="BS838" s="172"/>
    </row>
    <row r="839" spans="1:71" ht="12.5" x14ac:dyDescent="0.25">
      <c r="A839" s="170"/>
      <c r="B839" s="170"/>
      <c r="C839" s="170"/>
      <c r="D839" s="170"/>
      <c r="E839" s="171"/>
      <c r="F839" s="171"/>
      <c r="G839" s="170"/>
      <c r="H839" s="170"/>
      <c r="I839" s="170"/>
      <c r="J839" s="171"/>
      <c r="K839" s="171"/>
      <c r="L839" s="170"/>
      <c r="M839" s="170"/>
      <c r="N839" s="170"/>
      <c r="O839" s="171"/>
      <c r="P839" s="171"/>
      <c r="Q839" s="170"/>
      <c r="R839" s="170"/>
      <c r="S839" s="170"/>
      <c r="T839" s="171"/>
      <c r="U839" s="171"/>
      <c r="V839" s="171"/>
      <c r="W839" s="171"/>
      <c r="X839" s="171"/>
      <c r="Y839" s="171"/>
      <c r="Z839" s="171"/>
      <c r="AA839" s="171"/>
      <c r="AB839" s="171"/>
      <c r="AC839" s="170"/>
      <c r="AD839" s="170"/>
      <c r="AE839" s="170"/>
      <c r="AF839" s="170"/>
      <c r="AG839" s="170"/>
      <c r="AH839" s="170"/>
      <c r="AI839" s="170"/>
      <c r="AJ839" s="170"/>
      <c r="AK839" s="171"/>
      <c r="AL839" s="171"/>
      <c r="AM839" s="170"/>
      <c r="AN839" s="170"/>
      <c r="AO839" s="170"/>
      <c r="AP839" s="171"/>
      <c r="AQ839" s="171"/>
      <c r="AR839" s="170"/>
      <c r="AS839" s="170"/>
      <c r="AT839" s="170"/>
      <c r="AU839" s="171"/>
      <c r="AV839" s="171"/>
      <c r="AW839" s="171"/>
      <c r="AX839" s="171"/>
      <c r="AY839" s="171"/>
      <c r="AZ839" s="171"/>
      <c r="BA839" s="171"/>
      <c r="BB839" s="171"/>
      <c r="BC839" s="171"/>
      <c r="BD839" s="172"/>
      <c r="BE839" s="172"/>
      <c r="BF839" s="172"/>
      <c r="BG839" s="172"/>
      <c r="BH839" s="172"/>
      <c r="BI839" s="172"/>
      <c r="BJ839" s="172"/>
      <c r="BK839" s="172"/>
      <c r="BL839" s="172"/>
      <c r="BM839" s="172"/>
      <c r="BN839" s="172"/>
      <c r="BO839" s="172"/>
      <c r="BP839" s="172"/>
      <c r="BQ839" s="172"/>
      <c r="BR839" s="172"/>
      <c r="BS839" s="172"/>
    </row>
    <row r="840" spans="1:71" ht="12.5" x14ac:dyDescent="0.25">
      <c r="A840" s="170"/>
      <c r="B840" s="170"/>
      <c r="C840" s="170"/>
      <c r="D840" s="170"/>
      <c r="E840" s="171"/>
      <c r="F840" s="171"/>
      <c r="G840" s="170"/>
      <c r="H840" s="170"/>
      <c r="I840" s="170"/>
      <c r="J840" s="171"/>
      <c r="K840" s="171"/>
      <c r="L840" s="170"/>
      <c r="M840" s="170"/>
      <c r="N840" s="170"/>
      <c r="O840" s="171"/>
      <c r="P840" s="171"/>
      <c r="Q840" s="170"/>
      <c r="R840" s="170"/>
      <c r="S840" s="170"/>
      <c r="T840" s="171"/>
      <c r="U840" s="171"/>
      <c r="V840" s="171"/>
      <c r="W840" s="171"/>
      <c r="X840" s="171"/>
      <c r="Y840" s="171"/>
      <c r="Z840" s="171"/>
      <c r="AA840" s="171"/>
      <c r="AB840" s="171"/>
      <c r="AC840" s="170"/>
      <c r="AD840" s="170"/>
      <c r="AE840" s="170"/>
      <c r="AF840" s="170"/>
      <c r="AG840" s="170"/>
      <c r="AH840" s="170"/>
      <c r="AI840" s="170"/>
      <c r="AJ840" s="170"/>
      <c r="AK840" s="171"/>
      <c r="AL840" s="171"/>
      <c r="AM840" s="170"/>
      <c r="AN840" s="170"/>
      <c r="AO840" s="170"/>
      <c r="AP840" s="171"/>
      <c r="AQ840" s="171"/>
      <c r="AR840" s="170"/>
      <c r="AS840" s="170"/>
      <c r="AT840" s="170"/>
      <c r="AU840" s="171"/>
      <c r="AV840" s="171"/>
      <c r="AW840" s="171"/>
      <c r="AX840" s="171"/>
      <c r="AY840" s="171"/>
      <c r="AZ840" s="171"/>
      <c r="BA840" s="171"/>
      <c r="BB840" s="171"/>
      <c r="BC840" s="171"/>
      <c r="BD840" s="172"/>
      <c r="BE840" s="172"/>
      <c r="BF840" s="172"/>
      <c r="BG840" s="172"/>
      <c r="BH840" s="172"/>
      <c r="BI840" s="172"/>
      <c r="BJ840" s="172"/>
      <c r="BK840" s="172"/>
      <c r="BL840" s="172"/>
      <c r="BM840" s="172"/>
      <c r="BN840" s="172"/>
      <c r="BO840" s="172"/>
      <c r="BP840" s="172"/>
      <c r="BQ840" s="172"/>
      <c r="BR840" s="172"/>
      <c r="BS840" s="172"/>
    </row>
    <row r="841" spans="1:71" ht="12.5" x14ac:dyDescent="0.25">
      <c r="A841" s="170"/>
      <c r="B841" s="170"/>
      <c r="C841" s="170"/>
      <c r="D841" s="170"/>
      <c r="E841" s="171"/>
      <c r="F841" s="171"/>
      <c r="G841" s="170"/>
      <c r="H841" s="170"/>
      <c r="I841" s="170"/>
      <c r="J841" s="171"/>
      <c r="K841" s="171"/>
      <c r="L841" s="170"/>
      <c r="M841" s="170"/>
      <c r="N841" s="170"/>
      <c r="O841" s="171"/>
      <c r="P841" s="171"/>
      <c r="Q841" s="170"/>
      <c r="R841" s="170"/>
      <c r="S841" s="170"/>
      <c r="T841" s="171"/>
      <c r="U841" s="171"/>
      <c r="V841" s="171"/>
      <c r="W841" s="171"/>
      <c r="X841" s="171"/>
      <c r="Y841" s="171"/>
      <c r="Z841" s="171"/>
      <c r="AA841" s="171"/>
      <c r="AB841" s="171"/>
      <c r="AC841" s="170"/>
      <c r="AD841" s="170"/>
      <c r="AE841" s="170"/>
      <c r="AF841" s="170"/>
      <c r="AG841" s="170"/>
      <c r="AH841" s="170"/>
      <c r="AI841" s="170"/>
      <c r="AJ841" s="170"/>
      <c r="AK841" s="171"/>
      <c r="AL841" s="171"/>
      <c r="AM841" s="170"/>
      <c r="AN841" s="170"/>
      <c r="AO841" s="170"/>
      <c r="AP841" s="171"/>
      <c r="AQ841" s="171"/>
      <c r="AR841" s="170"/>
      <c r="AS841" s="170"/>
      <c r="AT841" s="170"/>
      <c r="AU841" s="171"/>
      <c r="AV841" s="171"/>
      <c r="AW841" s="171"/>
      <c r="AX841" s="171"/>
      <c r="AY841" s="171"/>
      <c r="AZ841" s="171"/>
      <c r="BA841" s="171"/>
      <c r="BB841" s="171"/>
      <c r="BC841" s="171"/>
      <c r="BD841" s="172"/>
      <c r="BE841" s="172"/>
      <c r="BF841" s="172"/>
      <c r="BG841" s="172"/>
      <c r="BH841" s="172"/>
      <c r="BI841" s="172"/>
      <c r="BJ841" s="172"/>
      <c r="BK841" s="172"/>
      <c r="BL841" s="172"/>
      <c r="BM841" s="172"/>
      <c r="BN841" s="172"/>
      <c r="BO841" s="172"/>
      <c r="BP841" s="172"/>
      <c r="BQ841" s="172"/>
      <c r="BR841" s="172"/>
      <c r="BS841" s="172"/>
    </row>
    <row r="842" spans="1:71" ht="12.5" x14ac:dyDescent="0.25">
      <c r="A842" s="170"/>
      <c r="B842" s="170"/>
      <c r="C842" s="170"/>
      <c r="D842" s="170"/>
      <c r="E842" s="171"/>
      <c r="F842" s="171"/>
      <c r="G842" s="170"/>
      <c r="H842" s="170"/>
      <c r="I842" s="170"/>
      <c r="J842" s="171"/>
      <c r="K842" s="171"/>
      <c r="L842" s="170"/>
      <c r="M842" s="170"/>
      <c r="N842" s="170"/>
      <c r="O842" s="171"/>
      <c r="P842" s="171"/>
      <c r="Q842" s="170"/>
      <c r="R842" s="170"/>
      <c r="S842" s="170"/>
      <c r="T842" s="171"/>
      <c r="U842" s="171"/>
      <c r="V842" s="171"/>
      <c r="W842" s="171"/>
      <c r="X842" s="171"/>
      <c r="Y842" s="171"/>
      <c r="Z842" s="171"/>
      <c r="AA842" s="171"/>
      <c r="AB842" s="171"/>
      <c r="AC842" s="170"/>
      <c r="AD842" s="170"/>
      <c r="AE842" s="170"/>
      <c r="AF842" s="170"/>
      <c r="AG842" s="170"/>
      <c r="AH842" s="170"/>
      <c r="AI842" s="170"/>
      <c r="AJ842" s="170"/>
      <c r="AK842" s="171"/>
      <c r="AL842" s="171"/>
      <c r="AM842" s="170"/>
      <c r="AN842" s="170"/>
      <c r="AO842" s="170"/>
      <c r="AP842" s="171"/>
      <c r="AQ842" s="171"/>
      <c r="AR842" s="170"/>
      <c r="AS842" s="170"/>
      <c r="AT842" s="170"/>
      <c r="AU842" s="171"/>
      <c r="AV842" s="171"/>
      <c r="AW842" s="171"/>
      <c r="AX842" s="171"/>
      <c r="AY842" s="171"/>
      <c r="AZ842" s="171"/>
      <c r="BA842" s="171"/>
      <c r="BB842" s="171"/>
      <c r="BC842" s="171"/>
      <c r="BD842" s="172"/>
      <c r="BE842" s="172"/>
      <c r="BF842" s="172"/>
      <c r="BG842" s="172"/>
      <c r="BH842" s="172"/>
      <c r="BI842" s="172"/>
      <c r="BJ842" s="172"/>
      <c r="BK842" s="172"/>
      <c r="BL842" s="172"/>
      <c r="BM842" s="172"/>
      <c r="BN842" s="172"/>
      <c r="BO842" s="172"/>
      <c r="BP842" s="172"/>
      <c r="BQ842" s="172"/>
      <c r="BR842" s="172"/>
      <c r="BS842" s="172"/>
    </row>
    <row r="843" spans="1:71" ht="12.5" x14ac:dyDescent="0.25">
      <c r="A843" s="170"/>
      <c r="B843" s="170"/>
      <c r="C843" s="170"/>
      <c r="D843" s="170"/>
      <c r="E843" s="171"/>
      <c r="F843" s="171"/>
      <c r="G843" s="170"/>
      <c r="H843" s="170"/>
      <c r="I843" s="170"/>
      <c r="J843" s="171"/>
      <c r="K843" s="171"/>
      <c r="L843" s="170"/>
      <c r="M843" s="170"/>
      <c r="N843" s="170"/>
      <c r="O843" s="171"/>
      <c r="P843" s="171"/>
      <c r="Q843" s="170"/>
      <c r="R843" s="170"/>
      <c r="S843" s="170"/>
      <c r="T843" s="171"/>
      <c r="U843" s="171"/>
      <c r="V843" s="171"/>
      <c r="W843" s="171"/>
      <c r="X843" s="171"/>
      <c r="Y843" s="171"/>
      <c r="Z843" s="171"/>
      <c r="AA843" s="171"/>
      <c r="AB843" s="171"/>
      <c r="AC843" s="170"/>
      <c r="AD843" s="170"/>
      <c r="AE843" s="170"/>
      <c r="AF843" s="170"/>
      <c r="AG843" s="170"/>
      <c r="AH843" s="170"/>
      <c r="AI843" s="170"/>
      <c r="AJ843" s="170"/>
      <c r="AK843" s="171"/>
      <c r="AL843" s="171"/>
      <c r="AM843" s="170"/>
      <c r="AN843" s="170"/>
      <c r="AO843" s="170"/>
      <c r="AP843" s="171"/>
      <c r="AQ843" s="171"/>
      <c r="AR843" s="170"/>
      <c r="AS843" s="170"/>
      <c r="AT843" s="170"/>
      <c r="AU843" s="171"/>
      <c r="AV843" s="171"/>
      <c r="AW843" s="171"/>
      <c r="AX843" s="171"/>
      <c r="AY843" s="171"/>
      <c r="AZ843" s="171"/>
      <c r="BA843" s="171"/>
      <c r="BB843" s="171"/>
      <c r="BC843" s="171"/>
      <c r="BD843" s="172"/>
      <c r="BE843" s="172"/>
      <c r="BF843" s="172"/>
      <c r="BG843" s="172"/>
      <c r="BH843" s="172"/>
      <c r="BI843" s="172"/>
      <c r="BJ843" s="172"/>
      <c r="BK843" s="172"/>
      <c r="BL843" s="172"/>
      <c r="BM843" s="172"/>
      <c r="BN843" s="172"/>
      <c r="BO843" s="172"/>
      <c r="BP843" s="172"/>
      <c r="BQ843" s="172"/>
      <c r="BR843" s="172"/>
      <c r="BS843" s="172"/>
    </row>
    <row r="844" spans="1:71" ht="12.5" x14ac:dyDescent="0.25">
      <c r="A844" s="170"/>
      <c r="B844" s="170"/>
      <c r="C844" s="170"/>
      <c r="D844" s="170"/>
      <c r="E844" s="171"/>
      <c r="F844" s="171"/>
      <c r="G844" s="170"/>
      <c r="H844" s="170"/>
      <c r="I844" s="170"/>
      <c r="J844" s="171"/>
      <c r="K844" s="171"/>
      <c r="L844" s="170"/>
      <c r="M844" s="170"/>
      <c r="N844" s="170"/>
      <c r="O844" s="171"/>
      <c r="P844" s="171"/>
      <c r="Q844" s="170"/>
      <c r="R844" s="170"/>
      <c r="S844" s="170"/>
      <c r="T844" s="171"/>
      <c r="U844" s="171"/>
      <c r="V844" s="171"/>
      <c r="W844" s="171"/>
      <c r="X844" s="171"/>
      <c r="Y844" s="171"/>
      <c r="Z844" s="171"/>
      <c r="AA844" s="171"/>
      <c r="AB844" s="171"/>
      <c r="AC844" s="170"/>
      <c r="AD844" s="170"/>
      <c r="AE844" s="170"/>
      <c r="AF844" s="170"/>
      <c r="AG844" s="170"/>
      <c r="AH844" s="170"/>
      <c r="AI844" s="170"/>
      <c r="AJ844" s="170"/>
      <c r="AK844" s="171"/>
      <c r="AL844" s="171"/>
      <c r="AM844" s="170"/>
      <c r="AN844" s="170"/>
      <c r="AO844" s="170"/>
      <c r="AP844" s="171"/>
      <c r="AQ844" s="171"/>
      <c r="AR844" s="170"/>
      <c r="AS844" s="170"/>
      <c r="AT844" s="170"/>
      <c r="AU844" s="171"/>
      <c r="AV844" s="171"/>
      <c r="AW844" s="171"/>
      <c r="AX844" s="171"/>
      <c r="AY844" s="171"/>
      <c r="AZ844" s="171"/>
      <c r="BA844" s="171"/>
      <c r="BB844" s="171"/>
      <c r="BC844" s="171"/>
      <c r="BD844" s="172"/>
      <c r="BE844" s="172"/>
      <c r="BF844" s="172"/>
      <c r="BG844" s="172"/>
      <c r="BH844" s="172"/>
      <c r="BI844" s="172"/>
      <c r="BJ844" s="172"/>
      <c r="BK844" s="172"/>
      <c r="BL844" s="172"/>
      <c r="BM844" s="172"/>
      <c r="BN844" s="172"/>
      <c r="BO844" s="172"/>
      <c r="BP844" s="172"/>
      <c r="BQ844" s="172"/>
      <c r="BR844" s="172"/>
      <c r="BS844" s="172"/>
    </row>
    <row r="845" spans="1:71" ht="12.5" x14ac:dyDescent="0.25">
      <c r="A845" s="170"/>
      <c r="B845" s="170"/>
      <c r="C845" s="170"/>
      <c r="D845" s="170"/>
      <c r="E845" s="171"/>
      <c r="F845" s="171"/>
      <c r="G845" s="170"/>
      <c r="H845" s="170"/>
      <c r="I845" s="170"/>
      <c r="J845" s="171"/>
      <c r="K845" s="171"/>
      <c r="L845" s="170"/>
      <c r="M845" s="170"/>
      <c r="N845" s="170"/>
      <c r="O845" s="171"/>
      <c r="P845" s="171"/>
      <c r="Q845" s="170"/>
      <c r="R845" s="170"/>
      <c r="S845" s="170"/>
      <c r="T845" s="171"/>
      <c r="U845" s="171"/>
      <c r="V845" s="171"/>
      <c r="W845" s="171"/>
      <c r="X845" s="171"/>
      <c r="Y845" s="171"/>
      <c r="Z845" s="171"/>
      <c r="AA845" s="171"/>
      <c r="AB845" s="171"/>
      <c r="AC845" s="170"/>
      <c r="AD845" s="170"/>
      <c r="AE845" s="170"/>
      <c r="AF845" s="170"/>
      <c r="AG845" s="170"/>
      <c r="AH845" s="170"/>
      <c r="AI845" s="170"/>
      <c r="AJ845" s="170"/>
      <c r="AK845" s="171"/>
      <c r="AL845" s="171"/>
      <c r="AM845" s="170"/>
      <c r="AN845" s="170"/>
      <c r="AO845" s="170"/>
      <c r="AP845" s="171"/>
      <c r="AQ845" s="171"/>
      <c r="AR845" s="170"/>
      <c r="AS845" s="170"/>
      <c r="AT845" s="170"/>
      <c r="AU845" s="171"/>
      <c r="AV845" s="171"/>
      <c r="AW845" s="171"/>
      <c r="AX845" s="171"/>
      <c r="AY845" s="171"/>
      <c r="AZ845" s="171"/>
      <c r="BA845" s="171"/>
      <c r="BB845" s="171"/>
      <c r="BC845" s="171"/>
      <c r="BD845" s="172"/>
      <c r="BE845" s="172"/>
      <c r="BF845" s="172"/>
      <c r="BG845" s="172"/>
      <c r="BH845" s="172"/>
      <c r="BI845" s="172"/>
      <c r="BJ845" s="172"/>
      <c r="BK845" s="172"/>
      <c r="BL845" s="172"/>
      <c r="BM845" s="172"/>
      <c r="BN845" s="172"/>
      <c r="BO845" s="172"/>
      <c r="BP845" s="172"/>
      <c r="BQ845" s="172"/>
      <c r="BR845" s="172"/>
      <c r="BS845" s="172"/>
    </row>
    <row r="846" spans="1:71" ht="12.5" x14ac:dyDescent="0.25">
      <c r="A846" s="170"/>
      <c r="B846" s="170"/>
      <c r="C846" s="170"/>
      <c r="D846" s="170"/>
      <c r="E846" s="171"/>
      <c r="F846" s="171"/>
      <c r="G846" s="170"/>
      <c r="H846" s="170"/>
      <c r="I846" s="170"/>
      <c r="J846" s="171"/>
      <c r="K846" s="171"/>
      <c r="L846" s="170"/>
      <c r="M846" s="170"/>
      <c r="N846" s="170"/>
      <c r="O846" s="171"/>
      <c r="P846" s="171"/>
      <c r="Q846" s="170"/>
      <c r="R846" s="170"/>
      <c r="S846" s="170"/>
      <c r="T846" s="171"/>
      <c r="U846" s="171"/>
      <c r="V846" s="171"/>
      <c r="W846" s="171"/>
      <c r="X846" s="171"/>
      <c r="Y846" s="171"/>
      <c r="Z846" s="171"/>
      <c r="AA846" s="171"/>
      <c r="AB846" s="171"/>
      <c r="AC846" s="170"/>
      <c r="AD846" s="170"/>
      <c r="AE846" s="170"/>
      <c r="AF846" s="170"/>
      <c r="AG846" s="170"/>
      <c r="AH846" s="170"/>
      <c r="AI846" s="170"/>
      <c r="AJ846" s="170"/>
      <c r="AK846" s="171"/>
      <c r="AL846" s="171"/>
      <c r="AM846" s="170"/>
      <c r="AN846" s="170"/>
      <c r="AO846" s="170"/>
      <c r="AP846" s="171"/>
      <c r="AQ846" s="171"/>
      <c r="AR846" s="170"/>
      <c r="AS846" s="170"/>
      <c r="AT846" s="170"/>
      <c r="AU846" s="171"/>
      <c r="AV846" s="171"/>
      <c r="AW846" s="171"/>
      <c r="AX846" s="171"/>
      <c r="AY846" s="171"/>
      <c r="AZ846" s="171"/>
      <c r="BA846" s="171"/>
      <c r="BB846" s="171"/>
      <c r="BC846" s="171"/>
      <c r="BD846" s="172"/>
      <c r="BE846" s="172"/>
      <c r="BF846" s="172"/>
      <c r="BG846" s="172"/>
      <c r="BH846" s="172"/>
      <c r="BI846" s="172"/>
      <c r="BJ846" s="172"/>
      <c r="BK846" s="172"/>
      <c r="BL846" s="172"/>
      <c r="BM846" s="172"/>
      <c r="BN846" s="172"/>
      <c r="BO846" s="172"/>
      <c r="BP846" s="172"/>
      <c r="BQ846" s="172"/>
      <c r="BR846" s="172"/>
      <c r="BS846" s="172"/>
    </row>
    <row r="847" spans="1:71" ht="12.5" x14ac:dyDescent="0.25">
      <c r="A847" s="170"/>
      <c r="B847" s="170"/>
      <c r="C847" s="170"/>
      <c r="D847" s="170"/>
      <c r="E847" s="171"/>
      <c r="F847" s="171"/>
      <c r="G847" s="170"/>
      <c r="H847" s="170"/>
      <c r="I847" s="170"/>
      <c r="J847" s="171"/>
      <c r="K847" s="171"/>
      <c r="L847" s="170"/>
      <c r="M847" s="170"/>
      <c r="N847" s="170"/>
      <c r="O847" s="171"/>
      <c r="P847" s="171"/>
      <c r="Q847" s="170"/>
      <c r="R847" s="170"/>
      <c r="S847" s="170"/>
      <c r="T847" s="171"/>
      <c r="U847" s="171"/>
      <c r="V847" s="171"/>
      <c r="W847" s="171"/>
      <c r="X847" s="171"/>
      <c r="Y847" s="171"/>
      <c r="Z847" s="171"/>
      <c r="AA847" s="171"/>
      <c r="AB847" s="171"/>
      <c r="AC847" s="170"/>
      <c r="AD847" s="170"/>
      <c r="AE847" s="170"/>
      <c r="AF847" s="170"/>
      <c r="AG847" s="170"/>
      <c r="AH847" s="170"/>
      <c r="AI847" s="170"/>
      <c r="AJ847" s="170"/>
      <c r="AK847" s="171"/>
      <c r="AL847" s="171"/>
      <c r="AM847" s="170"/>
      <c r="AN847" s="170"/>
      <c r="AO847" s="170"/>
      <c r="AP847" s="171"/>
      <c r="AQ847" s="171"/>
      <c r="AR847" s="170"/>
      <c r="AS847" s="170"/>
      <c r="AT847" s="170"/>
      <c r="AU847" s="171"/>
      <c r="AV847" s="171"/>
      <c r="AW847" s="171"/>
      <c r="AX847" s="171"/>
      <c r="AY847" s="171"/>
      <c r="AZ847" s="171"/>
      <c r="BA847" s="171"/>
      <c r="BB847" s="171"/>
      <c r="BC847" s="171"/>
      <c r="BD847" s="172"/>
      <c r="BE847" s="172"/>
      <c r="BF847" s="172"/>
      <c r="BG847" s="172"/>
      <c r="BH847" s="172"/>
      <c r="BI847" s="172"/>
      <c r="BJ847" s="172"/>
      <c r="BK847" s="172"/>
      <c r="BL847" s="172"/>
      <c r="BM847" s="172"/>
      <c r="BN847" s="172"/>
      <c r="BO847" s="172"/>
      <c r="BP847" s="172"/>
      <c r="BQ847" s="172"/>
      <c r="BR847" s="172"/>
      <c r="BS847" s="172"/>
    </row>
    <row r="848" spans="1:71" ht="12.5" x14ac:dyDescent="0.25">
      <c r="A848" s="170"/>
      <c r="B848" s="170"/>
      <c r="C848" s="170"/>
      <c r="D848" s="170"/>
      <c r="E848" s="171"/>
      <c r="F848" s="171"/>
      <c r="G848" s="170"/>
      <c r="H848" s="170"/>
      <c r="I848" s="170"/>
      <c r="J848" s="171"/>
      <c r="K848" s="171"/>
      <c r="L848" s="170"/>
      <c r="M848" s="170"/>
      <c r="N848" s="170"/>
      <c r="O848" s="171"/>
      <c r="P848" s="171"/>
      <c r="Q848" s="170"/>
      <c r="R848" s="170"/>
      <c r="S848" s="170"/>
      <c r="T848" s="171"/>
      <c r="U848" s="171"/>
      <c r="V848" s="171"/>
      <c r="W848" s="171"/>
      <c r="X848" s="171"/>
      <c r="Y848" s="171"/>
      <c r="Z848" s="171"/>
      <c r="AA848" s="171"/>
      <c r="AB848" s="171"/>
      <c r="AC848" s="170"/>
      <c r="AD848" s="170"/>
      <c r="AE848" s="170"/>
      <c r="AF848" s="170"/>
      <c r="AG848" s="170"/>
      <c r="AH848" s="170"/>
      <c r="AI848" s="170"/>
      <c r="AJ848" s="170"/>
      <c r="AK848" s="171"/>
      <c r="AL848" s="171"/>
      <c r="AM848" s="170"/>
      <c r="AN848" s="170"/>
      <c r="AO848" s="170"/>
      <c r="AP848" s="171"/>
      <c r="AQ848" s="171"/>
      <c r="AR848" s="170"/>
      <c r="AS848" s="170"/>
      <c r="AT848" s="170"/>
      <c r="AU848" s="171"/>
      <c r="AV848" s="171"/>
      <c r="AW848" s="171"/>
      <c r="AX848" s="171"/>
      <c r="AY848" s="171"/>
      <c r="AZ848" s="171"/>
      <c r="BA848" s="171"/>
      <c r="BB848" s="171"/>
      <c r="BC848" s="171"/>
      <c r="BD848" s="172"/>
      <c r="BE848" s="172"/>
      <c r="BF848" s="172"/>
      <c r="BG848" s="172"/>
      <c r="BH848" s="172"/>
      <c r="BI848" s="172"/>
      <c r="BJ848" s="172"/>
      <c r="BK848" s="172"/>
      <c r="BL848" s="172"/>
      <c r="BM848" s="172"/>
      <c r="BN848" s="172"/>
      <c r="BO848" s="172"/>
      <c r="BP848" s="172"/>
      <c r="BQ848" s="172"/>
      <c r="BR848" s="172"/>
      <c r="BS848" s="172"/>
    </row>
    <row r="849" spans="1:71" ht="12.5" x14ac:dyDescent="0.25">
      <c r="A849" s="170"/>
      <c r="B849" s="170"/>
      <c r="C849" s="170"/>
      <c r="D849" s="170"/>
      <c r="E849" s="171"/>
      <c r="F849" s="171"/>
      <c r="G849" s="170"/>
      <c r="H849" s="170"/>
      <c r="I849" s="170"/>
      <c r="J849" s="171"/>
      <c r="K849" s="171"/>
      <c r="L849" s="170"/>
      <c r="M849" s="170"/>
      <c r="N849" s="170"/>
      <c r="O849" s="171"/>
      <c r="P849" s="171"/>
      <c r="Q849" s="170"/>
      <c r="R849" s="170"/>
      <c r="S849" s="170"/>
      <c r="T849" s="171"/>
      <c r="U849" s="171"/>
      <c r="V849" s="171"/>
      <c r="W849" s="171"/>
      <c r="X849" s="171"/>
      <c r="Y849" s="171"/>
      <c r="Z849" s="171"/>
      <c r="AA849" s="171"/>
      <c r="AB849" s="171"/>
      <c r="AC849" s="170"/>
      <c r="AD849" s="170"/>
      <c r="AE849" s="170"/>
      <c r="AF849" s="170"/>
      <c r="AG849" s="170"/>
      <c r="AH849" s="170"/>
      <c r="AI849" s="170"/>
      <c r="AJ849" s="170"/>
      <c r="AK849" s="171"/>
      <c r="AL849" s="171"/>
      <c r="AM849" s="170"/>
      <c r="AN849" s="170"/>
      <c r="AO849" s="170"/>
      <c r="AP849" s="171"/>
      <c r="AQ849" s="171"/>
      <c r="AR849" s="170"/>
      <c r="AS849" s="170"/>
      <c r="AT849" s="170"/>
      <c r="AU849" s="171"/>
      <c r="AV849" s="171"/>
      <c r="AW849" s="171"/>
      <c r="AX849" s="171"/>
      <c r="AY849" s="171"/>
      <c r="AZ849" s="171"/>
      <c r="BA849" s="171"/>
      <c r="BB849" s="171"/>
      <c r="BC849" s="171"/>
      <c r="BD849" s="172"/>
      <c r="BE849" s="172"/>
      <c r="BF849" s="172"/>
      <c r="BG849" s="172"/>
      <c r="BH849" s="172"/>
      <c r="BI849" s="172"/>
      <c r="BJ849" s="172"/>
      <c r="BK849" s="172"/>
      <c r="BL849" s="172"/>
      <c r="BM849" s="172"/>
      <c r="BN849" s="172"/>
      <c r="BO849" s="172"/>
      <c r="BP849" s="172"/>
      <c r="BQ849" s="172"/>
      <c r="BR849" s="172"/>
      <c r="BS849" s="172"/>
    </row>
    <row r="850" spans="1:71" ht="12.5" x14ac:dyDescent="0.25">
      <c r="A850" s="170"/>
      <c r="B850" s="170"/>
      <c r="C850" s="170"/>
      <c r="D850" s="170"/>
      <c r="E850" s="171"/>
      <c r="F850" s="171"/>
      <c r="G850" s="170"/>
      <c r="H850" s="170"/>
      <c r="I850" s="170"/>
      <c r="J850" s="171"/>
      <c r="K850" s="171"/>
      <c r="L850" s="170"/>
      <c r="M850" s="170"/>
      <c r="N850" s="170"/>
      <c r="O850" s="171"/>
      <c r="P850" s="171"/>
      <c r="Q850" s="170"/>
      <c r="R850" s="170"/>
      <c r="S850" s="170"/>
      <c r="T850" s="171"/>
      <c r="U850" s="171"/>
      <c r="V850" s="171"/>
      <c r="W850" s="171"/>
      <c r="X850" s="171"/>
      <c r="Y850" s="171"/>
      <c r="Z850" s="171"/>
      <c r="AA850" s="171"/>
      <c r="AB850" s="171"/>
      <c r="AC850" s="170"/>
      <c r="AD850" s="170"/>
      <c r="AE850" s="170"/>
      <c r="AF850" s="170"/>
      <c r="AG850" s="170"/>
      <c r="AH850" s="170"/>
      <c r="AI850" s="170"/>
      <c r="AJ850" s="170"/>
      <c r="AK850" s="171"/>
      <c r="AL850" s="171"/>
      <c r="AM850" s="170"/>
      <c r="AN850" s="170"/>
      <c r="AO850" s="170"/>
      <c r="AP850" s="171"/>
      <c r="AQ850" s="171"/>
      <c r="AR850" s="170"/>
      <c r="AS850" s="170"/>
      <c r="AT850" s="170"/>
      <c r="AU850" s="171"/>
      <c r="AV850" s="171"/>
      <c r="AW850" s="171"/>
      <c r="AX850" s="171"/>
      <c r="AY850" s="171"/>
      <c r="AZ850" s="171"/>
      <c r="BA850" s="171"/>
      <c r="BB850" s="171"/>
      <c r="BC850" s="171"/>
      <c r="BD850" s="172"/>
      <c r="BE850" s="172"/>
      <c r="BF850" s="172"/>
      <c r="BG850" s="172"/>
      <c r="BH850" s="172"/>
      <c r="BI850" s="172"/>
      <c r="BJ850" s="172"/>
      <c r="BK850" s="172"/>
      <c r="BL850" s="172"/>
      <c r="BM850" s="172"/>
      <c r="BN850" s="172"/>
      <c r="BO850" s="172"/>
      <c r="BP850" s="172"/>
      <c r="BQ850" s="172"/>
      <c r="BR850" s="172"/>
      <c r="BS850" s="172"/>
    </row>
    <row r="851" spans="1:71" ht="12.5" x14ac:dyDescent="0.25">
      <c r="A851" s="170"/>
      <c r="B851" s="170"/>
      <c r="C851" s="170"/>
      <c r="D851" s="170"/>
      <c r="E851" s="171"/>
      <c r="F851" s="171"/>
      <c r="G851" s="170"/>
      <c r="H851" s="170"/>
      <c r="I851" s="170"/>
      <c r="J851" s="171"/>
      <c r="K851" s="171"/>
      <c r="L851" s="170"/>
      <c r="M851" s="170"/>
      <c r="N851" s="170"/>
      <c r="O851" s="171"/>
      <c r="P851" s="171"/>
      <c r="Q851" s="170"/>
      <c r="R851" s="170"/>
      <c r="S851" s="170"/>
      <c r="T851" s="171"/>
      <c r="U851" s="171"/>
      <c r="V851" s="171"/>
      <c r="W851" s="171"/>
      <c r="X851" s="171"/>
      <c r="Y851" s="171"/>
      <c r="Z851" s="171"/>
      <c r="AA851" s="171"/>
      <c r="AB851" s="171"/>
      <c r="AC851" s="170"/>
      <c r="AD851" s="170"/>
      <c r="AE851" s="170"/>
      <c r="AF851" s="170"/>
      <c r="AG851" s="170"/>
      <c r="AH851" s="170"/>
      <c r="AI851" s="170"/>
      <c r="AJ851" s="170"/>
      <c r="AK851" s="171"/>
      <c r="AL851" s="171"/>
      <c r="AM851" s="170"/>
      <c r="AN851" s="170"/>
      <c r="AO851" s="170"/>
      <c r="AP851" s="171"/>
      <c r="AQ851" s="171"/>
      <c r="AR851" s="170"/>
      <c r="AS851" s="170"/>
      <c r="AT851" s="170"/>
      <c r="AU851" s="171"/>
      <c r="AV851" s="171"/>
      <c r="AW851" s="171"/>
      <c r="AX851" s="171"/>
      <c r="AY851" s="171"/>
      <c r="AZ851" s="171"/>
      <c r="BA851" s="171"/>
      <c r="BB851" s="171"/>
      <c r="BC851" s="171"/>
      <c r="BD851" s="172"/>
      <c r="BE851" s="172"/>
      <c r="BF851" s="172"/>
      <c r="BG851" s="172"/>
      <c r="BH851" s="172"/>
      <c r="BI851" s="172"/>
      <c r="BJ851" s="172"/>
      <c r="BK851" s="172"/>
      <c r="BL851" s="172"/>
      <c r="BM851" s="172"/>
      <c r="BN851" s="172"/>
      <c r="BO851" s="172"/>
      <c r="BP851" s="172"/>
      <c r="BQ851" s="172"/>
      <c r="BR851" s="172"/>
      <c r="BS851" s="172"/>
    </row>
    <row r="852" spans="1:71" ht="12.5" x14ac:dyDescent="0.25">
      <c r="A852" s="170"/>
      <c r="B852" s="170"/>
      <c r="C852" s="170"/>
      <c r="D852" s="170"/>
      <c r="E852" s="171"/>
      <c r="F852" s="171"/>
      <c r="G852" s="170"/>
      <c r="H852" s="170"/>
      <c r="I852" s="170"/>
      <c r="J852" s="171"/>
      <c r="K852" s="171"/>
      <c r="L852" s="170"/>
      <c r="M852" s="170"/>
      <c r="N852" s="170"/>
      <c r="O852" s="171"/>
      <c r="P852" s="171"/>
      <c r="Q852" s="170"/>
      <c r="R852" s="170"/>
      <c r="S852" s="170"/>
      <c r="T852" s="171"/>
      <c r="U852" s="171"/>
      <c r="V852" s="171"/>
      <c r="W852" s="171"/>
      <c r="X852" s="171"/>
      <c r="Y852" s="171"/>
      <c r="Z852" s="171"/>
      <c r="AA852" s="171"/>
      <c r="AB852" s="171"/>
      <c r="AC852" s="170"/>
      <c r="AD852" s="170"/>
      <c r="AE852" s="170"/>
      <c r="AF852" s="170"/>
      <c r="AG852" s="170"/>
      <c r="AH852" s="170"/>
      <c r="AI852" s="170"/>
      <c r="AJ852" s="170"/>
      <c r="AK852" s="171"/>
      <c r="AL852" s="171"/>
      <c r="AM852" s="170"/>
      <c r="AN852" s="170"/>
      <c r="AO852" s="170"/>
      <c r="AP852" s="171"/>
      <c r="AQ852" s="171"/>
      <c r="AR852" s="170"/>
      <c r="AS852" s="170"/>
      <c r="AT852" s="170"/>
      <c r="AU852" s="171"/>
      <c r="AV852" s="171"/>
      <c r="AW852" s="171"/>
      <c r="AX852" s="171"/>
      <c r="AY852" s="171"/>
      <c r="AZ852" s="171"/>
      <c r="BA852" s="171"/>
      <c r="BB852" s="171"/>
      <c r="BC852" s="171"/>
      <c r="BD852" s="172"/>
      <c r="BE852" s="172"/>
      <c r="BF852" s="172"/>
      <c r="BG852" s="172"/>
      <c r="BH852" s="172"/>
      <c r="BI852" s="172"/>
      <c r="BJ852" s="172"/>
      <c r="BK852" s="172"/>
      <c r="BL852" s="172"/>
      <c r="BM852" s="172"/>
      <c r="BN852" s="172"/>
      <c r="BO852" s="172"/>
      <c r="BP852" s="172"/>
      <c r="BQ852" s="172"/>
      <c r="BR852" s="172"/>
      <c r="BS852" s="172"/>
    </row>
    <row r="853" spans="1:71" ht="12.5" x14ac:dyDescent="0.25">
      <c r="A853" s="170"/>
      <c r="B853" s="170"/>
      <c r="C853" s="170"/>
      <c r="D853" s="170"/>
      <c r="E853" s="171"/>
      <c r="F853" s="171"/>
      <c r="G853" s="170"/>
      <c r="H853" s="170"/>
      <c r="I853" s="170"/>
      <c r="J853" s="171"/>
      <c r="K853" s="171"/>
      <c r="L853" s="170"/>
      <c r="M853" s="170"/>
      <c r="N853" s="170"/>
      <c r="O853" s="171"/>
      <c r="P853" s="171"/>
      <c r="Q853" s="170"/>
      <c r="R853" s="170"/>
      <c r="S853" s="170"/>
      <c r="T853" s="171"/>
      <c r="U853" s="171"/>
      <c r="V853" s="171"/>
      <c r="W853" s="171"/>
      <c r="X853" s="171"/>
      <c r="Y853" s="171"/>
      <c r="Z853" s="171"/>
      <c r="AA853" s="171"/>
      <c r="AB853" s="171"/>
      <c r="AC853" s="170"/>
      <c r="AD853" s="170"/>
      <c r="AE853" s="170"/>
      <c r="AF853" s="170"/>
      <c r="AG853" s="170"/>
      <c r="AH853" s="170"/>
      <c r="AI853" s="170"/>
      <c r="AJ853" s="170"/>
      <c r="AK853" s="171"/>
      <c r="AL853" s="171"/>
      <c r="AM853" s="170"/>
      <c r="AN853" s="170"/>
      <c r="AO853" s="170"/>
      <c r="AP853" s="171"/>
      <c r="AQ853" s="171"/>
      <c r="AR853" s="170"/>
      <c r="AS853" s="170"/>
      <c r="AT853" s="170"/>
      <c r="AU853" s="171"/>
      <c r="AV853" s="171"/>
      <c r="AW853" s="171"/>
      <c r="AX853" s="171"/>
      <c r="AY853" s="171"/>
      <c r="AZ853" s="171"/>
      <c r="BA853" s="171"/>
      <c r="BB853" s="171"/>
      <c r="BC853" s="171"/>
      <c r="BD853" s="172"/>
      <c r="BE853" s="172"/>
      <c r="BF853" s="172"/>
      <c r="BG853" s="172"/>
      <c r="BH853" s="172"/>
      <c r="BI853" s="172"/>
      <c r="BJ853" s="172"/>
      <c r="BK853" s="172"/>
      <c r="BL853" s="172"/>
      <c r="BM853" s="172"/>
      <c r="BN853" s="172"/>
      <c r="BO853" s="172"/>
      <c r="BP853" s="172"/>
      <c r="BQ853" s="172"/>
      <c r="BR853" s="172"/>
      <c r="BS853" s="172"/>
    </row>
    <row r="854" spans="1:71" ht="12.5" x14ac:dyDescent="0.25">
      <c r="A854" s="170"/>
      <c r="B854" s="170"/>
      <c r="C854" s="170"/>
      <c r="D854" s="170"/>
      <c r="E854" s="171"/>
      <c r="F854" s="171"/>
      <c r="G854" s="170"/>
      <c r="H854" s="170"/>
      <c r="I854" s="170"/>
      <c r="J854" s="171"/>
      <c r="K854" s="171"/>
      <c r="L854" s="170"/>
      <c r="M854" s="170"/>
      <c r="N854" s="170"/>
      <c r="O854" s="171"/>
      <c r="P854" s="171"/>
      <c r="Q854" s="170"/>
      <c r="R854" s="170"/>
      <c r="S854" s="170"/>
      <c r="T854" s="171"/>
      <c r="U854" s="171"/>
      <c r="V854" s="171"/>
      <c r="W854" s="171"/>
      <c r="X854" s="171"/>
      <c r="Y854" s="171"/>
      <c r="Z854" s="171"/>
      <c r="AA854" s="171"/>
      <c r="AB854" s="171"/>
      <c r="AC854" s="170"/>
      <c r="AD854" s="170"/>
      <c r="AE854" s="170"/>
      <c r="AF854" s="170"/>
      <c r="AG854" s="170"/>
      <c r="AH854" s="170"/>
      <c r="AI854" s="170"/>
      <c r="AJ854" s="170"/>
      <c r="AK854" s="171"/>
      <c r="AL854" s="171"/>
      <c r="AM854" s="170"/>
      <c r="AN854" s="170"/>
      <c r="AO854" s="170"/>
      <c r="AP854" s="171"/>
      <c r="AQ854" s="171"/>
      <c r="AR854" s="170"/>
      <c r="AS854" s="170"/>
      <c r="AT854" s="170"/>
      <c r="AU854" s="171"/>
      <c r="AV854" s="171"/>
      <c r="AW854" s="171"/>
      <c r="AX854" s="171"/>
      <c r="AY854" s="171"/>
      <c r="AZ854" s="171"/>
      <c r="BA854" s="171"/>
      <c r="BB854" s="171"/>
      <c r="BC854" s="171"/>
      <c r="BD854" s="172"/>
      <c r="BE854" s="172"/>
      <c r="BF854" s="172"/>
      <c r="BG854" s="172"/>
      <c r="BH854" s="172"/>
      <c r="BI854" s="172"/>
      <c r="BJ854" s="172"/>
      <c r="BK854" s="172"/>
      <c r="BL854" s="172"/>
      <c r="BM854" s="172"/>
      <c r="BN854" s="172"/>
      <c r="BO854" s="172"/>
      <c r="BP854" s="172"/>
      <c r="BQ854" s="172"/>
      <c r="BR854" s="172"/>
      <c r="BS854" s="172"/>
    </row>
    <row r="855" spans="1:71" ht="12.5" x14ac:dyDescent="0.25">
      <c r="A855" s="170"/>
      <c r="B855" s="170"/>
      <c r="C855" s="170"/>
      <c r="D855" s="170"/>
      <c r="E855" s="171"/>
      <c r="F855" s="171"/>
      <c r="G855" s="170"/>
      <c r="H855" s="170"/>
      <c r="I855" s="170"/>
      <c r="J855" s="171"/>
      <c r="K855" s="171"/>
      <c r="L855" s="170"/>
      <c r="M855" s="170"/>
      <c r="N855" s="170"/>
      <c r="O855" s="171"/>
      <c r="P855" s="171"/>
      <c r="Q855" s="170"/>
      <c r="R855" s="170"/>
      <c r="S855" s="170"/>
      <c r="T855" s="171"/>
      <c r="U855" s="171"/>
      <c r="V855" s="171"/>
      <c r="W855" s="171"/>
      <c r="X855" s="171"/>
      <c r="Y855" s="171"/>
      <c r="Z855" s="171"/>
      <c r="AA855" s="171"/>
      <c r="AB855" s="171"/>
      <c r="AC855" s="170"/>
      <c r="AD855" s="170"/>
      <c r="AE855" s="170"/>
      <c r="AF855" s="170"/>
      <c r="AG855" s="170"/>
      <c r="AH855" s="170"/>
      <c r="AI855" s="170"/>
      <c r="AJ855" s="170"/>
      <c r="AK855" s="171"/>
      <c r="AL855" s="171"/>
      <c r="AM855" s="170"/>
      <c r="AN855" s="170"/>
      <c r="AO855" s="170"/>
      <c r="AP855" s="171"/>
      <c r="AQ855" s="171"/>
      <c r="AR855" s="170"/>
      <c r="AS855" s="170"/>
      <c r="AT855" s="170"/>
      <c r="AU855" s="171"/>
      <c r="AV855" s="171"/>
      <c r="AW855" s="171"/>
      <c r="AX855" s="171"/>
      <c r="AY855" s="171"/>
      <c r="AZ855" s="171"/>
      <c r="BA855" s="171"/>
      <c r="BB855" s="171"/>
      <c r="BC855" s="171"/>
      <c r="BD855" s="172"/>
      <c r="BE855" s="172"/>
      <c r="BF855" s="172"/>
      <c r="BG855" s="172"/>
      <c r="BH855" s="172"/>
      <c r="BI855" s="172"/>
      <c r="BJ855" s="172"/>
      <c r="BK855" s="172"/>
      <c r="BL855" s="172"/>
      <c r="BM855" s="172"/>
      <c r="BN855" s="172"/>
      <c r="BO855" s="172"/>
      <c r="BP855" s="172"/>
      <c r="BQ855" s="172"/>
      <c r="BR855" s="172"/>
      <c r="BS855" s="172"/>
    </row>
    <row r="856" spans="1:71" ht="12.5" x14ac:dyDescent="0.25">
      <c r="A856" s="170"/>
      <c r="B856" s="170"/>
      <c r="C856" s="170"/>
      <c r="D856" s="170"/>
      <c r="E856" s="171"/>
      <c r="F856" s="171"/>
      <c r="G856" s="170"/>
      <c r="H856" s="170"/>
      <c r="I856" s="170"/>
      <c r="J856" s="171"/>
      <c r="K856" s="171"/>
      <c r="L856" s="170"/>
      <c r="M856" s="170"/>
      <c r="N856" s="170"/>
      <c r="O856" s="171"/>
      <c r="P856" s="171"/>
      <c r="Q856" s="170"/>
      <c r="R856" s="170"/>
      <c r="S856" s="170"/>
      <c r="T856" s="171"/>
      <c r="U856" s="171"/>
      <c r="V856" s="171"/>
      <c r="W856" s="171"/>
      <c r="X856" s="171"/>
      <c r="Y856" s="171"/>
      <c r="Z856" s="171"/>
      <c r="AA856" s="171"/>
      <c r="AB856" s="171"/>
      <c r="AC856" s="170"/>
      <c r="AD856" s="170"/>
      <c r="AE856" s="170"/>
      <c r="AF856" s="170"/>
      <c r="AG856" s="170"/>
      <c r="AH856" s="170"/>
      <c r="AI856" s="170"/>
      <c r="AJ856" s="170"/>
      <c r="AK856" s="171"/>
      <c r="AL856" s="171"/>
      <c r="AM856" s="170"/>
      <c r="AN856" s="170"/>
      <c r="AO856" s="170"/>
      <c r="AP856" s="171"/>
      <c r="AQ856" s="171"/>
      <c r="AR856" s="170"/>
      <c r="AS856" s="170"/>
      <c r="AT856" s="170"/>
      <c r="AU856" s="171"/>
      <c r="AV856" s="171"/>
      <c r="AW856" s="171"/>
      <c r="AX856" s="171"/>
      <c r="AY856" s="171"/>
      <c r="AZ856" s="171"/>
      <c r="BA856" s="171"/>
      <c r="BB856" s="171"/>
      <c r="BC856" s="171"/>
      <c r="BD856" s="172"/>
      <c r="BE856" s="172"/>
      <c r="BF856" s="172"/>
      <c r="BG856" s="172"/>
      <c r="BH856" s="172"/>
      <c r="BI856" s="172"/>
      <c r="BJ856" s="172"/>
      <c r="BK856" s="172"/>
      <c r="BL856" s="172"/>
      <c r="BM856" s="172"/>
      <c r="BN856" s="172"/>
      <c r="BO856" s="172"/>
      <c r="BP856" s="172"/>
      <c r="BQ856" s="172"/>
      <c r="BR856" s="172"/>
      <c r="BS856" s="172"/>
    </row>
    <row r="857" spans="1:71" ht="12.5" x14ac:dyDescent="0.25">
      <c r="A857" s="170"/>
      <c r="B857" s="170"/>
      <c r="C857" s="170"/>
      <c r="D857" s="170"/>
      <c r="E857" s="171"/>
      <c r="F857" s="171"/>
      <c r="G857" s="170"/>
      <c r="H857" s="170"/>
      <c r="I857" s="170"/>
      <c r="J857" s="171"/>
      <c r="K857" s="171"/>
      <c r="L857" s="170"/>
      <c r="M857" s="170"/>
      <c r="N857" s="170"/>
      <c r="O857" s="171"/>
      <c r="P857" s="171"/>
      <c r="Q857" s="170"/>
      <c r="R857" s="170"/>
      <c r="S857" s="170"/>
      <c r="T857" s="171"/>
      <c r="U857" s="171"/>
      <c r="V857" s="171"/>
      <c r="W857" s="171"/>
      <c r="X857" s="171"/>
      <c r="Y857" s="171"/>
      <c r="Z857" s="171"/>
      <c r="AA857" s="171"/>
      <c r="AB857" s="171"/>
      <c r="AC857" s="170"/>
      <c r="AD857" s="170"/>
      <c r="AE857" s="170"/>
      <c r="AF857" s="170"/>
      <c r="AG857" s="170"/>
      <c r="AH857" s="170"/>
      <c r="AI857" s="170"/>
      <c r="AJ857" s="170"/>
      <c r="AK857" s="171"/>
      <c r="AL857" s="171"/>
      <c r="AM857" s="170"/>
      <c r="AN857" s="170"/>
      <c r="AO857" s="170"/>
      <c r="AP857" s="171"/>
      <c r="AQ857" s="171"/>
      <c r="AR857" s="170"/>
      <c r="AS857" s="170"/>
      <c r="AT857" s="170"/>
      <c r="AU857" s="171"/>
      <c r="AV857" s="171"/>
      <c r="AW857" s="171"/>
      <c r="AX857" s="171"/>
      <c r="AY857" s="171"/>
      <c r="AZ857" s="171"/>
      <c r="BA857" s="171"/>
      <c r="BB857" s="171"/>
      <c r="BC857" s="171"/>
      <c r="BD857" s="172"/>
      <c r="BE857" s="172"/>
      <c r="BF857" s="172"/>
      <c r="BG857" s="172"/>
      <c r="BH857" s="172"/>
      <c r="BI857" s="172"/>
      <c r="BJ857" s="172"/>
      <c r="BK857" s="172"/>
      <c r="BL857" s="172"/>
      <c r="BM857" s="172"/>
      <c r="BN857" s="172"/>
      <c r="BO857" s="172"/>
      <c r="BP857" s="172"/>
      <c r="BQ857" s="172"/>
      <c r="BR857" s="172"/>
      <c r="BS857" s="172"/>
    </row>
    <row r="858" spans="1:71" ht="12.5" x14ac:dyDescent="0.25">
      <c r="A858" s="170"/>
      <c r="B858" s="170"/>
      <c r="C858" s="170"/>
      <c r="D858" s="170"/>
      <c r="E858" s="171"/>
      <c r="F858" s="171"/>
      <c r="G858" s="170"/>
      <c r="H858" s="170"/>
      <c r="I858" s="170"/>
      <c r="J858" s="171"/>
      <c r="K858" s="171"/>
      <c r="L858" s="170"/>
      <c r="M858" s="170"/>
      <c r="N858" s="170"/>
      <c r="O858" s="171"/>
      <c r="P858" s="171"/>
      <c r="Q858" s="170"/>
      <c r="R858" s="170"/>
      <c r="S858" s="170"/>
      <c r="T858" s="171"/>
      <c r="U858" s="171"/>
      <c r="V858" s="171"/>
      <c r="W858" s="171"/>
      <c r="X858" s="171"/>
      <c r="Y858" s="171"/>
      <c r="Z858" s="171"/>
      <c r="AA858" s="171"/>
      <c r="AB858" s="171"/>
      <c r="AC858" s="170"/>
      <c r="AD858" s="170"/>
      <c r="AE858" s="170"/>
      <c r="AF858" s="170"/>
      <c r="AG858" s="170"/>
      <c r="AH858" s="170"/>
      <c r="AI858" s="170"/>
      <c r="AJ858" s="170"/>
      <c r="AK858" s="171"/>
      <c r="AL858" s="171"/>
      <c r="AM858" s="170"/>
      <c r="AN858" s="170"/>
      <c r="AO858" s="170"/>
      <c r="AP858" s="171"/>
      <c r="AQ858" s="171"/>
      <c r="AR858" s="170"/>
      <c r="AS858" s="170"/>
      <c r="AT858" s="170"/>
      <c r="AU858" s="171"/>
      <c r="AV858" s="171"/>
      <c r="AW858" s="171"/>
      <c r="AX858" s="171"/>
      <c r="AY858" s="171"/>
      <c r="AZ858" s="171"/>
      <c r="BA858" s="171"/>
      <c r="BB858" s="171"/>
      <c r="BC858" s="171"/>
      <c r="BD858" s="172"/>
      <c r="BE858" s="172"/>
      <c r="BF858" s="172"/>
      <c r="BG858" s="172"/>
      <c r="BH858" s="172"/>
      <c r="BI858" s="172"/>
      <c r="BJ858" s="172"/>
      <c r="BK858" s="172"/>
      <c r="BL858" s="172"/>
      <c r="BM858" s="172"/>
      <c r="BN858" s="172"/>
      <c r="BO858" s="172"/>
      <c r="BP858" s="172"/>
      <c r="BQ858" s="172"/>
      <c r="BR858" s="172"/>
      <c r="BS858" s="172"/>
    </row>
    <row r="859" spans="1:71" ht="12.5" x14ac:dyDescent="0.25">
      <c r="A859" s="170"/>
      <c r="B859" s="170"/>
      <c r="C859" s="170"/>
      <c r="D859" s="170"/>
      <c r="E859" s="171"/>
      <c r="F859" s="171"/>
      <c r="G859" s="170"/>
      <c r="H859" s="170"/>
      <c r="I859" s="170"/>
      <c r="J859" s="171"/>
      <c r="K859" s="171"/>
      <c r="L859" s="170"/>
      <c r="M859" s="170"/>
      <c r="N859" s="170"/>
      <c r="O859" s="171"/>
      <c r="P859" s="171"/>
      <c r="Q859" s="170"/>
      <c r="R859" s="170"/>
      <c r="S859" s="170"/>
      <c r="T859" s="171"/>
      <c r="U859" s="171"/>
      <c r="V859" s="171"/>
      <c r="W859" s="171"/>
      <c r="X859" s="171"/>
      <c r="Y859" s="171"/>
      <c r="Z859" s="171"/>
      <c r="AA859" s="171"/>
      <c r="AB859" s="171"/>
      <c r="AC859" s="170"/>
      <c r="AD859" s="170"/>
      <c r="AE859" s="170"/>
      <c r="AF859" s="170"/>
      <c r="AG859" s="170"/>
      <c r="AH859" s="170"/>
      <c r="AI859" s="170"/>
      <c r="AJ859" s="170"/>
      <c r="AK859" s="171"/>
      <c r="AL859" s="171"/>
      <c r="AM859" s="170"/>
      <c r="AN859" s="170"/>
      <c r="AO859" s="170"/>
      <c r="AP859" s="171"/>
      <c r="AQ859" s="171"/>
      <c r="AR859" s="170"/>
      <c r="AS859" s="170"/>
      <c r="AT859" s="170"/>
      <c r="AU859" s="171"/>
      <c r="AV859" s="171"/>
      <c r="AW859" s="171"/>
      <c r="AX859" s="171"/>
      <c r="AY859" s="171"/>
      <c r="AZ859" s="171"/>
      <c r="BA859" s="171"/>
      <c r="BB859" s="171"/>
      <c r="BC859" s="171"/>
      <c r="BD859" s="172"/>
      <c r="BE859" s="172"/>
      <c r="BF859" s="172"/>
      <c r="BG859" s="172"/>
      <c r="BH859" s="172"/>
      <c r="BI859" s="172"/>
      <c r="BJ859" s="172"/>
      <c r="BK859" s="172"/>
      <c r="BL859" s="172"/>
      <c r="BM859" s="172"/>
      <c r="BN859" s="172"/>
      <c r="BO859" s="172"/>
      <c r="BP859" s="172"/>
      <c r="BQ859" s="172"/>
      <c r="BR859" s="172"/>
      <c r="BS859" s="172"/>
    </row>
    <row r="860" spans="1:71" ht="12.5" x14ac:dyDescent="0.25">
      <c r="A860" s="170"/>
      <c r="B860" s="170"/>
      <c r="C860" s="170"/>
      <c r="D860" s="170"/>
      <c r="E860" s="171"/>
      <c r="F860" s="171"/>
      <c r="G860" s="170"/>
      <c r="H860" s="170"/>
      <c r="I860" s="170"/>
      <c r="J860" s="171"/>
      <c r="K860" s="171"/>
      <c r="L860" s="170"/>
      <c r="M860" s="170"/>
      <c r="N860" s="170"/>
      <c r="O860" s="171"/>
      <c r="P860" s="171"/>
      <c r="Q860" s="170"/>
      <c r="R860" s="170"/>
      <c r="S860" s="170"/>
      <c r="T860" s="171"/>
      <c r="U860" s="171"/>
      <c r="V860" s="171"/>
      <c r="W860" s="171"/>
      <c r="X860" s="171"/>
      <c r="Y860" s="171"/>
      <c r="Z860" s="171"/>
      <c r="AA860" s="171"/>
      <c r="AB860" s="171"/>
      <c r="AC860" s="170"/>
      <c r="AD860" s="170"/>
      <c r="AE860" s="170"/>
      <c r="AF860" s="170"/>
      <c r="AG860" s="170"/>
      <c r="AH860" s="170"/>
      <c r="AI860" s="170"/>
      <c r="AJ860" s="170"/>
      <c r="AK860" s="171"/>
      <c r="AL860" s="171"/>
      <c r="AM860" s="170"/>
      <c r="AN860" s="170"/>
      <c r="AO860" s="170"/>
      <c r="AP860" s="171"/>
      <c r="AQ860" s="171"/>
      <c r="AR860" s="170"/>
      <c r="AS860" s="170"/>
      <c r="AT860" s="170"/>
      <c r="AU860" s="171"/>
      <c r="AV860" s="171"/>
      <c r="AW860" s="171"/>
      <c r="AX860" s="171"/>
      <c r="AY860" s="171"/>
      <c r="AZ860" s="171"/>
      <c r="BA860" s="171"/>
      <c r="BB860" s="171"/>
      <c r="BC860" s="171"/>
      <c r="BD860" s="172"/>
      <c r="BE860" s="172"/>
      <c r="BF860" s="172"/>
      <c r="BG860" s="172"/>
      <c r="BH860" s="172"/>
      <c r="BI860" s="172"/>
      <c r="BJ860" s="172"/>
      <c r="BK860" s="172"/>
      <c r="BL860" s="172"/>
      <c r="BM860" s="172"/>
      <c r="BN860" s="172"/>
      <c r="BO860" s="172"/>
      <c r="BP860" s="172"/>
      <c r="BQ860" s="172"/>
      <c r="BR860" s="172"/>
      <c r="BS860" s="172"/>
    </row>
    <row r="861" spans="1:71" ht="12.5" x14ac:dyDescent="0.25">
      <c r="A861" s="170"/>
      <c r="B861" s="170"/>
      <c r="C861" s="170"/>
      <c r="D861" s="170"/>
      <c r="E861" s="171"/>
      <c r="F861" s="171"/>
      <c r="G861" s="170"/>
      <c r="H861" s="170"/>
      <c r="I861" s="170"/>
      <c r="J861" s="171"/>
      <c r="K861" s="171"/>
      <c r="L861" s="170"/>
      <c r="M861" s="170"/>
      <c r="N861" s="170"/>
      <c r="O861" s="171"/>
      <c r="P861" s="171"/>
      <c r="Q861" s="170"/>
      <c r="R861" s="170"/>
      <c r="S861" s="170"/>
      <c r="T861" s="171"/>
      <c r="U861" s="171"/>
      <c r="V861" s="171"/>
      <c r="W861" s="171"/>
      <c r="X861" s="171"/>
      <c r="Y861" s="171"/>
      <c r="Z861" s="171"/>
      <c r="AA861" s="171"/>
      <c r="AB861" s="171"/>
      <c r="AC861" s="170"/>
      <c r="AD861" s="170"/>
      <c r="AE861" s="170"/>
      <c r="AF861" s="170"/>
      <c r="AG861" s="170"/>
      <c r="AH861" s="170"/>
      <c r="AI861" s="170"/>
      <c r="AJ861" s="170"/>
      <c r="AK861" s="171"/>
      <c r="AL861" s="171"/>
      <c r="AM861" s="170"/>
      <c r="AN861" s="170"/>
      <c r="AO861" s="170"/>
      <c r="AP861" s="171"/>
      <c r="AQ861" s="171"/>
      <c r="AR861" s="170"/>
      <c r="AS861" s="170"/>
      <c r="AT861" s="170"/>
      <c r="AU861" s="171"/>
      <c r="AV861" s="171"/>
      <c r="AW861" s="171"/>
      <c r="AX861" s="171"/>
      <c r="AY861" s="171"/>
      <c r="AZ861" s="171"/>
      <c r="BA861" s="171"/>
      <c r="BB861" s="171"/>
      <c r="BC861" s="171"/>
      <c r="BD861" s="172"/>
      <c r="BE861" s="172"/>
      <c r="BF861" s="172"/>
      <c r="BG861" s="172"/>
      <c r="BH861" s="172"/>
      <c r="BI861" s="172"/>
      <c r="BJ861" s="172"/>
      <c r="BK861" s="172"/>
      <c r="BL861" s="172"/>
      <c r="BM861" s="172"/>
      <c r="BN861" s="172"/>
      <c r="BO861" s="172"/>
      <c r="BP861" s="172"/>
      <c r="BQ861" s="172"/>
      <c r="BR861" s="172"/>
      <c r="BS861" s="172"/>
    </row>
    <row r="862" spans="1:71" ht="12.5" x14ac:dyDescent="0.25">
      <c r="A862" s="170"/>
      <c r="B862" s="170"/>
      <c r="C862" s="170"/>
      <c r="D862" s="170"/>
      <c r="E862" s="171"/>
      <c r="F862" s="171"/>
      <c r="G862" s="170"/>
      <c r="H862" s="170"/>
      <c r="I862" s="170"/>
      <c r="J862" s="171"/>
      <c r="K862" s="171"/>
      <c r="L862" s="170"/>
      <c r="M862" s="170"/>
      <c r="N862" s="170"/>
      <c r="O862" s="171"/>
      <c r="P862" s="171"/>
      <c r="Q862" s="170"/>
      <c r="R862" s="170"/>
      <c r="S862" s="170"/>
      <c r="T862" s="171"/>
      <c r="U862" s="171"/>
      <c r="V862" s="171"/>
      <c r="W862" s="171"/>
      <c r="X862" s="171"/>
      <c r="Y862" s="171"/>
      <c r="Z862" s="171"/>
      <c r="AA862" s="171"/>
      <c r="AB862" s="171"/>
      <c r="AC862" s="170"/>
      <c r="AD862" s="170"/>
      <c r="AE862" s="170"/>
      <c r="AF862" s="170"/>
      <c r="AG862" s="170"/>
      <c r="AH862" s="170"/>
      <c r="AI862" s="170"/>
      <c r="AJ862" s="170"/>
      <c r="AK862" s="171"/>
      <c r="AL862" s="171"/>
      <c r="AM862" s="170"/>
      <c r="AN862" s="170"/>
      <c r="AO862" s="170"/>
      <c r="AP862" s="171"/>
      <c r="AQ862" s="171"/>
      <c r="AR862" s="170"/>
      <c r="AS862" s="170"/>
      <c r="AT862" s="170"/>
      <c r="AU862" s="171"/>
      <c r="AV862" s="171"/>
      <c r="AW862" s="171"/>
      <c r="AX862" s="171"/>
      <c r="AY862" s="171"/>
      <c r="AZ862" s="171"/>
      <c r="BA862" s="171"/>
      <c r="BB862" s="171"/>
      <c r="BC862" s="171"/>
      <c r="BD862" s="172"/>
      <c r="BE862" s="172"/>
      <c r="BF862" s="172"/>
      <c r="BG862" s="172"/>
      <c r="BH862" s="172"/>
      <c r="BI862" s="172"/>
      <c r="BJ862" s="172"/>
      <c r="BK862" s="172"/>
      <c r="BL862" s="172"/>
      <c r="BM862" s="172"/>
      <c r="BN862" s="172"/>
      <c r="BO862" s="172"/>
      <c r="BP862" s="172"/>
      <c r="BQ862" s="172"/>
      <c r="BR862" s="172"/>
      <c r="BS862" s="172"/>
    </row>
    <row r="863" spans="1:71" ht="12.5" x14ac:dyDescent="0.25">
      <c r="A863" s="170"/>
      <c r="B863" s="170"/>
      <c r="C863" s="170"/>
      <c r="D863" s="170"/>
      <c r="E863" s="171"/>
      <c r="F863" s="171"/>
      <c r="G863" s="170"/>
      <c r="H863" s="170"/>
      <c r="I863" s="170"/>
      <c r="J863" s="171"/>
      <c r="K863" s="171"/>
      <c r="L863" s="170"/>
      <c r="M863" s="170"/>
      <c r="N863" s="170"/>
      <c r="O863" s="171"/>
      <c r="P863" s="171"/>
      <c r="Q863" s="170"/>
      <c r="R863" s="170"/>
      <c r="S863" s="170"/>
      <c r="T863" s="171"/>
      <c r="U863" s="171"/>
      <c r="V863" s="171"/>
      <c r="W863" s="171"/>
      <c r="X863" s="171"/>
      <c r="Y863" s="171"/>
      <c r="Z863" s="171"/>
      <c r="AA863" s="171"/>
      <c r="AB863" s="171"/>
      <c r="AC863" s="170"/>
      <c r="AD863" s="170"/>
      <c r="AE863" s="170"/>
      <c r="AF863" s="170"/>
      <c r="AG863" s="170"/>
      <c r="AH863" s="170"/>
      <c r="AI863" s="170"/>
      <c r="AJ863" s="170"/>
      <c r="AK863" s="171"/>
      <c r="AL863" s="171"/>
      <c r="AM863" s="170"/>
      <c r="AN863" s="170"/>
      <c r="AO863" s="170"/>
      <c r="AP863" s="171"/>
      <c r="AQ863" s="171"/>
      <c r="AR863" s="170"/>
      <c r="AS863" s="170"/>
      <c r="AT863" s="170"/>
      <c r="AU863" s="171"/>
      <c r="AV863" s="171"/>
      <c r="AW863" s="171"/>
      <c r="AX863" s="171"/>
      <c r="AY863" s="171"/>
      <c r="AZ863" s="171"/>
      <c r="BA863" s="171"/>
      <c r="BB863" s="171"/>
      <c r="BC863" s="171"/>
      <c r="BD863" s="172"/>
      <c r="BE863" s="172"/>
      <c r="BF863" s="172"/>
      <c r="BG863" s="172"/>
      <c r="BH863" s="172"/>
      <c r="BI863" s="172"/>
      <c r="BJ863" s="172"/>
      <c r="BK863" s="172"/>
      <c r="BL863" s="172"/>
      <c r="BM863" s="172"/>
      <c r="BN863" s="172"/>
      <c r="BO863" s="172"/>
      <c r="BP863" s="172"/>
      <c r="BQ863" s="172"/>
      <c r="BR863" s="172"/>
      <c r="BS863" s="172"/>
    </row>
    <row r="864" spans="1:71" ht="12.5" x14ac:dyDescent="0.25">
      <c r="A864" s="170"/>
      <c r="B864" s="170"/>
      <c r="C864" s="170"/>
      <c r="D864" s="170"/>
      <c r="E864" s="171"/>
      <c r="F864" s="171"/>
      <c r="G864" s="170"/>
      <c r="H864" s="170"/>
      <c r="I864" s="170"/>
      <c r="J864" s="171"/>
      <c r="K864" s="171"/>
      <c r="L864" s="170"/>
      <c r="M864" s="170"/>
      <c r="N864" s="170"/>
      <c r="O864" s="171"/>
      <c r="P864" s="171"/>
      <c r="Q864" s="170"/>
      <c r="R864" s="170"/>
      <c r="S864" s="170"/>
      <c r="T864" s="171"/>
      <c r="U864" s="171"/>
      <c r="V864" s="171"/>
      <c r="W864" s="171"/>
      <c r="X864" s="171"/>
      <c r="Y864" s="171"/>
      <c r="Z864" s="171"/>
      <c r="AA864" s="171"/>
      <c r="AB864" s="171"/>
      <c r="AC864" s="170"/>
      <c r="AD864" s="170"/>
      <c r="AE864" s="170"/>
      <c r="AF864" s="170"/>
      <c r="AG864" s="170"/>
      <c r="AH864" s="170"/>
      <c r="AI864" s="170"/>
      <c r="AJ864" s="170"/>
      <c r="AK864" s="171"/>
      <c r="AL864" s="171"/>
      <c r="AM864" s="170"/>
      <c r="AN864" s="170"/>
      <c r="AO864" s="170"/>
      <c r="AP864" s="171"/>
      <c r="AQ864" s="171"/>
      <c r="AR864" s="170"/>
      <c r="AS864" s="170"/>
      <c r="AT864" s="170"/>
      <c r="AU864" s="171"/>
      <c r="AV864" s="171"/>
      <c r="AW864" s="171"/>
      <c r="AX864" s="171"/>
      <c r="AY864" s="171"/>
      <c r="AZ864" s="171"/>
      <c r="BA864" s="171"/>
      <c r="BB864" s="171"/>
      <c r="BC864" s="171"/>
      <c r="BD864" s="172"/>
      <c r="BE864" s="172"/>
      <c r="BF864" s="172"/>
      <c r="BG864" s="172"/>
      <c r="BH864" s="172"/>
      <c r="BI864" s="172"/>
      <c r="BJ864" s="172"/>
      <c r="BK864" s="172"/>
      <c r="BL864" s="172"/>
      <c r="BM864" s="172"/>
      <c r="BN864" s="172"/>
      <c r="BO864" s="172"/>
      <c r="BP864" s="172"/>
      <c r="BQ864" s="172"/>
      <c r="BR864" s="172"/>
      <c r="BS864" s="172"/>
    </row>
    <row r="865" spans="1:71" ht="12.5" x14ac:dyDescent="0.25">
      <c r="A865" s="170"/>
      <c r="B865" s="170"/>
      <c r="C865" s="170"/>
      <c r="D865" s="170"/>
      <c r="E865" s="171"/>
      <c r="F865" s="171"/>
      <c r="G865" s="170"/>
      <c r="H865" s="170"/>
      <c r="I865" s="170"/>
      <c r="J865" s="171"/>
      <c r="K865" s="171"/>
      <c r="L865" s="170"/>
      <c r="M865" s="170"/>
      <c r="N865" s="170"/>
      <c r="O865" s="171"/>
      <c r="P865" s="171"/>
      <c r="Q865" s="170"/>
      <c r="R865" s="170"/>
      <c r="S865" s="170"/>
      <c r="T865" s="171"/>
      <c r="U865" s="171"/>
      <c r="V865" s="171"/>
      <c r="W865" s="171"/>
      <c r="X865" s="171"/>
      <c r="Y865" s="171"/>
      <c r="Z865" s="171"/>
      <c r="AA865" s="171"/>
      <c r="AB865" s="171"/>
      <c r="AC865" s="170"/>
      <c r="AD865" s="170"/>
      <c r="AE865" s="170"/>
      <c r="AF865" s="170"/>
      <c r="AG865" s="170"/>
      <c r="AH865" s="170"/>
      <c r="AI865" s="170"/>
      <c r="AJ865" s="170"/>
      <c r="AK865" s="171"/>
      <c r="AL865" s="171"/>
      <c r="AM865" s="170"/>
      <c r="AN865" s="170"/>
      <c r="AO865" s="170"/>
      <c r="AP865" s="171"/>
      <c r="AQ865" s="171"/>
      <c r="AR865" s="170"/>
      <c r="AS865" s="170"/>
      <c r="AT865" s="170"/>
      <c r="AU865" s="171"/>
      <c r="AV865" s="171"/>
      <c r="AW865" s="171"/>
      <c r="AX865" s="171"/>
      <c r="AY865" s="171"/>
      <c r="AZ865" s="171"/>
      <c r="BA865" s="171"/>
      <c r="BB865" s="171"/>
      <c r="BC865" s="171"/>
      <c r="BD865" s="172"/>
      <c r="BE865" s="172"/>
      <c r="BF865" s="172"/>
      <c r="BG865" s="172"/>
      <c r="BH865" s="172"/>
      <c r="BI865" s="172"/>
      <c r="BJ865" s="172"/>
      <c r="BK865" s="172"/>
      <c r="BL865" s="172"/>
      <c r="BM865" s="172"/>
      <c r="BN865" s="172"/>
      <c r="BO865" s="172"/>
      <c r="BP865" s="172"/>
      <c r="BQ865" s="172"/>
      <c r="BR865" s="172"/>
      <c r="BS865" s="172"/>
    </row>
    <row r="866" spans="1:71" ht="12.5" x14ac:dyDescent="0.25">
      <c r="A866" s="170"/>
      <c r="B866" s="170"/>
      <c r="C866" s="170"/>
      <c r="D866" s="170"/>
      <c r="E866" s="171"/>
      <c r="F866" s="171"/>
      <c r="G866" s="170"/>
      <c r="H866" s="170"/>
      <c r="I866" s="170"/>
      <c r="J866" s="171"/>
      <c r="K866" s="171"/>
      <c r="L866" s="170"/>
      <c r="M866" s="170"/>
      <c r="N866" s="170"/>
      <c r="O866" s="171"/>
      <c r="P866" s="171"/>
      <c r="Q866" s="170"/>
      <c r="R866" s="170"/>
      <c r="S866" s="170"/>
      <c r="T866" s="171"/>
      <c r="U866" s="171"/>
      <c r="V866" s="171"/>
      <c r="W866" s="171"/>
      <c r="X866" s="171"/>
      <c r="Y866" s="171"/>
      <c r="Z866" s="171"/>
      <c r="AA866" s="171"/>
      <c r="AB866" s="171"/>
      <c r="AC866" s="170"/>
      <c r="AD866" s="170"/>
      <c r="AE866" s="170"/>
      <c r="AF866" s="170"/>
      <c r="AG866" s="170"/>
      <c r="AH866" s="170"/>
      <c r="AI866" s="170"/>
      <c r="AJ866" s="170"/>
      <c r="AK866" s="171"/>
      <c r="AL866" s="171"/>
      <c r="AM866" s="170"/>
      <c r="AN866" s="170"/>
      <c r="AO866" s="170"/>
      <c r="AP866" s="171"/>
      <c r="AQ866" s="171"/>
      <c r="AR866" s="170"/>
      <c r="AS866" s="170"/>
      <c r="AT866" s="170"/>
      <c r="AU866" s="171"/>
      <c r="AV866" s="171"/>
      <c r="AW866" s="171"/>
      <c r="AX866" s="171"/>
      <c r="AY866" s="171"/>
      <c r="AZ866" s="171"/>
      <c r="BA866" s="171"/>
      <c r="BB866" s="171"/>
      <c r="BC866" s="171"/>
      <c r="BD866" s="172"/>
      <c r="BE866" s="172"/>
      <c r="BF866" s="172"/>
      <c r="BG866" s="172"/>
      <c r="BH866" s="172"/>
      <c r="BI866" s="172"/>
      <c r="BJ866" s="172"/>
      <c r="BK866" s="172"/>
      <c r="BL866" s="172"/>
      <c r="BM866" s="172"/>
      <c r="BN866" s="172"/>
      <c r="BO866" s="172"/>
      <c r="BP866" s="172"/>
      <c r="BQ866" s="172"/>
      <c r="BR866" s="172"/>
      <c r="BS866" s="172"/>
    </row>
    <row r="867" spans="1:71" ht="12.5" x14ac:dyDescent="0.25">
      <c r="A867" s="170"/>
      <c r="B867" s="170"/>
      <c r="C867" s="170"/>
      <c r="D867" s="170"/>
      <c r="E867" s="171"/>
      <c r="F867" s="171"/>
      <c r="G867" s="170"/>
      <c r="H867" s="170"/>
      <c r="I867" s="170"/>
      <c r="J867" s="171"/>
      <c r="K867" s="171"/>
      <c r="L867" s="170"/>
      <c r="M867" s="170"/>
      <c r="N867" s="170"/>
      <c r="O867" s="171"/>
      <c r="P867" s="171"/>
      <c r="Q867" s="170"/>
      <c r="R867" s="170"/>
      <c r="S867" s="170"/>
      <c r="T867" s="171"/>
      <c r="U867" s="171"/>
      <c r="V867" s="171"/>
      <c r="W867" s="171"/>
      <c r="X867" s="171"/>
      <c r="Y867" s="171"/>
      <c r="Z867" s="171"/>
      <c r="AA867" s="171"/>
      <c r="AB867" s="171"/>
      <c r="AC867" s="170"/>
      <c r="AD867" s="170"/>
      <c r="AE867" s="170"/>
      <c r="AF867" s="170"/>
      <c r="AG867" s="170"/>
      <c r="AH867" s="170"/>
      <c r="AI867" s="170"/>
      <c r="AJ867" s="170"/>
      <c r="AK867" s="171"/>
      <c r="AL867" s="171"/>
      <c r="AM867" s="170"/>
      <c r="AN867" s="170"/>
      <c r="AO867" s="170"/>
      <c r="AP867" s="171"/>
      <c r="AQ867" s="171"/>
      <c r="AR867" s="170"/>
      <c r="AS867" s="170"/>
      <c r="AT867" s="170"/>
      <c r="AU867" s="171"/>
      <c r="AV867" s="171"/>
      <c r="AW867" s="171"/>
      <c r="AX867" s="171"/>
      <c r="AY867" s="171"/>
      <c r="AZ867" s="171"/>
      <c r="BA867" s="171"/>
      <c r="BB867" s="171"/>
      <c r="BC867" s="171"/>
      <c r="BD867" s="172"/>
      <c r="BE867" s="172"/>
      <c r="BF867" s="172"/>
      <c r="BG867" s="172"/>
      <c r="BH867" s="172"/>
      <c r="BI867" s="172"/>
      <c r="BJ867" s="172"/>
      <c r="BK867" s="172"/>
      <c r="BL867" s="172"/>
      <c r="BM867" s="172"/>
      <c r="BN867" s="172"/>
      <c r="BO867" s="172"/>
      <c r="BP867" s="172"/>
      <c r="BQ867" s="172"/>
      <c r="BR867" s="172"/>
      <c r="BS867" s="172"/>
    </row>
    <row r="868" spans="1:71" ht="12.5" x14ac:dyDescent="0.25">
      <c r="A868" s="170"/>
      <c r="B868" s="170"/>
      <c r="C868" s="170"/>
      <c r="D868" s="170"/>
      <c r="E868" s="171"/>
      <c r="F868" s="171"/>
      <c r="G868" s="170"/>
      <c r="H868" s="170"/>
      <c r="I868" s="170"/>
      <c r="J868" s="171"/>
      <c r="K868" s="171"/>
      <c r="L868" s="170"/>
      <c r="M868" s="170"/>
      <c r="N868" s="170"/>
      <c r="O868" s="171"/>
      <c r="P868" s="171"/>
      <c r="Q868" s="170"/>
      <c r="R868" s="170"/>
      <c r="S868" s="170"/>
      <c r="T868" s="171"/>
      <c r="U868" s="171"/>
      <c r="V868" s="171"/>
      <c r="W868" s="171"/>
      <c r="X868" s="171"/>
      <c r="Y868" s="171"/>
      <c r="Z868" s="171"/>
      <c r="AA868" s="171"/>
      <c r="AB868" s="171"/>
      <c r="AC868" s="170"/>
      <c r="AD868" s="170"/>
      <c r="AE868" s="170"/>
      <c r="AF868" s="170"/>
      <c r="AG868" s="170"/>
      <c r="AH868" s="170"/>
      <c r="AI868" s="170"/>
      <c r="AJ868" s="170"/>
      <c r="AK868" s="171"/>
      <c r="AL868" s="171"/>
      <c r="AM868" s="170"/>
      <c r="AN868" s="170"/>
      <c r="AO868" s="170"/>
      <c r="AP868" s="171"/>
      <c r="AQ868" s="171"/>
      <c r="AR868" s="170"/>
      <c r="AS868" s="170"/>
      <c r="AT868" s="170"/>
      <c r="AU868" s="171"/>
      <c r="AV868" s="171"/>
      <c r="AW868" s="171"/>
      <c r="AX868" s="171"/>
      <c r="AY868" s="171"/>
      <c r="AZ868" s="171"/>
      <c r="BA868" s="171"/>
      <c r="BB868" s="171"/>
      <c r="BC868" s="171"/>
      <c r="BD868" s="172"/>
      <c r="BE868" s="172"/>
      <c r="BF868" s="172"/>
      <c r="BG868" s="172"/>
      <c r="BH868" s="172"/>
      <c r="BI868" s="172"/>
      <c r="BJ868" s="172"/>
      <c r="BK868" s="172"/>
      <c r="BL868" s="172"/>
      <c r="BM868" s="172"/>
      <c r="BN868" s="172"/>
      <c r="BO868" s="172"/>
      <c r="BP868" s="172"/>
      <c r="BQ868" s="172"/>
      <c r="BR868" s="172"/>
      <c r="BS868" s="172"/>
    </row>
    <row r="869" spans="1:71" ht="12.5" x14ac:dyDescent="0.25">
      <c r="A869" s="170"/>
      <c r="B869" s="170"/>
      <c r="C869" s="170"/>
      <c r="D869" s="170"/>
      <c r="E869" s="171"/>
      <c r="F869" s="171"/>
      <c r="G869" s="170"/>
      <c r="H869" s="170"/>
      <c r="I869" s="170"/>
      <c r="J869" s="171"/>
      <c r="K869" s="171"/>
      <c r="L869" s="170"/>
      <c r="M869" s="170"/>
      <c r="N869" s="170"/>
      <c r="O869" s="171"/>
      <c r="P869" s="171"/>
      <c r="Q869" s="170"/>
      <c r="R869" s="170"/>
      <c r="S869" s="170"/>
      <c r="T869" s="171"/>
      <c r="U869" s="171"/>
      <c r="V869" s="171"/>
      <c r="W869" s="171"/>
      <c r="X869" s="171"/>
      <c r="Y869" s="171"/>
      <c r="Z869" s="171"/>
      <c r="AA869" s="171"/>
      <c r="AB869" s="171"/>
      <c r="AC869" s="170"/>
      <c r="AD869" s="170"/>
      <c r="AE869" s="170"/>
      <c r="AF869" s="170"/>
      <c r="AG869" s="170"/>
      <c r="AH869" s="170"/>
      <c r="AI869" s="170"/>
      <c r="AJ869" s="170"/>
      <c r="AK869" s="171"/>
      <c r="AL869" s="171"/>
      <c r="AM869" s="170"/>
      <c r="AN869" s="170"/>
      <c r="AO869" s="170"/>
      <c r="AP869" s="171"/>
      <c r="AQ869" s="171"/>
      <c r="AR869" s="170"/>
      <c r="AS869" s="170"/>
      <c r="AT869" s="170"/>
      <c r="AU869" s="171"/>
      <c r="AV869" s="171"/>
      <c r="AW869" s="171"/>
      <c r="AX869" s="171"/>
      <c r="AY869" s="171"/>
      <c r="AZ869" s="171"/>
      <c r="BA869" s="171"/>
      <c r="BB869" s="171"/>
      <c r="BC869" s="171"/>
      <c r="BD869" s="172"/>
      <c r="BE869" s="172"/>
      <c r="BF869" s="172"/>
      <c r="BG869" s="172"/>
      <c r="BH869" s="172"/>
      <c r="BI869" s="172"/>
      <c r="BJ869" s="172"/>
      <c r="BK869" s="172"/>
      <c r="BL869" s="172"/>
      <c r="BM869" s="172"/>
      <c r="BN869" s="172"/>
      <c r="BO869" s="172"/>
      <c r="BP869" s="172"/>
      <c r="BQ869" s="172"/>
      <c r="BR869" s="172"/>
      <c r="BS869" s="172"/>
    </row>
    <row r="870" spans="1:71" ht="12.5" x14ac:dyDescent="0.25">
      <c r="A870" s="170"/>
      <c r="B870" s="170"/>
      <c r="C870" s="170"/>
      <c r="D870" s="170"/>
      <c r="E870" s="171"/>
      <c r="F870" s="171"/>
      <c r="G870" s="170"/>
      <c r="H870" s="170"/>
      <c r="I870" s="170"/>
      <c r="J870" s="171"/>
      <c r="K870" s="171"/>
      <c r="L870" s="170"/>
      <c r="M870" s="170"/>
      <c r="N870" s="170"/>
      <c r="O870" s="171"/>
      <c r="P870" s="171"/>
      <c r="Q870" s="170"/>
      <c r="R870" s="170"/>
      <c r="S870" s="170"/>
      <c r="T870" s="171"/>
      <c r="U870" s="171"/>
      <c r="V870" s="171"/>
      <c r="W870" s="171"/>
      <c r="X870" s="171"/>
      <c r="Y870" s="171"/>
      <c r="Z870" s="171"/>
      <c r="AA870" s="171"/>
      <c r="AB870" s="171"/>
      <c r="AC870" s="170"/>
      <c r="AD870" s="170"/>
      <c r="AE870" s="170"/>
      <c r="AF870" s="170"/>
      <c r="AG870" s="170"/>
      <c r="AH870" s="170"/>
      <c r="AI870" s="170"/>
      <c r="AJ870" s="170"/>
      <c r="AK870" s="171"/>
      <c r="AL870" s="171"/>
      <c r="AM870" s="170"/>
      <c r="AN870" s="170"/>
      <c r="AO870" s="170"/>
      <c r="AP870" s="171"/>
      <c r="AQ870" s="171"/>
      <c r="AR870" s="170"/>
      <c r="AS870" s="170"/>
      <c r="AT870" s="170"/>
      <c r="AU870" s="171"/>
      <c r="AV870" s="171"/>
      <c r="AW870" s="171"/>
      <c r="AX870" s="171"/>
      <c r="AY870" s="171"/>
      <c r="AZ870" s="171"/>
      <c r="BA870" s="171"/>
      <c r="BB870" s="171"/>
      <c r="BC870" s="171"/>
      <c r="BD870" s="172"/>
      <c r="BE870" s="172"/>
      <c r="BF870" s="172"/>
      <c r="BG870" s="172"/>
      <c r="BH870" s="172"/>
      <c r="BI870" s="172"/>
      <c r="BJ870" s="172"/>
      <c r="BK870" s="172"/>
      <c r="BL870" s="172"/>
      <c r="BM870" s="172"/>
      <c r="BN870" s="172"/>
      <c r="BO870" s="172"/>
      <c r="BP870" s="172"/>
      <c r="BQ870" s="172"/>
      <c r="BR870" s="172"/>
      <c r="BS870" s="172"/>
    </row>
    <row r="871" spans="1:71" ht="12.5" x14ac:dyDescent="0.25">
      <c r="A871" s="170"/>
      <c r="B871" s="170"/>
      <c r="C871" s="170"/>
      <c r="D871" s="170"/>
      <c r="E871" s="171"/>
      <c r="F871" s="171"/>
      <c r="G871" s="170"/>
      <c r="H871" s="170"/>
      <c r="I871" s="170"/>
      <c r="J871" s="171"/>
      <c r="K871" s="171"/>
      <c r="L871" s="170"/>
      <c r="M871" s="170"/>
      <c r="N871" s="170"/>
      <c r="O871" s="171"/>
      <c r="P871" s="171"/>
      <c r="Q871" s="170"/>
      <c r="R871" s="170"/>
      <c r="S871" s="170"/>
      <c r="T871" s="171"/>
      <c r="U871" s="171"/>
      <c r="V871" s="171"/>
      <c r="W871" s="171"/>
      <c r="X871" s="171"/>
      <c r="Y871" s="171"/>
      <c r="Z871" s="171"/>
      <c r="AA871" s="171"/>
      <c r="AB871" s="171"/>
      <c r="AC871" s="170"/>
      <c r="AD871" s="170"/>
      <c r="AE871" s="170"/>
      <c r="AF871" s="170"/>
      <c r="AG871" s="170"/>
      <c r="AH871" s="170"/>
      <c r="AI871" s="170"/>
      <c r="AJ871" s="170"/>
      <c r="AK871" s="171"/>
      <c r="AL871" s="171"/>
      <c r="AM871" s="170"/>
      <c r="AN871" s="170"/>
      <c r="AO871" s="170"/>
      <c r="AP871" s="171"/>
      <c r="AQ871" s="171"/>
      <c r="AR871" s="170"/>
      <c r="AS871" s="170"/>
      <c r="AT871" s="170"/>
      <c r="AU871" s="171"/>
      <c r="AV871" s="171"/>
      <c r="AW871" s="171"/>
      <c r="AX871" s="171"/>
      <c r="AY871" s="171"/>
      <c r="AZ871" s="171"/>
      <c r="BA871" s="171"/>
      <c r="BB871" s="171"/>
      <c r="BC871" s="171"/>
      <c r="BD871" s="172"/>
      <c r="BE871" s="172"/>
      <c r="BF871" s="172"/>
      <c r="BG871" s="172"/>
      <c r="BH871" s="172"/>
      <c r="BI871" s="172"/>
      <c r="BJ871" s="172"/>
      <c r="BK871" s="172"/>
      <c r="BL871" s="172"/>
      <c r="BM871" s="172"/>
      <c r="BN871" s="172"/>
      <c r="BO871" s="172"/>
      <c r="BP871" s="172"/>
      <c r="BQ871" s="172"/>
      <c r="BR871" s="172"/>
      <c r="BS871" s="172"/>
    </row>
    <row r="872" spans="1:71" ht="12.5" x14ac:dyDescent="0.25">
      <c r="A872" s="170"/>
      <c r="B872" s="170"/>
      <c r="C872" s="170"/>
      <c r="D872" s="170"/>
      <c r="E872" s="171"/>
      <c r="F872" s="171"/>
      <c r="G872" s="170"/>
      <c r="H872" s="170"/>
      <c r="I872" s="170"/>
      <c r="J872" s="171"/>
      <c r="K872" s="171"/>
      <c r="L872" s="170"/>
      <c r="M872" s="170"/>
      <c r="N872" s="170"/>
      <c r="O872" s="171"/>
      <c r="P872" s="171"/>
      <c r="Q872" s="170"/>
      <c r="R872" s="170"/>
      <c r="S872" s="170"/>
      <c r="T872" s="171"/>
      <c r="U872" s="171"/>
      <c r="V872" s="171"/>
      <c r="W872" s="171"/>
      <c r="X872" s="171"/>
      <c r="Y872" s="171"/>
      <c r="Z872" s="171"/>
      <c r="AA872" s="171"/>
      <c r="AB872" s="171"/>
      <c r="AC872" s="170"/>
      <c r="AD872" s="170"/>
      <c r="AE872" s="170"/>
      <c r="AF872" s="170"/>
      <c r="AG872" s="170"/>
      <c r="AH872" s="170"/>
      <c r="AI872" s="170"/>
      <c r="AJ872" s="170"/>
      <c r="AK872" s="171"/>
      <c r="AL872" s="171"/>
      <c r="AM872" s="170"/>
      <c r="AN872" s="170"/>
      <c r="AO872" s="170"/>
      <c r="AP872" s="171"/>
      <c r="AQ872" s="171"/>
      <c r="AR872" s="170"/>
      <c r="AS872" s="170"/>
      <c r="AT872" s="170"/>
      <c r="AU872" s="171"/>
      <c r="AV872" s="171"/>
      <c r="AW872" s="171"/>
      <c r="AX872" s="171"/>
      <c r="AY872" s="171"/>
      <c r="AZ872" s="171"/>
      <c r="BA872" s="171"/>
      <c r="BB872" s="171"/>
      <c r="BC872" s="171"/>
      <c r="BD872" s="172"/>
      <c r="BE872" s="172"/>
      <c r="BF872" s="172"/>
      <c r="BG872" s="172"/>
      <c r="BH872" s="172"/>
      <c r="BI872" s="172"/>
      <c r="BJ872" s="172"/>
      <c r="BK872" s="172"/>
      <c r="BL872" s="172"/>
      <c r="BM872" s="172"/>
      <c r="BN872" s="172"/>
      <c r="BO872" s="172"/>
      <c r="BP872" s="172"/>
      <c r="BQ872" s="172"/>
      <c r="BR872" s="172"/>
      <c r="BS872" s="172"/>
    </row>
    <row r="873" spans="1:71" ht="12.5" x14ac:dyDescent="0.25">
      <c r="A873" s="170"/>
      <c r="B873" s="170"/>
      <c r="C873" s="170"/>
      <c r="D873" s="170"/>
      <c r="E873" s="171"/>
      <c r="F873" s="171"/>
      <c r="G873" s="170"/>
      <c r="H873" s="170"/>
      <c r="I873" s="170"/>
      <c r="J873" s="171"/>
      <c r="K873" s="171"/>
      <c r="L873" s="170"/>
      <c r="M873" s="170"/>
      <c r="N873" s="170"/>
      <c r="O873" s="171"/>
      <c r="P873" s="171"/>
      <c r="Q873" s="170"/>
      <c r="R873" s="170"/>
      <c r="S873" s="170"/>
      <c r="T873" s="171"/>
      <c r="U873" s="171"/>
      <c r="V873" s="171"/>
      <c r="W873" s="171"/>
      <c r="X873" s="171"/>
      <c r="Y873" s="171"/>
      <c r="Z873" s="171"/>
      <c r="AA873" s="171"/>
      <c r="AB873" s="171"/>
      <c r="AC873" s="170"/>
      <c r="AD873" s="170"/>
      <c r="AE873" s="170"/>
      <c r="AF873" s="170"/>
      <c r="AG873" s="170"/>
      <c r="AH873" s="170"/>
      <c r="AI873" s="170"/>
      <c r="AJ873" s="170"/>
      <c r="AK873" s="171"/>
      <c r="AL873" s="171"/>
      <c r="AM873" s="170"/>
      <c r="AN873" s="170"/>
      <c r="AO873" s="170"/>
      <c r="AP873" s="171"/>
      <c r="AQ873" s="171"/>
      <c r="AR873" s="170"/>
      <c r="AS873" s="170"/>
      <c r="AT873" s="170"/>
      <c r="AU873" s="171"/>
      <c r="AV873" s="171"/>
      <c r="AW873" s="171"/>
      <c r="AX873" s="171"/>
      <c r="AY873" s="171"/>
      <c r="AZ873" s="171"/>
      <c r="BA873" s="171"/>
      <c r="BB873" s="171"/>
      <c r="BC873" s="171"/>
      <c r="BD873" s="172"/>
      <c r="BE873" s="172"/>
      <c r="BF873" s="172"/>
      <c r="BG873" s="172"/>
      <c r="BH873" s="172"/>
      <c r="BI873" s="172"/>
      <c r="BJ873" s="172"/>
      <c r="BK873" s="172"/>
      <c r="BL873" s="172"/>
      <c r="BM873" s="172"/>
      <c r="BN873" s="172"/>
      <c r="BO873" s="172"/>
      <c r="BP873" s="172"/>
      <c r="BQ873" s="172"/>
      <c r="BR873" s="172"/>
      <c r="BS873" s="172"/>
    </row>
    <row r="874" spans="1:71" ht="12.5" x14ac:dyDescent="0.25">
      <c r="A874" s="170"/>
      <c r="B874" s="170"/>
      <c r="C874" s="170"/>
      <c r="D874" s="170"/>
      <c r="E874" s="171"/>
      <c r="F874" s="171"/>
      <c r="G874" s="170"/>
      <c r="H874" s="170"/>
      <c r="I874" s="170"/>
      <c r="J874" s="171"/>
      <c r="K874" s="171"/>
      <c r="L874" s="170"/>
      <c r="M874" s="170"/>
      <c r="N874" s="170"/>
      <c r="O874" s="171"/>
      <c r="P874" s="171"/>
      <c r="Q874" s="170"/>
      <c r="R874" s="170"/>
      <c r="S874" s="170"/>
      <c r="T874" s="171"/>
      <c r="U874" s="171"/>
      <c r="V874" s="171"/>
      <c r="W874" s="171"/>
      <c r="X874" s="171"/>
      <c r="Y874" s="171"/>
      <c r="Z874" s="171"/>
      <c r="AA874" s="171"/>
      <c r="AB874" s="171"/>
      <c r="AC874" s="170"/>
      <c r="AD874" s="170"/>
      <c r="AE874" s="170"/>
      <c r="AF874" s="170"/>
      <c r="AG874" s="170"/>
      <c r="AH874" s="170"/>
      <c r="AI874" s="170"/>
      <c r="AJ874" s="170"/>
      <c r="AK874" s="171"/>
      <c r="AL874" s="171"/>
      <c r="AM874" s="170"/>
      <c r="AN874" s="170"/>
      <c r="AO874" s="170"/>
      <c r="AP874" s="171"/>
      <c r="AQ874" s="171"/>
      <c r="AR874" s="170"/>
      <c r="AS874" s="170"/>
      <c r="AT874" s="170"/>
      <c r="AU874" s="171"/>
      <c r="AV874" s="171"/>
      <c r="AW874" s="171"/>
      <c r="AX874" s="171"/>
      <c r="AY874" s="171"/>
      <c r="AZ874" s="171"/>
      <c r="BA874" s="171"/>
      <c r="BB874" s="171"/>
      <c r="BC874" s="171"/>
      <c r="BD874" s="172"/>
      <c r="BE874" s="172"/>
      <c r="BF874" s="172"/>
      <c r="BG874" s="172"/>
      <c r="BH874" s="172"/>
      <c r="BI874" s="172"/>
      <c r="BJ874" s="172"/>
      <c r="BK874" s="172"/>
      <c r="BL874" s="172"/>
      <c r="BM874" s="172"/>
      <c r="BN874" s="172"/>
      <c r="BO874" s="172"/>
      <c r="BP874" s="172"/>
      <c r="BQ874" s="172"/>
      <c r="BR874" s="172"/>
      <c r="BS874" s="172"/>
    </row>
    <row r="875" spans="1:71" ht="12.5" x14ac:dyDescent="0.25">
      <c r="A875" s="170"/>
      <c r="B875" s="170"/>
      <c r="C875" s="170"/>
      <c r="D875" s="170"/>
      <c r="E875" s="171"/>
      <c r="F875" s="171"/>
      <c r="G875" s="170"/>
      <c r="H875" s="170"/>
      <c r="I875" s="170"/>
      <c r="J875" s="171"/>
      <c r="K875" s="171"/>
      <c r="L875" s="170"/>
      <c r="M875" s="170"/>
      <c r="N875" s="170"/>
      <c r="O875" s="171"/>
      <c r="P875" s="171"/>
      <c r="Q875" s="170"/>
      <c r="R875" s="170"/>
      <c r="S875" s="170"/>
      <c r="T875" s="171"/>
      <c r="U875" s="171"/>
      <c r="V875" s="171"/>
      <c r="W875" s="171"/>
      <c r="X875" s="171"/>
      <c r="Y875" s="171"/>
      <c r="Z875" s="171"/>
      <c r="AA875" s="171"/>
      <c r="AB875" s="171"/>
      <c r="AC875" s="170"/>
      <c r="AD875" s="170"/>
      <c r="AE875" s="170"/>
      <c r="AF875" s="170"/>
      <c r="AG875" s="170"/>
      <c r="AH875" s="170"/>
      <c r="AI875" s="170"/>
      <c r="AJ875" s="170"/>
      <c r="AK875" s="171"/>
      <c r="AL875" s="171"/>
      <c r="AM875" s="170"/>
      <c r="AN875" s="170"/>
      <c r="AO875" s="170"/>
      <c r="AP875" s="171"/>
      <c r="AQ875" s="171"/>
      <c r="AR875" s="170"/>
      <c r="AS875" s="170"/>
      <c r="AT875" s="170"/>
      <c r="AU875" s="171"/>
      <c r="AV875" s="171"/>
      <c r="AW875" s="171"/>
      <c r="AX875" s="171"/>
      <c r="AY875" s="171"/>
      <c r="AZ875" s="171"/>
      <c r="BA875" s="171"/>
      <c r="BB875" s="171"/>
      <c r="BC875" s="171"/>
      <c r="BD875" s="172"/>
      <c r="BE875" s="172"/>
      <c r="BF875" s="172"/>
      <c r="BG875" s="172"/>
      <c r="BH875" s="172"/>
      <c r="BI875" s="172"/>
      <c r="BJ875" s="172"/>
      <c r="BK875" s="172"/>
      <c r="BL875" s="172"/>
      <c r="BM875" s="172"/>
      <c r="BN875" s="172"/>
      <c r="BO875" s="172"/>
      <c r="BP875" s="172"/>
      <c r="BQ875" s="172"/>
      <c r="BR875" s="172"/>
      <c r="BS875" s="172"/>
    </row>
    <row r="876" spans="1:71" ht="12.5" x14ac:dyDescent="0.25">
      <c r="A876" s="170"/>
      <c r="B876" s="170"/>
      <c r="C876" s="170"/>
      <c r="D876" s="170"/>
      <c r="E876" s="171"/>
      <c r="F876" s="171"/>
      <c r="G876" s="170"/>
      <c r="H876" s="170"/>
      <c r="I876" s="170"/>
      <c r="J876" s="171"/>
      <c r="K876" s="171"/>
      <c r="L876" s="170"/>
      <c r="M876" s="170"/>
      <c r="N876" s="170"/>
      <c r="O876" s="171"/>
      <c r="P876" s="171"/>
      <c r="Q876" s="170"/>
      <c r="R876" s="170"/>
      <c r="S876" s="170"/>
      <c r="T876" s="171"/>
      <c r="U876" s="171"/>
      <c r="V876" s="171"/>
      <c r="W876" s="171"/>
      <c r="X876" s="171"/>
      <c r="Y876" s="171"/>
      <c r="Z876" s="171"/>
      <c r="AA876" s="171"/>
      <c r="AB876" s="171"/>
      <c r="AC876" s="170"/>
      <c r="AD876" s="170"/>
      <c r="AE876" s="170"/>
      <c r="AF876" s="170"/>
      <c r="AG876" s="170"/>
      <c r="AH876" s="170"/>
      <c r="AI876" s="170"/>
      <c r="AJ876" s="170"/>
      <c r="AK876" s="171"/>
      <c r="AL876" s="171"/>
      <c r="AM876" s="170"/>
      <c r="AN876" s="170"/>
      <c r="AO876" s="170"/>
      <c r="AP876" s="171"/>
      <c r="AQ876" s="171"/>
      <c r="AR876" s="170"/>
      <c r="AS876" s="170"/>
      <c r="AT876" s="170"/>
      <c r="AU876" s="171"/>
      <c r="AV876" s="171"/>
      <c r="AW876" s="171"/>
      <c r="AX876" s="171"/>
      <c r="AY876" s="171"/>
      <c r="AZ876" s="171"/>
      <c r="BA876" s="171"/>
      <c r="BB876" s="171"/>
      <c r="BC876" s="171"/>
      <c r="BD876" s="172"/>
      <c r="BE876" s="172"/>
      <c r="BF876" s="172"/>
      <c r="BG876" s="172"/>
      <c r="BH876" s="172"/>
      <c r="BI876" s="172"/>
      <c r="BJ876" s="172"/>
      <c r="BK876" s="172"/>
      <c r="BL876" s="172"/>
      <c r="BM876" s="172"/>
      <c r="BN876" s="172"/>
      <c r="BO876" s="172"/>
      <c r="BP876" s="172"/>
      <c r="BQ876" s="172"/>
      <c r="BR876" s="172"/>
      <c r="BS876" s="172"/>
    </row>
    <row r="877" spans="1:71" ht="12.5" x14ac:dyDescent="0.25">
      <c r="A877" s="170"/>
      <c r="B877" s="170"/>
      <c r="C877" s="170"/>
      <c r="D877" s="170"/>
      <c r="E877" s="171"/>
      <c r="F877" s="171"/>
      <c r="G877" s="170"/>
      <c r="H877" s="170"/>
      <c r="I877" s="170"/>
      <c r="J877" s="171"/>
      <c r="K877" s="171"/>
      <c r="L877" s="170"/>
      <c r="M877" s="170"/>
      <c r="N877" s="170"/>
      <c r="O877" s="171"/>
      <c r="P877" s="171"/>
      <c r="Q877" s="170"/>
      <c r="R877" s="170"/>
      <c r="S877" s="170"/>
      <c r="T877" s="171"/>
      <c r="U877" s="171"/>
      <c r="V877" s="171"/>
      <c r="W877" s="171"/>
      <c r="X877" s="171"/>
      <c r="Y877" s="171"/>
      <c r="Z877" s="171"/>
      <c r="AA877" s="171"/>
      <c r="AB877" s="171"/>
      <c r="AC877" s="170"/>
      <c r="AD877" s="170"/>
      <c r="AE877" s="170"/>
      <c r="AF877" s="170"/>
      <c r="AG877" s="170"/>
      <c r="AH877" s="170"/>
      <c r="AI877" s="170"/>
      <c r="AJ877" s="170"/>
      <c r="AK877" s="171"/>
      <c r="AL877" s="171"/>
      <c r="AM877" s="170"/>
      <c r="AN877" s="170"/>
      <c r="AO877" s="170"/>
      <c r="AP877" s="171"/>
      <c r="AQ877" s="171"/>
      <c r="AR877" s="170"/>
      <c r="AS877" s="170"/>
      <c r="AT877" s="170"/>
      <c r="AU877" s="171"/>
      <c r="AV877" s="171"/>
      <c r="AW877" s="171"/>
      <c r="AX877" s="171"/>
      <c r="AY877" s="171"/>
      <c r="AZ877" s="171"/>
      <c r="BA877" s="171"/>
      <c r="BB877" s="171"/>
      <c r="BC877" s="171"/>
      <c r="BD877" s="172"/>
      <c r="BE877" s="172"/>
      <c r="BF877" s="172"/>
      <c r="BG877" s="172"/>
      <c r="BH877" s="172"/>
      <c r="BI877" s="172"/>
      <c r="BJ877" s="172"/>
      <c r="BK877" s="172"/>
      <c r="BL877" s="172"/>
      <c r="BM877" s="172"/>
      <c r="BN877" s="172"/>
      <c r="BO877" s="172"/>
      <c r="BP877" s="172"/>
      <c r="BQ877" s="172"/>
      <c r="BR877" s="172"/>
      <c r="BS877" s="172"/>
    </row>
    <row r="878" spans="1:71" ht="12.5" x14ac:dyDescent="0.25">
      <c r="A878" s="170"/>
      <c r="B878" s="170"/>
      <c r="C878" s="170"/>
      <c r="D878" s="170"/>
      <c r="E878" s="171"/>
      <c r="F878" s="171"/>
      <c r="G878" s="170"/>
      <c r="H878" s="170"/>
      <c r="I878" s="170"/>
      <c r="J878" s="171"/>
      <c r="K878" s="171"/>
      <c r="L878" s="170"/>
      <c r="M878" s="170"/>
      <c r="N878" s="170"/>
      <c r="O878" s="171"/>
      <c r="P878" s="171"/>
      <c r="Q878" s="170"/>
      <c r="R878" s="170"/>
      <c r="S878" s="170"/>
      <c r="T878" s="171"/>
      <c r="U878" s="171"/>
      <c r="V878" s="171"/>
      <c r="W878" s="171"/>
      <c r="X878" s="171"/>
      <c r="Y878" s="171"/>
      <c r="Z878" s="171"/>
      <c r="AA878" s="171"/>
      <c r="AB878" s="171"/>
      <c r="AC878" s="170"/>
      <c r="AD878" s="170"/>
      <c r="AE878" s="170"/>
      <c r="AF878" s="170"/>
      <c r="AG878" s="170"/>
      <c r="AH878" s="170"/>
      <c r="AI878" s="170"/>
      <c r="AJ878" s="170"/>
      <c r="AK878" s="171"/>
      <c r="AL878" s="171"/>
      <c r="AM878" s="170"/>
      <c r="AN878" s="170"/>
      <c r="AO878" s="170"/>
      <c r="AP878" s="171"/>
      <c r="AQ878" s="171"/>
      <c r="AR878" s="170"/>
      <c r="AS878" s="170"/>
      <c r="AT878" s="170"/>
      <c r="AU878" s="171"/>
      <c r="AV878" s="171"/>
      <c r="AW878" s="171"/>
      <c r="AX878" s="171"/>
      <c r="AY878" s="171"/>
      <c r="AZ878" s="171"/>
      <c r="BA878" s="171"/>
      <c r="BB878" s="171"/>
      <c r="BC878" s="171"/>
      <c r="BD878" s="172"/>
      <c r="BE878" s="172"/>
      <c r="BF878" s="172"/>
      <c r="BG878" s="172"/>
      <c r="BH878" s="172"/>
      <c r="BI878" s="172"/>
      <c r="BJ878" s="172"/>
      <c r="BK878" s="172"/>
      <c r="BL878" s="172"/>
      <c r="BM878" s="172"/>
      <c r="BN878" s="172"/>
      <c r="BO878" s="172"/>
      <c r="BP878" s="172"/>
      <c r="BQ878" s="172"/>
      <c r="BR878" s="172"/>
      <c r="BS878" s="172"/>
    </row>
    <row r="879" spans="1:71" ht="12.5" x14ac:dyDescent="0.25">
      <c r="A879" s="170"/>
      <c r="B879" s="170"/>
      <c r="C879" s="170"/>
      <c r="D879" s="170"/>
      <c r="E879" s="171"/>
      <c r="F879" s="171"/>
      <c r="G879" s="170"/>
      <c r="H879" s="170"/>
      <c r="I879" s="170"/>
      <c r="J879" s="171"/>
      <c r="K879" s="171"/>
      <c r="L879" s="170"/>
      <c r="M879" s="170"/>
      <c r="N879" s="170"/>
      <c r="O879" s="171"/>
      <c r="P879" s="171"/>
      <c r="Q879" s="170"/>
      <c r="R879" s="170"/>
      <c r="S879" s="170"/>
      <c r="T879" s="171"/>
      <c r="U879" s="171"/>
      <c r="V879" s="171"/>
      <c r="W879" s="171"/>
      <c r="X879" s="171"/>
      <c r="Y879" s="171"/>
      <c r="Z879" s="171"/>
      <c r="AA879" s="171"/>
      <c r="AB879" s="171"/>
      <c r="AC879" s="170"/>
      <c r="AD879" s="170"/>
      <c r="AE879" s="170"/>
      <c r="AF879" s="170"/>
      <c r="AG879" s="170"/>
      <c r="AH879" s="170"/>
      <c r="AI879" s="170"/>
      <c r="AJ879" s="170"/>
      <c r="AK879" s="171"/>
      <c r="AL879" s="171"/>
      <c r="AM879" s="170"/>
      <c r="AN879" s="170"/>
      <c r="AO879" s="170"/>
      <c r="AP879" s="171"/>
      <c r="AQ879" s="171"/>
      <c r="AR879" s="170"/>
      <c r="AS879" s="170"/>
      <c r="AT879" s="170"/>
      <c r="AU879" s="171"/>
      <c r="AV879" s="171"/>
      <c r="AW879" s="171"/>
      <c r="AX879" s="171"/>
      <c r="AY879" s="171"/>
      <c r="AZ879" s="171"/>
      <c r="BA879" s="171"/>
      <c r="BB879" s="171"/>
      <c r="BC879" s="171"/>
      <c r="BD879" s="172"/>
      <c r="BE879" s="172"/>
      <c r="BF879" s="172"/>
      <c r="BG879" s="172"/>
      <c r="BH879" s="172"/>
      <c r="BI879" s="172"/>
      <c r="BJ879" s="172"/>
      <c r="BK879" s="172"/>
      <c r="BL879" s="172"/>
      <c r="BM879" s="172"/>
      <c r="BN879" s="172"/>
      <c r="BO879" s="172"/>
      <c r="BP879" s="172"/>
      <c r="BQ879" s="172"/>
      <c r="BR879" s="172"/>
      <c r="BS879" s="172"/>
    </row>
    <row r="880" spans="1:71" ht="12.5" x14ac:dyDescent="0.25">
      <c r="A880" s="170"/>
      <c r="B880" s="170"/>
      <c r="C880" s="170"/>
      <c r="D880" s="170"/>
      <c r="E880" s="171"/>
      <c r="F880" s="171"/>
      <c r="G880" s="170"/>
      <c r="H880" s="170"/>
      <c r="I880" s="170"/>
      <c r="J880" s="171"/>
      <c r="K880" s="171"/>
      <c r="L880" s="170"/>
      <c r="M880" s="170"/>
      <c r="N880" s="170"/>
      <c r="O880" s="171"/>
      <c r="P880" s="171"/>
      <c r="Q880" s="170"/>
      <c r="R880" s="170"/>
      <c r="S880" s="170"/>
      <c r="T880" s="171"/>
      <c r="U880" s="171"/>
      <c r="V880" s="171"/>
      <c r="W880" s="171"/>
      <c r="X880" s="171"/>
      <c r="Y880" s="171"/>
      <c r="Z880" s="171"/>
      <c r="AA880" s="171"/>
      <c r="AB880" s="171"/>
      <c r="AC880" s="170"/>
      <c r="AD880" s="170"/>
      <c r="AE880" s="170"/>
      <c r="AF880" s="170"/>
      <c r="AG880" s="170"/>
      <c r="AH880" s="170"/>
      <c r="AI880" s="170"/>
      <c r="AJ880" s="170"/>
      <c r="AK880" s="171"/>
      <c r="AL880" s="171"/>
      <c r="AM880" s="170"/>
      <c r="AN880" s="170"/>
      <c r="AO880" s="170"/>
      <c r="AP880" s="171"/>
      <c r="AQ880" s="171"/>
      <c r="AR880" s="170"/>
      <c r="AS880" s="170"/>
      <c r="AT880" s="170"/>
      <c r="AU880" s="171"/>
      <c r="AV880" s="171"/>
      <c r="AW880" s="171"/>
      <c r="AX880" s="171"/>
      <c r="AY880" s="171"/>
      <c r="AZ880" s="171"/>
      <c r="BA880" s="171"/>
      <c r="BB880" s="171"/>
      <c r="BC880" s="171"/>
      <c r="BD880" s="172"/>
      <c r="BE880" s="172"/>
      <c r="BF880" s="172"/>
      <c r="BG880" s="172"/>
      <c r="BH880" s="172"/>
      <c r="BI880" s="172"/>
      <c r="BJ880" s="172"/>
      <c r="BK880" s="172"/>
      <c r="BL880" s="172"/>
      <c r="BM880" s="172"/>
      <c r="BN880" s="172"/>
      <c r="BO880" s="172"/>
      <c r="BP880" s="172"/>
      <c r="BQ880" s="172"/>
      <c r="BR880" s="172"/>
      <c r="BS880" s="172"/>
    </row>
    <row r="881" spans="1:71" ht="12.5" x14ac:dyDescent="0.25">
      <c r="A881" s="170"/>
      <c r="B881" s="170"/>
      <c r="C881" s="170"/>
      <c r="D881" s="170"/>
      <c r="E881" s="171"/>
      <c r="F881" s="171"/>
      <c r="G881" s="170"/>
      <c r="H881" s="170"/>
      <c r="I881" s="170"/>
      <c r="J881" s="171"/>
      <c r="K881" s="171"/>
      <c r="L881" s="170"/>
      <c r="M881" s="170"/>
      <c r="N881" s="170"/>
      <c r="O881" s="171"/>
      <c r="P881" s="171"/>
      <c r="Q881" s="170"/>
      <c r="R881" s="170"/>
      <c r="S881" s="170"/>
      <c r="T881" s="171"/>
      <c r="U881" s="171"/>
      <c r="V881" s="171"/>
      <c r="W881" s="171"/>
      <c r="X881" s="171"/>
      <c r="Y881" s="171"/>
      <c r="Z881" s="171"/>
      <c r="AA881" s="171"/>
      <c r="AB881" s="171"/>
      <c r="AC881" s="170"/>
      <c r="AD881" s="170"/>
      <c r="AE881" s="170"/>
      <c r="AF881" s="170"/>
      <c r="AG881" s="170"/>
      <c r="AH881" s="170"/>
      <c r="AI881" s="170"/>
      <c r="AJ881" s="170"/>
      <c r="AK881" s="171"/>
      <c r="AL881" s="171"/>
      <c r="AM881" s="170"/>
      <c r="AN881" s="170"/>
      <c r="AO881" s="170"/>
      <c r="AP881" s="171"/>
      <c r="AQ881" s="171"/>
      <c r="AR881" s="170"/>
      <c r="AS881" s="170"/>
      <c r="AT881" s="170"/>
      <c r="AU881" s="171"/>
      <c r="AV881" s="171"/>
      <c r="AW881" s="171"/>
      <c r="AX881" s="171"/>
      <c r="AY881" s="171"/>
      <c r="AZ881" s="171"/>
      <c r="BA881" s="171"/>
      <c r="BB881" s="171"/>
      <c r="BC881" s="171"/>
      <c r="BD881" s="172"/>
      <c r="BE881" s="172"/>
      <c r="BF881" s="172"/>
      <c r="BG881" s="172"/>
      <c r="BH881" s="172"/>
      <c r="BI881" s="172"/>
      <c r="BJ881" s="172"/>
      <c r="BK881" s="172"/>
      <c r="BL881" s="172"/>
      <c r="BM881" s="172"/>
      <c r="BN881" s="172"/>
      <c r="BO881" s="172"/>
      <c r="BP881" s="172"/>
      <c r="BQ881" s="172"/>
      <c r="BR881" s="172"/>
      <c r="BS881" s="172"/>
    </row>
    <row r="882" spans="1:71" ht="12.5" x14ac:dyDescent="0.25">
      <c r="A882" s="170"/>
      <c r="B882" s="170"/>
      <c r="C882" s="170"/>
      <c r="D882" s="170"/>
      <c r="E882" s="171"/>
      <c r="F882" s="171"/>
      <c r="G882" s="170"/>
      <c r="H882" s="170"/>
      <c r="I882" s="170"/>
      <c r="J882" s="171"/>
      <c r="K882" s="171"/>
      <c r="L882" s="170"/>
      <c r="M882" s="170"/>
      <c r="N882" s="170"/>
      <c r="O882" s="171"/>
      <c r="P882" s="171"/>
      <c r="Q882" s="170"/>
      <c r="R882" s="170"/>
      <c r="S882" s="170"/>
      <c r="T882" s="171"/>
      <c r="U882" s="171"/>
      <c r="V882" s="171"/>
      <c r="W882" s="171"/>
      <c r="X882" s="171"/>
      <c r="Y882" s="171"/>
      <c r="Z882" s="171"/>
      <c r="AA882" s="171"/>
      <c r="AB882" s="171"/>
      <c r="AC882" s="170"/>
      <c r="AD882" s="170"/>
      <c r="AE882" s="170"/>
      <c r="AF882" s="170"/>
      <c r="AG882" s="170"/>
      <c r="AH882" s="170"/>
      <c r="AI882" s="170"/>
      <c r="AJ882" s="170"/>
      <c r="AK882" s="171"/>
      <c r="AL882" s="171"/>
      <c r="AM882" s="170"/>
      <c r="AN882" s="170"/>
      <c r="AO882" s="170"/>
      <c r="AP882" s="171"/>
      <c r="AQ882" s="171"/>
      <c r="AR882" s="170"/>
      <c r="AS882" s="170"/>
      <c r="AT882" s="170"/>
      <c r="AU882" s="171"/>
      <c r="AV882" s="171"/>
      <c r="AW882" s="171"/>
      <c r="AX882" s="171"/>
      <c r="AY882" s="171"/>
      <c r="AZ882" s="171"/>
      <c r="BA882" s="171"/>
      <c r="BB882" s="171"/>
      <c r="BC882" s="171"/>
      <c r="BD882" s="172"/>
      <c r="BE882" s="172"/>
      <c r="BF882" s="172"/>
      <c r="BG882" s="172"/>
      <c r="BH882" s="172"/>
      <c r="BI882" s="172"/>
      <c r="BJ882" s="172"/>
      <c r="BK882" s="172"/>
      <c r="BL882" s="172"/>
      <c r="BM882" s="172"/>
      <c r="BN882" s="172"/>
      <c r="BO882" s="172"/>
      <c r="BP882" s="172"/>
      <c r="BQ882" s="172"/>
      <c r="BR882" s="172"/>
      <c r="BS882" s="172"/>
    </row>
    <row r="883" spans="1:71" ht="12.5" x14ac:dyDescent="0.25">
      <c r="A883" s="170"/>
      <c r="B883" s="170"/>
      <c r="C883" s="170"/>
      <c r="D883" s="170"/>
      <c r="E883" s="171"/>
      <c r="F883" s="171"/>
      <c r="G883" s="170"/>
      <c r="H883" s="170"/>
      <c r="I883" s="170"/>
      <c r="J883" s="171"/>
      <c r="K883" s="171"/>
      <c r="L883" s="170"/>
      <c r="M883" s="170"/>
      <c r="N883" s="170"/>
      <c r="O883" s="171"/>
      <c r="P883" s="171"/>
      <c r="Q883" s="170"/>
      <c r="R883" s="170"/>
      <c r="S883" s="170"/>
      <c r="T883" s="171"/>
      <c r="U883" s="171"/>
      <c r="V883" s="171"/>
      <c r="W883" s="171"/>
      <c r="X883" s="171"/>
      <c r="Y883" s="171"/>
      <c r="Z883" s="171"/>
      <c r="AA883" s="171"/>
      <c r="AB883" s="171"/>
      <c r="AC883" s="170"/>
      <c r="AD883" s="170"/>
      <c r="AE883" s="170"/>
      <c r="AF883" s="170"/>
      <c r="AG883" s="170"/>
      <c r="AH883" s="170"/>
      <c r="AI883" s="170"/>
      <c r="AJ883" s="170"/>
      <c r="AK883" s="171"/>
      <c r="AL883" s="171"/>
      <c r="AM883" s="170"/>
      <c r="AN883" s="170"/>
      <c r="AO883" s="170"/>
      <c r="AP883" s="171"/>
      <c r="AQ883" s="171"/>
      <c r="AR883" s="170"/>
      <c r="AS883" s="170"/>
      <c r="AT883" s="170"/>
      <c r="AU883" s="171"/>
      <c r="AV883" s="171"/>
      <c r="AW883" s="171"/>
      <c r="AX883" s="171"/>
      <c r="AY883" s="171"/>
      <c r="AZ883" s="171"/>
      <c r="BA883" s="171"/>
      <c r="BB883" s="171"/>
      <c r="BC883" s="171"/>
      <c r="BD883" s="172"/>
      <c r="BE883" s="172"/>
      <c r="BF883" s="172"/>
      <c r="BG883" s="172"/>
      <c r="BH883" s="172"/>
      <c r="BI883" s="172"/>
      <c r="BJ883" s="172"/>
      <c r="BK883" s="172"/>
      <c r="BL883" s="172"/>
      <c r="BM883" s="172"/>
      <c r="BN883" s="172"/>
      <c r="BO883" s="172"/>
      <c r="BP883" s="172"/>
      <c r="BQ883" s="172"/>
      <c r="BR883" s="172"/>
      <c r="BS883" s="172"/>
    </row>
    <row r="884" spans="1:71" ht="12.5" x14ac:dyDescent="0.25">
      <c r="A884" s="170"/>
      <c r="B884" s="170"/>
      <c r="C884" s="170"/>
      <c r="D884" s="170"/>
      <c r="E884" s="171"/>
      <c r="F884" s="171"/>
      <c r="G884" s="170"/>
      <c r="H884" s="170"/>
      <c r="I884" s="170"/>
      <c r="J884" s="171"/>
      <c r="K884" s="171"/>
      <c r="L884" s="170"/>
      <c r="M884" s="170"/>
      <c r="N884" s="170"/>
      <c r="O884" s="171"/>
      <c r="P884" s="171"/>
      <c r="Q884" s="170"/>
      <c r="R884" s="170"/>
      <c r="S884" s="170"/>
      <c r="T884" s="171"/>
      <c r="U884" s="171"/>
      <c r="V884" s="171"/>
      <c r="W884" s="171"/>
      <c r="X884" s="171"/>
      <c r="Y884" s="171"/>
      <c r="Z884" s="171"/>
      <c r="AA884" s="171"/>
      <c r="AB884" s="171"/>
      <c r="AC884" s="170"/>
      <c r="AD884" s="170"/>
      <c r="AE884" s="170"/>
      <c r="AF884" s="170"/>
      <c r="AG884" s="170"/>
      <c r="AH884" s="170"/>
      <c r="AI884" s="170"/>
      <c r="AJ884" s="170"/>
      <c r="AK884" s="171"/>
      <c r="AL884" s="171"/>
      <c r="AM884" s="170"/>
      <c r="AN884" s="170"/>
      <c r="AO884" s="170"/>
      <c r="AP884" s="171"/>
      <c r="AQ884" s="171"/>
      <c r="AR884" s="170"/>
      <c r="AS884" s="170"/>
      <c r="AT884" s="170"/>
      <c r="AU884" s="171"/>
      <c r="AV884" s="171"/>
      <c r="AW884" s="171"/>
      <c r="AX884" s="171"/>
      <c r="AY884" s="171"/>
      <c r="AZ884" s="171"/>
      <c r="BA884" s="171"/>
      <c r="BB884" s="171"/>
      <c r="BC884" s="171"/>
      <c r="BD884" s="172"/>
      <c r="BE884" s="172"/>
      <c r="BF884" s="172"/>
      <c r="BG884" s="172"/>
      <c r="BH884" s="172"/>
      <c r="BI884" s="172"/>
      <c r="BJ884" s="172"/>
      <c r="BK884" s="172"/>
      <c r="BL884" s="172"/>
      <c r="BM884" s="172"/>
      <c r="BN884" s="172"/>
      <c r="BO884" s="172"/>
      <c r="BP884" s="172"/>
      <c r="BQ884" s="172"/>
      <c r="BR884" s="172"/>
      <c r="BS884" s="172"/>
    </row>
    <row r="885" spans="1:71" ht="12.5" x14ac:dyDescent="0.25">
      <c r="A885" s="170"/>
      <c r="B885" s="170"/>
      <c r="C885" s="170"/>
      <c r="D885" s="170"/>
      <c r="E885" s="171"/>
      <c r="F885" s="171"/>
      <c r="G885" s="170"/>
      <c r="H885" s="170"/>
      <c r="I885" s="170"/>
      <c r="J885" s="171"/>
      <c r="K885" s="171"/>
      <c r="L885" s="170"/>
      <c r="M885" s="170"/>
      <c r="N885" s="170"/>
      <c r="O885" s="171"/>
      <c r="P885" s="171"/>
      <c r="Q885" s="170"/>
      <c r="R885" s="170"/>
      <c r="S885" s="170"/>
      <c r="T885" s="171"/>
      <c r="U885" s="171"/>
      <c r="V885" s="171"/>
      <c r="W885" s="171"/>
      <c r="X885" s="171"/>
      <c r="Y885" s="171"/>
      <c r="Z885" s="171"/>
      <c r="AA885" s="171"/>
      <c r="AB885" s="171"/>
      <c r="AC885" s="170"/>
      <c r="AD885" s="170"/>
      <c r="AE885" s="170"/>
      <c r="AF885" s="170"/>
      <c r="AG885" s="170"/>
      <c r="AH885" s="170"/>
      <c r="AI885" s="170"/>
      <c r="AJ885" s="170"/>
      <c r="AK885" s="171"/>
      <c r="AL885" s="171"/>
      <c r="AM885" s="170"/>
      <c r="AN885" s="170"/>
      <c r="AO885" s="170"/>
      <c r="AP885" s="171"/>
      <c r="AQ885" s="171"/>
      <c r="AR885" s="170"/>
      <c r="AS885" s="170"/>
      <c r="AT885" s="170"/>
      <c r="AU885" s="171"/>
      <c r="AV885" s="171"/>
      <c r="AW885" s="171"/>
      <c r="AX885" s="171"/>
      <c r="AY885" s="171"/>
      <c r="AZ885" s="171"/>
      <c r="BA885" s="171"/>
      <c r="BB885" s="171"/>
      <c r="BC885" s="171"/>
      <c r="BD885" s="172"/>
      <c r="BE885" s="172"/>
      <c r="BF885" s="172"/>
      <c r="BG885" s="172"/>
      <c r="BH885" s="172"/>
      <c r="BI885" s="172"/>
      <c r="BJ885" s="172"/>
      <c r="BK885" s="172"/>
      <c r="BL885" s="172"/>
      <c r="BM885" s="172"/>
      <c r="BN885" s="172"/>
      <c r="BO885" s="172"/>
      <c r="BP885" s="172"/>
      <c r="BQ885" s="172"/>
      <c r="BR885" s="172"/>
      <c r="BS885" s="172"/>
    </row>
    <row r="886" spans="1:71" ht="12.5" x14ac:dyDescent="0.25">
      <c r="A886" s="170"/>
      <c r="B886" s="170"/>
      <c r="C886" s="170"/>
      <c r="D886" s="170"/>
      <c r="E886" s="171"/>
      <c r="F886" s="171"/>
      <c r="G886" s="170"/>
      <c r="H886" s="170"/>
      <c r="I886" s="170"/>
      <c r="J886" s="171"/>
      <c r="K886" s="171"/>
      <c r="L886" s="170"/>
      <c r="M886" s="170"/>
      <c r="N886" s="170"/>
      <c r="O886" s="171"/>
      <c r="P886" s="171"/>
      <c r="Q886" s="170"/>
      <c r="R886" s="170"/>
      <c r="S886" s="170"/>
      <c r="T886" s="171"/>
      <c r="U886" s="171"/>
      <c r="V886" s="171"/>
      <c r="W886" s="171"/>
      <c r="X886" s="171"/>
      <c r="Y886" s="171"/>
      <c r="Z886" s="171"/>
      <c r="AA886" s="171"/>
      <c r="AB886" s="171"/>
      <c r="AC886" s="170"/>
      <c r="AD886" s="170"/>
      <c r="AE886" s="170"/>
      <c r="AF886" s="170"/>
      <c r="AG886" s="170"/>
      <c r="AH886" s="170"/>
      <c r="AI886" s="170"/>
      <c r="AJ886" s="170"/>
      <c r="AK886" s="171"/>
      <c r="AL886" s="171"/>
      <c r="AM886" s="170"/>
      <c r="AN886" s="170"/>
      <c r="AO886" s="170"/>
      <c r="AP886" s="171"/>
      <c r="AQ886" s="171"/>
      <c r="AR886" s="170"/>
      <c r="AS886" s="170"/>
      <c r="AT886" s="170"/>
      <c r="AU886" s="171"/>
      <c r="AV886" s="171"/>
      <c r="AW886" s="171"/>
      <c r="AX886" s="171"/>
      <c r="AY886" s="171"/>
      <c r="AZ886" s="171"/>
      <c r="BA886" s="171"/>
      <c r="BB886" s="171"/>
      <c r="BC886" s="171"/>
      <c r="BD886" s="172"/>
      <c r="BE886" s="172"/>
      <c r="BF886" s="172"/>
      <c r="BG886" s="172"/>
      <c r="BH886" s="172"/>
      <c r="BI886" s="172"/>
      <c r="BJ886" s="172"/>
      <c r="BK886" s="172"/>
      <c r="BL886" s="172"/>
      <c r="BM886" s="172"/>
      <c r="BN886" s="172"/>
      <c r="BO886" s="172"/>
      <c r="BP886" s="172"/>
      <c r="BQ886" s="172"/>
      <c r="BR886" s="172"/>
      <c r="BS886" s="172"/>
    </row>
    <row r="887" spans="1:71" ht="12.5" x14ac:dyDescent="0.25">
      <c r="A887" s="170"/>
      <c r="B887" s="170"/>
      <c r="C887" s="170"/>
      <c r="D887" s="170"/>
      <c r="E887" s="171"/>
      <c r="F887" s="171"/>
      <c r="G887" s="170"/>
      <c r="H887" s="170"/>
      <c r="I887" s="170"/>
      <c r="J887" s="171"/>
      <c r="K887" s="171"/>
      <c r="L887" s="170"/>
      <c r="M887" s="170"/>
      <c r="N887" s="170"/>
      <c r="O887" s="171"/>
      <c r="P887" s="171"/>
      <c r="Q887" s="170"/>
      <c r="R887" s="170"/>
      <c r="S887" s="170"/>
      <c r="T887" s="171"/>
      <c r="U887" s="171"/>
      <c r="V887" s="171"/>
      <c r="W887" s="171"/>
      <c r="X887" s="171"/>
      <c r="Y887" s="171"/>
      <c r="Z887" s="171"/>
      <c r="AA887" s="171"/>
      <c r="AB887" s="171"/>
      <c r="AC887" s="170"/>
      <c r="AD887" s="170"/>
      <c r="AE887" s="170"/>
      <c r="AF887" s="170"/>
      <c r="AG887" s="170"/>
      <c r="AH887" s="170"/>
      <c r="AI887" s="170"/>
      <c r="AJ887" s="170"/>
      <c r="AK887" s="171"/>
      <c r="AL887" s="171"/>
      <c r="AM887" s="170"/>
      <c r="AN887" s="170"/>
      <c r="AO887" s="170"/>
      <c r="AP887" s="171"/>
      <c r="AQ887" s="171"/>
      <c r="AR887" s="170"/>
      <c r="AS887" s="170"/>
      <c r="AT887" s="170"/>
      <c r="AU887" s="171"/>
      <c r="AV887" s="171"/>
      <c r="AW887" s="171"/>
      <c r="AX887" s="171"/>
      <c r="AY887" s="171"/>
      <c r="AZ887" s="171"/>
      <c r="BA887" s="171"/>
      <c r="BB887" s="171"/>
      <c r="BC887" s="171"/>
      <c r="BD887" s="172"/>
      <c r="BE887" s="172"/>
      <c r="BF887" s="172"/>
      <c r="BG887" s="172"/>
      <c r="BH887" s="172"/>
      <c r="BI887" s="172"/>
      <c r="BJ887" s="172"/>
      <c r="BK887" s="172"/>
      <c r="BL887" s="172"/>
      <c r="BM887" s="172"/>
      <c r="BN887" s="172"/>
      <c r="BO887" s="172"/>
      <c r="BP887" s="172"/>
      <c r="BQ887" s="172"/>
      <c r="BR887" s="172"/>
      <c r="BS887" s="172"/>
    </row>
    <row r="888" spans="1:71" ht="12.5" x14ac:dyDescent="0.25">
      <c r="A888" s="170"/>
      <c r="B888" s="170"/>
      <c r="C888" s="170"/>
      <c r="D888" s="170"/>
      <c r="E888" s="171"/>
      <c r="F888" s="171"/>
      <c r="G888" s="170"/>
      <c r="H888" s="170"/>
      <c r="I888" s="170"/>
      <c r="J888" s="171"/>
      <c r="K888" s="171"/>
      <c r="L888" s="170"/>
      <c r="M888" s="170"/>
      <c r="N888" s="170"/>
      <c r="O888" s="171"/>
      <c r="P888" s="171"/>
      <c r="Q888" s="170"/>
      <c r="R888" s="170"/>
      <c r="S888" s="170"/>
      <c r="T888" s="171"/>
      <c r="U888" s="171"/>
      <c r="V888" s="171"/>
      <c r="W888" s="171"/>
      <c r="X888" s="171"/>
      <c r="Y888" s="171"/>
      <c r="Z888" s="171"/>
      <c r="AA888" s="171"/>
      <c r="AB888" s="171"/>
      <c r="AC888" s="170"/>
      <c r="AD888" s="170"/>
      <c r="AE888" s="170"/>
      <c r="AF888" s="170"/>
      <c r="AG888" s="170"/>
      <c r="AH888" s="170"/>
      <c r="AI888" s="170"/>
      <c r="AJ888" s="170"/>
      <c r="AK888" s="171"/>
      <c r="AL888" s="171"/>
      <c r="AM888" s="170"/>
      <c r="AN888" s="170"/>
      <c r="AO888" s="170"/>
      <c r="AP888" s="171"/>
      <c r="AQ888" s="171"/>
      <c r="AR888" s="170"/>
      <c r="AS888" s="170"/>
      <c r="AT888" s="170"/>
      <c r="AU888" s="171"/>
      <c r="AV888" s="171"/>
      <c r="AW888" s="171"/>
      <c r="AX888" s="171"/>
      <c r="AY888" s="171"/>
      <c r="AZ888" s="171"/>
      <c r="BA888" s="171"/>
      <c r="BB888" s="171"/>
      <c r="BC888" s="171"/>
      <c r="BD888" s="172"/>
      <c r="BE888" s="172"/>
      <c r="BF888" s="172"/>
      <c r="BG888" s="172"/>
      <c r="BH888" s="172"/>
      <c r="BI888" s="172"/>
      <c r="BJ888" s="172"/>
      <c r="BK888" s="172"/>
      <c r="BL888" s="172"/>
      <c r="BM888" s="172"/>
      <c r="BN888" s="172"/>
      <c r="BO888" s="172"/>
      <c r="BP888" s="172"/>
      <c r="BQ888" s="172"/>
      <c r="BR888" s="172"/>
      <c r="BS888" s="172"/>
    </row>
    <row r="889" spans="1:71" ht="12.5" x14ac:dyDescent="0.25">
      <c r="A889" s="170"/>
      <c r="B889" s="170"/>
      <c r="C889" s="170"/>
      <c r="D889" s="170"/>
      <c r="E889" s="171"/>
      <c r="F889" s="171"/>
      <c r="G889" s="170"/>
      <c r="H889" s="170"/>
      <c r="I889" s="170"/>
      <c r="J889" s="171"/>
      <c r="K889" s="171"/>
      <c r="L889" s="170"/>
      <c r="M889" s="170"/>
      <c r="N889" s="170"/>
      <c r="O889" s="171"/>
      <c r="P889" s="171"/>
      <c r="Q889" s="170"/>
      <c r="R889" s="170"/>
      <c r="S889" s="170"/>
      <c r="T889" s="171"/>
      <c r="U889" s="171"/>
      <c r="V889" s="171"/>
      <c r="W889" s="171"/>
      <c r="X889" s="171"/>
      <c r="Y889" s="171"/>
      <c r="Z889" s="171"/>
      <c r="AA889" s="171"/>
      <c r="AB889" s="171"/>
      <c r="AC889" s="170"/>
      <c r="AD889" s="170"/>
      <c r="AE889" s="170"/>
      <c r="AF889" s="170"/>
      <c r="AG889" s="170"/>
      <c r="AH889" s="170"/>
      <c r="AI889" s="170"/>
      <c r="AJ889" s="170"/>
      <c r="AK889" s="171"/>
      <c r="AL889" s="171"/>
      <c r="AM889" s="170"/>
      <c r="AN889" s="170"/>
      <c r="AO889" s="170"/>
      <c r="AP889" s="171"/>
      <c r="AQ889" s="171"/>
      <c r="AR889" s="170"/>
      <c r="AS889" s="170"/>
      <c r="AT889" s="170"/>
      <c r="AU889" s="171"/>
      <c r="AV889" s="171"/>
      <c r="AW889" s="171"/>
      <c r="AX889" s="171"/>
      <c r="AY889" s="171"/>
      <c r="AZ889" s="171"/>
      <c r="BA889" s="171"/>
      <c r="BB889" s="171"/>
      <c r="BC889" s="171"/>
      <c r="BD889" s="172"/>
      <c r="BE889" s="172"/>
      <c r="BF889" s="172"/>
      <c r="BG889" s="172"/>
      <c r="BH889" s="172"/>
      <c r="BI889" s="172"/>
      <c r="BJ889" s="172"/>
      <c r="BK889" s="172"/>
      <c r="BL889" s="172"/>
      <c r="BM889" s="172"/>
      <c r="BN889" s="172"/>
      <c r="BO889" s="172"/>
      <c r="BP889" s="172"/>
      <c r="BQ889" s="172"/>
      <c r="BR889" s="172"/>
      <c r="BS889" s="172"/>
    </row>
    <row r="890" spans="1:71" ht="12.5" x14ac:dyDescent="0.25">
      <c r="A890" s="170"/>
      <c r="B890" s="170"/>
      <c r="C890" s="170"/>
      <c r="D890" s="170"/>
      <c r="E890" s="171"/>
      <c r="F890" s="171"/>
      <c r="G890" s="170"/>
      <c r="H890" s="170"/>
      <c r="I890" s="170"/>
      <c r="J890" s="171"/>
      <c r="K890" s="171"/>
      <c r="L890" s="170"/>
      <c r="M890" s="170"/>
      <c r="N890" s="170"/>
      <c r="O890" s="171"/>
      <c r="P890" s="171"/>
      <c r="Q890" s="170"/>
      <c r="R890" s="170"/>
      <c r="S890" s="170"/>
      <c r="T890" s="171"/>
      <c r="U890" s="171"/>
      <c r="V890" s="171"/>
      <c r="W890" s="171"/>
      <c r="X890" s="171"/>
      <c r="Y890" s="171"/>
      <c r="Z890" s="171"/>
      <c r="AA890" s="171"/>
      <c r="AB890" s="171"/>
      <c r="AC890" s="170"/>
      <c r="AD890" s="170"/>
      <c r="AE890" s="170"/>
      <c r="AF890" s="170"/>
      <c r="AG890" s="170"/>
      <c r="AH890" s="170"/>
      <c r="AI890" s="170"/>
      <c r="AJ890" s="170"/>
      <c r="AK890" s="171"/>
      <c r="AL890" s="171"/>
      <c r="AM890" s="170"/>
      <c r="AN890" s="170"/>
      <c r="AO890" s="170"/>
      <c r="AP890" s="171"/>
      <c r="AQ890" s="171"/>
      <c r="AR890" s="170"/>
      <c r="AS890" s="170"/>
      <c r="AT890" s="170"/>
      <c r="AU890" s="171"/>
      <c r="AV890" s="171"/>
      <c r="AW890" s="171"/>
      <c r="AX890" s="171"/>
      <c r="AY890" s="171"/>
      <c r="AZ890" s="171"/>
      <c r="BA890" s="171"/>
      <c r="BB890" s="171"/>
      <c r="BC890" s="171"/>
      <c r="BD890" s="172"/>
      <c r="BE890" s="172"/>
      <c r="BF890" s="172"/>
      <c r="BG890" s="172"/>
      <c r="BH890" s="172"/>
      <c r="BI890" s="172"/>
      <c r="BJ890" s="172"/>
      <c r="BK890" s="172"/>
      <c r="BL890" s="172"/>
      <c r="BM890" s="172"/>
      <c r="BN890" s="172"/>
      <c r="BO890" s="172"/>
      <c r="BP890" s="172"/>
      <c r="BQ890" s="172"/>
      <c r="BR890" s="172"/>
      <c r="BS890" s="172"/>
    </row>
    <row r="891" spans="1:71" ht="12.5" x14ac:dyDescent="0.25">
      <c r="A891" s="170"/>
      <c r="B891" s="170"/>
      <c r="C891" s="170"/>
      <c r="D891" s="170"/>
      <c r="E891" s="171"/>
      <c r="F891" s="171"/>
      <c r="G891" s="170"/>
      <c r="H891" s="170"/>
      <c r="I891" s="170"/>
      <c r="J891" s="171"/>
      <c r="K891" s="171"/>
      <c r="L891" s="170"/>
      <c r="M891" s="170"/>
      <c r="N891" s="170"/>
      <c r="O891" s="171"/>
      <c r="P891" s="171"/>
      <c r="Q891" s="170"/>
      <c r="R891" s="170"/>
      <c r="S891" s="170"/>
      <c r="T891" s="171"/>
      <c r="U891" s="171"/>
      <c r="V891" s="171"/>
      <c r="W891" s="171"/>
      <c r="X891" s="171"/>
      <c r="Y891" s="171"/>
      <c r="Z891" s="171"/>
      <c r="AA891" s="171"/>
      <c r="AB891" s="171"/>
      <c r="AC891" s="170"/>
      <c r="AD891" s="170"/>
      <c r="AE891" s="170"/>
      <c r="AF891" s="170"/>
      <c r="AG891" s="170"/>
      <c r="AH891" s="170"/>
      <c r="AI891" s="170"/>
      <c r="AJ891" s="170"/>
      <c r="AK891" s="171"/>
      <c r="AL891" s="171"/>
      <c r="AM891" s="170"/>
      <c r="AN891" s="170"/>
      <c r="AO891" s="170"/>
      <c r="AP891" s="171"/>
      <c r="AQ891" s="171"/>
      <c r="AR891" s="170"/>
      <c r="AS891" s="170"/>
      <c r="AT891" s="170"/>
      <c r="AU891" s="171"/>
      <c r="AV891" s="171"/>
      <c r="AW891" s="171"/>
      <c r="AX891" s="171"/>
      <c r="AY891" s="171"/>
      <c r="AZ891" s="171"/>
      <c r="BA891" s="171"/>
      <c r="BB891" s="171"/>
      <c r="BC891" s="171"/>
      <c r="BD891" s="172"/>
      <c r="BE891" s="172"/>
      <c r="BF891" s="172"/>
      <c r="BG891" s="172"/>
      <c r="BH891" s="172"/>
      <c r="BI891" s="172"/>
      <c r="BJ891" s="172"/>
      <c r="BK891" s="172"/>
      <c r="BL891" s="172"/>
      <c r="BM891" s="172"/>
      <c r="BN891" s="172"/>
      <c r="BO891" s="172"/>
      <c r="BP891" s="172"/>
      <c r="BQ891" s="172"/>
      <c r="BR891" s="172"/>
      <c r="BS891" s="172"/>
    </row>
    <row r="892" spans="1:71" ht="12.5" x14ac:dyDescent="0.25">
      <c r="A892" s="170"/>
      <c r="B892" s="170"/>
      <c r="C892" s="170"/>
      <c r="D892" s="170"/>
      <c r="E892" s="171"/>
      <c r="F892" s="171"/>
      <c r="G892" s="170"/>
      <c r="H892" s="170"/>
      <c r="I892" s="170"/>
      <c r="J892" s="171"/>
      <c r="K892" s="171"/>
      <c r="L892" s="170"/>
      <c r="M892" s="170"/>
      <c r="N892" s="170"/>
      <c r="O892" s="171"/>
      <c r="P892" s="171"/>
      <c r="Q892" s="170"/>
      <c r="R892" s="170"/>
      <c r="S892" s="170"/>
      <c r="T892" s="171"/>
      <c r="U892" s="171"/>
      <c r="V892" s="171"/>
      <c r="W892" s="171"/>
      <c r="X892" s="171"/>
      <c r="Y892" s="171"/>
      <c r="Z892" s="171"/>
      <c r="AA892" s="171"/>
      <c r="AB892" s="171"/>
      <c r="AC892" s="170"/>
      <c r="AD892" s="170"/>
      <c r="AE892" s="170"/>
      <c r="AF892" s="170"/>
      <c r="AG892" s="170"/>
      <c r="AH892" s="170"/>
      <c r="AI892" s="170"/>
      <c r="AJ892" s="170"/>
      <c r="AK892" s="171"/>
      <c r="AL892" s="171"/>
      <c r="AM892" s="170"/>
      <c r="AN892" s="170"/>
      <c r="AO892" s="170"/>
      <c r="AP892" s="171"/>
      <c r="AQ892" s="171"/>
      <c r="AR892" s="170"/>
      <c r="AS892" s="170"/>
      <c r="AT892" s="170"/>
      <c r="AU892" s="171"/>
      <c r="AV892" s="171"/>
      <c r="AW892" s="171"/>
      <c r="AX892" s="171"/>
      <c r="AY892" s="171"/>
      <c r="AZ892" s="171"/>
      <c r="BA892" s="171"/>
      <c r="BB892" s="171"/>
      <c r="BC892" s="171"/>
      <c r="BD892" s="172"/>
      <c r="BE892" s="172"/>
      <c r="BF892" s="172"/>
      <c r="BG892" s="172"/>
      <c r="BH892" s="172"/>
      <c r="BI892" s="172"/>
      <c r="BJ892" s="172"/>
      <c r="BK892" s="172"/>
      <c r="BL892" s="172"/>
      <c r="BM892" s="172"/>
      <c r="BN892" s="172"/>
      <c r="BO892" s="172"/>
      <c r="BP892" s="172"/>
      <c r="BQ892" s="172"/>
      <c r="BR892" s="172"/>
      <c r="BS892" s="172"/>
    </row>
    <row r="893" spans="1:71" ht="12.5" x14ac:dyDescent="0.25">
      <c r="A893" s="170"/>
      <c r="B893" s="170"/>
      <c r="C893" s="170"/>
      <c r="D893" s="170"/>
      <c r="E893" s="171"/>
      <c r="F893" s="171"/>
      <c r="G893" s="170"/>
      <c r="H893" s="170"/>
      <c r="I893" s="170"/>
      <c r="J893" s="171"/>
      <c r="K893" s="171"/>
      <c r="L893" s="170"/>
      <c r="M893" s="170"/>
      <c r="N893" s="170"/>
      <c r="O893" s="171"/>
      <c r="P893" s="171"/>
      <c r="Q893" s="170"/>
      <c r="R893" s="170"/>
      <c r="S893" s="170"/>
      <c r="T893" s="171"/>
      <c r="U893" s="171"/>
      <c r="V893" s="171"/>
      <c r="W893" s="171"/>
      <c r="X893" s="171"/>
      <c r="Y893" s="171"/>
      <c r="Z893" s="171"/>
      <c r="AA893" s="171"/>
      <c r="AB893" s="171"/>
      <c r="AC893" s="170"/>
      <c r="AD893" s="170"/>
      <c r="AE893" s="170"/>
      <c r="AF893" s="170"/>
      <c r="AG893" s="170"/>
      <c r="AH893" s="170"/>
      <c r="AI893" s="170"/>
      <c r="AJ893" s="170"/>
      <c r="AK893" s="171"/>
      <c r="AL893" s="171"/>
      <c r="AM893" s="170"/>
      <c r="AN893" s="170"/>
      <c r="AO893" s="170"/>
      <c r="AP893" s="171"/>
      <c r="AQ893" s="171"/>
      <c r="AR893" s="170"/>
      <c r="AS893" s="170"/>
      <c r="AT893" s="170"/>
      <c r="AU893" s="171"/>
      <c r="AV893" s="171"/>
      <c r="AW893" s="171"/>
      <c r="AX893" s="171"/>
      <c r="AY893" s="171"/>
      <c r="AZ893" s="171"/>
      <c r="BA893" s="171"/>
      <c r="BB893" s="171"/>
      <c r="BC893" s="171"/>
      <c r="BD893" s="172"/>
      <c r="BE893" s="172"/>
      <c r="BF893" s="172"/>
      <c r="BG893" s="172"/>
      <c r="BH893" s="172"/>
      <c r="BI893" s="172"/>
      <c r="BJ893" s="172"/>
      <c r="BK893" s="172"/>
      <c r="BL893" s="172"/>
      <c r="BM893" s="172"/>
      <c r="BN893" s="172"/>
      <c r="BO893" s="172"/>
      <c r="BP893" s="172"/>
      <c r="BQ893" s="172"/>
      <c r="BR893" s="172"/>
      <c r="BS893" s="172"/>
    </row>
    <row r="894" spans="1:71" ht="12.5" x14ac:dyDescent="0.25">
      <c r="A894" s="170"/>
      <c r="B894" s="170"/>
      <c r="C894" s="170"/>
      <c r="D894" s="170"/>
      <c r="E894" s="171"/>
      <c r="F894" s="171"/>
      <c r="G894" s="170"/>
      <c r="H894" s="170"/>
      <c r="I894" s="170"/>
      <c r="J894" s="171"/>
      <c r="K894" s="171"/>
      <c r="L894" s="170"/>
      <c r="M894" s="170"/>
      <c r="N894" s="170"/>
      <c r="O894" s="171"/>
      <c r="P894" s="171"/>
      <c r="Q894" s="170"/>
      <c r="R894" s="170"/>
      <c r="S894" s="170"/>
      <c r="T894" s="171"/>
      <c r="U894" s="171"/>
      <c r="V894" s="171"/>
      <c r="W894" s="171"/>
      <c r="X894" s="171"/>
      <c r="Y894" s="171"/>
      <c r="Z894" s="171"/>
      <c r="AA894" s="171"/>
      <c r="AB894" s="171"/>
      <c r="AC894" s="170"/>
      <c r="AD894" s="170"/>
      <c r="AE894" s="170"/>
      <c r="AF894" s="170"/>
      <c r="AG894" s="170"/>
      <c r="AH894" s="170"/>
      <c r="AI894" s="170"/>
      <c r="AJ894" s="170"/>
      <c r="AK894" s="171"/>
      <c r="AL894" s="171"/>
      <c r="AM894" s="170"/>
      <c r="AN894" s="170"/>
      <c r="AO894" s="170"/>
      <c r="AP894" s="171"/>
      <c r="AQ894" s="171"/>
      <c r="AR894" s="170"/>
      <c r="AS894" s="170"/>
      <c r="AT894" s="170"/>
      <c r="AU894" s="171"/>
      <c r="AV894" s="171"/>
      <c r="AW894" s="171"/>
      <c r="AX894" s="171"/>
      <c r="AY894" s="171"/>
      <c r="AZ894" s="171"/>
      <c r="BA894" s="171"/>
      <c r="BB894" s="171"/>
      <c r="BC894" s="171"/>
      <c r="BD894" s="172"/>
      <c r="BE894" s="172"/>
      <c r="BF894" s="172"/>
      <c r="BG894" s="172"/>
      <c r="BH894" s="172"/>
      <c r="BI894" s="172"/>
      <c r="BJ894" s="172"/>
      <c r="BK894" s="172"/>
      <c r="BL894" s="172"/>
      <c r="BM894" s="172"/>
      <c r="BN894" s="172"/>
      <c r="BO894" s="172"/>
      <c r="BP894" s="172"/>
      <c r="BQ894" s="172"/>
      <c r="BR894" s="172"/>
      <c r="BS894" s="172"/>
    </row>
    <row r="895" spans="1:71" ht="12.5" x14ac:dyDescent="0.25">
      <c r="A895" s="170"/>
      <c r="B895" s="170"/>
      <c r="C895" s="170"/>
      <c r="D895" s="170"/>
      <c r="E895" s="171"/>
      <c r="F895" s="171"/>
      <c r="G895" s="170"/>
      <c r="H895" s="170"/>
      <c r="I895" s="170"/>
      <c r="J895" s="171"/>
      <c r="K895" s="171"/>
      <c r="L895" s="170"/>
      <c r="M895" s="170"/>
      <c r="N895" s="170"/>
      <c r="O895" s="171"/>
      <c r="P895" s="171"/>
      <c r="Q895" s="170"/>
      <c r="R895" s="170"/>
      <c r="S895" s="170"/>
      <c r="T895" s="171"/>
      <c r="U895" s="171"/>
      <c r="V895" s="171"/>
      <c r="W895" s="171"/>
      <c r="X895" s="171"/>
      <c r="Y895" s="171"/>
      <c r="Z895" s="171"/>
      <c r="AA895" s="171"/>
      <c r="AB895" s="171"/>
      <c r="AC895" s="170"/>
      <c r="AD895" s="170"/>
      <c r="AE895" s="170"/>
      <c r="AF895" s="170"/>
      <c r="AG895" s="170"/>
      <c r="AH895" s="170"/>
      <c r="AI895" s="170"/>
      <c r="AJ895" s="170"/>
      <c r="AK895" s="171"/>
      <c r="AL895" s="171"/>
      <c r="AM895" s="170"/>
      <c r="AN895" s="170"/>
      <c r="AO895" s="170"/>
      <c r="AP895" s="171"/>
      <c r="AQ895" s="171"/>
      <c r="AR895" s="170"/>
      <c r="AS895" s="170"/>
      <c r="AT895" s="170"/>
      <c r="AU895" s="171"/>
      <c r="AV895" s="171"/>
      <c r="AW895" s="171"/>
      <c r="AX895" s="171"/>
      <c r="AY895" s="171"/>
      <c r="AZ895" s="171"/>
      <c r="BA895" s="171"/>
      <c r="BB895" s="171"/>
      <c r="BC895" s="171"/>
      <c r="BD895" s="172"/>
      <c r="BE895" s="172"/>
      <c r="BF895" s="172"/>
      <c r="BG895" s="172"/>
      <c r="BH895" s="172"/>
      <c r="BI895" s="172"/>
      <c r="BJ895" s="172"/>
      <c r="BK895" s="172"/>
      <c r="BL895" s="172"/>
      <c r="BM895" s="172"/>
      <c r="BN895" s="172"/>
      <c r="BO895" s="172"/>
      <c r="BP895" s="172"/>
      <c r="BQ895" s="172"/>
      <c r="BR895" s="172"/>
      <c r="BS895" s="172"/>
    </row>
    <row r="896" spans="1:71" ht="12.5" x14ac:dyDescent="0.25">
      <c r="A896" s="170"/>
      <c r="B896" s="170"/>
      <c r="C896" s="170"/>
      <c r="D896" s="170"/>
      <c r="E896" s="171"/>
      <c r="F896" s="171"/>
      <c r="G896" s="170"/>
      <c r="H896" s="170"/>
      <c r="I896" s="170"/>
      <c r="J896" s="171"/>
      <c r="K896" s="171"/>
      <c r="L896" s="170"/>
      <c r="M896" s="170"/>
      <c r="N896" s="170"/>
      <c r="O896" s="171"/>
      <c r="P896" s="171"/>
      <c r="Q896" s="170"/>
      <c r="R896" s="170"/>
      <c r="S896" s="170"/>
      <c r="T896" s="171"/>
      <c r="U896" s="171"/>
      <c r="V896" s="171"/>
      <c r="W896" s="171"/>
      <c r="X896" s="171"/>
      <c r="Y896" s="171"/>
      <c r="Z896" s="171"/>
      <c r="AA896" s="171"/>
      <c r="AB896" s="171"/>
      <c r="AC896" s="170"/>
      <c r="AD896" s="170"/>
      <c r="AE896" s="170"/>
      <c r="AF896" s="170"/>
      <c r="AG896" s="170"/>
      <c r="AH896" s="170"/>
      <c r="AI896" s="170"/>
      <c r="AJ896" s="170"/>
      <c r="AK896" s="171"/>
      <c r="AL896" s="171"/>
      <c r="AM896" s="170"/>
      <c r="AN896" s="170"/>
      <c r="AO896" s="170"/>
      <c r="AP896" s="171"/>
      <c r="AQ896" s="171"/>
      <c r="AR896" s="170"/>
      <c r="AS896" s="170"/>
      <c r="AT896" s="170"/>
      <c r="AU896" s="171"/>
      <c r="AV896" s="171"/>
      <c r="AW896" s="171"/>
      <c r="AX896" s="171"/>
      <c r="AY896" s="171"/>
      <c r="AZ896" s="171"/>
      <c r="BA896" s="171"/>
      <c r="BB896" s="171"/>
      <c r="BC896" s="171"/>
      <c r="BD896" s="172"/>
      <c r="BE896" s="172"/>
      <c r="BF896" s="172"/>
      <c r="BG896" s="172"/>
      <c r="BH896" s="172"/>
      <c r="BI896" s="172"/>
      <c r="BJ896" s="172"/>
      <c r="BK896" s="172"/>
      <c r="BL896" s="172"/>
      <c r="BM896" s="172"/>
      <c r="BN896" s="172"/>
      <c r="BO896" s="172"/>
      <c r="BP896" s="172"/>
      <c r="BQ896" s="172"/>
      <c r="BR896" s="172"/>
      <c r="BS896" s="172"/>
    </row>
    <row r="897" spans="1:71" ht="12.5" x14ac:dyDescent="0.25">
      <c r="A897" s="170"/>
      <c r="B897" s="170"/>
      <c r="C897" s="170"/>
      <c r="D897" s="170"/>
      <c r="E897" s="171"/>
      <c r="F897" s="171"/>
      <c r="G897" s="170"/>
      <c r="H897" s="170"/>
      <c r="I897" s="170"/>
      <c r="J897" s="171"/>
      <c r="K897" s="171"/>
      <c r="L897" s="170"/>
      <c r="M897" s="170"/>
      <c r="N897" s="170"/>
      <c r="O897" s="171"/>
      <c r="P897" s="171"/>
      <c r="Q897" s="170"/>
      <c r="R897" s="170"/>
      <c r="S897" s="170"/>
      <c r="T897" s="171"/>
      <c r="U897" s="171"/>
      <c r="V897" s="171"/>
      <c r="W897" s="171"/>
      <c r="X897" s="171"/>
      <c r="Y897" s="171"/>
      <c r="Z897" s="171"/>
      <c r="AA897" s="171"/>
      <c r="AB897" s="171"/>
      <c r="AC897" s="170"/>
      <c r="AD897" s="170"/>
      <c r="AE897" s="170"/>
      <c r="AF897" s="170"/>
      <c r="AG897" s="170"/>
      <c r="AH897" s="170"/>
      <c r="AI897" s="170"/>
      <c r="AJ897" s="170"/>
      <c r="AK897" s="171"/>
      <c r="AL897" s="171"/>
      <c r="AM897" s="170"/>
      <c r="AN897" s="170"/>
      <c r="AO897" s="170"/>
      <c r="AP897" s="171"/>
      <c r="AQ897" s="171"/>
      <c r="AR897" s="170"/>
      <c r="AS897" s="170"/>
      <c r="AT897" s="170"/>
      <c r="AU897" s="171"/>
      <c r="AV897" s="171"/>
      <c r="AW897" s="171"/>
      <c r="AX897" s="171"/>
      <c r="AY897" s="171"/>
      <c r="AZ897" s="171"/>
      <c r="BA897" s="171"/>
      <c r="BB897" s="171"/>
      <c r="BC897" s="171"/>
      <c r="BD897" s="172"/>
      <c r="BE897" s="172"/>
      <c r="BF897" s="172"/>
      <c r="BG897" s="172"/>
      <c r="BH897" s="172"/>
      <c r="BI897" s="172"/>
      <c r="BJ897" s="172"/>
      <c r="BK897" s="172"/>
      <c r="BL897" s="172"/>
      <c r="BM897" s="172"/>
      <c r="BN897" s="172"/>
      <c r="BO897" s="172"/>
      <c r="BP897" s="172"/>
      <c r="BQ897" s="172"/>
      <c r="BR897" s="172"/>
      <c r="BS897" s="172"/>
    </row>
    <row r="898" spans="1:71" ht="12.5" x14ac:dyDescent="0.25">
      <c r="A898" s="170"/>
      <c r="B898" s="170"/>
      <c r="C898" s="170"/>
      <c r="D898" s="170"/>
      <c r="E898" s="171"/>
      <c r="F898" s="171"/>
      <c r="G898" s="170"/>
      <c r="H898" s="170"/>
      <c r="I898" s="170"/>
      <c r="J898" s="171"/>
      <c r="K898" s="171"/>
      <c r="L898" s="170"/>
      <c r="M898" s="170"/>
      <c r="N898" s="170"/>
      <c r="O898" s="171"/>
      <c r="P898" s="171"/>
      <c r="Q898" s="170"/>
      <c r="R898" s="170"/>
      <c r="S898" s="170"/>
      <c r="T898" s="171"/>
      <c r="U898" s="171"/>
      <c r="V898" s="171"/>
      <c r="W898" s="171"/>
      <c r="X898" s="171"/>
      <c r="Y898" s="171"/>
      <c r="Z898" s="171"/>
      <c r="AA898" s="171"/>
      <c r="AB898" s="171"/>
      <c r="AC898" s="170"/>
      <c r="AD898" s="170"/>
      <c r="AE898" s="170"/>
      <c r="AF898" s="170"/>
      <c r="AG898" s="170"/>
      <c r="AH898" s="170"/>
      <c r="AI898" s="170"/>
      <c r="AJ898" s="170"/>
      <c r="AK898" s="171"/>
      <c r="AL898" s="171"/>
      <c r="AM898" s="170"/>
      <c r="AN898" s="170"/>
      <c r="AO898" s="170"/>
      <c r="AP898" s="171"/>
      <c r="AQ898" s="171"/>
      <c r="AR898" s="170"/>
      <c r="AS898" s="170"/>
      <c r="AT898" s="170"/>
      <c r="AU898" s="171"/>
      <c r="AV898" s="171"/>
      <c r="AW898" s="171"/>
      <c r="AX898" s="171"/>
      <c r="AY898" s="171"/>
      <c r="AZ898" s="171"/>
      <c r="BA898" s="171"/>
      <c r="BB898" s="171"/>
      <c r="BC898" s="171"/>
      <c r="BD898" s="172"/>
      <c r="BE898" s="172"/>
      <c r="BF898" s="172"/>
      <c r="BG898" s="172"/>
      <c r="BH898" s="172"/>
      <c r="BI898" s="172"/>
      <c r="BJ898" s="172"/>
      <c r="BK898" s="172"/>
      <c r="BL898" s="172"/>
      <c r="BM898" s="172"/>
      <c r="BN898" s="172"/>
      <c r="BO898" s="172"/>
      <c r="BP898" s="172"/>
      <c r="BQ898" s="172"/>
      <c r="BR898" s="172"/>
      <c r="BS898" s="172"/>
    </row>
    <row r="899" spans="1:71" ht="12.5" x14ac:dyDescent="0.25">
      <c r="A899" s="170"/>
      <c r="B899" s="170"/>
      <c r="C899" s="170"/>
      <c r="D899" s="170"/>
      <c r="E899" s="171"/>
      <c r="F899" s="171"/>
      <c r="G899" s="170"/>
      <c r="H899" s="170"/>
      <c r="I899" s="170"/>
      <c r="J899" s="171"/>
      <c r="K899" s="171"/>
      <c r="L899" s="170"/>
      <c r="M899" s="170"/>
      <c r="N899" s="170"/>
      <c r="O899" s="171"/>
      <c r="P899" s="171"/>
      <c r="Q899" s="170"/>
      <c r="R899" s="170"/>
      <c r="S899" s="170"/>
      <c r="T899" s="171"/>
      <c r="U899" s="171"/>
      <c r="V899" s="171"/>
      <c r="W899" s="171"/>
      <c r="X899" s="171"/>
      <c r="Y899" s="171"/>
      <c r="Z899" s="171"/>
      <c r="AA899" s="171"/>
      <c r="AB899" s="171"/>
      <c r="AC899" s="170"/>
      <c r="AD899" s="170"/>
      <c r="AE899" s="170"/>
      <c r="AF899" s="170"/>
      <c r="AG899" s="170"/>
      <c r="AH899" s="170"/>
      <c r="AI899" s="170"/>
      <c r="AJ899" s="170"/>
      <c r="AK899" s="171"/>
      <c r="AL899" s="171"/>
      <c r="AM899" s="170"/>
      <c r="AN899" s="170"/>
      <c r="AO899" s="170"/>
      <c r="AP899" s="171"/>
      <c r="AQ899" s="171"/>
      <c r="AR899" s="170"/>
      <c r="AS899" s="170"/>
      <c r="AT899" s="170"/>
      <c r="AU899" s="171"/>
      <c r="AV899" s="171"/>
      <c r="AW899" s="171"/>
      <c r="AX899" s="171"/>
      <c r="AY899" s="171"/>
      <c r="AZ899" s="171"/>
      <c r="BA899" s="171"/>
      <c r="BB899" s="171"/>
      <c r="BC899" s="171"/>
      <c r="BD899" s="172"/>
      <c r="BE899" s="172"/>
      <c r="BF899" s="172"/>
      <c r="BG899" s="172"/>
      <c r="BH899" s="172"/>
      <c r="BI899" s="172"/>
      <c r="BJ899" s="172"/>
      <c r="BK899" s="172"/>
      <c r="BL899" s="172"/>
      <c r="BM899" s="172"/>
      <c r="BN899" s="172"/>
      <c r="BO899" s="172"/>
      <c r="BP899" s="172"/>
      <c r="BQ899" s="172"/>
      <c r="BR899" s="172"/>
      <c r="BS899" s="172"/>
    </row>
    <row r="900" spans="1:71" ht="12.5" x14ac:dyDescent="0.25">
      <c r="A900" s="170"/>
      <c r="B900" s="170"/>
      <c r="C900" s="170"/>
      <c r="D900" s="170"/>
      <c r="E900" s="171"/>
      <c r="F900" s="171"/>
      <c r="G900" s="170"/>
      <c r="H900" s="170"/>
      <c r="I900" s="170"/>
      <c r="J900" s="171"/>
      <c r="K900" s="171"/>
      <c r="L900" s="170"/>
      <c r="M900" s="170"/>
      <c r="N900" s="170"/>
      <c r="O900" s="171"/>
      <c r="P900" s="171"/>
      <c r="Q900" s="170"/>
      <c r="R900" s="170"/>
      <c r="S900" s="170"/>
      <c r="T900" s="171"/>
      <c r="U900" s="171"/>
      <c r="V900" s="171"/>
      <c r="W900" s="171"/>
      <c r="X900" s="171"/>
      <c r="Y900" s="171"/>
      <c r="Z900" s="171"/>
      <c r="AA900" s="171"/>
      <c r="AB900" s="171"/>
      <c r="AC900" s="170"/>
      <c r="AD900" s="170"/>
      <c r="AE900" s="170"/>
      <c r="AF900" s="170"/>
      <c r="AG900" s="170"/>
      <c r="AH900" s="170"/>
      <c r="AI900" s="170"/>
      <c r="AJ900" s="170"/>
      <c r="AK900" s="171"/>
      <c r="AL900" s="171"/>
      <c r="AM900" s="170"/>
      <c r="AN900" s="170"/>
      <c r="AO900" s="170"/>
      <c r="AP900" s="171"/>
      <c r="AQ900" s="171"/>
      <c r="AR900" s="170"/>
      <c r="AS900" s="170"/>
      <c r="AT900" s="170"/>
      <c r="AU900" s="171"/>
      <c r="AV900" s="171"/>
      <c r="AW900" s="171"/>
      <c r="AX900" s="171"/>
      <c r="AY900" s="171"/>
      <c r="AZ900" s="171"/>
      <c r="BA900" s="171"/>
      <c r="BB900" s="171"/>
      <c r="BC900" s="171"/>
      <c r="BD900" s="172"/>
      <c r="BE900" s="172"/>
      <c r="BF900" s="172"/>
      <c r="BG900" s="172"/>
      <c r="BH900" s="172"/>
      <c r="BI900" s="172"/>
      <c r="BJ900" s="172"/>
      <c r="BK900" s="172"/>
      <c r="BL900" s="172"/>
      <c r="BM900" s="172"/>
      <c r="BN900" s="172"/>
      <c r="BO900" s="172"/>
      <c r="BP900" s="172"/>
      <c r="BQ900" s="172"/>
      <c r="BR900" s="172"/>
      <c r="BS900" s="172"/>
    </row>
    <row r="901" spans="1:71" ht="12.5" x14ac:dyDescent="0.25">
      <c r="A901" s="170"/>
      <c r="B901" s="170"/>
      <c r="C901" s="170"/>
      <c r="D901" s="170"/>
      <c r="E901" s="171"/>
      <c r="F901" s="171"/>
      <c r="G901" s="170"/>
      <c r="H901" s="170"/>
      <c r="I901" s="170"/>
      <c r="J901" s="171"/>
      <c r="K901" s="171"/>
      <c r="L901" s="170"/>
      <c r="M901" s="170"/>
      <c r="N901" s="170"/>
      <c r="O901" s="171"/>
      <c r="P901" s="171"/>
      <c r="Q901" s="170"/>
      <c r="R901" s="170"/>
      <c r="S901" s="170"/>
      <c r="T901" s="171"/>
      <c r="U901" s="171"/>
      <c r="V901" s="171"/>
      <c r="W901" s="171"/>
      <c r="X901" s="171"/>
      <c r="Y901" s="171"/>
      <c r="Z901" s="171"/>
      <c r="AA901" s="171"/>
      <c r="AB901" s="171"/>
      <c r="AC901" s="170"/>
      <c r="AD901" s="170"/>
      <c r="AE901" s="170"/>
      <c r="AF901" s="170"/>
      <c r="AG901" s="170"/>
      <c r="AH901" s="170"/>
      <c r="AI901" s="170"/>
      <c r="AJ901" s="170"/>
      <c r="AK901" s="171"/>
      <c r="AL901" s="171"/>
      <c r="AM901" s="170"/>
      <c r="AN901" s="170"/>
      <c r="AO901" s="170"/>
      <c r="AP901" s="171"/>
      <c r="AQ901" s="171"/>
      <c r="AR901" s="170"/>
      <c r="AS901" s="170"/>
      <c r="AT901" s="170"/>
      <c r="AU901" s="171"/>
      <c r="AV901" s="171"/>
      <c r="AW901" s="171"/>
      <c r="AX901" s="171"/>
      <c r="AY901" s="171"/>
      <c r="AZ901" s="171"/>
      <c r="BA901" s="171"/>
      <c r="BB901" s="171"/>
      <c r="BC901" s="171"/>
      <c r="BD901" s="172"/>
      <c r="BE901" s="172"/>
      <c r="BF901" s="172"/>
      <c r="BG901" s="172"/>
      <c r="BH901" s="172"/>
      <c r="BI901" s="172"/>
      <c r="BJ901" s="172"/>
      <c r="BK901" s="172"/>
      <c r="BL901" s="172"/>
      <c r="BM901" s="172"/>
      <c r="BN901" s="172"/>
      <c r="BO901" s="172"/>
      <c r="BP901" s="172"/>
      <c r="BQ901" s="172"/>
      <c r="BR901" s="172"/>
      <c r="BS901" s="172"/>
    </row>
    <row r="902" spans="1:71" ht="12.5" x14ac:dyDescent="0.25">
      <c r="A902" s="170"/>
      <c r="B902" s="170"/>
      <c r="C902" s="170"/>
      <c r="D902" s="170"/>
      <c r="E902" s="171"/>
      <c r="F902" s="171"/>
      <c r="G902" s="170"/>
      <c r="H902" s="170"/>
      <c r="I902" s="170"/>
      <c r="J902" s="171"/>
      <c r="K902" s="171"/>
      <c r="L902" s="170"/>
      <c r="M902" s="170"/>
      <c r="N902" s="170"/>
      <c r="O902" s="171"/>
      <c r="P902" s="171"/>
      <c r="Q902" s="170"/>
      <c r="R902" s="170"/>
      <c r="S902" s="170"/>
      <c r="T902" s="171"/>
      <c r="U902" s="171"/>
      <c r="V902" s="171"/>
      <c r="W902" s="171"/>
      <c r="X902" s="171"/>
      <c r="Y902" s="171"/>
      <c r="Z902" s="171"/>
      <c r="AA902" s="171"/>
      <c r="AB902" s="171"/>
      <c r="AC902" s="170"/>
      <c r="AD902" s="170"/>
      <c r="AE902" s="170"/>
      <c r="AF902" s="170"/>
      <c r="AG902" s="170"/>
      <c r="AH902" s="170"/>
      <c r="AI902" s="170"/>
      <c r="AJ902" s="170"/>
      <c r="AK902" s="171"/>
      <c r="AL902" s="171"/>
      <c r="AM902" s="170"/>
      <c r="AN902" s="170"/>
      <c r="AO902" s="170"/>
      <c r="AP902" s="171"/>
      <c r="AQ902" s="171"/>
      <c r="AR902" s="170"/>
      <c r="AS902" s="170"/>
      <c r="AT902" s="170"/>
      <c r="AU902" s="171"/>
      <c r="AV902" s="171"/>
      <c r="AW902" s="171"/>
      <c r="AX902" s="171"/>
      <c r="AY902" s="171"/>
      <c r="AZ902" s="171"/>
      <c r="BA902" s="171"/>
      <c r="BB902" s="171"/>
      <c r="BC902" s="171"/>
      <c r="BD902" s="172"/>
      <c r="BE902" s="172"/>
      <c r="BF902" s="172"/>
      <c r="BG902" s="172"/>
      <c r="BH902" s="172"/>
      <c r="BI902" s="172"/>
      <c r="BJ902" s="172"/>
      <c r="BK902" s="172"/>
      <c r="BL902" s="172"/>
      <c r="BM902" s="172"/>
      <c r="BN902" s="172"/>
      <c r="BO902" s="172"/>
      <c r="BP902" s="172"/>
      <c r="BQ902" s="172"/>
      <c r="BR902" s="172"/>
      <c r="BS902" s="172"/>
    </row>
    <row r="903" spans="1:71" ht="12.5" x14ac:dyDescent="0.25">
      <c r="A903" s="170"/>
      <c r="B903" s="170"/>
      <c r="C903" s="170"/>
      <c r="D903" s="170"/>
      <c r="E903" s="171"/>
      <c r="F903" s="171"/>
      <c r="G903" s="170"/>
      <c r="H903" s="170"/>
      <c r="I903" s="170"/>
      <c r="J903" s="171"/>
      <c r="K903" s="171"/>
      <c r="L903" s="170"/>
      <c r="M903" s="170"/>
      <c r="N903" s="170"/>
      <c r="O903" s="171"/>
      <c r="P903" s="171"/>
      <c r="Q903" s="170"/>
      <c r="R903" s="170"/>
      <c r="S903" s="170"/>
      <c r="T903" s="171"/>
      <c r="U903" s="171"/>
      <c r="V903" s="171"/>
      <c r="W903" s="171"/>
      <c r="X903" s="171"/>
      <c r="Y903" s="171"/>
      <c r="Z903" s="171"/>
      <c r="AA903" s="171"/>
      <c r="AB903" s="171"/>
      <c r="AC903" s="170"/>
      <c r="AD903" s="170"/>
      <c r="AE903" s="170"/>
      <c r="AF903" s="170"/>
      <c r="AG903" s="170"/>
      <c r="AH903" s="170"/>
      <c r="AI903" s="170"/>
      <c r="AJ903" s="170"/>
      <c r="AK903" s="171"/>
      <c r="AL903" s="171"/>
      <c r="AM903" s="170"/>
      <c r="AN903" s="170"/>
      <c r="AO903" s="170"/>
      <c r="AP903" s="171"/>
      <c r="AQ903" s="171"/>
      <c r="AR903" s="170"/>
      <c r="AS903" s="170"/>
      <c r="AT903" s="170"/>
      <c r="AU903" s="171"/>
      <c r="AV903" s="171"/>
      <c r="AW903" s="171"/>
      <c r="AX903" s="171"/>
      <c r="AY903" s="171"/>
      <c r="AZ903" s="171"/>
      <c r="BA903" s="171"/>
      <c r="BB903" s="171"/>
      <c r="BC903" s="171"/>
      <c r="BD903" s="172"/>
      <c r="BE903" s="172"/>
      <c r="BF903" s="172"/>
      <c r="BG903" s="172"/>
      <c r="BH903" s="172"/>
      <c r="BI903" s="172"/>
      <c r="BJ903" s="172"/>
      <c r="BK903" s="172"/>
      <c r="BL903" s="172"/>
      <c r="BM903" s="172"/>
      <c r="BN903" s="172"/>
      <c r="BO903" s="172"/>
      <c r="BP903" s="172"/>
      <c r="BQ903" s="172"/>
      <c r="BR903" s="172"/>
      <c r="BS903" s="172"/>
    </row>
    <row r="904" spans="1:71" ht="12.5" x14ac:dyDescent="0.25">
      <c r="A904" s="170"/>
      <c r="B904" s="170"/>
      <c r="C904" s="170"/>
      <c r="D904" s="170"/>
      <c r="E904" s="171"/>
      <c r="F904" s="171"/>
      <c r="G904" s="170"/>
      <c r="H904" s="170"/>
      <c r="I904" s="170"/>
      <c r="J904" s="171"/>
      <c r="K904" s="171"/>
      <c r="L904" s="170"/>
      <c r="M904" s="170"/>
      <c r="N904" s="170"/>
      <c r="O904" s="171"/>
      <c r="P904" s="171"/>
      <c r="Q904" s="170"/>
      <c r="R904" s="170"/>
      <c r="S904" s="170"/>
      <c r="T904" s="171"/>
      <c r="U904" s="171"/>
      <c r="V904" s="171"/>
      <c r="W904" s="171"/>
      <c r="X904" s="171"/>
      <c r="Y904" s="171"/>
      <c r="Z904" s="171"/>
      <c r="AA904" s="171"/>
      <c r="AB904" s="171"/>
      <c r="AC904" s="170"/>
      <c r="AD904" s="170"/>
      <c r="AE904" s="170"/>
      <c r="AF904" s="170"/>
      <c r="AG904" s="170"/>
      <c r="AH904" s="170"/>
      <c r="AI904" s="170"/>
      <c r="AJ904" s="170"/>
      <c r="AK904" s="171"/>
      <c r="AL904" s="171"/>
      <c r="AM904" s="170"/>
      <c r="AN904" s="170"/>
      <c r="AO904" s="170"/>
      <c r="AP904" s="171"/>
      <c r="AQ904" s="171"/>
      <c r="AR904" s="170"/>
      <c r="AS904" s="170"/>
      <c r="AT904" s="170"/>
      <c r="AU904" s="171"/>
      <c r="AV904" s="171"/>
      <c r="AW904" s="171"/>
      <c r="AX904" s="171"/>
      <c r="AY904" s="171"/>
      <c r="AZ904" s="171"/>
      <c r="BA904" s="171"/>
      <c r="BB904" s="171"/>
      <c r="BC904" s="171"/>
      <c r="BD904" s="172"/>
      <c r="BE904" s="172"/>
      <c r="BF904" s="172"/>
      <c r="BG904" s="172"/>
      <c r="BH904" s="172"/>
      <c r="BI904" s="172"/>
      <c r="BJ904" s="172"/>
      <c r="BK904" s="172"/>
      <c r="BL904" s="172"/>
      <c r="BM904" s="172"/>
      <c r="BN904" s="172"/>
      <c r="BO904" s="172"/>
      <c r="BP904" s="172"/>
      <c r="BQ904" s="172"/>
      <c r="BR904" s="172"/>
      <c r="BS904" s="172"/>
    </row>
    <row r="905" spans="1:71" ht="12.5" x14ac:dyDescent="0.25">
      <c r="A905" s="170"/>
      <c r="B905" s="170"/>
      <c r="C905" s="170"/>
      <c r="D905" s="170"/>
      <c r="E905" s="171"/>
      <c r="F905" s="171"/>
      <c r="G905" s="170"/>
      <c r="H905" s="170"/>
      <c r="I905" s="170"/>
      <c r="J905" s="171"/>
      <c r="K905" s="171"/>
      <c r="L905" s="170"/>
      <c r="M905" s="170"/>
      <c r="N905" s="170"/>
      <c r="O905" s="171"/>
      <c r="P905" s="171"/>
      <c r="Q905" s="170"/>
      <c r="R905" s="170"/>
      <c r="S905" s="170"/>
      <c r="T905" s="171"/>
      <c r="U905" s="171"/>
      <c r="V905" s="171"/>
      <c r="W905" s="171"/>
      <c r="X905" s="171"/>
      <c r="Y905" s="171"/>
      <c r="Z905" s="171"/>
      <c r="AA905" s="171"/>
      <c r="AB905" s="171"/>
      <c r="AC905" s="170"/>
      <c r="AD905" s="170"/>
      <c r="AE905" s="170"/>
      <c r="AF905" s="170"/>
      <c r="AG905" s="170"/>
      <c r="AH905" s="170"/>
      <c r="AI905" s="170"/>
      <c r="AJ905" s="170"/>
      <c r="AK905" s="171"/>
      <c r="AL905" s="171"/>
      <c r="AM905" s="170"/>
      <c r="AN905" s="170"/>
      <c r="AO905" s="170"/>
      <c r="AP905" s="171"/>
      <c r="AQ905" s="171"/>
      <c r="AR905" s="170"/>
      <c r="AS905" s="170"/>
      <c r="AT905" s="170"/>
      <c r="AU905" s="171"/>
      <c r="AV905" s="171"/>
      <c r="AW905" s="171"/>
      <c r="AX905" s="171"/>
      <c r="AY905" s="171"/>
      <c r="AZ905" s="171"/>
      <c r="BA905" s="171"/>
      <c r="BB905" s="171"/>
      <c r="BC905" s="171"/>
      <c r="BD905" s="172"/>
      <c r="BE905" s="172"/>
      <c r="BF905" s="172"/>
      <c r="BG905" s="172"/>
      <c r="BH905" s="172"/>
      <c r="BI905" s="172"/>
      <c r="BJ905" s="172"/>
      <c r="BK905" s="172"/>
      <c r="BL905" s="172"/>
      <c r="BM905" s="172"/>
      <c r="BN905" s="172"/>
      <c r="BO905" s="172"/>
      <c r="BP905" s="172"/>
      <c r="BQ905" s="172"/>
      <c r="BR905" s="172"/>
      <c r="BS905" s="172"/>
    </row>
    <row r="906" spans="1:71" ht="12.5" x14ac:dyDescent="0.25">
      <c r="A906" s="170"/>
      <c r="B906" s="170"/>
      <c r="C906" s="170"/>
      <c r="D906" s="170"/>
      <c r="E906" s="171"/>
      <c r="F906" s="171"/>
      <c r="G906" s="170"/>
      <c r="H906" s="170"/>
      <c r="I906" s="170"/>
      <c r="J906" s="171"/>
      <c r="K906" s="171"/>
      <c r="L906" s="170"/>
      <c r="M906" s="170"/>
      <c r="N906" s="170"/>
      <c r="O906" s="171"/>
      <c r="P906" s="171"/>
      <c r="Q906" s="170"/>
      <c r="R906" s="170"/>
      <c r="S906" s="170"/>
      <c r="T906" s="171"/>
      <c r="U906" s="171"/>
      <c r="V906" s="171"/>
      <c r="W906" s="171"/>
      <c r="X906" s="171"/>
      <c r="Y906" s="171"/>
      <c r="Z906" s="171"/>
      <c r="AA906" s="171"/>
      <c r="AB906" s="171"/>
      <c r="AC906" s="170"/>
      <c r="AD906" s="170"/>
      <c r="AE906" s="170"/>
      <c r="AF906" s="170"/>
      <c r="AG906" s="170"/>
      <c r="AH906" s="170"/>
      <c r="AI906" s="170"/>
      <c r="AJ906" s="170"/>
      <c r="AK906" s="171"/>
      <c r="AL906" s="171"/>
      <c r="AM906" s="170"/>
      <c r="AN906" s="170"/>
      <c r="AO906" s="170"/>
      <c r="AP906" s="171"/>
      <c r="AQ906" s="171"/>
      <c r="AR906" s="170"/>
      <c r="AS906" s="170"/>
      <c r="AT906" s="170"/>
      <c r="AU906" s="171"/>
      <c r="AV906" s="171"/>
      <c r="AW906" s="171"/>
      <c r="AX906" s="171"/>
      <c r="AY906" s="171"/>
      <c r="AZ906" s="171"/>
      <c r="BA906" s="171"/>
      <c r="BB906" s="171"/>
      <c r="BC906" s="171"/>
      <c r="BD906" s="172"/>
      <c r="BE906" s="172"/>
      <c r="BF906" s="172"/>
      <c r="BG906" s="172"/>
      <c r="BH906" s="172"/>
      <c r="BI906" s="172"/>
      <c r="BJ906" s="172"/>
      <c r="BK906" s="172"/>
      <c r="BL906" s="172"/>
      <c r="BM906" s="172"/>
      <c r="BN906" s="172"/>
      <c r="BO906" s="172"/>
      <c r="BP906" s="172"/>
      <c r="BQ906" s="172"/>
      <c r="BR906" s="172"/>
      <c r="BS906" s="172"/>
    </row>
    <row r="907" spans="1:71" ht="12.5" x14ac:dyDescent="0.25">
      <c r="A907" s="170"/>
      <c r="B907" s="170"/>
      <c r="C907" s="170"/>
      <c r="D907" s="170"/>
      <c r="E907" s="171"/>
      <c r="F907" s="171"/>
      <c r="G907" s="170"/>
      <c r="H907" s="170"/>
      <c r="I907" s="170"/>
      <c r="J907" s="171"/>
      <c r="K907" s="171"/>
      <c r="L907" s="170"/>
      <c r="M907" s="170"/>
      <c r="N907" s="170"/>
      <c r="O907" s="171"/>
      <c r="P907" s="171"/>
      <c r="Q907" s="170"/>
      <c r="R907" s="170"/>
      <c r="S907" s="170"/>
      <c r="T907" s="171"/>
      <c r="U907" s="171"/>
      <c r="V907" s="171"/>
      <c r="W907" s="171"/>
      <c r="X907" s="171"/>
      <c r="Y907" s="171"/>
      <c r="Z907" s="171"/>
      <c r="AA907" s="171"/>
      <c r="AB907" s="171"/>
      <c r="AC907" s="170"/>
      <c r="AD907" s="170"/>
      <c r="AE907" s="170"/>
      <c r="AF907" s="170"/>
      <c r="AG907" s="170"/>
      <c r="AH907" s="170"/>
      <c r="AI907" s="170"/>
      <c r="AJ907" s="170"/>
      <c r="AK907" s="171"/>
      <c r="AL907" s="171"/>
      <c r="AM907" s="170"/>
      <c r="AN907" s="170"/>
      <c r="AO907" s="170"/>
      <c r="AP907" s="171"/>
      <c r="AQ907" s="171"/>
      <c r="AR907" s="170"/>
      <c r="AS907" s="170"/>
      <c r="AT907" s="170"/>
      <c r="AU907" s="171"/>
      <c r="AV907" s="171"/>
      <c r="AW907" s="171"/>
      <c r="AX907" s="171"/>
      <c r="AY907" s="171"/>
      <c r="AZ907" s="171"/>
      <c r="BA907" s="171"/>
      <c r="BB907" s="171"/>
      <c r="BC907" s="171"/>
      <c r="BD907" s="172"/>
      <c r="BE907" s="172"/>
      <c r="BF907" s="172"/>
      <c r="BG907" s="172"/>
      <c r="BH907" s="172"/>
      <c r="BI907" s="172"/>
      <c r="BJ907" s="172"/>
      <c r="BK907" s="172"/>
      <c r="BL907" s="172"/>
      <c r="BM907" s="172"/>
      <c r="BN907" s="172"/>
      <c r="BO907" s="172"/>
      <c r="BP907" s="172"/>
      <c r="BQ907" s="172"/>
      <c r="BR907" s="172"/>
      <c r="BS907" s="172"/>
    </row>
    <row r="908" spans="1:71" ht="12.5" x14ac:dyDescent="0.25">
      <c r="A908" s="170"/>
      <c r="B908" s="170"/>
      <c r="C908" s="170"/>
      <c r="D908" s="170"/>
      <c r="E908" s="171"/>
      <c r="F908" s="171"/>
      <c r="G908" s="170"/>
      <c r="H908" s="170"/>
      <c r="I908" s="170"/>
      <c r="J908" s="171"/>
      <c r="K908" s="171"/>
      <c r="L908" s="170"/>
      <c r="M908" s="170"/>
      <c r="N908" s="170"/>
      <c r="O908" s="171"/>
      <c r="P908" s="171"/>
      <c r="Q908" s="170"/>
      <c r="R908" s="170"/>
      <c r="S908" s="170"/>
      <c r="T908" s="171"/>
      <c r="U908" s="171"/>
      <c r="V908" s="171"/>
      <c r="W908" s="171"/>
      <c r="X908" s="171"/>
      <c r="Y908" s="171"/>
      <c r="Z908" s="171"/>
      <c r="AA908" s="171"/>
      <c r="AB908" s="171"/>
      <c r="AC908" s="170"/>
      <c r="AD908" s="170"/>
      <c r="AE908" s="170"/>
      <c r="AF908" s="170"/>
      <c r="AG908" s="170"/>
      <c r="AH908" s="170"/>
      <c r="AI908" s="170"/>
      <c r="AJ908" s="170"/>
      <c r="AK908" s="171"/>
      <c r="AL908" s="171"/>
      <c r="AM908" s="170"/>
      <c r="AN908" s="170"/>
      <c r="AO908" s="170"/>
      <c r="AP908" s="171"/>
      <c r="AQ908" s="171"/>
      <c r="AR908" s="170"/>
      <c r="AS908" s="170"/>
      <c r="AT908" s="170"/>
      <c r="AU908" s="171"/>
      <c r="AV908" s="171"/>
      <c r="AW908" s="171"/>
      <c r="AX908" s="171"/>
      <c r="AY908" s="171"/>
      <c r="AZ908" s="171"/>
      <c r="BA908" s="171"/>
      <c r="BB908" s="171"/>
      <c r="BC908" s="171"/>
      <c r="BD908" s="172"/>
      <c r="BE908" s="172"/>
      <c r="BF908" s="172"/>
      <c r="BG908" s="172"/>
      <c r="BH908" s="172"/>
      <c r="BI908" s="172"/>
      <c r="BJ908" s="172"/>
      <c r="BK908" s="172"/>
      <c r="BL908" s="172"/>
      <c r="BM908" s="172"/>
      <c r="BN908" s="172"/>
      <c r="BO908" s="172"/>
      <c r="BP908" s="172"/>
      <c r="BQ908" s="172"/>
      <c r="BR908" s="172"/>
      <c r="BS908" s="172"/>
    </row>
    <row r="909" spans="1:71" ht="12.5" x14ac:dyDescent="0.25">
      <c r="A909" s="170"/>
      <c r="B909" s="170"/>
      <c r="C909" s="170"/>
      <c r="D909" s="170"/>
      <c r="E909" s="171"/>
      <c r="F909" s="171"/>
      <c r="G909" s="170"/>
      <c r="H909" s="170"/>
      <c r="I909" s="170"/>
      <c r="J909" s="171"/>
      <c r="K909" s="171"/>
      <c r="L909" s="170"/>
      <c r="M909" s="170"/>
      <c r="N909" s="170"/>
      <c r="O909" s="171"/>
      <c r="P909" s="171"/>
      <c r="Q909" s="170"/>
      <c r="R909" s="170"/>
      <c r="S909" s="170"/>
      <c r="T909" s="171"/>
      <c r="U909" s="171"/>
      <c r="V909" s="171"/>
      <c r="W909" s="171"/>
      <c r="X909" s="171"/>
      <c r="Y909" s="171"/>
      <c r="Z909" s="171"/>
      <c r="AA909" s="171"/>
      <c r="AB909" s="171"/>
      <c r="AC909" s="170"/>
      <c r="AD909" s="170"/>
      <c r="AE909" s="170"/>
      <c r="AF909" s="170"/>
      <c r="AG909" s="170"/>
      <c r="AH909" s="170"/>
      <c r="AI909" s="170"/>
      <c r="AJ909" s="170"/>
      <c r="AK909" s="171"/>
      <c r="AL909" s="171"/>
      <c r="AM909" s="170"/>
      <c r="AN909" s="170"/>
      <c r="AO909" s="170"/>
      <c r="AP909" s="171"/>
      <c r="AQ909" s="171"/>
      <c r="AR909" s="170"/>
      <c r="AS909" s="170"/>
      <c r="AT909" s="170"/>
      <c r="AU909" s="171"/>
      <c r="AV909" s="171"/>
      <c r="AW909" s="171"/>
      <c r="AX909" s="171"/>
      <c r="AY909" s="171"/>
      <c r="AZ909" s="171"/>
      <c r="BA909" s="171"/>
      <c r="BB909" s="171"/>
      <c r="BC909" s="171"/>
      <c r="BD909" s="172"/>
      <c r="BE909" s="172"/>
      <c r="BF909" s="172"/>
      <c r="BG909" s="172"/>
      <c r="BH909" s="172"/>
      <c r="BI909" s="172"/>
      <c r="BJ909" s="172"/>
      <c r="BK909" s="172"/>
      <c r="BL909" s="172"/>
      <c r="BM909" s="172"/>
      <c r="BN909" s="172"/>
      <c r="BO909" s="172"/>
      <c r="BP909" s="172"/>
      <c r="BQ909" s="172"/>
      <c r="BR909" s="172"/>
      <c r="BS909" s="172"/>
    </row>
    <row r="910" spans="1:71" ht="12.5" x14ac:dyDescent="0.25">
      <c r="A910" s="170"/>
      <c r="B910" s="170"/>
      <c r="C910" s="170"/>
      <c r="D910" s="170"/>
      <c r="E910" s="171"/>
      <c r="F910" s="171"/>
      <c r="G910" s="170"/>
      <c r="H910" s="170"/>
      <c r="I910" s="170"/>
      <c r="J910" s="171"/>
      <c r="K910" s="171"/>
      <c r="L910" s="170"/>
      <c r="M910" s="170"/>
      <c r="N910" s="170"/>
      <c r="O910" s="171"/>
      <c r="P910" s="171"/>
      <c r="Q910" s="170"/>
      <c r="R910" s="170"/>
      <c r="S910" s="170"/>
      <c r="T910" s="171"/>
      <c r="U910" s="171"/>
      <c r="V910" s="171"/>
      <c r="W910" s="171"/>
      <c r="X910" s="171"/>
      <c r="Y910" s="171"/>
      <c r="Z910" s="171"/>
      <c r="AA910" s="171"/>
      <c r="AB910" s="171"/>
      <c r="AC910" s="170"/>
      <c r="AD910" s="170"/>
      <c r="AE910" s="170"/>
      <c r="AF910" s="170"/>
      <c r="AG910" s="170"/>
      <c r="AH910" s="170"/>
      <c r="AI910" s="170"/>
      <c r="AJ910" s="170"/>
      <c r="AK910" s="171"/>
      <c r="AL910" s="171"/>
      <c r="AM910" s="170"/>
      <c r="AN910" s="170"/>
      <c r="AO910" s="170"/>
      <c r="AP910" s="171"/>
      <c r="AQ910" s="171"/>
      <c r="AR910" s="170"/>
      <c r="AS910" s="170"/>
      <c r="AT910" s="170"/>
      <c r="AU910" s="171"/>
      <c r="AV910" s="171"/>
      <c r="AW910" s="171"/>
      <c r="AX910" s="171"/>
      <c r="AY910" s="171"/>
      <c r="AZ910" s="171"/>
      <c r="BA910" s="171"/>
      <c r="BB910" s="171"/>
      <c r="BC910" s="171"/>
      <c r="BD910" s="172"/>
      <c r="BE910" s="172"/>
      <c r="BF910" s="172"/>
      <c r="BG910" s="172"/>
      <c r="BH910" s="172"/>
      <c r="BI910" s="172"/>
      <c r="BJ910" s="172"/>
      <c r="BK910" s="172"/>
      <c r="BL910" s="172"/>
      <c r="BM910" s="172"/>
      <c r="BN910" s="172"/>
      <c r="BO910" s="172"/>
      <c r="BP910" s="172"/>
      <c r="BQ910" s="172"/>
      <c r="BR910" s="172"/>
      <c r="BS910" s="172"/>
    </row>
    <row r="911" spans="1:71" ht="12.5" x14ac:dyDescent="0.25">
      <c r="A911" s="170"/>
      <c r="B911" s="170"/>
      <c r="C911" s="170"/>
      <c r="D911" s="170"/>
      <c r="E911" s="171"/>
      <c r="F911" s="171"/>
      <c r="G911" s="170"/>
      <c r="H911" s="170"/>
      <c r="I911" s="170"/>
      <c r="J911" s="171"/>
      <c r="K911" s="171"/>
      <c r="L911" s="170"/>
      <c r="M911" s="170"/>
      <c r="N911" s="170"/>
      <c r="O911" s="171"/>
      <c r="P911" s="171"/>
      <c r="Q911" s="170"/>
      <c r="R911" s="170"/>
      <c r="S911" s="170"/>
      <c r="T911" s="171"/>
      <c r="U911" s="171"/>
      <c r="V911" s="171"/>
      <c r="W911" s="171"/>
      <c r="X911" s="171"/>
      <c r="Y911" s="171"/>
      <c r="Z911" s="171"/>
      <c r="AA911" s="171"/>
      <c r="AB911" s="171"/>
      <c r="AC911" s="170"/>
      <c r="AD911" s="170"/>
      <c r="AE911" s="170"/>
      <c r="AF911" s="170"/>
      <c r="AG911" s="170"/>
      <c r="AH911" s="170"/>
      <c r="AI911" s="170"/>
      <c r="AJ911" s="170"/>
      <c r="AK911" s="171"/>
      <c r="AL911" s="171"/>
      <c r="AM911" s="170"/>
      <c r="AN911" s="170"/>
      <c r="AO911" s="170"/>
      <c r="AP911" s="171"/>
      <c r="AQ911" s="171"/>
      <c r="AR911" s="170"/>
      <c r="AS911" s="170"/>
      <c r="AT911" s="170"/>
      <c r="AU911" s="171"/>
      <c r="AV911" s="171"/>
      <c r="AW911" s="171"/>
      <c r="AX911" s="171"/>
      <c r="AY911" s="171"/>
      <c r="AZ911" s="171"/>
      <c r="BA911" s="171"/>
      <c r="BB911" s="171"/>
      <c r="BC911" s="171"/>
      <c r="BD911" s="172"/>
      <c r="BE911" s="172"/>
      <c r="BF911" s="172"/>
      <c r="BG911" s="172"/>
      <c r="BH911" s="172"/>
      <c r="BI911" s="172"/>
      <c r="BJ911" s="172"/>
      <c r="BK911" s="172"/>
      <c r="BL911" s="172"/>
      <c r="BM911" s="172"/>
      <c r="BN911" s="172"/>
      <c r="BO911" s="172"/>
      <c r="BP911" s="172"/>
      <c r="BQ911" s="172"/>
      <c r="BR911" s="172"/>
      <c r="BS911" s="172"/>
    </row>
    <row r="912" spans="1:71" ht="12.5" x14ac:dyDescent="0.25">
      <c r="A912" s="170"/>
      <c r="B912" s="170"/>
      <c r="C912" s="170"/>
      <c r="D912" s="170"/>
      <c r="E912" s="171"/>
      <c r="F912" s="171"/>
      <c r="G912" s="170"/>
      <c r="H912" s="170"/>
      <c r="I912" s="170"/>
      <c r="J912" s="171"/>
      <c r="K912" s="171"/>
      <c r="L912" s="170"/>
      <c r="M912" s="170"/>
      <c r="N912" s="170"/>
      <c r="O912" s="171"/>
      <c r="P912" s="171"/>
      <c r="Q912" s="170"/>
      <c r="R912" s="170"/>
      <c r="S912" s="170"/>
      <c r="T912" s="171"/>
      <c r="U912" s="171"/>
      <c r="V912" s="171"/>
      <c r="W912" s="171"/>
      <c r="X912" s="171"/>
      <c r="Y912" s="171"/>
      <c r="Z912" s="171"/>
      <c r="AA912" s="171"/>
      <c r="AB912" s="171"/>
      <c r="AC912" s="170"/>
      <c r="AD912" s="170"/>
      <c r="AE912" s="170"/>
      <c r="AF912" s="170"/>
      <c r="AG912" s="170"/>
      <c r="AH912" s="170"/>
      <c r="AI912" s="170"/>
      <c r="AJ912" s="170"/>
      <c r="AK912" s="171"/>
      <c r="AL912" s="171"/>
      <c r="AM912" s="170"/>
      <c r="AN912" s="170"/>
      <c r="AO912" s="170"/>
      <c r="AP912" s="171"/>
      <c r="AQ912" s="171"/>
      <c r="AR912" s="170"/>
      <c r="AS912" s="170"/>
      <c r="AT912" s="170"/>
      <c r="AU912" s="171"/>
      <c r="AV912" s="171"/>
      <c r="AW912" s="171"/>
      <c r="AX912" s="171"/>
      <c r="AY912" s="171"/>
      <c r="AZ912" s="171"/>
      <c r="BA912" s="171"/>
      <c r="BB912" s="171"/>
      <c r="BC912" s="171"/>
      <c r="BD912" s="172"/>
      <c r="BE912" s="172"/>
      <c r="BF912" s="172"/>
      <c r="BG912" s="172"/>
      <c r="BH912" s="172"/>
      <c r="BI912" s="172"/>
      <c r="BJ912" s="172"/>
      <c r="BK912" s="172"/>
      <c r="BL912" s="172"/>
      <c r="BM912" s="172"/>
      <c r="BN912" s="172"/>
      <c r="BO912" s="172"/>
      <c r="BP912" s="172"/>
      <c r="BQ912" s="172"/>
      <c r="BR912" s="172"/>
      <c r="BS912" s="172"/>
    </row>
    <row r="913" spans="1:71" ht="12.5" x14ac:dyDescent="0.25">
      <c r="A913" s="170"/>
      <c r="B913" s="170"/>
      <c r="C913" s="170"/>
      <c r="D913" s="170"/>
      <c r="E913" s="171"/>
      <c r="F913" s="171"/>
      <c r="G913" s="170"/>
      <c r="H913" s="170"/>
      <c r="I913" s="170"/>
      <c r="J913" s="171"/>
      <c r="K913" s="171"/>
      <c r="L913" s="170"/>
      <c r="M913" s="170"/>
      <c r="N913" s="170"/>
      <c r="O913" s="171"/>
      <c r="P913" s="171"/>
      <c r="Q913" s="170"/>
      <c r="R913" s="170"/>
      <c r="S913" s="170"/>
      <c r="T913" s="171"/>
      <c r="U913" s="171"/>
      <c r="V913" s="171"/>
      <c r="W913" s="171"/>
      <c r="X913" s="171"/>
      <c r="Y913" s="171"/>
      <c r="Z913" s="171"/>
      <c r="AA913" s="171"/>
      <c r="AB913" s="171"/>
      <c r="AC913" s="170"/>
      <c r="AD913" s="170"/>
      <c r="AE913" s="170"/>
      <c r="AF913" s="170"/>
      <c r="AG913" s="170"/>
      <c r="AH913" s="170"/>
      <c r="AI913" s="170"/>
      <c r="AJ913" s="170"/>
      <c r="AK913" s="171"/>
      <c r="AL913" s="171"/>
      <c r="AM913" s="170"/>
      <c r="AN913" s="170"/>
      <c r="AO913" s="170"/>
      <c r="AP913" s="171"/>
      <c r="AQ913" s="171"/>
      <c r="AR913" s="170"/>
      <c r="AS913" s="170"/>
      <c r="AT913" s="170"/>
      <c r="AU913" s="171"/>
      <c r="AV913" s="171"/>
      <c r="AW913" s="171"/>
      <c r="AX913" s="171"/>
      <c r="AY913" s="171"/>
      <c r="AZ913" s="171"/>
      <c r="BA913" s="171"/>
      <c r="BB913" s="171"/>
      <c r="BC913" s="171"/>
      <c r="BD913" s="172"/>
      <c r="BE913" s="172"/>
      <c r="BF913" s="172"/>
      <c r="BG913" s="172"/>
      <c r="BH913" s="172"/>
      <c r="BI913" s="172"/>
      <c r="BJ913" s="172"/>
      <c r="BK913" s="172"/>
      <c r="BL913" s="172"/>
      <c r="BM913" s="172"/>
      <c r="BN913" s="172"/>
      <c r="BO913" s="172"/>
      <c r="BP913" s="172"/>
      <c r="BQ913" s="172"/>
      <c r="BR913" s="172"/>
      <c r="BS913" s="172"/>
    </row>
    <row r="914" spans="1:71" ht="12.5" x14ac:dyDescent="0.25">
      <c r="A914" s="170"/>
      <c r="B914" s="170"/>
      <c r="C914" s="170"/>
      <c r="D914" s="170"/>
      <c r="E914" s="171"/>
      <c r="F914" s="171"/>
      <c r="G914" s="170"/>
      <c r="H914" s="170"/>
      <c r="I914" s="170"/>
      <c r="J914" s="171"/>
      <c r="K914" s="171"/>
      <c r="L914" s="170"/>
      <c r="M914" s="170"/>
      <c r="N914" s="170"/>
      <c r="O914" s="171"/>
      <c r="P914" s="171"/>
      <c r="Q914" s="170"/>
      <c r="R914" s="170"/>
      <c r="S914" s="170"/>
      <c r="T914" s="171"/>
      <c r="U914" s="171"/>
      <c r="V914" s="171"/>
      <c r="W914" s="171"/>
      <c r="X914" s="171"/>
      <c r="Y914" s="171"/>
      <c r="Z914" s="171"/>
      <c r="AA914" s="171"/>
      <c r="AB914" s="171"/>
      <c r="AC914" s="170"/>
      <c r="AD914" s="170"/>
      <c r="AE914" s="170"/>
      <c r="AF914" s="170"/>
      <c r="AG914" s="170"/>
      <c r="AH914" s="170"/>
      <c r="AI914" s="170"/>
      <c r="AJ914" s="170"/>
      <c r="AK914" s="171"/>
      <c r="AL914" s="171"/>
      <c r="AM914" s="170"/>
      <c r="AN914" s="170"/>
      <c r="AO914" s="170"/>
      <c r="AP914" s="171"/>
      <c r="AQ914" s="171"/>
      <c r="AR914" s="170"/>
      <c r="AS914" s="170"/>
      <c r="AT914" s="170"/>
      <c r="AU914" s="171"/>
      <c r="AV914" s="171"/>
      <c r="AW914" s="171"/>
      <c r="AX914" s="171"/>
      <c r="AY914" s="171"/>
      <c r="AZ914" s="171"/>
      <c r="BA914" s="171"/>
      <c r="BB914" s="171"/>
      <c r="BC914" s="171"/>
      <c r="BD914" s="172"/>
      <c r="BE914" s="172"/>
      <c r="BF914" s="172"/>
      <c r="BG914" s="172"/>
      <c r="BH914" s="172"/>
      <c r="BI914" s="172"/>
      <c r="BJ914" s="172"/>
      <c r="BK914" s="172"/>
      <c r="BL914" s="172"/>
      <c r="BM914" s="172"/>
      <c r="BN914" s="172"/>
      <c r="BO914" s="172"/>
      <c r="BP914" s="172"/>
      <c r="BQ914" s="172"/>
      <c r="BR914" s="172"/>
      <c r="BS914" s="172"/>
    </row>
    <row r="915" spans="1:71" ht="12.5" x14ac:dyDescent="0.25">
      <c r="A915" s="170"/>
      <c r="B915" s="170"/>
      <c r="C915" s="170"/>
      <c r="D915" s="170"/>
      <c r="E915" s="171"/>
      <c r="F915" s="171"/>
      <c r="G915" s="170"/>
      <c r="H915" s="170"/>
      <c r="I915" s="170"/>
      <c r="J915" s="171"/>
      <c r="K915" s="171"/>
      <c r="L915" s="170"/>
      <c r="M915" s="170"/>
      <c r="N915" s="170"/>
      <c r="O915" s="171"/>
      <c r="P915" s="171"/>
      <c r="Q915" s="170"/>
      <c r="R915" s="170"/>
      <c r="S915" s="170"/>
      <c r="T915" s="171"/>
      <c r="U915" s="171"/>
      <c r="V915" s="171"/>
      <c r="W915" s="171"/>
      <c r="X915" s="171"/>
      <c r="Y915" s="171"/>
      <c r="Z915" s="171"/>
      <c r="AA915" s="171"/>
      <c r="AB915" s="171"/>
      <c r="AC915" s="170"/>
      <c r="AD915" s="170"/>
      <c r="AE915" s="170"/>
      <c r="AF915" s="170"/>
      <c r="AG915" s="170"/>
      <c r="AH915" s="170"/>
      <c r="AI915" s="170"/>
      <c r="AJ915" s="170"/>
      <c r="AK915" s="171"/>
      <c r="AL915" s="171"/>
      <c r="AM915" s="170"/>
      <c r="AN915" s="170"/>
      <c r="AO915" s="170"/>
      <c r="AP915" s="171"/>
      <c r="AQ915" s="171"/>
      <c r="AR915" s="170"/>
      <c r="AS915" s="170"/>
      <c r="AT915" s="170"/>
      <c r="AU915" s="171"/>
      <c r="AV915" s="171"/>
      <c r="AW915" s="171"/>
      <c r="AX915" s="171"/>
      <c r="AY915" s="171"/>
      <c r="AZ915" s="171"/>
      <c r="BA915" s="171"/>
      <c r="BB915" s="171"/>
      <c r="BC915" s="171"/>
      <c r="BD915" s="172"/>
      <c r="BE915" s="172"/>
      <c r="BF915" s="172"/>
      <c r="BG915" s="172"/>
      <c r="BH915" s="172"/>
      <c r="BI915" s="172"/>
      <c r="BJ915" s="172"/>
      <c r="BK915" s="172"/>
      <c r="BL915" s="172"/>
      <c r="BM915" s="172"/>
      <c r="BN915" s="172"/>
      <c r="BO915" s="172"/>
      <c r="BP915" s="172"/>
      <c r="BQ915" s="172"/>
      <c r="BR915" s="172"/>
      <c r="BS915" s="172"/>
    </row>
    <row r="916" spans="1:71" ht="12.5" x14ac:dyDescent="0.25">
      <c r="A916" s="170"/>
      <c r="B916" s="170"/>
      <c r="C916" s="170"/>
      <c r="D916" s="170"/>
      <c r="E916" s="171"/>
      <c r="F916" s="171"/>
      <c r="G916" s="170"/>
      <c r="H916" s="170"/>
      <c r="I916" s="170"/>
      <c r="J916" s="171"/>
      <c r="K916" s="171"/>
      <c r="L916" s="170"/>
      <c r="M916" s="170"/>
      <c r="N916" s="170"/>
      <c r="O916" s="171"/>
      <c r="P916" s="171"/>
      <c r="Q916" s="170"/>
      <c r="R916" s="170"/>
      <c r="S916" s="170"/>
      <c r="T916" s="171"/>
      <c r="U916" s="171"/>
      <c r="V916" s="171"/>
      <c r="W916" s="171"/>
      <c r="X916" s="171"/>
      <c r="Y916" s="171"/>
      <c r="Z916" s="171"/>
      <c r="AA916" s="171"/>
      <c r="AB916" s="171"/>
      <c r="AC916" s="170"/>
      <c r="AD916" s="170"/>
      <c r="AE916" s="170"/>
      <c r="AF916" s="170"/>
      <c r="AG916" s="170"/>
      <c r="AH916" s="170"/>
      <c r="AI916" s="170"/>
      <c r="AJ916" s="170"/>
      <c r="AK916" s="171"/>
      <c r="AL916" s="171"/>
      <c r="AM916" s="170"/>
      <c r="AN916" s="170"/>
      <c r="AO916" s="170"/>
      <c r="AP916" s="171"/>
      <c r="AQ916" s="171"/>
      <c r="AR916" s="170"/>
      <c r="AS916" s="170"/>
      <c r="AT916" s="170"/>
      <c r="AU916" s="171"/>
      <c r="AV916" s="171"/>
      <c r="AW916" s="171"/>
      <c r="AX916" s="171"/>
      <c r="AY916" s="171"/>
      <c r="AZ916" s="171"/>
      <c r="BA916" s="171"/>
      <c r="BB916" s="171"/>
      <c r="BC916" s="171"/>
      <c r="BD916" s="172"/>
      <c r="BE916" s="172"/>
      <c r="BF916" s="172"/>
      <c r="BG916" s="172"/>
      <c r="BH916" s="172"/>
      <c r="BI916" s="172"/>
      <c r="BJ916" s="172"/>
      <c r="BK916" s="172"/>
      <c r="BL916" s="172"/>
      <c r="BM916" s="172"/>
      <c r="BN916" s="172"/>
      <c r="BO916" s="172"/>
      <c r="BP916" s="172"/>
      <c r="BQ916" s="172"/>
      <c r="BR916" s="172"/>
      <c r="BS916" s="172"/>
    </row>
    <row r="917" spans="1:71" ht="12.5" x14ac:dyDescent="0.25">
      <c r="A917" s="170"/>
      <c r="B917" s="170"/>
      <c r="C917" s="170"/>
      <c r="D917" s="170"/>
      <c r="E917" s="171"/>
      <c r="F917" s="171"/>
      <c r="G917" s="170"/>
      <c r="H917" s="170"/>
      <c r="I917" s="170"/>
      <c r="J917" s="171"/>
      <c r="K917" s="171"/>
      <c r="L917" s="170"/>
      <c r="M917" s="170"/>
      <c r="N917" s="170"/>
      <c r="O917" s="171"/>
      <c r="P917" s="171"/>
      <c r="Q917" s="170"/>
      <c r="R917" s="170"/>
      <c r="S917" s="170"/>
      <c r="T917" s="171"/>
      <c r="U917" s="171"/>
      <c r="V917" s="171"/>
      <c r="W917" s="171"/>
      <c r="X917" s="171"/>
      <c r="Y917" s="171"/>
      <c r="Z917" s="171"/>
      <c r="AA917" s="171"/>
      <c r="AB917" s="171"/>
      <c r="AC917" s="170"/>
      <c r="AD917" s="170"/>
      <c r="AE917" s="170"/>
      <c r="AF917" s="170"/>
      <c r="AG917" s="170"/>
      <c r="AH917" s="170"/>
      <c r="AI917" s="170"/>
      <c r="AJ917" s="170"/>
      <c r="AK917" s="171"/>
      <c r="AL917" s="171"/>
      <c r="AM917" s="170"/>
      <c r="AN917" s="170"/>
      <c r="AO917" s="170"/>
      <c r="AP917" s="171"/>
      <c r="AQ917" s="171"/>
      <c r="AR917" s="170"/>
      <c r="AS917" s="170"/>
      <c r="AT917" s="170"/>
      <c r="AU917" s="171"/>
      <c r="AV917" s="171"/>
      <c r="AW917" s="171"/>
      <c r="AX917" s="171"/>
      <c r="AY917" s="171"/>
      <c r="AZ917" s="171"/>
      <c r="BA917" s="171"/>
      <c r="BB917" s="171"/>
      <c r="BC917" s="171"/>
      <c r="BD917" s="172"/>
      <c r="BE917" s="172"/>
      <c r="BF917" s="172"/>
      <c r="BG917" s="172"/>
      <c r="BH917" s="172"/>
      <c r="BI917" s="172"/>
      <c r="BJ917" s="172"/>
      <c r="BK917" s="172"/>
      <c r="BL917" s="172"/>
      <c r="BM917" s="172"/>
      <c r="BN917" s="172"/>
      <c r="BO917" s="172"/>
      <c r="BP917" s="172"/>
      <c r="BQ917" s="172"/>
      <c r="BR917" s="172"/>
      <c r="BS917" s="172"/>
    </row>
    <row r="918" spans="1:71" ht="12.5" x14ac:dyDescent="0.25">
      <c r="A918" s="170"/>
      <c r="B918" s="170"/>
      <c r="C918" s="170"/>
      <c r="D918" s="170"/>
      <c r="E918" s="171"/>
      <c r="F918" s="171"/>
      <c r="G918" s="170"/>
      <c r="H918" s="170"/>
      <c r="I918" s="170"/>
      <c r="J918" s="171"/>
      <c r="K918" s="171"/>
      <c r="L918" s="170"/>
      <c r="M918" s="170"/>
      <c r="N918" s="170"/>
      <c r="O918" s="171"/>
      <c r="P918" s="171"/>
      <c r="Q918" s="170"/>
      <c r="R918" s="170"/>
      <c r="S918" s="170"/>
      <c r="T918" s="171"/>
      <c r="U918" s="171"/>
      <c r="V918" s="171"/>
      <c r="W918" s="171"/>
      <c r="X918" s="171"/>
      <c r="Y918" s="171"/>
      <c r="Z918" s="171"/>
      <c r="AA918" s="171"/>
      <c r="AB918" s="171"/>
      <c r="AC918" s="170"/>
      <c r="AD918" s="170"/>
      <c r="AE918" s="170"/>
      <c r="AF918" s="170"/>
      <c r="AG918" s="170"/>
      <c r="AH918" s="170"/>
      <c r="AI918" s="170"/>
      <c r="AJ918" s="170"/>
      <c r="AK918" s="171"/>
      <c r="AL918" s="171"/>
      <c r="AM918" s="170"/>
      <c r="AN918" s="170"/>
      <c r="AO918" s="170"/>
      <c r="AP918" s="171"/>
      <c r="AQ918" s="171"/>
      <c r="AR918" s="170"/>
      <c r="AS918" s="170"/>
      <c r="AT918" s="170"/>
      <c r="AU918" s="171"/>
      <c r="AV918" s="171"/>
      <c r="AW918" s="171"/>
      <c r="AX918" s="171"/>
      <c r="AY918" s="171"/>
      <c r="AZ918" s="171"/>
      <c r="BA918" s="171"/>
      <c r="BB918" s="171"/>
      <c r="BC918" s="171"/>
      <c r="BD918" s="172"/>
      <c r="BE918" s="172"/>
      <c r="BF918" s="172"/>
      <c r="BG918" s="172"/>
      <c r="BH918" s="172"/>
      <c r="BI918" s="172"/>
      <c r="BJ918" s="172"/>
      <c r="BK918" s="172"/>
      <c r="BL918" s="172"/>
      <c r="BM918" s="172"/>
      <c r="BN918" s="172"/>
      <c r="BO918" s="172"/>
      <c r="BP918" s="172"/>
      <c r="BQ918" s="172"/>
      <c r="BR918" s="172"/>
      <c r="BS918" s="172"/>
    </row>
    <row r="919" spans="1:71" ht="12.5" x14ac:dyDescent="0.25">
      <c r="A919" s="170"/>
      <c r="B919" s="170"/>
      <c r="C919" s="170"/>
      <c r="D919" s="170"/>
      <c r="E919" s="171"/>
      <c r="F919" s="171"/>
      <c r="G919" s="170"/>
      <c r="H919" s="170"/>
      <c r="I919" s="170"/>
      <c r="J919" s="171"/>
      <c r="K919" s="171"/>
      <c r="L919" s="170"/>
      <c r="M919" s="170"/>
      <c r="N919" s="170"/>
      <c r="O919" s="171"/>
      <c r="P919" s="171"/>
      <c r="Q919" s="170"/>
      <c r="R919" s="170"/>
      <c r="S919" s="170"/>
      <c r="T919" s="171"/>
      <c r="U919" s="171"/>
      <c r="V919" s="171"/>
      <c r="W919" s="171"/>
      <c r="X919" s="171"/>
      <c r="Y919" s="171"/>
      <c r="Z919" s="171"/>
      <c r="AA919" s="171"/>
      <c r="AB919" s="171"/>
      <c r="AC919" s="170"/>
      <c r="AD919" s="170"/>
      <c r="AE919" s="170"/>
      <c r="AF919" s="170"/>
      <c r="AG919" s="170"/>
      <c r="AH919" s="170"/>
      <c r="AI919" s="170"/>
      <c r="AJ919" s="170"/>
      <c r="AK919" s="171"/>
      <c r="AL919" s="171"/>
      <c r="AM919" s="170"/>
      <c r="AN919" s="170"/>
      <c r="AO919" s="170"/>
      <c r="AP919" s="171"/>
      <c r="AQ919" s="171"/>
      <c r="AR919" s="170"/>
      <c r="AS919" s="170"/>
      <c r="AT919" s="170"/>
      <c r="AU919" s="171"/>
      <c r="AV919" s="171"/>
      <c r="AW919" s="171"/>
      <c r="AX919" s="171"/>
      <c r="AY919" s="171"/>
      <c r="AZ919" s="171"/>
      <c r="BA919" s="171"/>
      <c r="BB919" s="171"/>
      <c r="BC919" s="171"/>
      <c r="BD919" s="172"/>
      <c r="BE919" s="172"/>
      <c r="BF919" s="172"/>
      <c r="BG919" s="172"/>
      <c r="BH919" s="172"/>
      <c r="BI919" s="172"/>
      <c r="BJ919" s="172"/>
      <c r="BK919" s="172"/>
      <c r="BL919" s="172"/>
      <c r="BM919" s="172"/>
      <c r="BN919" s="172"/>
      <c r="BO919" s="172"/>
      <c r="BP919" s="172"/>
      <c r="BQ919" s="172"/>
      <c r="BR919" s="172"/>
      <c r="BS919" s="172"/>
    </row>
    <row r="920" spans="1:71" ht="12.5" x14ac:dyDescent="0.25">
      <c r="A920" s="170"/>
      <c r="B920" s="170"/>
      <c r="C920" s="170"/>
      <c r="D920" s="170"/>
      <c r="E920" s="171"/>
      <c r="F920" s="171"/>
      <c r="G920" s="170"/>
      <c r="H920" s="170"/>
      <c r="I920" s="170"/>
      <c r="J920" s="171"/>
      <c r="K920" s="171"/>
      <c r="L920" s="170"/>
      <c r="M920" s="170"/>
      <c r="N920" s="170"/>
      <c r="O920" s="171"/>
      <c r="P920" s="171"/>
      <c r="Q920" s="170"/>
      <c r="R920" s="170"/>
      <c r="S920" s="170"/>
      <c r="T920" s="171"/>
      <c r="U920" s="171"/>
      <c r="V920" s="171"/>
      <c r="W920" s="171"/>
      <c r="X920" s="171"/>
      <c r="Y920" s="171"/>
      <c r="Z920" s="171"/>
      <c r="AA920" s="171"/>
      <c r="AB920" s="171"/>
      <c r="AC920" s="170"/>
      <c r="AD920" s="170"/>
      <c r="AE920" s="170"/>
      <c r="AF920" s="170"/>
      <c r="AG920" s="170"/>
      <c r="AH920" s="170"/>
      <c r="AI920" s="170"/>
      <c r="AJ920" s="170"/>
      <c r="AK920" s="171"/>
      <c r="AL920" s="171"/>
      <c r="AM920" s="170"/>
      <c r="AN920" s="170"/>
      <c r="AO920" s="170"/>
      <c r="AP920" s="171"/>
      <c r="AQ920" s="171"/>
      <c r="AR920" s="170"/>
      <c r="AS920" s="170"/>
      <c r="AT920" s="170"/>
      <c r="AU920" s="171"/>
      <c r="AV920" s="171"/>
      <c r="AW920" s="171"/>
      <c r="AX920" s="171"/>
      <c r="AY920" s="171"/>
      <c r="AZ920" s="171"/>
      <c r="BA920" s="171"/>
      <c r="BB920" s="171"/>
      <c r="BC920" s="171"/>
      <c r="BD920" s="172"/>
      <c r="BE920" s="172"/>
      <c r="BF920" s="172"/>
      <c r="BG920" s="172"/>
      <c r="BH920" s="172"/>
      <c r="BI920" s="172"/>
      <c r="BJ920" s="172"/>
      <c r="BK920" s="172"/>
      <c r="BL920" s="172"/>
      <c r="BM920" s="172"/>
      <c r="BN920" s="172"/>
      <c r="BO920" s="172"/>
      <c r="BP920" s="172"/>
      <c r="BQ920" s="172"/>
      <c r="BR920" s="172"/>
      <c r="BS920" s="172"/>
    </row>
    <row r="921" spans="1:71" ht="12.5" x14ac:dyDescent="0.25">
      <c r="A921" s="170"/>
      <c r="B921" s="170"/>
      <c r="C921" s="170"/>
      <c r="D921" s="170"/>
      <c r="E921" s="171"/>
      <c r="F921" s="171"/>
      <c r="G921" s="170"/>
      <c r="H921" s="170"/>
      <c r="I921" s="170"/>
      <c r="J921" s="171"/>
      <c r="K921" s="171"/>
      <c r="L921" s="170"/>
      <c r="M921" s="170"/>
      <c r="N921" s="170"/>
      <c r="O921" s="171"/>
      <c r="P921" s="171"/>
      <c r="Q921" s="170"/>
      <c r="R921" s="170"/>
      <c r="S921" s="170"/>
      <c r="T921" s="171"/>
      <c r="U921" s="171"/>
      <c r="V921" s="171"/>
      <c r="W921" s="171"/>
      <c r="X921" s="171"/>
      <c r="Y921" s="171"/>
      <c r="Z921" s="171"/>
      <c r="AA921" s="171"/>
      <c r="AB921" s="171"/>
      <c r="AC921" s="170"/>
      <c r="AD921" s="170"/>
      <c r="AE921" s="170"/>
      <c r="AF921" s="170"/>
      <c r="AG921" s="170"/>
      <c r="AH921" s="170"/>
      <c r="AI921" s="170"/>
      <c r="AJ921" s="170"/>
      <c r="AK921" s="171"/>
      <c r="AL921" s="171"/>
      <c r="AM921" s="170"/>
      <c r="AN921" s="170"/>
      <c r="AO921" s="170"/>
      <c r="AP921" s="171"/>
      <c r="AQ921" s="171"/>
      <c r="AR921" s="170"/>
      <c r="AS921" s="170"/>
      <c r="AT921" s="170"/>
      <c r="AU921" s="171"/>
      <c r="AV921" s="171"/>
      <c r="AW921" s="171"/>
      <c r="AX921" s="171"/>
      <c r="AY921" s="171"/>
      <c r="AZ921" s="171"/>
      <c r="BA921" s="171"/>
      <c r="BB921" s="171"/>
      <c r="BC921" s="171"/>
      <c r="BD921" s="172"/>
      <c r="BE921" s="172"/>
      <c r="BF921" s="172"/>
      <c r="BG921" s="172"/>
      <c r="BH921" s="172"/>
      <c r="BI921" s="172"/>
      <c r="BJ921" s="172"/>
      <c r="BK921" s="172"/>
      <c r="BL921" s="172"/>
      <c r="BM921" s="172"/>
      <c r="BN921" s="172"/>
      <c r="BO921" s="172"/>
      <c r="BP921" s="172"/>
      <c r="BQ921" s="172"/>
      <c r="BR921" s="172"/>
      <c r="BS921" s="172"/>
    </row>
    <row r="922" spans="1:71" ht="12.5" x14ac:dyDescent="0.25">
      <c r="A922" s="170"/>
      <c r="B922" s="170"/>
      <c r="C922" s="170"/>
      <c r="D922" s="170"/>
      <c r="E922" s="171"/>
      <c r="F922" s="171"/>
      <c r="G922" s="170"/>
      <c r="H922" s="170"/>
      <c r="I922" s="170"/>
      <c r="J922" s="171"/>
      <c r="K922" s="171"/>
      <c r="L922" s="170"/>
      <c r="M922" s="170"/>
      <c r="N922" s="170"/>
      <c r="O922" s="171"/>
      <c r="P922" s="171"/>
      <c r="Q922" s="170"/>
      <c r="R922" s="170"/>
      <c r="S922" s="170"/>
      <c r="T922" s="171"/>
      <c r="U922" s="171"/>
      <c r="V922" s="171"/>
      <c r="W922" s="171"/>
      <c r="X922" s="171"/>
      <c r="Y922" s="171"/>
      <c r="Z922" s="171"/>
      <c r="AA922" s="171"/>
      <c r="AB922" s="171"/>
      <c r="AC922" s="170"/>
      <c r="AD922" s="170"/>
      <c r="AE922" s="170"/>
      <c r="AF922" s="170"/>
      <c r="AG922" s="170"/>
      <c r="AH922" s="170"/>
      <c r="AI922" s="170"/>
      <c r="AJ922" s="170"/>
      <c r="AK922" s="171"/>
      <c r="AL922" s="171"/>
      <c r="AM922" s="170"/>
      <c r="AN922" s="170"/>
      <c r="AO922" s="170"/>
      <c r="AP922" s="171"/>
      <c r="AQ922" s="171"/>
      <c r="AR922" s="170"/>
      <c r="AS922" s="170"/>
      <c r="AT922" s="170"/>
      <c r="AU922" s="171"/>
      <c r="AV922" s="171"/>
      <c r="AW922" s="171"/>
      <c r="AX922" s="171"/>
      <c r="AY922" s="171"/>
      <c r="AZ922" s="171"/>
      <c r="BA922" s="171"/>
      <c r="BB922" s="171"/>
      <c r="BC922" s="171"/>
      <c r="BD922" s="172"/>
      <c r="BE922" s="172"/>
      <c r="BF922" s="172"/>
      <c r="BG922" s="172"/>
      <c r="BH922" s="172"/>
      <c r="BI922" s="172"/>
      <c r="BJ922" s="172"/>
      <c r="BK922" s="172"/>
      <c r="BL922" s="172"/>
      <c r="BM922" s="172"/>
      <c r="BN922" s="172"/>
      <c r="BO922" s="172"/>
      <c r="BP922" s="172"/>
      <c r="BQ922" s="172"/>
      <c r="BR922" s="172"/>
      <c r="BS922" s="172"/>
    </row>
    <row r="923" spans="1:71" ht="12.5" x14ac:dyDescent="0.25">
      <c r="A923" s="170"/>
      <c r="B923" s="170"/>
      <c r="C923" s="170"/>
      <c r="D923" s="170"/>
      <c r="E923" s="171"/>
      <c r="F923" s="171"/>
      <c r="G923" s="170"/>
      <c r="H923" s="170"/>
      <c r="I923" s="170"/>
      <c r="J923" s="171"/>
      <c r="K923" s="171"/>
      <c r="L923" s="170"/>
      <c r="M923" s="170"/>
      <c r="N923" s="170"/>
      <c r="O923" s="171"/>
      <c r="P923" s="171"/>
      <c r="Q923" s="170"/>
      <c r="R923" s="170"/>
      <c r="S923" s="170"/>
      <c r="T923" s="171"/>
      <c r="U923" s="171"/>
      <c r="V923" s="171"/>
      <c r="W923" s="171"/>
      <c r="X923" s="171"/>
      <c r="Y923" s="171"/>
      <c r="Z923" s="171"/>
      <c r="AA923" s="171"/>
      <c r="AB923" s="171"/>
      <c r="AC923" s="170"/>
      <c r="AD923" s="170"/>
      <c r="AE923" s="170"/>
      <c r="AF923" s="170"/>
      <c r="AG923" s="170"/>
      <c r="AH923" s="170"/>
      <c r="AI923" s="170"/>
      <c r="AJ923" s="170"/>
      <c r="AK923" s="171"/>
      <c r="AL923" s="171"/>
      <c r="AM923" s="170"/>
      <c r="AN923" s="170"/>
      <c r="AO923" s="170"/>
      <c r="AP923" s="171"/>
      <c r="AQ923" s="171"/>
      <c r="AR923" s="170"/>
      <c r="AS923" s="170"/>
      <c r="AT923" s="170"/>
      <c r="AU923" s="171"/>
      <c r="AV923" s="171"/>
      <c r="AW923" s="171"/>
      <c r="AX923" s="171"/>
      <c r="AY923" s="171"/>
      <c r="AZ923" s="171"/>
      <c r="BA923" s="171"/>
      <c r="BB923" s="171"/>
      <c r="BC923" s="171"/>
      <c r="BD923" s="172"/>
      <c r="BE923" s="172"/>
      <c r="BF923" s="172"/>
      <c r="BG923" s="172"/>
      <c r="BH923" s="172"/>
      <c r="BI923" s="172"/>
      <c r="BJ923" s="172"/>
      <c r="BK923" s="172"/>
      <c r="BL923" s="172"/>
      <c r="BM923" s="172"/>
      <c r="BN923" s="172"/>
      <c r="BO923" s="172"/>
      <c r="BP923" s="172"/>
      <c r="BQ923" s="172"/>
      <c r="BR923" s="172"/>
      <c r="BS923" s="172"/>
    </row>
    <row r="924" spans="1:71" ht="12.5" x14ac:dyDescent="0.25">
      <c r="A924" s="170"/>
      <c r="B924" s="170"/>
      <c r="C924" s="170"/>
      <c r="D924" s="170"/>
      <c r="E924" s="171"/>
      <c r="F924" s="171"/>
      <c r="G924" s="170"/>
      <c r="H924" s="170"/>
      <c r="I924" s="170"/>
      <c r="J924" s="171"/>
      <c r="K924" s="171"/>
      <c r="L924" s="170"/>
      <c r="M924" s="170"/>
      <c r="N924" s="170"/>
      <c r="O924" s="171"/>
      <c r="P924" s="171"/>
      <c r="Q924" s="170"/>
      <c r="R924" s="170"/>
      <c r="S924" s="170"/>
      <c r="T924" s="171"/>
      <c r="U924" s="171"/>
      <c r="V924" s="171"/>
      <c r="W924" s="171"/>
      <c r="X924" s="171"/>
      <c r="Y924" s="171"/>
      <c r="Z924" s="171"/>
      <c r="AA924" s="171"/>
      <c r="AB924" s="171"/>
      <c r="AC924" s="170"/>
      <c r="AD924" s="170"/>
      <c r="AE924" s="170"/>
      <c r="AF924" s="170"/>
      <c r="AG924" s="170"/>
      <c r="AH924" s="170"/>
      <c r="AI924" s="170"/>
      <c r="AJ924" s="170"/>
      <c r="AK924" s="171"/>
      <c r="AL924" s="171"/>
      <c r="AM924" s="170"/>
      <c r="AN924" s="170"/>
      <c r="AO924" s="170"/>
      <c r="AP924" s="171"/>
      <c r="AQ924" s="171"/>
      <c r="AR924" s="170"/>
      <c r="AS924" s="170"/>
      <c r="AT924" s="170"/>
      <c r="AU924" s="171"/>
      <c r="AV924" s="171"/>
      <c r="AW924" s="171"/>
      <c r="AX924" s="171"/>
      <c r="AY924" s="171"/>
      <c r="AZ924" s="171"/>
      <c r="BA924" s="171"/>
      <c r="BB924" s="171"/>
      <c r="BC924" s="171"/>
      <c r="BD924" s="172"/>
      <c r="BE924" s="172"/>
      <c r="BF924" s="172"/>
      <c r="BG924" s="172"/>
      <c r="BH924" s="172"/>
      <c r="BI924" s="172"/>
      <c r="BJ924" s="172"/>
      <c r="BK924" s="172"/>
      <c r="BL924" s="172"/>
      <c r="BM924" s="172"/>
      <c r="BN924" s="172"/>
      <c r="BO924" s="172"/>
      <c r="BP924" s="172"/>
      <c r="BQ924" s="172"/>
      <c r="BR924" s="172"/>
      <c r="BS924" s="172"/>
    </row>
    <row r="925" spans="1:71" ht="12.5" x14ac:dyDescent="0.25">
      <c r="A925" s="170"/>
      <c r="B925" s="170"/>
      <c r="C925" s="170"/>
      <c r="D925" s="170"/>
      <c r="E925" s="171"/>
      <c r="F925" s="171"/>
      <c r="G925" s="170"/>
      <c r="H925" s="170"/>
      <c r="I925" s="170"/>
      <c r="J925" s="171"/>
      <c r="K925" s="171"/>
      <c r="L925" s="170"/>
      <c r="M925" s="170"/>
      <c r="N925" s="170"/>
      <c r="O925" s="171"/>
      <c r="P925" s="171"/>
      <c r="Q925" s="170"/>
      <c r="R925" s="170"/>
      <c r="S925" s="170"/>
      <c r="T925" s="171"/>
      <c r="U925" s="171"/>
      <c r="V925" s="171"/>
      <c r="W925" s="171"/>
      <c r="X925" s="171"/>
      <c r="Y925" s="171"/>
      <c r="Z925" s="171"/>
      <c r="AA925" s="171"/>
      <c r="AB925" s="171"/>
      <c r="AC925" s="170"/>
      <c r="AD925" s="170"/>
      <c r="AE925" s="170"/>
      <c r="AF925" s="170"/>
      <c r="AG925" s="170"/>
      <c r="AH925" s="170"/>
      <c r="AI925" s="170"/>
      <c r="AJ925" s="170"/>
      <c r="AK925" s="171"/>
      <c r="AL925" s="171"/>
      <c r="AM925" s="170"/>
      <c r="AN925" s="170"/>
      <c r="AO925" s="170"/>
      <c r="AP925" s="171"/>
      <c r="AQ925" s="171"/>
      <c r="AR925" s="170"/>
      <c r="AS925" s="170"/>
      <c r="AT925" s="170"/>
      <c r="AU925" s="171"/>
      <c r="AV925" s="171"/>
      <c r="AW925" s="171"/>
      <c r="AX925" s="171"/>
      <c r="AY925" s="171"/>
      <c r="AZ925" s="171"/>
      <c r="BA925" s="171"/>
      <c r="BB925" s="171"/>
      <c r="BC925" s="171"/>
      <c r="BD925" s="172"/>
      <c r="BE925" s="172"/>
      <c r="BF925" s="172"/>
      <c r="BG925" s="172"/>
      <c r="BH925" s="172"/>
      <c r="BI925" s="172"/>
      <c r="BJ925" s="172"/>
      <c r="BK925" s="172"/>
      <c r="BL925" s="172"/>
      <c r="BM925" s="172"/>
      <c r="BN925" s="172"/>
      <c r="BO925" s="172"/>
      <c r="BP925" s="172"/>
      <c r="BQ925" s="172"/>
      <c r="BR925" s="172"/>
      <c r="BS925" s="172"/>
    </row>
    <row r="926" spans="1:71" ht="12.5" x14ac:dyDescent="0.25">
      <c r="A926" s="170"/>
      <c r="B926" s="170"/>
      <c r="C926" s="170"/>
      <c r="D926" s="170"/>
      <c r="E926" s="171"/>
      <c r="F926" s="171"/>
      <c r="G926" s="170"/>
      <c r="H926" s="170"/>
      <c r="I926" s="170"/>
      <c r="J926" s="171"/>
      <c r="K926" s="171"/>
      <c r="L926" s="170"/>
      <c r="M926" s="170"/>
      <c r="N926" s="170"/>
      <c r="O926" s="171"/>
      <c r="P926" s="171"/>
      <c r="Q926" s="170"/>
      <c r="R926" s="170"/>
      <c r="S926" s="170"/>
      <c r="T926" s="171"/>
      <c r="U926" s="171"/>
      <c r="V926" s="171"/>
      <c r="W926" s="171"/>
      <c r="X926" s="171"/>
      <c r="Y926" s="171"/>
      <c r="Z926" s="171"/>
      <c r="AA926" s="171"/>
      <c r="AB926" s="171"/>
      <c r="AC926" s="170"/>
      <c r="AD926" s="170"/>
      <c r="AE926" s="170"/>
      <c r="AF926" s="170"/>
      <c r="AG926" s="170"/>
      <c r="AH926" s="170"/>
      <c r="AI926" s="170"/>
      <c r="AJ926" s="170"/>
      <c r="AK926" s="171"/>
      <c r="AL926" s="171"/>
      <c r="AM926" s="170"/>
      <c r="AN926" s="170"/>
      <c r="AO926" s="170"/>
      <c r="AP926" s="171"/>
      <c r="AQ926" s="171"/>
      <c r="AR926" s="170"/>
      <c r="AS926" s="170"/>
      <c r="AT926" s="170"/>
      <c r="AU926" s="171"/>
      <c r="AV926" s="171"/>
      <c r="AW926" s="171"/>
      <c r="AX926" s="171"/>
      <c r="AY926" s="171"/>
      <c r="AZ926" s="171"/>
      <c r="BA926" s="171"/>
      <c r="BB926" s="171"/>
      <c r="BC926" s="171"/>
      <c r="BD926" s="172"/>
      <c r="BE926" s="172"/>
      <c r="BF926" s="172"/>
      <c r="BG926" s="172"/>
      <c r="BH926" s="172"/>
      <c r="BI926" s="172"/>
      <c r="BJ926" s="172"/>
      <c r="BK926" s="172"/>
      <c r="BL926" s="172"/>
      <c r="BM926" s="172"/>
      <c r="BN926" s="172"/>
      <c r="BO926" s="172"/>
      <c r="BP926" s="172"/>
      <c r="BQ926" s="172"/>
      <c r="BR926" s="172"/>
      <c r="BS926" s="172"/>
    </row>
    <row r="927" spans="1:71" ht="12.5" x14ac:dyDescent="0.25">
      <c r="A927" s="170"/>
      <c r="B927" s="170"/>
      <c r="C927" s="170"/>
      <c r="D927" s="170"/>
      <c r="E927" s="171"/>
      <c r="F927" s="171"/>
      <c r="G927" s="170"/>
      <c r="H927" s="170"/>
      <c r="I927" s="170"/>
      <c r="J927" s="171"/>
      <c r="K927" s="171"/>
      <c r="L927" s="170"/>
      <c r="M927" s="170"/>
      <c r="N927" s="170"/>
      <c r="O927" s="171"/>
      <c r="P927" s="171"/>
      <c r="Q927" s="170"/>
      <c r="R927" s="170"/>
      <c r="S927" s="170"/>
      <c r="T927" s="171"/>
      <c r="U927" s="171"/>
      <c r="V927" s="171"/>
      <c r="W927" s="171"/>
      <c r="X927" s="171"/>
      <c r="Y927" s="171"/>
      <c r="Z927" s="171"/>
      <c r="AA927" s="171"/>
      <c r="AB927" s="171"/>
      <c r="AC927" s="170"/>
      <c r="AD927" s="170"/>
      <c r="AE927" s="170"/>
      <c r="AF927" s="170"/>
      <c r="AG927" s="170"/>
      <c r="AH927" s="170"/>
      <c r="AI927" s="170"/>
      <c r="AJ927" s="170"/>
      <c r="AK927" s="171"/>
      <c r="AL927" s="171"/>
      <c r="AM927" s="170"/>
      <c r="AN927" s="170"/>
      <c r="AO927" s="170"/>
      <c r="AP927" s="171"/>
      <c r="AQ927" s="171"/>
      <c r="AR927" s="170"/>
      <c r="AS927" s="170"/>
      <c r="AT927" s="170"/>
      <c r="AU927" s="171"/>
      <c r="AV927" s="171"/>
      <c r="AW927" s="171"/>
      <c r="AX927" s="171"/>
      <c r="AY927" s="171"/>
      <c r="AZ927" s="171"/>
      <c r="BA927" s="171"/>
      <c r="BB927" s="171"/>
      <c r="BC927" s="171"/>
      <c r="BD927" s="172"/>
      <c r="BE927" s="172"/>
      <c r="BF927" s="172"/>
      <c r="BG927" s="172"/>
      <c r="BH927" s="172"/>
      <c r="BI927" s="172"/>
      <c r="BJ927" s="172"/>
      <c r="BK927" s="172"/>
      <c r="BL927" s="172"/>
      <c r="BM927" s="172"/>
      <c r="BN927" s="172"/>
      <c r="BO927" s="172"/>
      <c r="BP927" s="172"/>
      <c r="BQ927" s="172"/>
      <c r="BR927" s="172"/>
      <c r="BS927" s="172"/>
    </row>
    <row r="928" spans="1:71" ht="12.5" x14ac:dyDescent="0.25">
      <c r="A928" s="170"/>
      <c r="B928" s="170"/>
      <c r="C928" s="170"/>
      <c r="D928" s="170"/>
      <c r="E928" s="171"/>
      <c r="F928" s="171"/>
      <c r="G928" s="170"/>
      <c r="H928" s="170"/>
      <c r="I928" s="170"/>
      <c r="J928" s="171"/>
      <c r="K928" s="171"/>
      <c r="L928" s="170"/>
      <c r="M928" s="170"/>
      <c r="N928" s="170"/>
      <c r="O928" s="171"/>
      <c r="P928" s="171"/>
      <c r="Q928" s="170"/>
      <c r="R928" s="170"/>
      <c r="S928" s="170"/>
      <c r="T928" s="171"/>
      <c r="U928" s="171"/>
      <c r="V928" s="171"/>
      <c r="W928" s="171"/>
      <c r="X928" s="171"/>
      <c r="Y928" s="171"/>
      <c r="Z928" s="171"/>
      <c r="AA928" s="171"/>
      <c r="AB928" s="171"/>
      <c r="AC928" s="170"/>
      <c r="AD928" s="170"/>
      <c r="AE928" s="170"/>
      <c r="AF928" s="170"/>
      <c r="AG928" s="170"/>
      <c r="AH928" s="170"/>
      <c r="AI928" s="170"/>
      <c r="AJ928" s="170"/>
      <c r="AK928" s="171"/>
      <c r="AL928" s="171"/>
      <c r="AM928" s="170"/>
      <c r="AN928" s="170"/>
      <c r="AO928" s="170"/>
      <c r="AP928" s="171"/>
      <c r="AQ928" s="171"/>
      <c r="AR928" s="170"/>
      <c r="AS928" s="170"/>
      <c r="AT928" s="170"/>
      <c r="AU928" s="171"/>
      <c r="AV928" s="171"/>
      <c r="AW928" s="171"/>
      <c r="AX928" s="171"/>
      <c r="AY928" s="171"/>
      <c r="AZ928" s="171"/>
      <c r="BA928" s="171"/>
      <c r="BB928" s="171"/>
      <c r="BC928" s="171"/>
      <c r="BD928" s="172"/>
      <c r="BE928" s="172"/>
      <c r="BF928" s="172"/>
      <c r="BG928" s="172"/>
      <c r="BH928" s="172"/>
      <c r="BI928" s="172"/>
      <c r="BJ928" s="172"/>
      <c r="BK928" s="172"/>
      <c r="BL928" s="172"/>
      <c r="BM928" s="172"/>
      <c r="BN928" s="172"/>
      <c r="BO928" s="172"/>
      <c r="BP928" s="172"/>
      <c r="BQ928" s="172"/>
      <c r="BR928" s="172"/>
      <c r="BS928" s="172"/>
    </row>
    <row r="929" spans="1:71" ht="12.5" x14ac:dyDescent="0.25">
      <c r="A929" s="170"/>
      <c r="B929" s="170"/>
      <c r="C929" s="170"/>
      <c r="D929" s="170"/>
      <c r="E929" s="171"/>
      <c r="F929" s="171"/>
      <c r="G929" s="170"/>
      <c r="H929" s="170"/>
      <c r="I929" s="170"/>
      <c r="J929" s="171"/>
      <c r="K929" s="171"/>
      <c r="L929" s="170"/>
      <c r="M929" s="170"/>
      <c r="N929" s="170"/>
      <c r="O929" s="171"/>
      <c r="P929" s="171"/>
      <c r="Q929" s="170"/>
      <c r="R929" s="170"/>
      <c r="S929" s="170"/>
      <c r="T929" s="171"/>
      <c r="U929" s="171"/>
      <c r="V929" s="171"/>
      <c r="W929" s="171"/>
      <c r="X929" s="171"/>
      <c r="Y929" s="171"/>
      <c r="Z929" s="171"/>
      <c r="AA929" s="171"/>
      <c r="AB929" s="171"/>
      <c r="AC929" s="170"/>
      <c r="AD929" s="170"/>
      <c r="AE929" s="170"/>
      <c r="AF929" s="170"/>
      <c r="AG929" s="170"/>
      <c r="AH929" s="170"/>
      <c r="AI929" s="170"/>
      <c r="AJ929" s="170"/>
      <c r="AK929" s="171"/>
      <c r="AL929" s="171"/>
      <c r="AM929" s="170"/>
      <c r="AN929" s="170"/>
      <c r="AO929" s="170"/>
      <c r="AP929" s="171"/>
      <c r="AQ929" s="171"/>
      <c r="AR929" s="170"/>
      <c r="AS929" s="170"/>
      <c r="AT929" s="170"/>
      <c r="AU929" s="171"/>
      <c r="AV929" s="171"/>
      <c r="AW929" s="171"/>
      <c r="AX929" s="171"/>
      <c r="AY929" s="171"/>
      <c r="AZ929" s="171"/>
      <c r="BA929" s="171"/>
      <c r="BB929" s="171"/>
      <c r="BC929" s="171"/>
      <c r="BD929" s="172"/>
      <c r="BE929" s="172"/>
      <c r="BF929" s="172"/>
      <c r="BG929" s="172"/>
      <c r="BH929" s="172"/>
      <c r="BI929" s="172"/>
      <c r="BJ929" s="172"/>
      <c r="BK929" s="172"/>
      <c r="BL929" s="172"/>
      <c r="BM929" s="172"/>
      <c r="BN929" s="172"/>
      <c r="BO929" s="172"/>
      <c r="BP929" s="172"/>
      <c r="BQ929" s="172"/>
      <c r="BR929" s="172"/>
      <c r="BS929" s="172"/>
    </row>
    <row r="930" spans="1:71" ht="12.5" x14ac:dyDescent="0.25">
      <c r="A930" s="170"/>
      <c r="B930" s="170"/>
      <c r="C930" s="170"/>
      <c r="D930" s="170"/>
      <c r="E930" s="171"/>
      <c r="F930" s="171"/>
      <c r="G930" s="170"/>
      <c r="H930" s="170"/>
      <c r="I930" s="170"/>
      <c r="J930" s="171"/>
      <c r="K930" s="171"/>
      <c r="L930" s="170"/>
      <c r="M930" s="170"/>
      <c r="N930" s="170"/>
      <c r="O930" s="171"/>
      <c r="P930" s="171"/>
      <c r="Q930" s="170"/>
      <c r="R930" s="170"/>
      <c r="S930" s="170"/>
      <c r="T930" s="171"/>
      <c r="U930" s="171"/>
      <c r="V930" s="171"/>
      <c r="W930" s="171"/>
      <c r="X930" s="171"/>
      <c r="Y930" s="171"/>
      <c r="Z930" s="171"/>
      <c r="AA930" s="171"/>
      <c r="AB930" s="171"/>
      <c r="AC930" s="170"/>
      <c r="AD930" s="170"/>
      <c r="AE930" s="170"/>
      <c r="AF930" s="170"/>
      <c r="AG930" s="170"/>
      <c r="AH930" s="170"/>
      <c r="AI930" s="170"/>
      <c r="AJ930" s="170"/>
      <c r="AK930" s="171"/>
      <c r="AL930" s="171"/>
      <c r="AM930" s="170"/>
      <c r="AN930" s="170"/>
      <c r="AO930" s="170"/>
      <c r="AP930" s="171"/>
      <c r="AQ930" s="171"/>
      <c r="AR930" s="170"/>
      <c r="AS930" s="170"/>
      <c r="AT930" s="170"/>
      <c r="AU930" s="171"/>
      <c r="AV930" s="171"/>
      <c r="AW930" s="171"/>
      <c r="AX930" s="171"/>
      <c r="AY930" s="171"/>
      <c r="AZ930" s="171"/>
      <c r="BA930" s="171"/>
      <c r="BB930" s="171"/>
      <c r="BC930" s="171"/>
      <c r="BD930" s="172"/>
      <c r="BE930" s="172"/>
      <c r="BF930" s="172"/>
      <c r="BG930" s="172"/>
      <c r="BH930" s="172"/>
      <c r="BI930" s="172"/>
      <c r="BJ930" s="172"/>
      <c r="BK930" s="172"/>
      <c r="BL930" s="172"/>
      <c r="BM930" s="172"/>
      <c r="BN930" s="172"/>
      <c r="BO930" s="172"/>
      <c r="BP930" s="172"/>
      <c r="BQ930" s="172"/>
      <c r="BR930" s="172"/>
      <c r="BS930" s="172"/>
    </row>
    <row r="931" spans="1:71" ht="12.5" x14ac:dyDescent="0.25">
      <c r="A931" s="170"/>
      <c r="B931" s="170"/>
      <c r="C931" s="170"/>
      <c r="D931" s="170"/>
      <c r="E931" s="171"/>
      <c r="F931" s="171"/>
      <c r="G931" s="170"/>
      <c r="H931" s="170"/>
      <c r="I931" s="170"/>
      <c r="J931" s="171"/>
      <c r="K931" s="171"/>
      <c r="L931" s="170"/>
      <c r="M931" s="170"/>
      <c r="N931" s="170"/>
      <c r="O931" s="171"/>
      <c r="P931" s="171"/>
      <c r="Q931" s="170"/>
      <c r="R931" s="170"/>
      <c r="S931" s="170"/>
      <c r="T931" s="171"/>
      <c r="U931" s="171"/>
      <c r="V931" s="171"/>
      <c r="W931" s="171"/>
      <c r="X931" s="171"/>
      <c r="Y931" s="171"/>
      <c r="Z931" s="171"/>
      <c r="AA931" s="171"/>
      <c r="AB931" s="171"/>
      <c r="AC931" s="170"/>
      <c r="AD931" s="170"/>
      <c r="AE931" s="170"/>
      <c r="AF931" s="170"/>
      <c r="AG931" s="170"/>
      <c r="AH931" s="170"/>
      <c r="AI931" s="170"/>
      <c r="AJ931" s="170"/>
      <c r="AK931" s="171"/>
      <c r="AL931" s="171"/>
      <c r="AM931" s="170"/>
      <c r="AN931" s="170"/>
      <c r="AO931" s="170"/>
      <c r="AP931" s="171"/>
      <c r="AQ931" s="171"/>
      <c r="AR931" s="170"/>
      <c r="AS931" s="170"/>
      <c r="AT931" s="170"/>
      <c r="AU931" s="171"/>
      <c r="AV931" s="171"/>
      <c r="AW931" s="171"/>
      <c r="AX931" s="171"/>
      <c r="AY931" s="171"/>
      <c r="AZ931" s="171"/>
      <c r="BA931" s="171"/>
      <c r="BB931" s="171"/>
      <c r="BC931" s="171"/>
      <c r="BD931" s="172"/>
      <c r="BE931" s="172"/>
      <c r="BF931" s="172"/>
      <c r="BG931" s="172"/>
      <c r="BH931" s="172"/>
      <c r="BI931" s="172"/>
      <c r="BJ931" s="172"/>
      <c r="BK931" s="172"/>
      <c r="BL931" s="172"/>
      <c r="BM931" s="172"/>
      <c r="BN931" s="172"/>
      <c r="BO931" s="172"/>
      <c r="BP931" s="172"/>
      <c r="BQ931" s="172"/>
      <c r="BR931" s="172"/>
      <c r="BS931" s="172"/>
    </row>
    <row r="932" spans="1:71" ht="12.5" x14ac:dyDescent="0.25">
      <c r="A932" s="170"/>
      <c r="B932" s="170"/>
      <c r="C932" s="170"/>
      <c r="D932" s="170"/>
      <c r="E932" s="171"/>
      <c r="F932" s="171"/>
      <c r="G932" s="170"/>
      <c r="H932" s="170"/>
      <c r="I932" s="170"/>
      <c r="J932" s="171"/>
      <c r="K932" s="171"/>
      <c r="L932" s="170"/>
      <c r="M932" s="170"/>
      <c r="N932" s="170"/>
      <c r="O932" s="171"/>
      <c r="P932" s="171"/>
      <c r="Q932" s="170"/>
      <c r="R932" s="170"/>
      <c r="S932" s="170"/>
      <c r="T932" s="171"/>
      <c r="U932" s="171"/>
      <c r="V932" s="171"/>
      <c r="W932" s="171"/>
      <c r="X932" s="171"/>
      <c r="Y932" s="171"/>
      <c r="Z932" s="171"/>
      <c r="AA932" s="171"/>
      <c r="AB932" s="171"/>
      <c r="AC932" s="170"/>
      <c r="AD932" s="170"/>
      <c r="AE932" s="170"/>
      <c r="AF932" s="170"/>
      <c r="AG932" s="170"/>
      <c r="AH932" s="170"/>
      <c r="AI932" s="170"/>
      <c r="AJ932" s="170"/>
      <c r="AK932" s="171"/>
      <c r="AL932" s="171"/>
      <c r="AM932" s="170"/>
      <c r="AN932" s="170"/>
      <c r="AO932" s="170"/>
      <c r="AP932" s="171"/>
      <c r="AQ932" s="171"/>
      <c r="AR932" s="170"/>
      <c r="AS932" s="170"/>
      <c r="AT932" s="170"/>
      <c r="AU932" s="171"/>
      <c r="AV932" s="171"/>
      <c r="AW932" s="171"/>
      <c r="AX932" s="171"/>
      <c r="AY932" s="171"/>
      <c r="AZ932" s="171"/>
      <c r="BA932" s="171"/>
      <c r="BB932" s="171"/>
      <c r="BC932" s="171"/>
      <c r="BD932" s="172"/>
      <c r="BE932" s="172"/>
      <c r="BF932" s="172"/>
      <c r="BG932" s="172"/>
      <c r="BH932" s="172"/>
      <c r="BI932" s="172"/>
      <c r="BJ932" s="172"/>
      <c r="BK932" s="172"/>
      <c r="BL932" s="172"/>
      <c r="BM932" s="172"/>
      <c r="BN932" s="172"/>
      <c r="BO932" s="172"/>
      <c r="BP932" s="172"/>
      <c r="BQ932" s="172"/>
      <c r="BR932" s="172"/>
      <c r="BS932" s="172"/>
    </row>
    <row r="933" spans="1:71" ht="12.5" x14ac:dyDescent="0.25">
      <c r="A933" s="170"/>
      <c r="B933" s="170"/>
      <c r="C933" s="170"/>
      <c r="D933" s="170"/>
      <c r="E933" s="171"/>
      <c r="F933" s="171"/>
      <c r="G933" s="170"/>
      <c r="H933" s="170"/>
      <c r="I933" s="170"/>
      <c r="J933" s="171"/>
      <c r="K933" s="171"/>
      <c r="L933" s="170"/>
      <c r="M933" s="170"/>
      <c r="N933" s="170"/>
      <c r="O933" s="171"/>
      <c r="P933" s="171"/>
      <c r="Q933" s="170"/>
      <c r="R933" s="170"/>
      <c r="S933" s="170"/>
      <c r="T933" s="171"/>
      <c r="U933" s="171"/>
      <c r="V933" s="171"/>
      <c r="W933" s="171"/>
      <c r="X933" s="171"/>
      <c r="Y933" s="171"/>
      <c r="Z933" s="171"/>
      <c r="AA933" s="171"/>
      <c r="AB933" s="171"/>
      <c r="AC933" s="170"/>
      <c r="AD933" s="170"/>
      <c r="AE933" s="170"/>
      <c r="AF933" s="170"/>
      <c r="AG933" s="170"/>
      <c r="AH933" s="170"/>
      <c r="AI933" s="170"/>
      <c r="AJ933" s="170"/>
      <c r="AK933" s="171"/>
      <c r="AL933" s="171"/>
      <c r="AM933" s="170"/>
      <c r="AN933" s="170"/>
      <c r="AO933" s="170"/>
      <c r="AP933" s="171"/>
      <c r="AQ933" s="171"/>
      <c r="AR933" s="170"/>
      <c r="AS933" s="170"/>
      <c r="AT933" s="170"/>
      <c r="AU933" s="171"/>
      <c r="AV933" s="171"/>
      <c r="AW933" s="171"/>
      <c r="AX933" s="171"/>
      <c r="AY933" s="171"/>
      <c r="AZ933" s="171"/>
      <c r="BA933" s="171"/>
      <c r="BB933" s="171"/>
      <c r="BC933" s="171"/>
      <c r="BD933" s="172"/>
      <c r="BE933" s="172"/>
      <c r="BF933" s="172"/>
      <c r="BG933" s="172"/>
      <c r="BH933" s="172"/>
      <c r="BI933" s="172"/>
      <c r="BJ933" s="172"/>
      <c r="BK933" s="172"/>
      <c r="BL933" s="172"/>
      <c r="BM933" s="172"/>
      <c r="BN933" s="172"/>
      <c r="BO933" s="172"/>
      <c r="BP933" s="172"/>
      <c r="BQ933" s="172"/>
      <c r="BR933" s="172"/>
      <c r="BS933" s="172"/>
    </row>
    <row r="934" spans="1:71" ht="12.5" x14ac:dyDescent="0.25">
      <c r="A934" s="170"/>
      <c r="B934" s="170"/>
      <c r="C934" s="170"/>
      <c r="D934" s="170"/>
      <c r="E934" s="171"/>
      <c r="F934" s="171"/>
      <c r="G934" s="170"/>
      <c r="H934" s="170"/>
      <c r="I934" s="170"/>
      <c r="J934" s="171"/>
      <c r="K934" s="171"/>
      <c r="L934" s="170"/>
      <c r="M934" s="170"/>
      <c r="N934" s="170"/>
      <c r="O934" s="171"/>
      <c r="P934" s="171"/>
      <c r="Q934" s="170"/>
      <c r="R934" s="170"/>
      <c r="S934" s="170"/>
      <c r="T934" s="171"/>
      <c r="U934" s="171"/>
      <c r="V934" s="171"/>
      <c r="W934" s="171"/>
      <c r="X934" s="171"/>
      <c r="Y934" s="171"/>
      <c r="Z934" s="171"/>
      <c r="AA934" s="171"/>
      <c r="AB934" s="171"/>
      <c r="AC934" s="170"/>
      <c r="AD934" s="170"/>
      <c r="AE934" s="170"/>
      <c r="AF934" s="170"/>
      <c r="AG934" s="170"/>
      <c r="AH934" s="170"/>
      <c r="AI934" s="170"/>
      <c r="AJ934" s="170"/>
      <c r="AK934" s="171"/>
      <c r="AL934" s="171"/>
      <c r="AM934" s="170"/>
      <c r="AN934" s="170"/>
      <c r="AO934" s="170"/>
      <c r="AP934" s="171"/>
      <c r="AQ934" s="171"/>
      <c r="AR934" s="170"/>
      <c r="AS934" s="170"/>
      <c r="AT934" s="170"/>
      <c r="AU934" s="171"/>
      <c r="AV934" s="171"/>
      <c r="AW934" s="171"/>
      <c r="AX934" s="171"/>
      <c r="AY934" s="171"/>
      <c r="AZ934" s="171"/>
      <c r="BA934" s="171"/>
      <c r="BB934" s="171"/>
      <c r="BC934" s="171"/>
      <c r="BD934" s="172"/>
      <c r="BE934" s="172"/>
      <c r="BF934" s="172"/>
      <c r="BG934" s="172"/>
      <c r="BH934" s="172"/>
      <c r="BI934" s="172"/>
      <c r="BJ934" s="172"/>
      <c r="BK934" s="172"/>
      <c r="BL934" s="172"/>
      <c r="BM934" s="172"/>
      <c r="BN934" s="172"/>
      <c r="BO934" s="172"/>
      <c r="BP934" s="172"/>
      <c r="BQ934" s="172"/>
      <c r="BR934" s="172"/>
      <c r="BS934" s="172"/>
    </row>
    <row r="935" spans="1:71" ht="12.5" x14ac:dyDescent="0.25">
      <c r="A935" s="170"/>
      <c r="B935" s="170"/>
      <c r="C935" s="170"/>
      <c r="D935" s="170"/>
      <c r="E935" s="171"/>
      <c r="F935" s="171"/>
      <c r="G935" s="170"/>
      <c r="H935" s="170"/>
      <c r="I935" s="170"/>
      <c r="J935" s="171"/>
      <c r="K935" s="171"/>
      <c r="L935" s="170"/>
      <c r="M935" s="170"/>
      <c r="N935" s="170"/>
      <c r="O935" s="171"/>
      <c r="P935" s="171"/>
      <c r="Q935" s="170"/>
      <c r="R935" s="170"/>
      <c r="S935" s="170"/>
      <c r="T935" s="171"/>
      <c r="U935" s="171"/>
      <c r="V935" s="171"/>
      <c r="W935" s="171"/>
      <c r="X935" s="171"/>
      <c r="Y935" s="171"/>
      <c r="Z935" s="171"/>
      <c r="AA935" s="171"/>
      <c r="AB935" s="171"/>
      <c r="AC935" s="170"/>
      <c r="AD935" s="170"/>
      <c r="AE935" s="170"/>
      <c r="AF935" s="170"/>
      <c r="AG935" s="170"/>
      <c r="AH935" s="170"/>
      <c r="AI935" s="170"/>
      <c r="AJ935" s="170"/>
      <c r="AK935" s="171"/>
      <c r="AL935" s="171"/>
      <c r="AM935" s="170"/>
      <c r="AN935" s="170"/>
      <c r="AO935" s="170"/>
      <c r="AP935" s="171"/>
      <c r="AQ935" s="171"/>
      <c r="AR935" s="170"/>
      <c r="AS935" s="170"/>
      <c r="AT935" s="170"/>
      <c r="AU935" s="171"/>
      <c r="AV935" s="171"/>
      <c r="AW935" s="171"/>
      <c r="AX935" s="171"/>
      <c r="AY935" s="171"/>
      <c r="AZ935" s="171"/>
      <c r="BA935" s="171"/>
      <c r="BB935" s="171"/>
      <c r="BC935" s="171"/>
      <c r="BD935" s="172"/>
      <c r="BE935" s="172"/>
      <c r="BF935" s="172"/>
      <c r="BG935" s="172"/>
      <c r="BH935" s="172"/>
      <c r="BI935" s="172"/>
      <c r="BJ935" s="172"/>
      <c r="BK935" s="172"/>
      <c r="BL935" s="172"/>
      <c r="BM935" s="172"/>
      <c r="BN935" s="172"/>
      <c r="BO935" s="172"/>
      <c r="BP935" s="172"/>
      <c r="BQ935" s="172"/>
      <c r="BR935" s="172"/>
      <c r="BS935" s="172"/>
    </row>
    <row r="936" spans="1:71" ht="12.5" x14ac:dyDescent="0.25">
      <c r="A936" s="170"/>
      <c r="B936" s="170"/>
      <c r="C936" s="170"/>
      <c r="D936" s="170"/>
      <c r="E936" s="171"/>
      <c r="F936" s="171"/>
      <c r="G936" s="170"/>
      <c r="H936" s="170"/>
      <c r="I936" s="170"/>
      <c r="J936" s="171"/>
      <c r="K936" s="171"/>
      <c r="L936" s="170"/>
      <c r="M936" s="170"/>
      <c r="N936" s="170"/>
      <c r="O936" s="171"/>
      <c r="P936" s="171"/>
      <c r="Q936" s="170"/>
      <c r="R936" s="170"/>
      <c r="S936" s="170"/>
      <c r="T936" s="171"/>
      <c r="U936" s="171"/>
      <c r="V936" s="171"/>
      <c r="W936" s="171"/>
      <c r="X936" s="171"/>
      <c r="Y936" s="171"/>
      <c r="Z936" s="171"/>
      <c r="AA936" s="171"/>
      <c r="AB936" s="171"/>
      <c r="AC936" s="170"/>
      <c r="AD936" s="170"/>
      <c r="AE936" s="170"/>
      <c r="AF936" s="170"/>
      <c r="AG936" s="170"/>
      <c r="AH936" s="170"/>
      <c r="AI936" s="170"/>
      <c r="AJ936" s="170"/>
      <c r="AK936" s="171"/>
      <c r="AL936" s="171"/>
      <c r="AM936" s="170"/>
      <c r="AN936" s="170"/>
      <c r="AO936" s="170"/>
      <c r="AP936" s="171"/>
      <c r="AQ936" s="171"/>
      <c r="AR936" s="170"/>
      <c r="AS936" s="170"/>
      <c r="AT936" s="170"/>
      <c r="AU936" s="171"/>
      <c r="AV936" s="171"/>
      <c r="AW936" s="171"/>
      <c r="AX936" s="171"/>
      <c r="AY936" s="171"/>
      <c r="AZ936" s="171"/>
      <c r="BA936" s="171"/>
      <c r="BB936" s="171"/>
      <c r="BC936" s="171"/>
      <c r="BD936" s="172"/>
      <c r="BE936" s="172"/>
      <c r="BF936" s="172"/>
      <c r="BG936" s="172"/>
      <c r="BH936" s="172"/>
      <c r="BI936" s="172"/>
      <c r="BJ936" s="172"/>
      <c r="BK936" s="172"/>
      <c r="BL936" s="172"/>
      <c r="BM936" s="172"/>
      <c r="BN936" s="172"/>
      <c r="BO936" s="172"/>
      <c r="BP936" s="172"/>
      <c r="BQ936" s="172"/>
      <c r="BR936" s="172"/>
      <c r="BS936" s="172"/>
    </row>
    <row r="937" spans="1:71" ht="12.5" x14ac:dyDescent="0.25">
      <c r="A937" s="170"/>
      <c r="B937" s="170"/>
      <c r="C937" s="170"/>
      <c r="D937" s="170"/>
      <c r="E937" s="171"/>
      <c r="F937" s="171"/>
      <c r="G937" s="170"/>
      <c r="H937" s="170"/>
      <c r="I937" s="170"/>
      <c r="J937" s="171"/>
      <c r="K937" s="171"/>
      <c r="L937" s="170"/>
      <c r="M937" s="170"/>
      <c r="N937" s="170"/>
      <c r="O937" s="171"/>
      <c r="P937" s="171"/>
      <c r="Q937" s="170"/>
      <c r="R937" s="170"/>
      <c r="S937" s="170"/>
      <c r="T937" s="171"/>
      <c r="U937" s="171"/>
      <c r="V937" s="171"/>
      <c r="W937" s="171"/>
      <c r="X937" s="171"/>
      <c r="Y937" s="171"/>
      <c r="Z937" s="171"/>
      <c r="AA937" s="171"/>
      <c r="AB937" s="171"/>
      <c r="AC937" s="170"/>
      <c r="AD937" s="170"/>
      <c r="AE937" s="170"/>
      <c r="AF937" s="170"/>
      <c r="AG937" s="170"/>
      <c r="AH937" s="170"/>
      <c r="AI937" s="170"/>
      <c r="AJ937" s="170"/>
      <c r="AK937" s="171"/>
      <c r="AL937" s="171"/>
      <c r="AM937" s="170"/>
      <c r="AN937" s="170"/>
      <c r="AO937" s="170"/>
      <c r="AP937" s="171"/>
      <c r="AQ937" s="171"/>
      <c r="AR937" s="170"/>
      <c r="AS937" s="170"/>
      <c r="AT937" s="170"/>
      <c r="AU937" s="171"/>
      <c r="AV937" s="171"/>
      <c r="AW937" s="171"/>
      <c r="AX937" s="171"/>
      <c r="AY937" s="171"/>
      <c r="AZ937" s="171"/>
      <c r="BA937" s="171"/>
      <c r="BB937" s="171"/>
      <c r="BC937" s="171"/>
      <c r="BD937" s="172"/>
      <c r="BE937" s="172"/>
      <c r="BF937" s="172"/>
      <c r="BG937" s="172"/>
      <c r="BH937" s="172"/>
      <c r="BI937" s="172"/>
      <c r="BJ937" s="172"/>
      <c r="BK937" s="172"/>
      <c r="BL937" s="172"/>
      <c r="BM937" s="172"/>
      <c r="BN937" s="172"/>
      <c r="BO937" s="172"/>
      <c r="BP937" s="172"/>
      <c r="BQ937" s="172"/>
      <c r="BR937" s="172"/>
      <c r="BS937" s="172"/>
    </row>
    <row r="938" spans="1:71" ht="12.5" x14ac:dyDescent="0.25">
      <c r="A938" s="170"/>
      <c r="B938" s="170"/>
      <c r="C938" s="170"/>
      <c r="D938" s="170"/>
      <c r="E938" s="171"/>
      <c r="F938" s="171"/>
      <c r="G938" s="170"/>
      <c r="H938" s="170"/>
      <c r="I938" s="170"/>
      <c r="J938" s="171"/>
      <c r="K938" s="171"/>
      <c r="L938" s="170"/>
      <c r="M938" s="170"/>
      <c r="N938" s="170"/>
      <c r="O938" s="171"/>
      <c r="P938" s="171"/>
      <c r="Q938" s="170"/>
      <c r="R938" s="170"/>
      <c r="S938" s="170"/>
      <c r="T938" s="171"/>
      <c r="U938" s="171"/>
      <c r="V938" s="171"/>
      <c r="W938" s="171"/>
      <c r="X938" s="171"/>
      <c r="Y938" s="171"/>
      <c r="Z938" s="171"/>
      <c r="AA938" s="171"/>
      <c r="AB938" s="171"/>
      <c r="AC938" s="170"/>
      <c r="AD938" s="170"/>
      <c r="AE938" s="170"/>
      <c r="AF938" s="170"/>
      <c r="AG938" s="170"/>
      <c r="AH938" s="170"/>
      <c r="AI938" s="170"/>
      <c r="AJ938" s="170"/>
      <c r="AK938" s="171"/>
      <c r="AL938" s="171"/>
      <c r="AM938" s="170"/>
      <c r="AN938" s="170"/>
      <c r="AO938" s="170"/>
      <c r="AP938" s="171"/>
      <c r="AQ938" s="171"/>
      <c r="AR938" s="170"/>
      <c r="AS938" s="170"/>
      <c r="AT938" s="170"/>
      <c r="AU938" s="171"/>
      <c r="AV938" s="171"/>
      <c r="AW938" s="171"/>
      <c r="AX938" s="171"/>
      <c r="AY938" s="171"/>
      <c r="AZ938" s="171"/>
      <c r="BA938" s="171"/>
      <c r="BB938" s="171"/>
      <c r="BC938" s="171"/>
      <c r="BD938" s="172"/>
      <c r="BE938" s="172"/>
      <c r="BF938" s="172"/>
      <c r="BG938" s="172"/>
      <c r="BH938" s="172"/>
      <c r="BI938" s="172"/>
      <c r="BJ938" s="172"/>
      <c r="BK938" s="172"/>
      <c r="BL938" s="172"/>
      <c r="BM938" s="172"/>
      <c r="BN938" s="172"/>
      <c r="BO938" s="172"/>
      <c r="BP938" s="172"/>
      <c r="BQ938" s="172"/>
      <c r="BR938" s="172"/>
      <c r="BS938" s="172"/>
    </row>
    <row r="939" spans="1:71" ht="12.5" x14ac:dyDescent="0.25">
      <c r="A939" s="170"/>
      <c r="B939" s="170"/>
      <c r="C939" s="170"/>
      <c r="D939" s="170"/>
      <c r="E939" s="171"/>
      <c r="F939" s="171"/>
      <c r="G939" s="170"/>
      <c r="H939" s="170"/>
      <c r="I939" s="170"/>
      <c r="J939" s="171"/>
      <c r="K939" s="171"/>
      <c r="L939" s="170"/>
      <c r="M939" s="170"/>
      <c r="N939" s="170"/>
      <c r="O939" s="171"/>
      <c r="P939" s="171"/>
      <c r="Q939" s="170"/>
      <c r="R939" s="170"/>
      <c r="S939" s="170"/>
      <c r="T939" s="171"/>
      <c r="U939" s="171"/>
      <c r="V939" s="171"/>
      <c r="W939" s="171"/>
      <c r="X939" s="171"/>
      <c r="Y939" s="171"/>
      <c r="Z939" s="171"/>
      <c r="AA939" s="171"/>
      <c r="AB939" s="171"/>
      <c r="AC939" s="170"/>
      <c r="AD939" s="170"/>
      <c r="AE939" s="170"/>
      <c r="AF939" s="170"/>
      <c r="AG939" s="170"/>
      <c r="AH939" s="170"/>
      <c r="AI939" s="170"/>
      <c r="AJ939" s="170"/>
      <c r="AK939" s="171"/>
      <c r="AL939" s="171"/>
      <c r="AM939" s="170"/>
      <c r="AN939" s="170"/>
      <c r="AO939" s="170"/>
      <c r="AP939" s="171"/>
      <c r="AQ939" s="171"/>
      <c r="AR939" s="170"/>
      <c r="AS939" s="170"/>
      <c r="AT939" s="170"/>
      <c r="AU939" s="171"/>
      <c r="AV939" s="171"/>
      <c r="AW939" s="171"/>
      <c r="AX939" s="171"/>
      <c r="AY939" s="171"/>
      <c r="AZ939" s="171"/>
      <c r="BA939" s="171"/>
      <c r="BB939" s="171"/>
      <c r="BC939" s="171"/>
      <c r="BD939" s="172"/>
      <c r="BE939" s="172"/>
      <c r="BF939" s="172"/>
      <c r="BG939" s="172"/>
      <c r="BH939" s="172"/>
      <c r="BI939" s="172"/>
      <c r="BJ939" s="172"/>
      <c r="BK939" s="172"/>
      <c r="BL939" s="172"/>
      <c r="BM939" s="172"/>
      <c r="BN939" s="172"/>
      <c r="BO939" s="172"/>
      <c r="BP939" s="172"/>
      <c r="BQ939" s="172"/>
      <c r="BR939" s="172"/>
      <c r="BS939" s="172"/>
    </row>
    <row r="940" spans="1:71" ht="12.5" x14ac:dyDescent="0.25">
      <c r="A940" s="170"/>
      <c r="B940" s="170"/>
      <c r="C940" s="170"/>
      <c r="D940" s="170"/>
      <c r="E940" s="171"/>
      <c r="F940" s="171"/>
      <c r="G940" s="170"/>
      <c r="H940" s="170"/>
      <c r="I940" s="170"/>
      <c r="J940" s="171"/>
      <c r="K940" s="171"/>
      <c r="L940" s="170"/>
      <c r="M940" s="170"/>
      <c r="N940" s="170"/>
      <c r="O940" s="171"/>
      <c r="P940" s="171"/>
      <c r="Q940" s="170"/>
      <c r="R940" s="170"/>
      <c r="S940" s="170"/>
      <c r="T940" s="171"/>
      <c r="U940" s="171"/>
      <c r="V940" s="171"/>
      <c r="W940" s="171"/>
      <c r="X940" s="171"/>
      <c r="Y940" s="171"/>
      <c r="Z940" s="171"/>
      <c r="AA940" s="171"/>
      <c r="AB940" s="171"/>
      <c r="AC940" s="170"/>
      <c r="AD940" s="170"/>
      <c r="AE940" s="170"/>
      <c r="AF940" s="170"/>
      <c r="AG940" s="170"/>
      <c r="AH940" s="170"/>
      <c r="AI940" s="170"/>
      <c r="AJ940" s="170"/>
      <c r="AK940" s="171"/>
      <c r="AL940" s="171"/>
      <c r="AM940" s="170"/>
      <c r="AN940" s="170"/>
      <c r="AO940" s="170"/>
      <c r="AP940" s="171"/>
      <c r="AQ940" s="171"/>
      <c r="AR940" s="170"/>
      <c r="AS940" s="170"/>
      <c r="AT940" s="170"/>
      <c r="AU940" s="171"/>
      <c r="AV940" s="171"/>
      <c r="AW940" s="171"/>
      <c r="AX940" s="171"/>
      <c r="AY940" s="171"/>
      <c r="AZ940" s="171"/>
      <c r="BA940" s="171"/>
      <c r="BB940" s="171"/>
      <c r="BC940" s="171"/>
      <c r="BD940" s="172"/>
      <c r="BE940" s="172"/>
      <c r="BF940" s="172"/>
      <c r="BG940" s="172"/>
      <c r="BH940" s="172"/>
      <c r="BI940" s="172"/>
      <c r="BJ940" s="172"/>
      <c r="BK940" s="172"/>
      <c r="BL940" s="172"/>
      <c r="BM940" s="172"/>
      <c r="BN940" s="172"/>
      <c r="BO940" s="172"/>
      <c r="BP940" s="172"/>
      <c r="BQ940" s="172"/>
      <c r="BR940" s="172"/>
      <c r="BS940" s="172"/>
    </row>
    <row r="941" spans="1:71" ht="12.5" x14ac:dyDescent="0.25">
      <c r="A941" s="170"/>
      <c r="B941" s="170"/>
      <c r="C941" s="170"/>
      <c r="D941" s="170"/>
      <c r="E941" s="171"/>
      <c r="F941" s="171"/>
      <c r="G941" s="170"/>
      <c r="H941" s="170"/>
      <c r="I941" s="170"/>
      <c r="J941" s="171"/>
      <c r="K941" s="171"/>
      <c r="L941" s="170"/>
      <c r="M941" s="170"/>
      <c r="N941" s="170"/>
      <c r="O941" s="171"/>
      <c r="P941" s="171"/>
      <c r="Q941" s="170"/>
      <c r="R941" s="170"/>
      <c r="S941" s="170"/>
      <c r="T941" s="171"/>
      <c r="U941" s="171"/>
      <c r="V941" s="171"/>
      <c r="W941" s="171"/>
      <c r="X941" s="171"/>
      <c r="Y941" s="171"/>
      <c r="Z941" s="171"/>
      <c r="AA941" s="171"/>
      <c r="AB941" s="171"/>
      <c r="AC941" s="170"/>
      <c r="AD941" s="170"/>
      <c r="AE941" s="170"/>
      <c r="AF941" s="170"/>
      <c r="AG941" s="170"/>
      <c r="AH941" s="170"/>
      <c r="AI941" s="170"/>
      <c r="AJ941" s="170"/>
      <c r="AK941" s="171"/>
      <c r="AL941" s="171"/>
      <c r="AM941" s="170"/>
      <c r="AN941" s="170"/>
      <c r="AO941" s="170"/>
      <c r="AP941" s="171"/>
      <c r="AQ941" s="171"/>
      <c r="AR941" s="170"/>
      <c r="AS941" s="170"/>
      <c r="AT941" s="170"/>
      <c r="AU941" s="171"/>
      <c r="AV941" s="171"/>
      <c r="AW941" s="171"/>
      <c r="AX941" s="171"/>
      <c r="AY941" s="171"/>
      <c r="AZ941" s="171"/>
      <c r="BA941" s="171"/>
      <c r="BB941" s="171"/>
      <c r="BC941" s="171"/>
      <c r="BD941" s="172"/>
      <c r="BE941" s="172"/>
      <c r="BF941" s="172"/>
      <c r="BG941" s="172"/>
      <c r="BH941" s="172"/>
      <c r="BI941" s="172"/>
      <c r="BJ941" s="172"/>
      <c r="BK941" s="172"/>
      <c r="BL941" s="172"/>
      <c r="BM941" s="172"/>
      <c r="BN941" s="172"/>
      <c r="BO941" s="172"/>
      <c r="BP941" s="172"/>
      <c r="BQ941" s="172"/>
      <c r="BR941" s="172"/>
      <c r="BS941" s="172"/>
    </row>
    <row r="942" spans="1:71" ht="12.5" x14ac:dyDescent="0.25">
      <c r="A942" s="170"/>
      <c r="B942" s="170"/>
      <c r="C942" s="170"/>
      <c r="D942" s="170"/>
      <c r="E942" s="171"/>
      <c r="F942" s="171"/>
      <c r="G942" s="170"/>
      <c r="H942" s="170"/>
      <c r="I942" s="170"/>
      <c r="J942" s="171"/>
      <c r="K942" s="171"/>
      <c r="L942" s="170"/>
      <c r="M942" s="170"/>
      <c r="N942" s="170"/>
      <c r="O942" s="171"/>
      <c r="P942" s="171"/>
      <c r="Q942" s="170"/>
      <c r="R942" s="170"/>
      <c r="S942" s="170"/>
      <c r="T942" s="171"/>
      <c r="U942" s="171"/>
      <c r="V942" s="171"/>
      <c r="W942" s="171"/>
      <c r="X942" s="171"/>
      <c r="Y942" s="171"/>
      <c r="Z942" s="171"/>
      <c r="AA942" s="171"/>
      <c r="AB942" s="171"/>
      <c r="AC942" s="170"/>
      <c r="AD942" s="170"/>
      <c r="AE942" s="170"/>
      <c r="AF942" s="170"/>
      <c r="AG942" s="170"/>
      <c r="AH942" s="170"/>
      <c r="AI942" s="170"/>
      <c r="AJ942" s="170"/>
      <c r="AK942" s="171"/>
      <c r="AL942" s="171"/>
      <c r="AM942" s="170"/>
      <c r="AN942" s="170"/>
      <c r="AO942" s="170"/>
      <c r="AP942" s="171"/>
      <c r="AQ942" s="171"/>
      <c r="AR942" s="170"/>
      <c r="AS942" s="170"/>
      <c r="AT942" s="170"/>
      <c r="AU942" s="171"/>
      <c r="AV942" s="171"/>
      <c r="AW942" s="171"/>
      <c r="AX942" s="171"/>
      <c r="AY942" s="171"/>
      <c r="AZ942" s="171"/>
      <c r="BA942" s="171"/>
      <c r="BB942" s="171"/>
      <c r="BC942" s="171"/>
      <c r="BD942" s="172"/>
      <c r="BE942" s="172"/>
      <c r="BF942" s="172"/>
      <c r="BG942" s="172"/>
      <c r="BH942" s="172"/>
      <c r="BI942" s="172"/>
      <c r="BJ942" s="172"/>
      <c r="BK942" s="172"/>
      <c r="BL942" s="172"/>
      <c r="BM942" s="172"/>
      <c r="BN942" s="172"/>
      <c r="BO942" s="172"/>
      <c r="BP942" s="172"/>
      <c r="BQ942" s="172"/>
      <c r="BR942" s="172"/>
      <c r="BS942" s="172"/>
    </row>
    <row r="943" spans="1:71" ht="12.5" x14ac:dyDescent="0.25">
      <c r="A943" s="170"/>
      <c r="B943" s="170"/>
      <c r="C943" s="170"/>
      <c r="D943" s="170"/>
      <c r="E943" s="171"/>
      <c r="F943" s="171"/>
      <c r="G943" s="170"/>
      <c r="H943" s="170"/>
      <c r="I943" s="170"/>
      <c r="J943" s="171"/>
      <c r="K943" s="171"/>
      <c r="L943" s="170"/>
      <c r="M943" s="170"/>
      <c r="N943" s="170"/>
      <c r="O943" s="171"/>
      <c r="P943" s="171"/>
      <c r="Q943" s="170"/>
      <c r="R943" s="170"/>
      <c r="S943" s="170"/>
      <c r="T943" s="171"/>
      <c r="U943" s="171"/>
      <c r="V943" s="171"/>
      <c r="W943" s="171"/>
      <c r="X943" s="171"/>
      <c r="Y943" s="171"/>
      <c r="Z943" s="171"/>
      <c r="AA943" s="171"/>
      <c r="AB943" s="171"/>
      <c r="AC943" s="170"/>
      <c r="AD943" s="170"/>
      <c r="AE943" s="170"/>
      <c r="AF943" s="170"/>
      <c r="AG943" s="170"/>
      <c r="AH943" s="170"/>
      <c r="AI943" s="170"/>
      <c r="AJ943" s="170"/>
      <c r="AK943" s="171"/>
      <c r="AL943" s="171"/>
      <c r="AM943" s="170"/>
      <c r="AN943" s="170"/>
      <c r="AO943" s="170"/>
      <c r="AP943" s="171"/>
      <c r="AQ943" s="171"/>
      <c r="AR943" s="170"/>
      <c r="AS943" s="170"/>
      <c r="AT943" s="170"/>
      <c r="AU943" s="171"/>
      <c r="AV943" s="171"/>
      <c r="AW943" s="171"/>
      <c r="AX943" s="171"/>
      <c r="AY943" s="171"/>
      <c r="AZ943" s="171"/>
      <c r="BA943" s="171"/>
      <c r="BB943" s="171"/>
      <c r="BC943" s="171"/>
      <c r="BD943" s="172"/>
      <c r="BE943" s="172"/>
      <c r="BF943" s="172"/>
      <c r="BG943" s="172"/>
      <c r="BH943" s="172"/>
      <c r="BI943" s="172"/>
      <c r="BJ943" s="172"/>
      <c r="BK943" s="172"/>
      <c r="BL943" s="172"/>
      <c r="BM943" s="172"/>
      <c r="BN943" s="172"/>
      <c r="BO943" s="172"/>
      <c r="BP943" s="172"/>
      <c r="BQ943" s="172"/>
      <c r="BR943" s="172"/>
      <c r="BS943" s="172"/>
    </row>
    <row r="944" spans="1:71" ht="12.5" x14ac:dyDescent="0.25">
      <c r="A944" s="170"/>
      <c r="B944" s="170"/>
      <c r="C944" s="170"/>
      <c r="D944" s="170"/>
      <c r="E944" s="171"/>
      <c r="F944" s="171"/>
      <c r="G944" s="170"/>
      <c r="H944" s="170"/>
      <c r="I944" s="170"/>
      <c r="J944" s="171"/>
      <c r="K944" s="171"/>
      <c r="L944" s="170"/>
      <c r="M944" s="170"/>
      <c r="N944" s="170"/>
      <c r="O944" s="171"/>
      <c r="P944" s="171"/>
      <c r="Q944" s="170"/>
      <c r="R944" s="170"/>
      <c r="S944" s="170"/>
      <c r="T944" s="171"/>
      <c r="U944" s="171"/>
      <c r="V944" s="171"/>
      <c r="W944" s="171"/>
      <c r="X944" s="171"/>
      <c r="Y944" s="171"/>
      <c r="Z944" s="171"/>
      <c r="AA944" s="171"/>
      <c r="AB944" s="171"/>
      <c r="AC944" s="170"/>
      <c r="AD944" s="170"/>
      <c r="AE944" s="170"/>
      <c r="AF944" s="170"/>
      <c r="AG944" s="170"/>
      <c r="AH944" s="170"/>
      <c r="AI944" s="170"/>
      <c r="AJ944" s="170"/>
      <c r="AK944" s="171"/>
      <c r="AL944" s="171"/>
      <c r="AM944" s="170"/>
      <c r="AN944" s="170"/>
      <c r="AO944" s="170"/>
      <c r="AP944" s="171"/>
      <c r="AQ944" s="171"/>
      <c r="AR944" s="170"/>
      <c r="AS944" s="170"/>
      <c r="AT944" s="170"/>
      <c r="AU944" s="171"/>
      <c r="AV944" s="171"/>
      <c r="AW944" s="171"/>
      <c r="AX944" s="171"/>
      <c r="AY944" s="171"/>
      <c r="AZ944" s="171"/>
      <c r="BA944" s="171"/>
      <c r="BB944" s="171"/>
      <c r="BC944" s="171"/>
      <c r="BD944" s="172"/>
      <c r="BE944" s="172"/>
      <c r="BF944" s="172"/>
      <c r="BG944" s="172"/>
      <c r="BH944" s="172"/>
      <c r="BI944" s="172"/>
      <c r="BJ944" s="172"/>
      <c r="BK944" s="172"/>
      <c r="BL944" s="172"/>
      <c r="BM944" s="172"/>
      <c r="BN944" s="172"/>
      <c r="BO944" s="172"/>
      <c r="BP944" s="172"/>
      <c r="BQ944" s="172"/>
      <c r="BR944" s="172"/>
      <c r="BS944" s="172"/>
    </row>
    <row r="945" spans="1:71" ht="12.5" x14ac:dyDescent="0.25">
      <c r="A945" s="170"/>
      <c r="B945" s="170"/>
      <c r="C945" s="170"/>
      <c r="D945" s="170"/>
      <c r="E945" s="171"/>
      <c r="F945" s="171"/>
      <c r="G945" s="170"/>
      <c r="H945" s="170"/>
      <c r="I945" s="170"/>
      <c r="J945" s="171"/>
      <c r="K945" s="171"/>
      <c r="L945" s="170"/>
      <c r="M945" s="170"/>
      <c r="N945" s="170"/>
      <c r="O945" s="171"/>
      <c r="P945" s="171"/>
      <c r="Q945" s="170"/>
      <c r="R945" s="170"/>
      <c r="S945" s="170"/>
      <c r="T945" s="171"/>
      <c r="U945" s="171"/>
      <c r="V945" s="171"/>
      <c r="W945" s="171"/>
      <c r="X945" s="171"/>
      <c r="Y945" s="171"/>
      <c r="Z945" s="171"/>
      <c r="AA945" s="171"/>
      <c r="AB945" s="171"/>
      <c r="AC945" s="170"/>
      <c r="AD945" s="170"/>
      <c r="AE945" s="170"/>
      <c r="AF945" s="170"/>
      <c r="AG945" s="170"/>
      <c r="AH945" s="170"/>
      <c r="AI945" s="170"/>
      <c r="AJ945" s="170"/>
      <c r="AK945" s="171"/>
      <c r="AL945" s="171"/>
      <c r="AM945" s="170"/>
      <c r="AN945" s="170"/>
      <c r="AO945" s="170"/>
      <c r="AP945" s="171"/>
      <c r="AQ945" s="171"/>
      <c r="AR945" s="170"/>
      <c r="AS945" s="170"/>
      <c r="AT945" s="170"/>
      <c r="AU945" s="171"/>
      <c r="AV945" s="171"/>
      <c r="AW945" s="171"/>
      <c r="AX945" s="171"/>
      <c r="AY945" s="171"/>
      <c r="AZ945" s="171"/>
      <c r="BA945" s="171"/>
      <c r="BB945" s="171"/>
      <c r="BC945" s="171"/>
      <c r="BD945" s="172"/>
      <c r="BE945" s="172"/>
      <c r="BF945" s="172"/>
      <c r="BG945" s="172"/>
      <c r="BH945" s="172"/>
      <c r="BI945" s="172"/>
      <c r="BJ945" s="172"/>
      <c r="BK945" s="172"/>
      <c r="BL945" s="172"/>
      <c r="BM945" s="172"/>
      <c r="BN945" s="172"/>
      <c r="BO945" s="172"/>
      <c r="BP945" s="172"/>
      <c r="BQ945" s="172"/>
      <c r="BR945" s="172"/>
      <c r="BS945" s="172"/>
    </row>
    <row r="946" spans="1:71" ht="12.5" x14ac:dyDescent="0.25">
      <c r="A946" s="170"/>
      <c r="B946" s="170"/>
      <c r="C946" s="170"/>
      <c r="D946" s="170"/>
      <c r="E946" s="171"/>
      <c r="F946" s="171"/>
      <c r="G946" s="170"/>
      <c r="H946" s="170"/>
      <c r="I946" s="170"/>
      <c r="J946" s="171"/>
      <c r="K946" s="171"/>
      <c r="L946" s="170"/>
      <c r="M946" s="170"/>
      <c r="N946" s="170"/>
      <c r="O946" s="171"/>
      <c r="P946" s="171"/>
      <c r="Q946" s="170"/>
      <c r="R946" s="170"/>
      <c r="S946" s="170"/>
      <c r="T946" s="171"/>
      <c r="U946" s="171"/>
      <c r="V946" s="171"/>
      <c r="W946" s="171"/>
      <c r="X946" s="171"/>
      <c r="Y946" s="171"/>
      <c r="Z946" s="171"/>
      <c r="AA946" s="171"/>
      <c r="AB946" s="171"/>
      <c r="AC946" s="170"/>
      <c r="AD946" s="170"/>
      <c r="AE946" s="170"/>
      <c r="AF946" s="170"/>
      <c r="AG946" s="170"/>
      <c r="AH946" s="170"/>
      <c r="AI946" s="170"/>
      <c r="AJ946" s="170"/>
      <c r="AK946" s="171"/>
      <c r="AL946" s="171"/>
      <c r="AM946" s="170"/>
      <c r="AN946" s="170"/>
      <c r="AO946" s="170"/>
      <c r="AP946" s="171"/>
      <c r="AQ946" s="171"/>
      <c r="AR946" s="170"/>
      <c r="AS946" s="170"/>
      <c r="AT946" s="170"/>
      <c r="AU946" s="171"/>
      <c r="AV946" s="171"/>
      <c r="AW946" s="171"/>
      <c r="AX946" s="171"/>
      <c r="AY946" s="171"/>
      <c r="AZ946" s="171"/>
      <c r="BA946" s="171"/>
      <c r="BB946" s="171"/>
      <c r="BC946" s="171"/>
      <c r="BD946" s="172"/>
      <c r="BE946" s="172"/>
      <c r="BF946" s="172"/>
      <c r="BG946" s="172"/>
      <c r="BH946" s="172"/>
      <c r="BI946" s="172"/>
      <c r="BJ946" s="172"/>
      <c r="BK946" s="172"/>
      <c r="BL946" s="172"/>
      <c r="BM946" s="172"/>
      <c r="BN946" s="172"/>
      <c r="BO946" s="172"/>
      <c r="BP946" s="172"/>
      <c r="BQ946" s="172"/>
      <c r="BR946" s="172"/>
      <c r="BS946" s="172"/>
    </row>
    <row r="947" spans="1:71" ht="12.5" x14ac:dyDescent="0.25">
      <c r="A947" s="170"/>
      <c r="B947" s="170"/>
      <c r="C947" s="170"/>
      <c r="D947" s="170"/>
      <c r="E947" s="171"/>
      <c r="F947" s="171"/>
      <c r="G947" s="170"/>
      <c r="H947" s="170"/>
      <c r="I947" s="170"/>
      <c r="J947" s="171"/>
      <c r="K947" s="171"/>
      <c r="L947" s="170"/>
      <c r="M947" s="170"/>
      <c r="N947" s="170"/>
      <c r="O947" s="171"/>
      <c r="P947" s="171"/>
      <c r="Q947" s="170"/>
      <c r="R947" s="170"/>
      <c r="S947" s="170"/>
      <c r="T947" s="171"/>
      <c r="U947" s="171"/>
      <c r="V947" s="171"/>
      <c r="W947" s="171"/>
      <c r="X947" s="171"/>
      <c r="Y947" s="171"/>
      <c r="Z947" s="171"/>
      <c r="AA947" s="171"/>
      <c r="AB947" s="171"/>
      <c r="AC947" s="170"/>
      <c r="AD947" s="170"/>
      <c r="AE947" s="170"/>
      <c r="AF947" s="170"/>
      <c r="AG947" s="170"/>
      <c r="AH947" s="170"/>
      <c r="AI947" s="170"/>
      <c r="AJ947" s="170"/>
      <c r="AK947" s="171"/>
      <c r="AL947" s="171"/>
      <c r="AM947" s="170"/>
      <c r="AN947" s="170"/>
      <c r="AO947" s="170"/>
      <c r="AP947" s="171"/>
      <c r="AQ947" s="171"/>
      <c r="AR947" s="170"/>
      <c r="AS947" s="170"/>
      <c r="AT947" s="170"/>
      <c r="AU947" s="171"/>
      <c r="AV947" s="171"/>
      <c r="AW947" s="171"/>
      <c r="AX947" s="171"/>
      <c r="AY947" s="171"/>
      <c r="AZ947" s="171"/>
      <c r="BA947" s="171"/>
      <c r="BB947" s="171"/>
      <c r="BC947" s="171"/>
      <c r="BD947" s="172"/>
      <c r="BE947" s="172"/>
      <c r="BF947" s="172"/>
      <c r="BG947" s="172"/>
      <c r="BH947" s="172"/>
      <c r="BI947" s="172"/>
      <c r="BJ947" s="172"/>
      <c r="BK947" s="172"/>
      <c r="BL947" s="172"/>
      <c r="BM947" s="172"/>
      <c r="BN947" s="172"/>
      <c r="BO947" s="172"/>
      <c r="BP947" s="172"/>
      <c r="BQ947" s="172"/>
      <c r="BR947" s="172"/>
      <c r="BS947" s="172"/>
    </row>
    <row r="948" spans="1:71" ht="12.5" x14ac:dyDescent="0.25">
      <c r="A948" s="170"/>
      <c r="B948" s="170"/>
      <c r="C948" s="170"/>
      <c r="D948" s="170"/>
      <c r="E948" s="171"/>
      <c r="F948" s="171"/>
      <c r="G948" s="170"/>
      <c r="H948" s="170"/>
      <c r="I948" s="170"/>
      <c r="J948" s="171"/>
      <c r="K948" s="171"/>
      <c r="L948" s="170"/>
      <c r="M948" s="170"/>
      <c r="N948" s="170"/>
      <c r="O948" s="171"/>
      <c r="P948" s="171"/>
      <c r="Q948" s="170"/>
      <c r="R948" s="170"/>
      <c r="S948" s="170"/>
      <c r="T948" s="171"/>
      <c r="U948" s="171"/>
      <c r="V948" s="171"/>
      <c r="W948" s="171"/>
      <c r="X948" s="171"/>
      <c r="Y948" s="171"/>
      <c r="Z948" s="171"/>
      <c r="AA948" s="171"/>
      <c r="AB948" s="171"/>
      <c r="AC948" s="170"/>
      <c r="AD948" s="170"/>
      <c r="AE948" s="170"/>
      <c r="AF948" s="170"/>
      <c r="AG948" s="170"/>
      <c r="AH948" s="170"/>
      <c r="AI948" s="170"/>
      <c r="AJ948" s="170"/>
      <c r="AK948" s="171"/>
      <c r="AL948" s="171"/>
      <c r="AM948" s="170"/>
      <c r="AN948" s="170"/>
      <c r="AO948" s="170"/>
      <c r="AP948" s="171"/>
      <c r="AQ948" s="171"/>
      <c r="AR948" s="170"/>
      <c r="AS948" s="170"/>
      <c r="AT948" s="170"/>
      <c r="AU948" s="171"/>
      <c r="AV948" s="171"/>
      <c r="AW948" s="171"/>
      <c r="AX948" s="171"/>
      <c r="AY948" s="171"/>
      <c r="AZ948" s="171"/>
      <c r="BA948" s="171"/>
      <c r="BB948" s="171"/>
      <c r="BC948" s="171"/>
      <c r="BD948" s="172"/>
      <c r="BE948" s="172"/>
      <c r="BF948" s="172"/>
      <c r="BG948" s="172"/>
      <c r="BH948" s="172"/>
      <c r="BI948" s="172"/>
      <c r="BJ948" s="172"/>
      <c r="BK948" s="172"/>
      <c r="BL948" s="172"/>
      <c r="BM948" s="172"/>
      <c r="BN948" s="172"/>
      <c r="BO948" s="172"/>
      <c r="BP948" s="172"/>
      <c r="BQ948" s="172"/>
      <c r="BR948" s="172"/>
      <c r="BS948" s="172"/>
    </row>
    <row r="949" spans="1:71" ht="12.5" x14ac:dyDescent="0.25">
      <c r="A949" s="170"/>
      <c r="B949" s="170"/>
      <c r="C949" s="170"/>
      <c r="D949" s="170"/>
      <c r="E949" s="171"/>
      <c r="F949" s="171"/>
      <c r="G949" s="170"/>
      <c r="H949" s="170"/>
      <c r="I949" s="170"/>
      <c r="J949" s="171"/>
      <c r="K949" s="171"/>
      <c r="L949" s="170"/>
      <c r="M949" s="170"/>
      <c r="N949" s="170"/>
      <c r="O949" s="171"/>
      <c r="P949" s="171"/>
      <c r="Q949" s="170"/>
      <c r="R949" s="170"/>
      <c r="S949" s="170"/>
      <c r="T949" s="171"/>
      <c r="U949" s="171"/>
      <c r="V949" s="171"/>
      <c r="W949" s="171"/>
      <c r="X949" s="171"/>
      <c r="Y949" s="171"/>
      <c r="Z949" s="171"/>
      <c r="AA949" s="171"/>
      <c r="AB949" s="171"/>
      <c r="AC949" s="170"/>
      <c r="AD949" s="170"/>
      <c r="AE949" s="170"/>
      <c r="AF949" s="170"/>
      <c r="AG949" s="170"/>
      <c r="AH949" s="170"/>
      <c r="AI949" s="170"/>
      <c r="AJ949" s="170"/>
      <c r="AK949" s="171"/>
      <c r="AL949" s="171"/>
      <c r="AM949" s="170"/>
      <c r="AN949" s="170"/>
      <c r="AO949" s="170"/>
      <c r="AP949" s="171"/>
      <c r="AQ949" s="171"/>
      <c r="AR949" s="170"/>
      <c r="AS949" s="170"/>
      <c r="AT949" s="170"/>
      <c r="AU949" s="171"/>
      <c r="AV949" s="171"/>
      <c r="AW949" s="171"/>
      <c r="AX949" s="171"/>
      <c r="AY949" s="171"/>
      <c r="AZ949" s="171"/>
      <c r="BA949" s="171"/>
      <c r="BB949" s="171"/>
      <c r="BC949" s="171"/>
      <c r="BD949" s="172"/>
      <c r="BE949" s="172"/>
      <c r="BF949" s="172"/>
      <c r="BG949" s="172"/>
      <c r="BH949" s="172"/>
      <c r="BI949" s="172"/>
      <c r="BJ949" s="172"/>
      <c r="BK949" s="172"/>
      <c r="BL949" s="172"/>
      <c r="BM949" s="172"/>
      <c r="BN949" s="172"/>
      <c r="BO949" s="172"/>
      <c r="BP949" s="172"/>
      <c r="BQ949" s="172"/>
      <c r="BR949" s="172"/>
      <c r="BS949" s="172"/>
    </row>
    <row r="950" spans="1:71" ht="12.5" x14ac:dyDescent="0.25">
      <c r="A950" s="170"/>
      <c r="B950" s="170"/>
      <c r="C950" s="170"/>
      <c r="D950" s="170"/>
      <c r="E950" s="171"/>
      <c r="F950" s="171"/>
      <c r="G950" s="170"/>
      <c r="H950" s="170"/>
      <c r="I950" s="170"/>
      <c r="J950" s="171"/>
      <c r="K950" s="171"/>
      <c r="L950" s="170"/>
      <c r="M950" s="170"/>
      <c r="N950" s="170"/>
      <c r="O950" s="171"/>
      <c r="P950" s="171"/>
      <c r="Q950" s="170"/>
      <c r="R950" s="170"/>
      <c r="S950" s="170"/>
      <c r="T950" s="171"/>
      <c r="U950" s="171"/>
      <c r="V950" s="171"/>
      <c r="W950" s="171"/>
      <c r="X950" s="171"/>
      <c r="Y950" s="171"/>
      <c r="Z950" s="171"/>
      <c r="AA950" s="171"/>
      <c r="AB950" s="171"/>
      <c r="AC950" s="170"/>
      <c r="AD950" s="170"/>
      <c r="AE950" s="170"/>
      <c r="AF950" s="170"/>
      <c r="AG950" s="170"/>
      <c r="AH950" s="170"/>
      <c r="AI950" s="170"/>
      <c r="AJ950" s="170"/>
      <c r="AK950" s="171"/>
      <c r="AL950" s="171"/>
      <c r="AM950" s="170"/>
      <c r="AN950" s="170"/>
      <c r="AO950" s="170"/>
      <c r="AP950" s="171"/>
      <c r="AQ950" s="171"/>
      <c r="AR950" s="170"/>
      <c r="AS950" s="170"/>
      <c r="AT950" s="170"/>
      <c r="AU950" s="171"/>
      <c r="AV950" s="171"/>
      <c r="AW950" s="171"/>
      <c r="AX950" s="171"/>
      <c r="AY950" s="171"/>
      <c r="AZ950" s="171"/>
      <c r="BA950" s="171"/>
      <c r="BB950" s="171"/>
      <c r="BC950" s="171"/>
      <c r="BD950" s="172"/>
      <c r="BE950" s="172"/>
      <c r="BF950" s="172"/>
      <c r="BG950" s="172"/>
      <c r="BH950" s="172"/>
      <c r="BI950" s="172"/>
      <c r="BJ950" s="172"/>
      <c r="BK950" s="172"/>
      <c r="BL950" s="172"/>
      <c r="BM950" s="172"/>
      <c r="BN950" s="172"/>
      <c r="BO950" s="172"/>
      <c r="BP950" s="172"/>
      <c r="BQ950" s="172"/>
      <c r="BR950" s="172"/>
      <c r="BS950" s="172"/>
    </row>
    <row r="951" spans="1:71" ht="12.5" x14ac:dyDescent="0.25">
      <c r="A951" s="170"/>
      <c r="B951" s="170"/>
      <c r="C951" s="170"/>
      <c r="D951" s="170"/>
      <c r="E951" s="171"/>
      <c r="F951" s="171"/>
      <c r="G951" s="170"/>
      <c r="H951" s="170"/>
      <c r="I951" s="170"/>
      <c r="J951" s="171"/>
      <c r="K951" s="171"/>
      <c r="L951" s="170"/>
      <c r="M951" s="170"/>
      <c r="N951" s="170"/>
      <c r="O951" s="171"/>
      <c r="P951" s="171"/>
      <c r="Q951" s="170"/>
      <c r="R951" s="170"/>
      <c r="S951" s="170"/>
      <c r="T951" s="171"/>
      <c r="U951" s="171"/>
      <c r="V951" s="171"/>
      <c r="W951" s="171"/>
      <c r="X951" s="171"/>
      <c r="Y951" s="171"/>
      <c r="Z951" s="171"/>
      <c r="AA951" s="171"/>
      <c r="AB951" s="171"/>
      <c r="AC951" s="170"/>
      <c r="AD951" s="170"/>
      <c r="AE951" s="170"/>
      <c r="AF951" s="170"/>
      <c r="AG951" s="170"/>
      <c r="AH951" s="170"/>
      <c r="AI951" s="170"/>
      <c r="AJ951" s="170"/>
      <c r="AK951" s="171"/>
      <c r="AL951" s="171"/>
      <c r="AM951" s="170"/>
      <c r="AN951" s="170"/>
      <c r="AO951" s="170"/>
      <c r="AP951" s="171"/>
      <c r="AQ951" s="171"/>
      <c r="AR951" s="170"/>
      <c r="AS951" s="170"/>
      <c r="AT951" s="170"/>
      <c r="AU951" s="171"/>
      <c r="AV951" s="171"/>
      <c r="AW951" s="171"/>
      <c r="AX951" s="171"/>
      <c r="AY951" s="171"/>
      <c r="AZ951" s="171"/>
      <c r="BA951" s="171"/>
      <c r="BB951" s="171"/>
      <c r="BC951" s="171"/>
      <c r="BD951" s="172"/>
      <c r="BE951" s="172"/>
      <c r="BF951" s="172"/>
      <c r="BG951" s="172"/>
      <c r="BH951" s="172"/>
      <c r="BI951" s="172"/>
      <c r="BJ951" s="172"/>
      <c r="BK951" s="172"/>
      <c r="BL951" s="172"/>
      <c r="BM951" s="172"/>
      <c r="BN951" s="172"/>
      <c r="BO951" s="172"/>
      <c r="BP951" s="172"/>
      <c r="BQ951" s="172"/>
      <c r="BR951" s="172"/>
      <c r="BS951" s="172"/>
    </row>
    <row r="952" spans="1:71" ht="12.5" x14ac:dyDescent="0.25">
      <c r="A952" s="170"/>
      <c r="B952" s="170"/>
      <c r="C952" s="170"/>
      <c r="D952" s="170"/>
      <c r="E952" s="171"/>
      <c r="F952" s="171"/>
      <c r="G952" s="170"/>
      <c r="H952" s="170"/>
      <c r="I952" s="170"/>
      <c r="J952" s="171"/>
      <c r="K952" s="171"/>
      <c r="L952" s="170"/>
      <c r="M952" s="170"/>
      <c r="N952" s="170"/>
      <c r="O952" s="171"/>
      <c r="P952" s="171"/>
      <c r="Q952" s="170"/>
      <c r="R952" s="170"/>
      <c r="S952" s="170"/>
      <c r="T952" s="171"/>
      <c r="U952" s="171"/>
      <c r="V952" s="171"/>
      <c r="W952" s="171"/>
      <c r="X952" s="171"/>
      <c r="Y952" s="171"/>
      <c r="Z952" s="171"/>
      <c r="AA952" s="171"/>
      <c r="AB952" s="171"/>
      <c r="AC952" s="170"/>
      <c r="AD952" s="170"/>
      <c r="AE952" s="170"/>
      <c r="AF952" s="170"/>
      <c r="AG952" s="170"/>
      <c r="AH952" s="170"/>
      <c r="AI952" s="170"/>
      <c r="AJ952" s="170"/>
      <c r="AK952" s="171"/>
      <c r="AL952" s="171"/>
      <c r="AM952" s="170"/>
      <c r="AN952" s="170"/>
      <c r="AO952" s="170"/>
      <c r="AP952" s="171"/>
      <c r="AQ952" s="171"/>
      <c r="AR952" s="170"/>
      <c r="AS952" s="170"/>
      <c r="AT952" s="170"/>
      <c r="AU952" s="171"/>
      <c r="AV952" s="171"/>
      <c r="AW952" s="171"/>
      <c r="AX952" s="171"/>
      <c r="AY952" s="171"/>
      <c r="AZ952" s="171"/>
      <c r="BA952" s="171"/>
      <c r="BB952" s="171"/>
      <c r="BC952" s="171"/>
      <c r="BD952" s="172"/>
      <c r="BE952" s="172"/>
      <c r="BF952" s="172"/>
      <c r="BG952" s="172"/>
      <c r="BH952" s="172"/>
      <c r="BI952" s="172"/>
      <c r="BJ952" s="172"/>
      <c r="BK952" s="172"/>
      <c r="BL952" s="172"/>
      <c r="BM952" s="172"/>
      <c r="BN952" s="172"/>
      <c r="BO952" s="172"/>
      <c r="BP952" s="172"/>
      <c r="BQ952" s="172"/>
      <c r="BR952" s="172"/>
      <c r="BS952" s="172"/>
    </row>
    <row r="953" spans="1:71" ht="12.5" x14ac:dyDescent="0.25">
      <c r="A953" s="170"/>
      <c r="B953" s="170"/>
      <c r="C953" s="170"/>
      <c r="D953" s="170"/>
      <c r="E953" s="171"/>
      <c r="F953" s="171"/>
      <c r="G953" s="170"/>
      <c r="H953" s="170"/>
      <c r="I953" s="170"/>
      <c r="J953" s="171"/>
      <c r="K953" s="171"/>
      <c r="L953" s="170"/>
      <c r="M953" s="170"/>
      <c r="N953" s="170"/>
      <c r="O953" s="171"/>
      <c r="P953" s="171"/>
      <c r="Q953" s="170"/>
      <c r="R953" s="170"/>
      <c r="S953" s="170"/>
      <c r="T953" s="171"/>
      <c r="U953" s="171"/>
      <c r="V953" s="171"/>
      <c r="W953" s="171"/>
      <c r="X953" s="171"/>
      <c r="Y953" s="171"/>
      <c r="Z953" s="171"/>
      <c r="AA953" s="171"/>
      <c r="AB953" s="171"/>
      <c r="AC953" s="170"/>
      <c r="AD953" s="170"/>
      <c r="AE953" s="170"/>
      <c r="AF953" s="170"/>
      <c r="AG953" s="170"/>
      <c r="AH953" s="170"/>
      <c r="AI953" s="170"/>
      <c r="AJ953" s="170"/>
      <c r="AK953" s="171"/>
      <c r="AL953" s="171"/>
      <c r="AM953" s="170"/>
      <c r="AN953" s="170"/>
      <c r="AO953" s="170"/>
      <c r="AP953" s="171"/>
      <c r="AQ953" s="171"/>
      <c r="AR953" s="170"/>
      <c r="AS953" s="170"/>
      <c r="AT953" s="170"/>
      <c r="AU953" s="171"/>
      <c r="AV953" s="171"/>
      <c r="AW953" s="171"/>
      <c r="AX953" s="171"/>
      <c r="AY953" s="171"/>
      <c r="AZ953" s="171"/>
      <c r="BA953" s="171"/>
      <c r="BB953" s="171"/>
      <c r="BC953" s="171"/>
      <c r="BD953" s="172"/>
      <c r="BE953" s="172"/>
      <c r="BF953" s="172"/>
      <c r="BG953" s="172"/>
      <c r="BH953" s="172"/>
      <c r="BI953" s="172"/>
      <c r="BJ953" s="172"/>
      <c r="BK953" s="172"/>
      <c r="BL953" s="172"/>
      <c r="BM953" s="172"/>
      <c r="BN953" s="172"/>
      <c r="BO953" s="172"/>
      <c r="BP953" s="172"/>
      <c r="BQ953" s="172"/>
      <c r="BR953" s="172"/>
      <c r="BS953" s="172"/>
    </row>
    <row r="954" spans="1:71" ht="12.5" x14ac:dyDescent="0.25">
      <c r="A954" s="170"/>
      <c r="B954" s="170"/>
      <c r="C954" s="170"/>
      <c r="D954" s="170"/>
      <c r="E954" s="171"/>
      <c r="F954" s="171"/>
      <c r="G954" s="170"/>
      <c r="H954" s="170"/>
      <c r="I954" s="170"/>
      <c r="J954" s="171"/>
      <c r="K954" s="171"/>
      <c r="L954" s="170"/>
      <c r="M954" s="170"/>
      <c r="N954" s="170"/>
      <c r="O954" s="171"/>
      <c r="P954" s="171"/>
      <c r="Q954" s="170"/>
      <c r="R954" s="170"/>
      <c r="S954" s="170"/>
      <c r="T954" s="171"/>
      <c r="U954" s="171"/>
      <c r="V954" s="171"/>
      <c r="W954" s="171"/>
      <c r="X954" s="171"/>
      <c r="Y954" s="171"/>
      <c r="Z954" s="171"/>
      <c r="AA954" s="171"/>
      <c r="AB954" s="171"/>
      <c r="AC954" s="170"/>
      <c r="AD954" s="170"/>
      <c r="AE954" s="170"/>
      <c r="AF954" s="170"/>
      <c r="AG954" s="170"/>
      <c r="AH954" s="170"/>
      <c r="AI954" s="170"/>
      <c r="AJ954" s="170"/>
      <c r="AK954" s="171"/>
      <c r="AL954" s="171"/>
      <c r="AM954" s="170"/>
      <c r="AN954" s="170"/>
      <c r="AO954" s="170"/>
      <c r="AP954" s="171"/>
      <c r="AQ954" s="171"/>
      <c r="AR954" s="170"/>
      <c r="AS954" s="170"/>
      <c r="AT954" s="170"/>
      <c r="AU954" s="171"/>
      <c r="AV954" s="171"/>
      <c r="AW954" s="171"/>
      <c r="AX954" s="171"/>
      <c r="AY954" s="171"/>
      <c r="AZ954" s="171"/>
      <c r="BA954" s="171"/>
      <c r="BB954" s="171"/>
      <c r="BC954" s="171"/>
      <c r="BD954" s="172"/>
      <c r="BE954" s="172"/>
      <c r="BF954" s="172"/>
      <c r="BG954" s="172"/>
      <c r="BH954" s="172"/>
      <c r="BI954" s="172"/>
      <c r="BJ954" s="172"/>
      <c r="BK954" s="172"/>
      <c r="BL954" s="172"/>
      <c r="BM954" s="172"/>
      <c r="BN954" s="172"/>
      <c r="BO954" s="172"/>
      <c r="BP954" s="172"/>
      <c r="BQ954" s="172"/>
      <c r="BR954" s="172"/>
      <c r="BS954" s="172"/>
    </row>
    <row r="955" spans="1:71" ht="12.5" x14ac:dyDescent="0.25">
      <c r="A955" s="170"/>
      <c r="B955" s="170"/>
      <c r="C955" s="170"/>
      <c r="D955" s="170"/>
      <c r="E955" s="171"/>
      <c r="F955" s="171"/>
      <c r="G955" s="170"/>
      <c r="H955" s="170"/>
      <c r="I955" s="170"/>
      <c r="J955" s="171"/>
      <c r="K955" s="171"/>
      <c r="L955" s="170"/>
      <c r="M955" s="170"/>
      <c r="N955" s="170"/>
      <c r="O955" s="171"/>
      <c r="P955" s="171"/>
      <c r="Q955" s="170"/>
      <c r="R955" s="170"/>
      <c r="S955" s="170"/>
      <c r="T955" s="171"/>
      <c r="U955" s="171"/>
      <c r="V955" s="171"/>
      <c r="W955" s="171"/>
      <c r="X955" s="171"/>
      <c r="Y955" s="171"/>
      <c r="Z955" s="171"/>
      <c r="AA955" s="171"/>
      <c r="AB955" s="171"/>
      <c r="AC955" s="170"/>
      <c r="AD955" s="170"/>
      <c r="AE955" s="170"/>
      <c r="AF955" s="170"/>
      <c r="AG955" s="170"/>
      <c r="AH955" s="170"/>
      <c r="AI955" s="170"/>
      <c r="AJ955" s="170"/>
      <c r="AK955" s="171"/>
      <c r="AL955" s="171"/>
      <c r="AM955" s="170"/>
      <c r="AN955" s="170"/>
      <c r="AO955" s="170"/>
      <c r="AP955" s="171"/>
      <c r="AQ955" s="171"/>
      <c r="AR955" s="170"/>
      <c r="AS955" s="170"/>
      <c r="AT955" s="170"/>
      <c r="AU955" s="171"/>
      <c r="AV955" s="171"/>
      <c r="AW955" s="171"/>
      <c r="AX955" s="171"/>
      <c r="AY955" s="171"/>
      <c r="AZ955" s="171"/>
      <c r="BA955" s="171"/>
      <c r="BB955" s="171"/>
      <c r="BC955" s="171"/>
      <c r="BD955" s="172"/>
      <c r="BE955" s="172"/>
      <c r="BF955" s="172"/>
      <c r="BG955" s="172"/>
      <c r="BH955" s="172"/>
      <c r="BI955" s="172"/>
      <c r="BJ955" s="172"/>
      <c r="BK955" s="172"/>
      <c r="BL955" s="172"/>
      <c r="BM955" s="172"/>
      <c r="BN955" s="172"/>
      <c r="BO955" s="172"/>
      <c r="BP955" s="172"/>
      <c r="BQ955" s="172"/>
      <c r="BR955" s="172"/>
      <c r="BS955" s="172"/>
    </row>
    <row r="956" spans="1:71" ht="12.5" x14ac:dyDescent="0.25">
      <c r="A956" s="170"/>
      <c r="B956" s="170"/>
      <c r="C956" s="170"/>
      <c r="D956" s="170"/>
      <c r="E956" s="171"/>
      <c r="F956" s="171"/>
      <c r="G956" s="170"/>
      <c r="H956" s="170"/>
      <c r="I956" s="170"/>
      <c r="J956" s="171"/>
      <c r="K956" s="171"/>
      <c r="L956" s="170"/>
      <c r="M956" s="170"/>
      <c r="N956" s="170"/>
      <c r="O956" s="171"/>
      <c r="P956" s="171"/>
      <c r="Q956" s="170"/>
      <c r="R956" s="170"/>
      <c r="S956" s="170"/>
      <c r="T956" s="171"/>
      <c r="U956" s="171"/>
      <c r="V956" s="171"/>
      <c r="W956" s="171"/>
      <c r="X956" s="171"/>
      <c r="Y956" s="171"/>
      <c r="Z956" s="171"/>
      <c r="AA956" s="171"/>
      <c r="AB956" s="171"/>
      <c r="AC956" s="170"/>
      <c r="AD956" s="170"/>
      <c r="AE956" s="170"/>
      <c r="AF956" s="170"/>
      <c r="AG956" s="170"/>
      <c r="AH956" s="170"/>
      <c r="AI956" s="170"/>
      <c r="AJ956" s="170"/>
      <c r="AK956" s="171"/>
      <c r="AL956" s="171"/>
      <c r="AM956" s="170"/>
      <c r="AN956" s="170"/>
      <c r="AO956" s="170"/>
      <c r="AP956" s="171"/>
      <c r="AQ956" s="171"/>
      <c r="AR956" s="170"/>
      <c r="AS956" s="170"/>
      <c r="AT956" s="170"/>
      <c r="AU956" s="171"/>
      <c r="AV956" s="171"/>
      <c r="AW956" s="171"/>
      <c r="AX956" s="171"/>
      <c r="AY956" s="171"/>
      <c r="AZ956" s="171"/>
      <c r="BA956" s="171"/>
      <c r="BB956" s="171"/>
      <c r="BC956" s="171"/>
      <c r="BD956" s="172"/>
      <c r="BE956" s="172"/>
      <c r="BF956" s="172"/>
      <c r="BG956" s="172"/>
      <c r="BH956" s="172"/>
      <c r="BI956" s="172"/>
      <c r="BJ956" s="172"/>
      <c r="BK956" s="172"/>
      <c r="BL956" s="172"/>
      <c r="BM956" s="172"/>
      <c r="BN956" s="172"/>
      <c r="BO956" s="172"/>
      <c r="BP956" s="172"/>
      <c r="BQ956" s="172"/>
      <c r="BR956" s="172"/>
      <c r="BS956" s="172"/>
    </row>
    <row r="957" spans="1:71" ht="12.5" x14ac:dyDescent="0.25">
      <c r="A957" s="170"/>
      <c r="B957" s="170"/>
      <c r="C957" s="170"/>
      <c r="D957" s="170"/>
      <c r="E957" s="171"/>
      <c r="F957" s="171"/>
      <c r="G957" s="170"/>
      <c r="H957" s="170"/>
      <c r="I957" s="170"/>
      <c r="J957" s="171"/>
      <c r="K957" s="171"/>
      <c r="L957" s="170"/>
      <c r="M957" s="170"/>
      <c r="N957" s="170"/>
      <c r="O957" s="171"/>
      <c r="P957" s="171"/>
      <c r="Q957" s="170"/>
      <c r="R957" s="170"/>
      <c r="S957" s="170"/>
      <c r="T957" s="171"/>
      <c r="U957" s="171"/>
      <c r="V957" s="171"/>
      <c r="W957" s="171"/>
      <c r="X957" s="171"/>
      <c r="Y957" s="171"/>
      <c r="Z957" s="171"/>
      <c r="AA957" s="171"/>
      <c r="AB957" s="171"/>
      <c r="AC957" s="170"/>
      <c r="AD957" s="170"/>
      <c r="AE957" s="170"/>
      <c r="AF957" s="170"/>
      <c r="AG957" s="170"/>
      <c r="AH957" s="170"/>
      <c r="AI957" s="170"/>
      <c r="AJ957" s="170"/>
      <c r="AK957" s="171"/>
      <c r="AL957" s="171"/>
      <c r="AM957" s="170"/>
      <c r="AN957" s="170"/>
      <c r="AO957" s="170"/>
      <c r="AP957" s="171"/>
      <c r="AQ957" s="171"/>
      <c r="AR957" s="170"/>
      <c r="AS957" s="170"/>
      <c r="AT957" s="170"/>
      <c r="AU957" s="171"/>
      <c r="AV957" s="171"/>
      <c r="AW957" s="171"/>
      <c r="AX957" s="171"/>
      <c r="AY957" s="171"/>
      <c r="AZ957" s="171"/>
      <c r="BA957" s="171"/>
      <c r="BB957" s="171"/>
      <c r="BC957" s="171"/>
      <c r="BD957" s="172"/>
      <c r="BE957" s="172"/>
      <c r="BF957" s="172"/>
      <c r="BG957" s="172"/>
      <c r="BH957" s="172"/>
      <c r="BI957" s="172"/>
      <c r="BJ957" s="172"/>
      <c r="BK957" s="172"/>
      <c r="BL957" s="172"/>
      <c r="BM957" s="172"/>
      <c r="BN957" s="172"/>
      <c r="BO957" s="172"/>
      <c r="BP957" s="172"/>
      <c r="BQ957" s="172"/>
      <c r="BR957" s="172"/>
      <c r="BS957" s="172"/>
    </row>
    <row r="958" spans="1:71" ht="12.5" x14ac:dyDescent="0.25">
      <c r="A958" s="170"/>
      <c r="B958" s="170"/>
      <c r="C958" s="170"/>
      <c r="D958" s="170"/>
      <c r="E958" s="171"/>
      <c r="F958" s="171"/>
      <c r="G958" s="170"/>
      <c r="H958" s="170"/>
      <c r="I958" s="170"/>
      <c r="J958" s="171"/>
      <c r="K958" s="171"/>
      <c r="L958" s="170"/>
      <c r="M958" s="170"/>
      <c r="N958" s="170"/>
      <c r="O958" s="171"/>
      <c r="P958" s="171"/>
      <c r="Q958" s="170"/>
      <c r="R958" s="170"/>
      <c r="S958" s="170"/>
      <c r="T958" s="171"/>
      <c r="U958" s="171"/>
      <c r="V958" s="171"/>
      <c r="W958" s="171"/>
      <c r="X958" s="171"/>
      <c r="Y958" s="171"/>
      <c r="Z958" s="171"/>
      <c r="AA958" s="171"/>
      <c r="AB958" s="171"/>
      <c r="AC958" s="170"/>
      <c r="AD958" s="170"/>
      <c r="AE958" s="170"/>
      <c r="AF958" s="170"/>
      <c r="AG958" s="170"/>
      <c r="AH958" s="170"/>
      <c r="AI958" s="170"/>
      <c r="AJ958" s="170"/>
      <c r="AK958" s="171"/>
      <c r="AL958" s="171"/>
      <c r="AM958" s="170"/>
      <c r="AN958" s="170"/>
      <c r="AO958" s="170"/>
      <c r="AP958" s="171"/>
      <c r="AQ958" s="171"/>
      <c r="AR958" s="170"/>
      <c r="AS958" s="170"/>
      <c r="AT958" s="170"/>
      <c r="AU958" s="171"/>
      <c r="AV958" s="171"/>
      <c r="AW958" s="171"/>
      <c r="AX958" s="171"/>
      <c r="AY958" s="171"/>
      <c r="AZ958" s="171"/>
      <c r="BA958" s="171"/>
      <c r="BB958" s="171"/>
      <c r="BC958" s="171"/>
      <c r="BD958" s="172"/>
      <c r="BE958" s="172"/>
      <c r="BF958" s="172"/>
      <c r="BG958" s="172"/>
      <c r="BH958" s="172"/>
      <c r="BI958" s="172"/>
      <c r="BJ958" s="172"/>
      <c r="BK958" s="172"/>
      <c r="BL958" s="172"/>
      <c r="BM958" s="172"/>
      <c r="BN958" s="172"/>
      <c r="BO958" s="172"/>
      <c r="BP958" s="172"/>
      <c r="BQ958" s="172"/>
      <c r="BR958" s="172"/>
      <c r="BS958" s="172"/>
    </row>
    <row r="959" spans="1:71" ht="12.5" x14ac:dyDescent="0.25">
      <c r="A959" s="170"/>
      <c r="B959" s="170"/>
      <c r="C959" s="170"/>
      <c r="D959" s="170"/>
      <c r="E959" s="171"/>
      <c r="F959" s="171"/>
      <c r="G959" s="170"/>
      <c r="H959" s="170"/>
      <c r="I959" s="170"/>
      <c r="J959" s="171"/>
      <c r="K959" s="171"/>
      <c r="L959" s="170"/>
      <c r="M959" s="170"/>
      <c r="N959" s="170"/>
      <c r="O959" s="171"/>
      <c r="P959" s="171"/>
      <c r="Q959" s="170"/>
      <c r="R959" s="170"/>
      <c r="S959" s="170"/>
      <c r="T959" s="171"/>
      <c r="U959" s="171"/>
      <c r="V959" s="171"/>
      <c r="W959" s="171"/>
      <c r="X959" s="171"/>
      <c r="Y959" s="171"/>
      <c r="Z959" s="171"/>
      <c r="AA959" s="171"/>
      <c r="AB959" s="171"/>
      <c r="AC959" s="170"/>
      <c r="AD959" s="170"/>
      <c r="AE959" s="170"/>
      <c r="AF959" s="170"/>
      <c r="AG959" s="170"/>
      <c r="AH959" s="170"/>
      <c r="AI959" s="170"/>
      <c r="AJ959" s="170"/>
      <c r="AK959" s="171"/>
      <c r="AL959" s="171"/>
      <c r="AM959" s="170"/>
      <c r="AN959" s="170"/>
      <c r="AO959" s="170"/>
      <c r="AP959" s="171"/>
      <c r="AQ959" s="171"/>
      <c r="AR959" s="170"/>
      <c r="AS959" s="170"/>
      <c r="AT959" s="170"/>
      <c r="AU959" s="171"/>
      <c r="AV959" s="171"/>
      <c r="AW959" s="171"/>
      <c r="AX959" s="171"/>
      <c r="AY959" s="171"/>
      <c r="AZ959" s="171"/>
      <c r="BA959" s="171"/>
      <c r="BB959" s="171"/>
      <c r="BC959" s="171"/>
      <c r="BD959" s="172"/>
      <c r="BE959" s="172"/>
      <c r="BF959" s="172"/>
      <c r="BG959" s="172"/>
      <c r="BH959" s="172"/>
      <c r="BI959" s="172"/>
      <c r="BJ959" s="172"/>
      <c r="BK959" s="172"/>
      <c r="BL959" s="172"/>
      <c r="BM959" s="172"/>
      <c r="BN959" s="172"/>
      <c r="BO959" s="172"/>
      <c r="BP959" s="172"/>
      <c r="BQ959" s="172"/>
      <c r="BR959" s="172"/>
      <c r="BS959" s="172"/>
    </row>
    <row r="960" spans="1:71" ht="12.5" x14ac:dyDescent="0.25">
      <c r="A960" s="170"/>
      <c r="B960" s="170"/>
      <c r="C960" s="170"/>
      <c r="D960" s="170"/>
      <c r="E960" s="171"/>
      <c r="F960" s="171"/>
      <c r="G960" s="170"/>
      <c r="H960" s="170"/>
      <c r="I960" s="170"/>
      <c r="J960" s="171"/>
      <c r="K960" s="171"/>
      <c r="L960" s="170"/>
      <c r="M960" s="170"/>
      <c r="N960" s="170"/>
      <c r="O960" s="171"/>
      <c r="P960" s="171"/>
      <c r="Q960" s="170"/>
      <c r="R960" s="170"/>
      <c r="S960" s="170"/>
      <c r="T960" s="171"/>
      <c r="U960" s="171"/>
      <c r="V960" s="171"/>
      <c r="W960" s="171"/>
      <c r="X960" s="171"/>
      <c r="Y960" s="171"/>
      <c r="Z960" s="171"/>
      <c r="AA960" s="171"/>
      <c r="AB960" s="171"/>
      <c r="AC960" s="170"/>
      <c r="AD960" s="170"/>
      <c r="AE960" s="170"/>
      <c r="AF960" s="170"/>
      <c r="AG960" s="170"/>
      <c r="AH960" s="170"/>
      <c r="AI960" s="170"/>
      <c r="AJ960" s="170"/>
      <c r="AK960" s="171"/>
      <c r="AL960" s="171"/>
      <c r="AM960" s="170"/>
      <c r="AN960" s="170"/>
      <c r="AO960" s="170"/>
      <c r="AP960" s="171"/>
      <c r="AQ960" s="171"/>
      <c r="AR960" s="170"/>
      <c r="AS960" s="170"/>
      <c r="AT960" s="170"/>
      <c r="AU960" s="171"/>
      <c r="AV960" s="171"/>
      <c r="AW960" s="171"/>
      <c r="AX960" s="171"/>
      <c r="AY960" s="171"/>
      <c r="AZ960" s="171"/>
      <c r="BA960" s="171"/>
      <c r="BB960" s="171"/>
      <c r="BC960" s="171"/>
      <c r="BD960" s="172"/>
      <c r="BE960" s="172"/>
      <c r="BF960" s="172"/>
      <c r="BG960" s="172"/>
      <c r="BH960" s="172"/>
      <c r="BI960" s="172"/>
      <c r="BJ960" s="172"/>
      <c r="BK960" s="172"/>
      <c r="BL960" s="172"/>
      <c r="BM960" s="172"/>
      <c r="BN960" s="172"/>
      <c r="BO960" s="172"/>
      <c r="BP960" s="172"/>
      <c r="BQ960" s="172"/>
      <c r="BR960" s="172"/>
      <c r="BS960" s="172"/>
    </row>
    <row r="961" spans="1:71" ht="12.5" x14ac:dyDescent="0.25">
      <c r="A961" s="170"/>
      <c r="B961" s="170"/>
      <c r="C961" s="170"/>
      <c r="D961" s="170"/>
      <c r="E961" s="171"/>
      <c r="F961" s="171"/>
      <c r="G961" s="170"/>
      <c r="H961" s="170"/>
      <c r="I961" s="170"/>
      <c r="J961" s="171"/>
      <c r="K961" s="171"/>
      <c r="L961" s="170"/>
      <c r="M961" s="170"/>
      <c r="N961" s="170"/>
      <c r="O961" s="171"/>
      <c r="P961" s="171"/>
      <c r="Q961" s="170"/>
      <c r="R961" s="170"/>
      <c r="S961" s="170"/>
      <c r="T961" s="171"/>
      <c r="U961" s="171"/>
      <c r="V961" s="171"/>
      <c r="W961" s="171"/>
      <c r="X961" s="171"/>
      <c r="Y961" s="171"/>
      <c r="Z961" s="171"/>
      <c r="AA961" s="171"/>
      <c r="AB961" s="171"/>
      <c r="AC961" s="170"/>
      <c r="AD961" s="170"/>
      <c r="AE961" s="170"/>
      <c r="AF961" s="170"/>
      <c r="AG961" s="170"/>
      <c r="AH961" s="170"/>
      <c r="AI961" s="170"/>
      <c r="AJ961" s="170"/>
      <c r="AK961" s="171"/>
      <c r="AL961" s="171"/>
      <c r="AM961" s="170"/>
      <c r="AN961" s="170"/>
      <c r="AO961" s="170"/>
      <c r="AP961" s="171"/>
      <c r="AQ961" s="171"/>
      <c r="AR961" s="170"/>
      <c r="AS961" s="170"/>
      <c r="AT961" s="170"/>
      <c r="AU961" s="171"/>
      <c r="AV961" s="171"/>
      <c r="AW961" s="171"/>
      <c r="AX961" s="171"/>
      <c r="AY961" s="171"/>
      <c r="AZ961" s="171"/>
      <c r="BA961" s="171"/>
      <c r="BB961" s="171"/>
      <c r="BC961" s="171"/>
      <c r="BD961" s="172"/>
      <c r="BE961" s="172"/>
      <c r="BF961" s="172"/>
      <c r="BG961" s="172"/>
      <c r="BH961" s="172"/>
      <c r="BI961" s="172"/>
      <c r="BJ961" s="172"/>
      <c r="BK961" s="172"/>
      <c r="BL961" s="172"/>
      <c r="BM961" s="172"/>
      <c r="BN961" s="172"/>
      <c r="BO961" s="172"/>
      <c r="BP961" s="172"/>
      <c r="BQ961" s="172"/>
      <c r="BR961" s="172"/>
      <c r="BS961" s="172"/>
    </row>
    <row r="962" spans="1:71" ht="12.5" x14ac:dyDescent="0.25">
      <c r="A962" s="170"/>
      <c r="B962" s="170"/>
      <c r="C962" s="170"/>
      <c r="D962" s="170"/>
      <c r="E962" s="171"/>
      <c r="F962" s="171"/>
      <c r="G962" s="170"/>
      <c r="H962" s="170"/>
      <c r="I962" s="170"/>
      <c r="J962" s="171"/>
      <c r="K962" s="171"/>
      <c r="L962" s="170"/>
      <c r="M962" s="170"/>
      <c r="N962" s="170"/>
      <c r="O962" s="171"/>
      <c r="P962" s="171"/>
      <c r="Q962" s="170"/>
      <c r="R962" s="170"/>
      <c r="S962" s="170"/>
      <c r="T962" s="171"/>
      <c r="U962" s="171"/>
      <c r="V962" s="171"/>
      <c r="W962" s="171"/>
      <c r="X962" s="171"/>
      <c r="Y962" s="171"/>
      <c r="Z962" s="171"/>
      <c r="AA962" s="171"/>
      <c r="AB962" s="171"/>
      <c r="AC962" s="170"/>
      <c r="AD962" s="170"/>
      <c r="AE962" s="170"/>
      <c r="AF962" s="170"/>
      <c r="AG962" s="170"/>
      <c r="AH962" s="170"/>
      <c r="AI962" s="170"/>
      <c r="AJ962" s="170"/>
      <c r="AK962" s="171"/>
      <c r="AL962" s="171"/>
      <c r="AM962" s="170"/>
      <c r="AN962" s="170"/>
      <c r="AO962" s="170"/>
      <c r="AP962" s="171"/>
      <c r="AQ962" s="171"/>
      <c r="AR962" s="170"/>
      <c r="AS962" s="170"/>
      <c r="AT962" s="170"/>
      <c r="AU962" s="171"/>
      <c r="AV962" s="171"/>
      <c r="AW962" s="171"/>
      <c r="AX962" s="171"/>
      <c r="AY962" s="171"/>
      <c r="AZ962" s="171"/>
      <c r="BA962" s="171"/>
      <c r="BB962" s="171"/>
      <c r="BC962" s="171"/>
      <c r="BD962" s="172"/>
      <c r="BE962" s="172"/>
      <c r="BF962" s="172"/>
      <c r="BG962" s="172"/>
      <c r="BH962" s="172"/>
      <c r="BI962" s="172"/>
      <c r="BJ962" s="172"/>
      <c r="BK962" s="172"/>
      <c r="BL962" s="172"/>
      <c r="BM962" s="172"/>
      <c r="BN962" s="172"/>
      <c r="BO962" s="172"/>
      <c r="BP962" s="172"/>
      <c r="BQ962" s="172"/>
      <c r="BR962" s="172"/>
      <c r="BS962" s="172"/>
    </row>
    <row r="963" spans="1:71" ht="12.5" x14ac:dyDescent="0.25">
      <c r="A963" s="170"/>
      <c r="B963" s="170"/>
      <c r="C963" s="170"/>
      <c r="D963" s="170"/>
      <c r="E963" s="171"/>
      <c r="F963" s="171"/>
      <c r="G963" s="170"/>
      <c r="H963" s="170"/>
      <c r="I963" s="170"/>
      <c r="J963" s="171"/>
      <c r="K963" s="171"/>
      <c r="L963" s="170"/>
      <c r="M963" s="170"/>
      <c r="N963" s="170"/>
      <c r="O963" s="171"/>
      <c r="P963" s="171"/>
      <c r="Q963" s="170"/>
      <c r="R963" s="170"/>
      <c r="S963" s="170"/>
      <c r="T963" s="171"/>
      <c r="U963" s="171"/>
      <c r="V963" s="171"/>
      <c r="W963" s="171"/>
      <c r="X963" s="171"/>
      <c r="Y963" s="171"/>
      <c r="Z963" s="171"/>
      <c r="AA963" s="171"/>
      <c r="AB963" s="171"/>
      <c r="AC963" s="170"/>
      <c r="AD963" s="170"/>
      <c r="AE963" s="170"/>
      <c r="AF963" s="170"/>
      <c r="AG963" s="170"/>
      <c r="AH963" s="170"/>
      <c r="AI963" s="170"/>
      <c r="AJ963" s="170"/>
      <c r="AK963" s="171"/>
      <c r="AL963" s="171"/>
      <c r="AM963" s="170"/>
      <c r="AN963" s="170"/>
      <c r="AO963" s="170"/>
      <c r="AP963" s="171"/>
      <c r="AQ963" s="171"/>
      <c r="AR963" s="170"/>
      <c r="AS963" s="170"/>
      <c r="AT963" s="170"/>
      <c r="AU963" s="171"/>
      <c r="AV963" s="171"/>
      <c r="AW963" s="171"/>
      <c r="AX963" s="171"/>
      <c r="AY963" s="171"/>
      <c r="AZ963" s="171"/>
      <c r="BA963" s="171"/>
      <c r="BB963" s="171"/>
      <c r="BC963" s="171"/>
      <c r="BD963" s="172"/>
      <c r="BE963" s="172"/>
      <c r="BF963" s="172"/>
      <c r="BG963" s="172"/>
      <c r="BH963" s="172"/>
      <c r="BI963" s="172"/>
      <c r="BJ963" s="172"/>
      <c r="BK963" s="172"/>
      <c r="BL963" s="172"/>
      <c r="BM963" s="172"/>
      <c r="BN963" s="172"/>
      <c r="BO963" s="172"/>
      <c r="BP963" s="172"/>
      <c r="BQ963" s="172"/>
      <c r="BR963" s="172"/>
      <c r="BS963" s="172"/>
    </row>
    <row r="964" spans="1:71" ht="12.5" x14ac:dyDescent="0.25">
      <c r="A964" s="170"/>
      <c r="B964" s="170"/>
      <c r="C964" s="170"/>
      <c r="D964" s="170"/>
      <c r="E964" s="171"/>
      <c r="F964" s="171"/>
      <c r="G964" s="170"/>
      <c r="H964" s="170"/>
      <c r="I964" s="170"/>
      <c r="J964" s="171"/>
      <c r="K964" s="171"/>
      <c r="L964" s="170"/>
      <c r="M964" s="170"/>
      <c r="N964" s="170"/>
      <c r="O964" s="171"/>
      <c r="P964" s="171"/>
      <c r="Q964" s="170"/>
      <c r="R964" s="170"/>
      <c r="S964" s="170"/>
      <c r="T964" s="171"/>
      <c r="U964" s="171"/>
      <c r="V964" s="171"/>
      <c r="W964" s="171"/>
      <c r="X964" s="171"/>
      <c r="Y964" s="171"/>
      <c r="Z964" s="171"/>
      <c r="AA964" s="171"/>
      <c r="AB964" s="171"/>
      <c r="AC964" s="170"/>
      <c r="AD964" s="170"/>
      <c r="AE964" s="170"/>
      <c r="AF964" s="170"/>
      <c r="AG964" s="170"/>
      <c r="AH964" s="170"/>
      <c r="AI964" s="170"/>
      <c r="AJ964" s="170"/>
      <c r="AK964" s="171"/>
      <c r="AL964" s="171"/>
      <c r="AM964" s="170"/>
      <c r="AN964" s="170"/>
      <c r="AO964" s="170"/>
      <c r="AP964" s="171"/>
      <c r="AQ964" s="171"/>
      <c r="AR964" s="170"/>
      <c r="AS964" s="170"/>
      <c r="AT964" s="170"/>
      <c r="AU964" s="171"/>
      <c r="AV964" s="171"/>
      <c r="AW964" s="171"/>
      <c r="AX964" s="171"/>
      <c r="AY964" s="171"/>
      <c r="AZ964" s="171"/>
      <c r="BA964" s="171"/>
      <c r="BB964" s="171"/>
      <c r="BC964" s="171"/>
      <c r="BD964" s="172"/>
      <c r="BE964" s="172"/>
      <c r="BF964" s="172"/>
      <c r="BG964" s="172"/>
      <c r="BH964" s="172"/>
      <c r="BI964" s="172"/>
      <c r="BJ964" s="172"/>
      <c r="BK964" s="172"/>
      <c r="BL964" s="172"/>
      <c r="BM964" s="172"/>
      <c r="BN964" s="172"/>
      <c r="BO964" s="172"/>
      <c r="BP964" s="172"/>
      <c r="BQ964" s="172"/>
      <c r="BR964" s="172"/>
      <c r="BS964" s="172"/>
    </row>
    <row r="965" spans="1:71" ht="12.5" x14ac:dyDescent="0.25">
      <c r="A965" s="170"/>
      <c r="B965" s="170"/>
      <c r="C965" s="170"/>
      <c r="D965" s="170"/>
      <c r="E965" s="171"/>
      <c r="F965" s="171"/>
      <c r="G965" s="170"/>
      <c r="H965" s="170"/>
      <c r="I965" s="170"/>
      <c r="J965" s="171"/>
      <c r="K965" s="171"/>
      <c r="L965" s="170"/>
      <c r="M965" s="170"/>
      <c r="N965" s="170"/>
      <c r="O965" s="171"/>
      <c r="P965" s="171"/>
      <c r="Q965" s="170"/>
      <c r="R965" s="170"/>
      <c r="S965" s="170"/>
      <c r="T965" s="171"/>
      <c r="U965" s="171"/>
      <c r="V965" s="171"/>
      <c r="W965" s="171"/>
      <c r="X965" s="171"/>
      <c r="Y965" s="171"/>
      <c r="Z965" s="171"/>
      <c r="AA965" s="171"/>
      <c r="AB965" s="171"/>
      <c r="AC965" s="170"/>
      <c r="AD965" s="170"/>
      <c r="AE965" s="170"/>
      <c r="AF965" s="170"/>
      <c r="AG965" s="170"/>
      <c r="AH965" s="170"/>
      <c r="AI965" s="170"/>
      <c r="AJ965" s="170"/>
      <c r="AK965" s="171"/>
      <c r="AL965" s="171"/>
      <c r="AM965" s="170"/>
      <c r="AN965" s="170"/>
      <c r="AO965" s="170"/>
      <c r="AP965" s="171"/>
      <c r="AQ965" s="171"/>
      <c r="AR965" s="170"/>
      <c r="AS965" s="170"/>
      <c r="AT965" s="170"/>
      <c r="AU965" s="171"/>
      <c r="AV965" s="171"/>
      <c r="AW965" s="171"/>
      <c r="AX965" s="171"/>
      <c r="AY965" s="171"/>
      <c r="AZ965" s="171"/>
      <c r="BA965" s="171"/>
      <c r="BB965" s="171"/>
      <c r="BC965" s="171"/>
      <c r="BD965" s="172"/>
      <c r="BE965" s="172"/>
      <c r="BF965" s="172"/>
      <c r="BG965" s="172"/>
      <c r="BH965" s="172"/>
      <c r="BI965" s="172"/>
      <c r="BJ965" s="172"/>
      <c r="BK965" s="172"/>
      <c r="BL965" s="172"/>
      <c r="BM965" s="172"/>
      <c r="BN965" s="172"/>
      <c r="BO965" s="172"/>
      <c r="BP965" s="172"/>
      <c r="BQ965" s="172"/>
      <c r="BR965" s="172"/>
      <c r="BS965" s="172"/>
    </row>
    <row r="966" spans="1:71" ht="12.5" x14ac:dyDescent="0.25">
      <c r="A966" s="170"/>
      <c r="B966" s="170"/>
      <c r="C966" s="170"/>
      <c r="D966" s="170"/>
      <c r="E966" s="171"/>
      <c r="F966" s="171"/>
      <c r="G966" s="170"/>
      <c r="H966" s="170"/>
      <c r="I966" s="170"/>
      <c r="J966" s="171"/>
      <c r="K966" s="171"/>
      <c r="L966" s="170"/>
      <c r="M966" s="170"/>
      <c r="N966" s="170"/>
      <c r="O966" s="171"/>
      <c r="P966" s="171"/>
      <c r="Q966" s="170"/>
      <c r="R966" s="170"/>
      <c r="S966" s="170"/>
      <c r="T966" s="171"/>
      <c r="U966" s="171"/>
      <c r="V966" s="171"/>
      <c r="W966" s="171"/>
      <c r="X966" s="171"/>
      <c r="Y966" s="171"/>
      <c r="Z966" s="171"/>
      <c r="AA966" s="171"/>
      <c r="AB966" s="171"/>
      <c r="AC966" s="170"/>
      <c r="AD966" s="170"/>
      <c r="AE966" s="170"/>
      <c r="AF966" s="170"/>
      <c r="AG966" s="170"/>
      <c r="AH966" s="170"/>
      <c r="AI966" s="170"/>
      <c r="AJ966" s="170"/>
      <c r="AK966" s="171"/>
      <c r="AL966" s="171"/>
      <c r="AM966" s="170"/>
      <c r="AN966" s="170"/>
      <c r="AO966" s="170"/>
      <c r="AP966" s="171"/>
      <c r="AQ966" s="171"/>
      <c r="AR966" s="170"/>
      <c r="AS966" s="170"/>
      <c r="AT966" s="170"/>
      <c r="AU966" s="171"/>
      <c r="AV966" s="171"/>
      <c r="AW966" s="171"/>
      <c r="AX966" s="171"/>
      <c r="AY966" s="171"/>
      <c r="AZ966" s="171"/>
      <c r="BA966" s="171"/>
      <c r="BB966" s="171"/>
      <c r="BC966" s="171"/>
      <c r="BD966" s="172"/>
      <c r="BE966" s="172"/>
      <c r="BF966" s="172"/>
      <c r="BG966" s="172"/>
      <c r="BH966" s="172"/>
      <c r="BI966" s="172"/>
      <c r="BJ966" s="172"/>
      <c r="BK966" s="172"/>
      <c r="BL966" s="172"/>
      <c r="BM966" s="172"/>
      <c r="BN966" s="172"/>
      <c r="BO966" s="172"/>
      <c r="BP966" s="172"/>
      <c r="BQ966" s="172"/>
      <c r="BR966" s="172"/>
      <c r="BS966" s="172"/>
    </row>
    <row r="967" spans="1:71" ht="12.5" x14ac:dyDescent="0.25">
      <c r="A967" s="170"/>
      <c r="B967" s="170"/>
      <c r="C967" s="170"/>
      <c r="D967" s="170"/>
      <c r="E967" s="171"/>
      <c r="F967" s="171"/>
      <c r="G967" s="170"/>
      <c r="H967" s="170"/>
      <c r="I967" s="170"/>
      <c r="J967" s="171"/>
      <c r="K967" s="171"/>
      <c r="L967" s="170"/>
      <c r="M967" s="170"/>
      <c r="N967" s="170"/>
      <c r="O967" s="171"/>
      <c r="P967" s="171"/>
      <c r="Q967" s="170"/>
      <c r="R967" s="170"/>
      <c r="S967" s="170"/>
      <c r="T967" s="171"/>
      <c r="U967" s="171"/>
      <c r="V967" s="171"/>
      <c r="W967" s="171"/>
      <c r="X967" s="171"/>
      <c r="Y967" s="171"/>
      <c r="Z967" s="171"/>
      <c r="AA967" s="171"/>
      <c r="AB967" s="171"/>
      <c r="AC967" s="170"/>
      <c r="AD967" s="170"/>
      <c r="AE967" s="170"/>
      <c r="AF967" s="170"/>
      <c r="AG967" s="170"/>
      <c r="AH967" s="170"/>
      <c r="AI967" s="170"/>
      <c r="AJ967" s="170"/>
      <c r="AK967" s="171"/>
      <c r="AL967" s="171"/>
      <c r="AM967" s="170"/>
      <c r="AN967" s="170"/>
      <c r="AO967" s="170"/>
      <c r="AP967" s="171"/>
      <c r="AQ967" s="171"/>
      <c r="AR967" s="170"/>
      <c r="AS967" s="170"/>
      <c r="AT967" s="170"/>
      <c r="AU967" s="171"/>
      <c r="AV967" s="171"/>
      <c r="AW967" s="171"/>
      <c r="AX967" s="171"/>
      <c r="AY967" s="171"/>
      <c r="AZ967" s="171"/>
      <c r="BA967" s="171"/>
      <c r="BB967" s="171"/>
      <c r="BC967" s="171"/>
      <c r="BD967" s="172"/>
      <c r="BE967" s="172"/>
      <c r="BF967" s="172"/>
      <c r="BG967" s="172"/>
      <c r="BH967" s="172"/>
      <c r="BI967" s="172"/>
      <c r="BJ967" s="172"/>
      <c r="BK967" s="172"/>
      <c r="BL967" s="172"/>
      <c r="BM967" s="172"/>
      <c r="BN967" s="172"/>
      <c r="BO967" s="172"/>
      <c r="BP967" s="172"/>
      <c r="BQ967" s="172"/>
      <c r="BR967" s="172"/>
      <c r="BS967" s="172"/>
    </row>
    <row r="968" spans="1:71" ht="12.5" x14ac:dyDescent="0.25">
      <c r="A968" s="170"/>
      <c r="B968" s="170"/>
      <c r="C968" s="170"/>
      <c r="D968" s="170"/>
      <c r="E968" s="171"/>
      <c r="F968" s="171"/>
      <c r="G968" s="170"/>
      <c r="H968" s="170"/>
      <c r="I968" s="170"/>
      <c r="J968" s="171"/>
      <c r="K968" s="171"/>
      <c r="L968" s="170"/>
      <c r="M968" s="170"/>
      <c r="N968" s="170"/>
      <c r="O968" s="171"/>
      <c r="P968" s="171"/>
      <c r="Q968" s="170"/>
      <c r="R968" s="170"/>
      <c r="S968" s="170"/>
      <c r="T968" s="171"/>
      <c r="U968" s="171"/>
      <c r="V968" s="171"/>
      <c r="W968" s="171"/>
      <c r="X968" s="171"/>
      <c r="Y968" s="171"/>
      <c r="Z968" s="171"/>
      <c r="AA968" s="171"/>
      <c r="AB968" s="171"/>
      <c r="AC968" s="170"/>
      <c r="AD968" s="170"/>
      <c r="AE968" s="170"/>
      <c r="AF968" s="170"/>
      <c r="AG968" s="170"/>
      <c r="AH968" s="170"/>
      <c r="AI968" s="170"/>
      <c r="AJ968" s="170"/>
      <c r="AK968" s="171"/>
      <c r="AL968" s="171"/>
      <c r="AM968" s="170"/>
      <c r="AN968" s="170"/>
      <c r="AO968" s="170"/>
      <c r="AP968" s="171"/>
      <c r="AQ968" s="171"/>
      <c r="AR968" s="170"/>
      <c r="AS968" s="170"/>
      <c r="AT968" s="170"/>
      <c r="AU968" s="171"/>
      <c r="AV968" s="171"/>
      <c r="AW968" s="171"/>
      <c r="AX968" s="171"/>
      <c r="AY968" s="171"/>
      <c r="AZ968" s="171"/>
      <c r="BA968" s="171"/>
      <c r="BB968" s="171"/>
      <c r="BC968" s="171"/>
      <c r="BD968" s="172"/>
      <c r="BE968" s="172"/>
      <c r="BF968" s="172"/>
      <c r="BG968" s="172"/>
      <c r="BH968" s="172"/>
      <c r="BI968" s="172"/>
      <c r="BJ968" s="172"/>
      <c r="BK968" s="172"/>
      <c r="BL968" s="172"/>
      <c r="BM968" s="172"/>
      <c r="BN968" s="172"/>
      <c r="BO968" s="172"/>
      <c r="BP968" s="172"/>
      <c r="BQ968" s="172"/>
      <c r="BR968" s="172"/>
      <c r="BS968" s="172"/>
    </row>
    <row r="969" spans="1:71" ht="12.5" x14ac:dyDescent="0.25">
      <c r="A969" s="170"/>
      <c r="B969" s="170"/>
      <c r="C969" s="170"/>
      <c r="D969" s="170"/>
      <c r="E969" s="171"/>
      <c r="F969" s="171"/>
      <c r="G969" s="170"/>
      <c r="H969" s="170"/>
      <c r="I969" s="170"/>
      <c r="J969" s="171"/>
      <c r="K969" s="171"/>
      <c r="L969" s="170"/>
      <c r="M969" s="170"/>
      <c r="N969" s="170"/>
      <c r="O969" s="171"/>
      <c r="P969" s="171"/>
      <c r="Q969" s="170"/>
      <c r="R969" s="170"/>
      <c r="S969" s="170"/>
      <c r="T969" s="171"/>
      <c r="U969" s="171"/>
      <c r="V969" s="171"/>
      <c r="W969" s="171"/>
      <c r="X969" s="171"/>
      <c r="Y969" s="171"/>
      <c r="Z969" s="171"/>
      <c r="AA969" s="171"/>
      <c r="AB969" s="171"/>
      <c r="AC969" s="170"/>
      <c r="AD969" s="170"/>
      <c r="AE969" s="170"/>
      <c r="AF969" s="170"/>
      <c r="AG969" s="170"/>
      <c r="AH969" s="170"/>
      <c r="AI969" s="170"/>
      <c r="AJ969" s="170"/>
      <c r="AK969" s="171"/>
      <c r="AL969" s="171"/>
      <c r="AM969" s="170"/>
      <c r="AN969" s="170"/>
      <c r="AO969" s="170"/>
      <c r="AP969" s="171"/>
      <c r="AQ969" s="171"/>
      <c r="AR969" s="170"/>
      <c r="AS969" s="170"/>
      <c r="AT969" s="170"/>
      <c r="AU969" s="171"/>
      <c r="AV969" s="171"/>
      <c r="AW969" s="171"/>
      <c r="AX969" s="171"/>
      <c r="AY969" s="171"/>
      <c r="AZ969" s="171"/>
      <c r="BA969" s="171"/>
      <c r="BB969" s="171"/>
      <c r="BC969" s="171"/>
      <c r="BD969" s="172"/>
      <c r="BE969" s="172"/>
      <c r="BF969" s="172"/>
      <c r="BG969" s="172"/>
      <c r="BH969" s="172"/>
      <c r="BI969" s="172"/>
      <c r="BJ969" s="172"/>
      <c r="BK969" s="172"/>
      <c r="BL969" s="172"/>
      <c r="BM969" s="172"/>
      <c r="BN969" s="172"/>
      <c r="BO969" s="172"/>
      <c r="BP969" s="172"/>
      <c r="BQ969" s="172"/>
      <c r="BR969" s="172"/>
      <c r="BS969" s="172"/>
    </row>
    <row r="970" spans="1:71" ht="12.5" x14ac:dyDescent="0.25">
      <c r="A970" s="170"/>
      <c r="B970" s="170"/>
      <c r="C970" s="170"/>
      <c r="D970" s="170"/>
      <c r="E970" s="171"/>
      <c r="F970" s="171"/>
      <c r="G970" s="170"/>
      <c r="H970" s="170"/>
      <c r="I970" s="170"/>
      <c r="J970" s="171"/>
      <c r="K970" s="171"/>
      <c r="L970" s="170"/>
      <c r="M970" s="170"/>
      <c r="N970" s="170"/>
      <c r="O970" s="171"/>
      <c r="P970" s="171"/>
      <c r="Q970" s="170"/>
      <c r="R970" s="170"/>
      <c r="S970" s="170"/>
      <c r="T970" s="171"/>
      <c r="U970" s="171"/>
      <c r="V970" s="171"/>
      <c r="W970" s="171"/>
      <c r="X970" s="171"/>
      <c r="Y970" s="171"/>
      <c r="Z970" s="171"/>
      <c r="AA970" s="171"/>
      <c r="AB970" s="171"/>
      <c r="AC970" s="170"/>
      <c r="AD970" s="170"/>
      <c r="AE970" s="170"/>
      <c r="AF970" s="170"/>
      <c r="AG970" s="170"/>
      <c r="AH970" s="170"/>
      <c r="AI970" s="170"/>
      <c r="AJ970" s="170"/>
      <c r="AK970" s="171"/>
      <c r="AL970" s="171"/>
      <c r="AM970" s="170"/>
      <c r="AN970" s="170"/>
      <c r="AO970" s="170"/>
      <c r="AP970" s="171"/>
      <c r="AQ970" s="171"/>
      <c r="AR970" s="170"/>
      <c r="AS970" s="170"/>
      <c r="AT970" s="170"/>
      <c r="AU970" s="171"/>
      <c r="AV970" s="171"/>
      <c r="AW970" s="171"/>
      <c r="AX970" s="171"/>
      <c r="AY970" s="171"/>
      <c r="AZ970" s="171"/>
      <c r="BA970" s="171"/>
      <c r="BB970" s="171"/>
      <c r="BC970" s="171"/>
      <c r="BD970" s="172"/>
      <c r="BE970" s="172"/>
      <c r="BF970" s="172"/>
      <c r="BG970" s="172"/>
      <c r="BH970" s="172"/>
      <c r="BI970" s="172"/>
      <c r="BJ970" s="172"/>
      <c r="BK970" s="172"/>
      <c r="BL970" s="172"/>
      <c r="BM970" s="172"/>
      <c r="BN970" s="172"/>
      <c r="BO970" s="172"/>
      <c r="BP970" s="172"/>
      <c r="BQ970" s="172"/>
      <c r="BR970" s="172"/>
      <c r="BS970" s="172"/>
    </row>
    <row r="971" spans="1:71" ht="12.5" x14ac:dyDescent="0.25">
      <c r="A971" s="170"/>
      <c r="B971" s="170"/>
      <c r="C971" s="170"/>
      <c r="D971" s="170"/>
      <c r="E971" s="171"/>
      <c r="F971" s="171"/>
      <c r="G971" s="170"/>
      <c r="H971" s="170"/>
      <c r="I971" s="170"/>
      <c r="J971" s="171"/>
      <c r="K971" s="171"/>
      <c r="L971" s="170"/>
      <c r="M971" s="170"/>
      <c r="N971" s="170"/>
      <c r="O971" s="171"/>
      <c r="P971" s="171"/>
      <c r="Q971" s="170"/>
      <c r="R971" s="170"/>
      <c r="S971" s="170"/>
      <c r="T971" s="171"/>
      <c r="U971" s="171"/>
      <c r="V971" s="171"/>
      <c r="W971" s="171"/>
      <c r="X971" s="171"/>
      <c r="Y971" s="171"/>
      <c r="Z971" s="171"/>
      <c r="AA971" s="171"/>
      <c r="AB971" s="171"/>
      <c r="AC971" s="170"/>
      <c r="AD971" s="170"/>
      <c r="AE971" s="170"/>
      <c r="AF971" s="170"/>
      <c r="AG971" s="170"/>
      <c r="AH971" s="170"/>
      <c r="AI971" s="170"/>
      <c r="AJ971" s="170"/>
      <c r="AK971" s="171"/>
      <c r="AL971" s="171"/>
      <c r="AM971" s="170"/>
      <c r="AN971" s="170"/>
      <c r="AO971" s="170"/>
      <c r="AP971" s="171"/>
      <c r="AQ971" s="171"/>
      <c r="AR971" s="170"/>
      <c r="AS971" s="170"/>
      <c r="AT971" s="170"/>
      <c r="AU971" s="171"/>
      <c r="AV971" s="171"/>
      <c r="AW971" s="171"/>
      <c r="AX971" s="171"/>
      <c r="AY971" s="171"/>
      <c r="AZ971" s="171"/>
      <c r="BA971" s="171"/>
      <c r="BB971" s="171"/>
      <c r="BC971" s="171"/>
      <c r="BD971" s="172"/>
      <c r="BE971" s="172"/>
      <c r="BF971" s="172"/>
      <c r="BG971" s="172"/>
      <c r="BH971" s="172"/>
      <c r="BI971" s="172"/>
      <c r="BJ971" s="172"/>
      <c r="BK971" s="172"/>
      <c r="BL971" s="172"/>
      <c r="BM971" s="172"/>
      <c r="BN971" s="172"/>
      <c r="BO971" s="172"/>
      <c r="BP971" s="172"/>
      <c r="BQ971" s="172"/>
      <c r="BR971" s="172"/>
      <c r="BS971" s="172"/>
    </row>
    <row r="972" spans="1:71" ht="12.5" x14ac:dyDescent="0.25">
      <c r="A972" s="170"/>
      <c r="B972" s="170"/>
      <c r="C972" s="170"/>
      <c r="D972" s="170"/>
      <c r="E972" s="171"/>
      <c r="F972" s="171"/>
      <c r="G972" s="170"/>
      <c r="H972" s="170"/>
      <c r="I972" s="170"/>
      <c r="J972" s="171"/>
      <c r="K972" s="171"/>
      <c r="L972" s="170"/>
      <c r="M972" s="170"/>
      <c r="N972" s="170"/>
      <c r="O972" s="171"/>
      <c r="P972" s="171"/>
      <c r="Q972" s="170"/>
      <c r="R972" s="170"/>
      <c r="S972" s="170"/>
      <c r="T972" s="171"/>
      <c r="U972" s="171"/>
      <c r="V972" s="171"/>
      <c r="W972" s="171"/>
      <c r="X972" s="171"/>
      <c r="Y972" s="171"/>
      <c r="Z972" s="171"/>
      <c r="AA972" s="171"/>
      <c r="AB972" s="171"/>
      <c r="AC972" s="170"/>
      <c r="AD972" s="170"/>
      <c r="AE972" s="170"/>
      <c r="AF972" s="170"/>
      <c r="AG972" s="170"/>
      <c r="AH972" s="170"/>
      <c r="AI972" s="170"/>
      <c r="AJ972" s="170"/>
      <c r="AK972" s="171"/>
      <c r="AL972" s="171"/>
      <c r="AM972" s="170"/>
      <c r="AN972" s="170"/>
      <c r="AO972" s="170"/>
      <c r="AP972" s="171"/>
      <c r="AQ972" s="171"/>
      <c r="AR972" s="170"/>
      <c r="AS972" s="170"/>
      <c r="AT972" s="170"/>
      <c r="AU972" s="171"/>
      <c r="AV972" s="171"/>
      <c r="AW972" s="171"/>
      <c r="AX972" s="171"/>
      <c r="AY972" s="171"/>
      <c r="AZ972" s="171"/>
      <c r="BA972" s="171"/>
      <c r="BB972" s="171"/>
      <c r="BC972" s="171"/>
      <c r="BD972" s="172"/>
      <c r="BE972" s="172"/>
      <c r="BF972" s="172"/>
      <c r="BG972" s="172"/>
      <c r="BH972" s="172"/>
      <c r="BI972" s="172"/>
      <c r="BJ972" s="172"/>
      <c r="BK972" s="172"/>
      <c r="BL972" s="172"/>
      <c r="BM972" s="172"/>
      <c r="BN972" s="172"/>
      <c r="BO972" s="172"/>
      <c r="BP972" s="172"/>
      <c r="BQ972" s="172"/>
      <c r="BR972" s="172"/>
      <c r="BS972" s="172"/>
    </row>
    <row r="973" spans="1:71" ht="12.5" x14ac:dyDescent="0.25">
      <c r="A973" s="170"/>
      <c r="B973" s="170"/>
      <c r="C973" s="170"/>
      <c r="D973" s="170"/>
      <c r="E973" s="171"/>
      <c r="F973" s="171"/>
      <c r="G973" s="170"/>
      <c r="H973" s="170"/>
      <c r="I973" s="170"/>
      <c r="J973" s="171"/>
      <c r="K973" s="171"/>
      <c r="L973" s="170"/>
      <c r="M973" s="170"/>
      <c r="N973" s="170"/>
      <c r="O973" s="171"/>
      <c r="P973" s="171"/>
      <c r="Q973" s="170"/>
      <c r="R973" s="170"/>
      <c r="S973" s="170"/>
      <c r="T973" s="171"/>
      <c r="U973" s="171"/>
      <c r="V973" s="171"/>
      <c r="W973" s="171"/>
      <c r="X973" s="171"/>
      <c r="Y973" s="171"/>
      <c r="Z973" s="171"/>
      <c r="AA973" s="171"/>
      <c r="AB973" s="171"/>
      <c r="AC973" s="170"/>
      <c r="AD973" s="170"/>
      <c r="AE973" s="170"/>
      <c r="AF973" s="170"/>
      <c r="AG973" s="170"/>
      <c r="AH973" s="170"/>
      <c r="AI973" s="170"/>
      <c r="AJ973" s="170"/>
      <c r="AK973" s="171"/>
      <c r="AL973" s="171"/>
      <c r="AM973" s="170"/>
      <c r="AN973" s="170"/>
      <c r="AO973" s="170"/>
      <c r="AP973" s="171"/>
      <c r="AQ973" s="171"/>
      <c r="AR973" s="170"/>
      <c r="AS973" s="170"/>
      <c r="AT973" s="170"/>
      <c r="AU973" s="171"/>
      <c r="AV973" s="171"/>
      <c r="AW973" s="171"/>
      <c r="AX973" s="171"/>
      <c r="AY973" s="171"/>
      <c r="AZ973" s="171"/>
      <c r="BA973" s="171"/>
      <c r="BB973" s="171"/>
      <c r="BC973" s="171"/>
      <c r="BD973" s="172"/>
      <c r="BE973" s="172"/>
      <c r="BF973" s="172"/>
      <c r="BG973" s="172"/>
      <c r="BH973" s="172"/>
      <c r="BI973" s="172"/>
      <c r="BJ973" s="172"/>
      <c r="BK973" s="172"/>
      <c r="BL973" s="172"/>
      <c r="BM973" s="172"/>
      <c r="BN973" s="172"/>
      <c r="BO973" s="172"/>
      <c r="BP973" s="172"/>
      <c r="BQ973" s="172"/>
      <c r="BR973" s="172"/>
      <c r="BS973" s="172"/>
    </row>
    <row r="974" spans="1:71" ht="12.5" x14ac:dyDescent="0.25">
      <c r="A974" s="170"/>
      <c r="B974" s="170"/>
      <c r="C974" s="170"/>
      <c r="D974" s="170"/>
      <c r="E974" s="171"/>
      <c r="F974" s="171"/>
      <c r="G974" s="170"/>
      <c r="H974" s="170"/>
      <c r="I974" s="170"/>
      <c r="J974" s="171"/>
      <c r="K974" s="171"/>
      <c r="L974" s="170"/>
      <c r="M974" s="170"/>
      <c r="N974" s="170"/>
      <c r="O974" s="171"/>
      <c r="P974" s="171"/>
      <c r="Q974" s="170"/>
      <c r="R974" s="170"/>
      <c r="S974" s="170"/>
      <c r="T974" s="171"/>
      <c r="U974" s="171"/>
      <c r="V974" s="171"/>
      <c r="W974" s="171"/>
      <c r="X974" s="171"/>
      <c r="Y974" s="171"/>
      <c r="Z974" s="171"/>
      <c r="AA974" s="171"/>
      <c r="AB974" s="171"/>
      <c r="AC974" s="170"/>
      <c r="AD974" s="170"/>
      <c r="AE974" s="170"/>
      <c r="AF974" s="170"/>
      <c r="AG974" s="170"/>
      <c r="AH974" s="170"/>
      <c r="AI974" s="170"/>
      <c r="AJ974" s="170"/>
      <c r="AK974" s="171"/>
      <c r="AL974" s="171"/>
      <c r="AM974" s="170"/>
      <c r="AN974" s="170"/>
      <c r="AO974" s="170"/>
      <c r="AP974" s="171"/>
      <c r="AQ974" s="171"/>
      <c r="AR974" s="170"/>
      <c r="AS974" s="170"/>
      <c r="AT974" s="170"/>
      <c r="AU974" s="171"/>
      <c r="AV974" s="171"/>
      <c r="AW974" s="171"/>
      <c r="AX974" s="171"/>
      <c r="AY974" s="171"/>
      <c r="AZ974" s="171"/>
      <c r="BA974" s="171"/>
      <c r="BB974" s="171"/>
      <c r="BC974" s="171"/>
      <c r="BD974" s="172"/>
      <c r="BE974" s="172"/>
      <c r="BF974" s="172"/>
      <c r="BG974" s="172"/>
      <c r="BH974" s="172"/>
      <c r="BI974" s="172"/>
      <c r="BJ974" s="172"/>
      <c r="BK974" s="172"/>
      <c r="BL974" s="172"/>
      <c r="BM974" s="172"/>
      <c r="BN974" s="172"/>
      <c r="BO974" s="172"/>
      <c r="BP974" s="172"/>
      <c r="BQ974" s="172"/>
      <c r="BR974" s="172"/>
      <c r="BS974" s="172"/>
    </row>
    <row r="975" spans="1:71" ht="12.5" x14ac:dyDescent="0.25">
      <c r="A975" s="170"/>
      <c r="B975" s="170"/>
      <c r="C975" s="170"/>
      <c r="D975" s="170"/>
      <c r="E975" s="171"/>
      <c r="F975" s="171"/>
      <c r="G975" s="170"/>
      <c r="H975" s="170"/>
      <c r="I975" s="170"/>
      <c r="J975" s="171"/>
      <c r="K975" s="171"/>
      <c r="L975" s="170"/>
      <c r="M975" s="170"/>
      <c r="N975" s="170"/>
      <c r="O975" s="171"/>
      <c r="P975" s="171"/>
      <c r="Q975" s="170"/>
      <c r="R975" s="170"/>
      <c r="S975" s="170"/>
      <c r="T975" s="171"/>
      <c r="U975" s="171"/>
      <c r="V975" s="171"/>
      <c r="W975" s="171"/>
      <c r="X975" s="171"/>
      <c r="Y975" s="171"/>
      <c r="Z975" s="171"/>
      <c r="AA975" s="171"/>
      <c r="AB975" s="171"/>
      <c r="AC975" s="170"/>
      <c r="AD975" s="170"/>
      <c r="AE975" s="170"/>
      <c r="AF975" s="170"/>
      <c r="AG975" s="170"/>
      <c r="AH975" s="170"/>
      <c r="AI975" s="170"/>
      <c r="AJ975" s="170"/>
      <c r="AK975" s="171"/>
      <c r="AL975" s="171"/>
      <c r="AM975" s="170"/>
      <c r="AN975" s="170"/>
      <c r="AO975" s="170"/>
      <c r="AP975" s="171"/>
      <c r="AQ975" s="171"/>
      <c r="AR975" s="170"/>
      <c r="AS975" s="170"/>
      <c r="AT975" s="170"/>
      <c r="AU975" s="171"/>
      <c r="AV975" s="171"/>
      <c r="AW975" s="171"/>
      <c r="AX975" s="171"/>
      <c r="AY975" s="171"/>
      <c r="AZ975" s="171"/>
      <c r="BA975" s="171"/>
      <c r="BB975" s="171"/>
      <c r="BC975" s="171"/>
      <c r="BD975" s="172"/>
      <c r="BE975" s="172"/>
      <c r="BF975" s="172"/>
      <c r="BG975" s="172"/>
      <c r="BH975" s="172"/>
      <c r="BI975" s="172"/>
      <c r="BJ975" s="172"/>
      <c r="BK975" s="172"/>
      <c r="BL975" s="172"/>
      <c r="BM975" s="172"/>
      <c r="BN975" s="172"/>
      <c r="BO975" s="172"/>
      <c r="BP975" s="172"/>
      <c r="BQ975" s="172"/>
      <c r="BR975" s="172"/>
      <c r="BS975" s="172"/>
    </row>
    <row r="976" spans="1:71" ht="12.5" x14ac:dyDescent="0.25">
      <c r="A976" s="170"/>
      <c r="B976" s="170"/>
      <c r="C976" s="170"/>
      <c r="D976" s="170"/>
      <c r="E976" s="171"/>
      <c r="F976" s="171"/>
      <c r="G976" s="170"/>
      <c r="H976" s="170"/>
      <c r="I976" s="170"/>
      <c r="J976" s="171"/>
      <c r="K976" s="171"/>
      <c r="L976" s="170"/>
      <c r="M976" s="170"/>
      <c r="N976" s="170"/>
      <c r="O976" s="171"/>
      <c r="P976" s="171"/>
      <c r="Q976" s="170"/>
      <c r="R976" s="170"/>
      <c r="S976" s="170"/>
      <c r="T976" s="171"/>
      <c r="U976" s="171"/>
      <c r="V976" s="171"/>
      <c r="W976" s="171"/>
      <c r="X976" s="171"/>
      <c r="Y976" s="171"/>
      <c r="Z976" s="171"/>
      <c r="AA976" s="171"/>
      <c r="AB976" s="171"/>
      <c r="AC976" s="170"/>
      <c r="AD976" s="170"/>
      <c r="AE976" s="170"/>
      <c r="AF976" s="170"/>
      <c r="AG976" s="170"/>
      <c r="AH976" s="170"/>
      <c r="AI976" s="170"/>
      <c r="AJ976" s="170"/>
      <c r="AK976" s="171"/>
      <c r="AL976" s="171"/>
      <c r="AM976" s="170"/>
      <c r="AN976" s="170"/>
      <c r="AO976" s="170"/>
      <c r="AP976" s="171"/>
      <c r="AQ976" s="171"/>
      <c r="AR976" s="170"/>
      <c r="AS976" s="170"/>
      <c r="AT976" s="170"/>
      <c r="AU976" s="171"/>
      <c r="AV976" s="171"/>
      <c r="AW976" s="171"/>
      <c r="AX976" s="171"/>
      <c r="AY976" s="171"/>
      <c r="AZ976" s="171"/>
      <c r="BA976" s="171"/>
      <c r="BB976" s="171"/>
      <c r="BC976" s="171"/>
      <c r="BD976" s="172"/>
      <c r="BE976" s="172"/>
      <c r="BF976" s="172"/>
      <c r="BG976" s="172"/>
      <c r="BH976" s="172"/>
      <c r="BI976" s="172"/>
      <c r="BJ976" s="172"/>
      <c r="BK976" s="172"/>
      <c r="BL976" s="172"/>
      <c r="BM976" s="172"/>
      <c r="BN976" s="172"/>
      <c r="BO976" s="172"/>
      <c r="BP976" s="172"/>
      <c r="BQ976" s="172"/>
      <c r="BR976" s="172"/>
      <c r="BS976" s="172"/>
    </row>
    <row r="977" spans="1:71" ht="12.5" x14ac:dyDescent="0.25">
      <c r="A977" s="170"/>
      <c r="B977" s="170"/>
      <c r="C977" s="170"/>
      <c r="D977" s="170"/>
      <c r="E977" s="171"/>
      <c r="F977" s="171"/>
      <c r="G977" s="170"/>
      <c r="H977" s="170"/>
      <c r="I977" s="170"/>
      <c r="J977" s="171"/>
      <c r="K977" s="171"/>
      <c r="L977" s="170"/>
      <c r="M977" s="170"/>
      <c r="N977" s="170"/>
      <c r="O977" s="171"/>
      <c r="P977" s="171"/>
      <c r="Q977" s="170"/>
      <c r="R977" s="170"/>
      <c r="S977" s="170"/>
      <c r="T977" s="171"/>
      <c r="U977" s="171"/>
      <c r="V977" s="171"/>
      <c r="W977" s="171"/>
      <c r="X977" s="171"/>
      <c r="Y977" s="171"/>
      <c r="Z977" s="171"/>
      <c r="AA977" s="171"/>
      <c r="AB977" s="171"/>
      <c r="AC977" s="170"/>
      <c r="AD977" s="170"/>
      <c r="AE977" s="170"/>
      <c r="AF977" s="170"/>
      <c r="AG977" s="170"/>
      <c r="AH977" s="170"/>
      <c r="AI977" s="170"/>
      <c r="AJ977" s="170"/>
      <c r="AK977" s="171"/>
      <c r="AL977" s="171"/>
      <c r="AM977" s="170"/>
      <c r="AN977" s="170"/>
      <c r="AO977" s="170"/>
      <c r="AP977" s="171"/>
      <c r="AQ977" s="171"/>
      <c r="AR977" s="170"/>
      <c r="AS977" s="170"/>
      <c r="AT977" s="170"/>
      <c r="AU977" s="171"/>
      <c r="AV977" s="171"/>
      <c r="AW977" s="171"/>
      <c r="AX977" s="171"/>
      <c r="AY977" s="171"/>
      <c r="AZ977" s="171"/>
      <c r="BA977" s="171"/>
      <c r="BB977" s="171"/>
      <c r="BC977" s="171"/>
      <c r="BD977" s="172"/>
      <c r="BE977" s="172"/>
      <c r="BF977" s="172"/>
      <c r="BG977" s="172"/>
      <c r="BH977" s="172"/>
      <c r="BI977" s="172"/>
      <c r="BJ977" s="172"/>
      <c r="BK977" s="172"/>
      <c r="BL977" s="172"/>
      <c r="BM977" s="172"/>
      <c r="BN977" s="172"/>
      <c r="BO977" s="172"/>
      <c r="BP977" s="172"/>
      <c r="BQ977" s="172"/>
      <c r="BR977" s="172"/>
      <c r="BS977" s="172"/>
    </row>
    <row r="978" spans="1:71" ht="12.5" x14ac:dyDescent="0.25">
      <c r="A978" s="170"/>
      <c r="B978" s="170"/>
      <c r="C978" s="170"/>
      <c r="D978" s="170"/>
      <c r="E978" s="171"/>
      <c r="F978" s="171"/>
      <c r="G978" s="170"/>
      <c r="H978" s="170"/>
      <c r="I978" s="170"/>
      <c r="J978" s="171"/>
      <c r="K978" s="171"/>
      <c r="L978" s="170"/>
      <c r="M978" s="170"/>
      <c r="N978" s="170"/>
      <c r="O978" s="171"/>
      <c r="P978" s="171"/>
      <c r="Q978" s="170"/>
      <c r="R978" s="170"/>
      <c r="S978" s="170"/>
      <c r="T978" s="171"/>
      <c r="U978" s="171"/>
      <c r="V978" s="171"/>
      <c r="W978" s="171"/>
      <c r="X978" s="171"/>
      <c r="Y978" s="171"/>
      <c r="Z978" s="171"/>
      <c r="AA978" s="171"/>
      <c r="AB978" s="171"/>
      <c r="AC978" s="170"/>
      <c r="AD978" s="170"/>
      <c r="AE978" s="170"/>
      <c r="AF978" s="170"/>
      <c r="AG978" s="170"/>
      <c r="AH978" s="170"/>
      <c r="AI978" s="170"/>
      <c r="AJ978" s="170"/>
      <c r="AK978" s="171"/>
      <c r="AL978" s="171"/>
      <c r="AM978" s="170"/>
      <c r="AN978" s="170"/>
      <c r="AO978" s="170"/>
      <c r="AP978" s="171"/>
      <c r="AQ978" s="171"/>
      <c r="AR978" s="170"/>
      <c r="AS978" s="170"/>
      <c r="AT978" s="170"/>
      <c r="AU978" s="171"/>
      <c r="AV978" s="171"/>
      <c r="AW978" s="171"/>
      <c r="AX978" s="171"/>
      <c r="AY978" s="171"/>
      <c r="AZ978" s="171"/>
      <c r="BA978" s="171"/>
      <c r="BB978" s="171"/>
      <c r="BC978" s="171"/>
      <c r="BD978" s="172"/>
      <c r="BE978" s="172"/>
      <c r="BF978" s="172"/>
      <c r="BG978" s="172"/>
      <c r="BH978" s="172"/>
      <c r="BI978" s="172"/>
      <c r="BJ978" s="172"/>
      <c r="BK978" s="172"/>
      <c r="BL978" s="172"/>
      <c r="BM978" s="172"/>
      <c r="BN978" s="172"/>
      <c r="BO978" s="172"/>
      <c r="BP978" s="172"/>
      <c r="BQ978" s="172"/>
      <c r="BR978" s="172"/>
      <c r="BS978" s="172"/>
    </row>
    <row r="979" spans="1:71" ht="12.5" x14ac:dyDescent="0.25">
      <c r="A979" s="170"/>
      <c r="B979" s="170"/>
      <c r="C979" s="170"/>
      <c r="D979" s="170"/>
      <c r="E979" s="171"/>
      <c r="F979" s="171"/>
      <c r="G979" s="170"/>
      <c r="H979" s="170"/>
      <c r="I979" s="170"/>
      <c r="J979" s="171"/>
      <c r="K979" s="171"/>
      <c r="L979" s="170"/>
      <c r="M979" s="170"/>
      <c r="N979" s="170"/>
      <c r="O979" s="171"/>
      <c r="P979" s="171"/>
      <c r="Q979" s="170"/>
      <c r="R979" s="170"/>
      <c r="S979" s="170"/>
      <c r="T979" s="171"/>
      <c r="U979" s="171"/>
      <c r="V979" s="171"/>
      <c r="W979" s="171"/>
      <c r="X979" s="171"/>
      <c r="Y979" s="171"/>
      <c r="Z979" s="171"/>
      <c r="AA979" s="171"/>
      <c r="AB979" s="171"/>
      <c r="AC979" s="170"/>
      <c r="AD979" s="170"/>
      <c r="AE979" s="170"/>
      <c r="AF979" s="170"/>
      <c r="AG979" s="170"/>
      <c r="AH979" s="170"/>
      <c r="AI979" s="170"/>
      <c r="AJ979" s="170"/>
      <c r="AK979" s="171"/>
      <c r="AL979" s="171"/>
      <c r="AM979" s="170"/>
      <c r="AN979" s="170"/>
      <c r="AO979" s="170"/>
      <c r="AP979" s="171"/>
      <c r="AQ979" s="171"/>
      <c r="AR979" s="170"/>
      <c r="AS979" s="170"/>
      <c r="AT979" s="170"/>
      <c r="AU979" s="171"/>
      <c r="AV979" s="171"/>
      <c r="AW979" s="171"/>
      <c r="AX979" s="171"/>
      <c r="AY979" s="171"/>
      <c r="AZ979" s="171"/>
      <c r="BA979" s="171"/>
      <c r="BB979" s="171"/>
      <c r="BC979" s="171"/>
      <c r="BD979" s="172"/>
      <c r="BE979" s="172"/>
      <c r="BF979" s="172"/>
      <c r="BG979" s="172"/>
      <c r="BH979" s="172"/>
      <c r="BI979" s="172"/>
      <c r="BJ979" s="172"/>
      <c r="BK979" s="172"/>
      <c r="BL979" s="172"/>
      <c r="BM979" s="172"/>
      <c r="BN979" s="172"/>
      <c r="BO979" s="172"/>
      <c r="BP979" s="172"/>
      <c r="BQ979" s="172"/>
      <c r="BR979" s="172"/>
      <c r="BS979" s="172"/>
    </row>
    <row r="980" spans="1:71" ht="12.5" x14ac:dyDescent="0.25">
      <c r="A980" s="170"/>
      <c r="B980" s="170"/>
      <c r="C980" s="170"/>
      <c r="D980" s="170"/>
      <c r="E980" s="171"/>
      <c r="F980" s="171"/>
      <c r="G980" s="170"/>
      <c r="H980" s="170"/>
      <c r="I980" s="170"/>
      <c r="J980" s="171"/>
      <c r="K980" s="171"/>
      <c r="L980" s="170"/>
      <c r="M980" s="170"/>
      <c r="N980" s="170"/>
      <c r="O980" s="171"/>
      <c r="P980" s="171"/>
      <c r="Q980" s="170"/>
      <c r="R980" s="170"/>
      <c r="S980" s="170"/>
      <c r="T980" s="171"/>
      <c r="U980" s="171"/>
      <c r="V980" s="171"/>
      <c r="W980" s="171"/>
      <c r="X980" s="171"/>
      <c r="Y980" s="171"/>
      <c r="Z980" s="171"/>
      <c r="AA980" s="171"/>
      <c r="AB980" s="171"/>
      <c r="AC980" s="170"/>
      <c r="AD980" s="170"/>
      <c r="AE980" s="170"/>
      <c r="AF980" s="170"/>
      <c r="AG980" s="170"/>
      <c r="AH980" s="170"/>
      <c r="AI980" s="170"/>
      <c r="AJ980" s="170"/>
      <c r="AK980" s="171"/>
      <c r="AL980" s="171"/>
      <c r="AM980" s="170"/>
      <c r="AN980" s="170"/>
      <c r="AO980" s="170"/>
      <c r="AP980" s="171"/>
      <c r="AQ980" s="171"/>
      <c r="AR980" s="170"/>
      <c r="AS980" s="170"/>
      <c r="AT980" s="170"/>
      <c r="AU980" s="171"/>
      <c r="AV980" s="171"/>
      <c r="AW980" s="171"/>
      <c r="AX980" s="171"/>
      <c r="AY980" s="171"/>
      <c r="AZ980" s="171"/>
      <c r="BA980" s="171"/>
      <c r="BB980" s="171"/>
      <c r="BC980" s="171"/>
      <c r="BD980" s="172"/>
      <c r="BE980" s="172"/>
      <c r="BF980" s="172"/>
      <c r="BG980" s="172"/>
      <c r="BH980" s="172"/>
      <c r="BI980" s="172"/>
      <c r="BJ980" s="172"/>
      <c r="BK980" s="172"/>
      <c r="BL980" s="172"/>
      <c r="BM980" s="172"/>
      <c r="BN980" s="172"/>
      <c r="BO980" s="172"/>
      <c r="BP980" s="172"/>
      <c r="BQ980" s="172"/>
      <c r="BR980" s="172"/>
      <c r="BS980" s="172"/>
    </row>
    <row r="981" spans="1:71" ht="12.5" x14ac:dyDescent="0.25">
      <c r="A981" s="170"/>
      <c r="B981" s="170"/>
      <c r="C981" s="170"/>
      <c r="D981" s="170"/>
      <c r="E981" s="171"/>
      <c r="F981" s="171"/>
      <c r="G981" s="170"/>
      <c r="H981" s="170"/>
      <c r="I981" s="170"/>
      <c r="J981" s="171"/>
      <c r="K981" s="171"/>
      <c r="L981" s="170"/>
      <c r="M981" s="170"/>
      <c r="N981" s="170"/>
      <c r="O981" s="171"/>
      <c r="P981" s="171"/>
      <c r="Q981" s="170"/>
      <c r="R981" s="170"/>
      <c r="S981" s="170"/>
      <c r="T981" s="171"/>
      <c r="U981" s="171"/>
      <c r="V981" s="171"/>
      <c r="W981" s="171"/>
      <c r="X981" s="171"/>
      <c r="Y981" s="171"/>
      <c r="Z981" s="171"/>
      <c r="AA981" s="171"/>
      <c r="AB981" s="171"/>
      <c r="AC981" s="170"/>
      <c r="AD981" s="170"/>
      <c r="AE981" s="170"/>
      <c r="AF981" s="170"/>
      <c r="AG981" s="170"/>
      <c r="AH981" s="170"/>
      <c r="AI981" s="170"/>
      <c r="AJ981" s="170"/>
      <c r="AK981" s="171"/>
      <c r="AL981" s="171"/>
      <c r="AM981" s="170"/>
      <c r="AN981" s="170"/>
      <c r="AO981" s="170"/>
      <c r="AP981" s="171"/>
      <c r="AQ981" s="171"/>
      <c r="AR981" s="170"/>
      <c r="AS981" s="170"/>
      <c r="AT981" s="170"/>
      <c r="AU981" s="171"/>
      <c r="AV981" s="171"/>
      <c r="AW981" s="171"/>
      <c r="AX981" s="171"/>
      <c r="AY981" s="171"/>
      <c r="AZ981" s="171"/>
      <c r="BA981" s="171"/>
      <c r="BB981" s="171"/>
      <c r="BC981" s="171"/>
      <c r="BD981" s="172"/>
      <c r="BE981" s="172"/>
      <c r="BF981" s="172"/>
      <c r="BG981" s="172"/>
      <c r="BH981" s="172"/>
      <c r="BI981" s="172"/>
      <c r="BJ981" s="172"/>
      <c r="BK981" s="172"/>
      <c r="BL981" s="172"/>
      <c r="BM981" s="172"/>
      <c r="BN981" s="172"/>
      <c r="BO981" s="172"/>
      <c r="BP981" s="172"/>
      <c r="BQ981" s="172"/>
      <c r="BR981" s="172"/>
      <c r="BS981" s="172"/>
    </row>
    <row r="982" spans="1:71" ht="12.5" x14ac:dyDescent="0.25">
      <c r="A982" s="170"/>
      <c r="B982" s="170"/>
      <c r="C982" s="170"/>
      <c r="D982" s="170"/>
      <c r="E982" s="171"/>
      <c r="F982" s="171"/>
      <c r="G982" s="170"/>
      <c r="H982" s="170"/>
      <c r="I982" s="170"/>
      <c r="J982" s="171"/>
      <c r="K982" s="171"/>
      <c r="L982" s="170"/>
      <c r="M982" s="170"/>
      <c r="N982" s="170"/>
      <c r="O982" s="171"/>
      <c r="P982" s="171"/>
      <c r="Q982" s="170"/>
      <c r="R982" s="170"/>
      <c r="S982" s="170"/>
      <c r="T982" s="171"/>
      <c r="U982" s="171"/>
      <c r="V982" s="171"/>
      <c r="W982" s="171"/>
      <c r="X982" s="171"/>
      <c r="Y982" s="171"/>
      <c r="Z982" s="171"/>
      <c r="AA982" s="171"/>
      <c r="AB982" s="171"/>
      <c r="AC982" s="170"/>
      <c r="AD982" s="170"/>
      <c r="AE982" s="170"/>
      <c r="AF982" s="170"/>
      <c r="AG982" s="170"/>
      <c r="AH982" s="170"/>
      <c r="AI982" s="170"/>
      <c r="AJ982" s="170"/>
      <c r="AK982" s="171"/>
      <c r="AL982" s="171"/>
      <c r="AM982" s="170"/>
      <c r="AN982" s="170"/>
      <c r="AO982" s="170"/>
      <c r="AP982" s="171"/>
      <c r="AQ982" s="171"/>
      <c r="AR982" s="170"/>
      <c r="AS982" s="170"/>
      <c r="AT982" s="170"/>
      <c r="AU982" s="171"/>
      <c r="AV982" s="171"/>
      <c r="AW982" s="171"/>
      <c r="AX982" s="171"/>
      <c r="AY982" s="171"/>
      <c r="AZ982" s="171"/>
      <c r="BA982" s="171"/>
      <c r="BB982" s="171"/>
      <c r="BC982" s="171"/>
      <c r="BD982" s="172"/>
      <c r="BE982" s="172"/>
      <c r="BF982" s="172"/>
      <c r="BG982" s="172"/>
      <c r="BH982" s="172"/>
      <c r="BI982" s="172"/>
      <c r="BJ982" s="172"/>
      <c r="BK982" s="172"/>
      <c r="BL982" s="172"/>
      <c r="BM982" s="172"/>
      <c r="BN982" s="172"/>
      <c r="BO982" s="172"/>
      <c r="BP982" s="172"/>
      <c r="BQ982" s="172"/>
      <c r="BR982" s="172"/>
      <c r="BS982" s="172"/>
    </row>
    <row r="983" spans="1:71" ht="12.5" x14ac:dyDescent="0.25">
      <c r="A983" s="170"/>
      <c r="B983" s="170"/>
      <c r="C983" s="170"/>
      <c r="D983" s="170"/>
      <c r="E983" s="171"/>
      <c r="F983" s="171"/>
      <c r="G983" s="170"/>
      <c r="H983" s="170"/>
      <c r="I983" s="170"/>
      <c r="J983" s="171"/>
      <c r="K983" s="171"/>
      <c r="L983" s="170"/>
      <c r="M983" s="170"/>
      <c r="N983" s="170"/>
      <c r="O983" s="171"/>
      <c r="P983" s="171"/>
      <c r="Q983" s="170"/>
      <c r="R983" s="170"/>
      <c r="S983" s="170"/>
      <c r="T983" s="171"/>
      <c r="U983" s="171"/>
      <c r="V983" s="171"/>
      <c r="W983" s="171"/>
      <c r="X983" s="171"/>
      <c r="Y983" s="171"/>
      <c r="Z983" s="171"/>
      <c r="AA983" s="171"/>
      <c r="AB983" s="171"/>
      <c r="AC983" s="170"/>
      <c r="AD983" s="170"/>
      <c r="AE983" s="170"/>
      <c r="AF983" s="170"/>
      <c r="AG983" s="170"/>
      <c r="AH983" s="170"/>
      <c r="AI983" s="170"/>
      <c r="AJ983" s="170"/>
      <c r="AK983" s="171"/>
      <c r="AL983" s="171"/>
      <c r="AM983" s="170"/>
      <c r="AN983" s="170"/>
      <c r="AO983" s="170"/>
      <c r="AP983" s="171"/>
      <c r="AQ983" s="171"/>
      <c r="AR983" s="170"/>
      <c r="AS983" s="170"/>
      <c r="AT983" s="170"/>
      <c r="AU983" s="171"/>
      <c r="AV983" s="171"/>
      <c r="AW983" s="171"/>
      <c r="AX983" s="171"/>
      <c r="AY983" s="171"/>
      <c r="AZ983" s="171"/>
      <c r="BA983" s="171"/>
      <c r="BB983" s="171"/>
      <c r="BC983" s="171"/>
      <c r="BD983" s="172"/>
      <c r="BE983" s="172"/>
      <c r="BF983" s="172"/>
      <c r="BG983" s="172"/>
      <c r="BH983" s="172"/>
      <c r="BI983" s="172"/>
      <c r="BJ983" s="172"/>
      <c r="BK983" s="172"/>
      <c r="BL983" s="172"/>
      <c r="BM983" s="172"/>
      <c r="BN983" s="172"/>
      <c r="BO983" s="172"/>
      <c r="BP983" s="172"/>
      <c r="BQ983" s="172"/>
      <c r="BR983" s="172"/>
      <c r="BS983" s="172"/>
    </row>
    <row r="984" spans="1:71" ht="12.5" x14ac:dyDescent="0.25">
      <c r="A984" s="170"/>
      <c r="B984" s="170"/>
      <c r="C984" s="170"/>
      <c r="D984" s="170"/>
      <c r="E984" s="171"/>
      <c r="F984" s="171"/>
      <c r="G984" s="170"/>
      <c r="H984" s="170"/>
      <c r="I984" s="170"/>
      <c r="J984" s="171"/>
      <c r="K984" s="171"/>
      <c r="L984" s="170"/>
      <c r="M984" s="170"/>
      <c r="N984" s="170"/>
      <c r="O984" s="171"/>
      <c r="P984" s="171"/>
      <c r="Q984" s="170"/>
      <c r="R984" s="170"/>
      <c r="S984" s="170"/>
      <c r="T984" s="171"/>
      <c r="U984" s="171"/>
      <c r="V984" s="171"/>
      <c r="W984" s="171"/>
      <c r="X984" s="171"/>
      <c r="Y984" s="171"/>
      <c r="Z984" s="171"/>
      <c r="AA984" s="171"/>
      <c r="AB984" s="171"/>
      <c r="AC984" s="170"/>
      <c r="AD984" s="170"/>
      <c r="AE984" s="170"/>
      <c r="AF984" s="170"/>
      <c r="AG984" s="170"/>
      <c r="AH984" s="170"/>
      <c r="AI984" s="170"/>
      <c r="AJ984" s="170"/>
      <c r="AK984" s="171"/>
      <c r="AL984" s="171"/>
      <c r="AM984" s="170"/>
      <c r="AN984" s="170"/>
      <c r="AO984" s="170"/>
      <c r="AP984" s="171"/>
      <c r="AQ984" s="171"/>
      <c r="AR984" s="170"/>
      <c r="AS984" s="170"/>
      <c r="AT984" s="170"/>
      <c r="AU984" s="171"/>
      <c r="AV984" s="171"/>
      <c r="AW984" s="171"/>
      <c r="AX984" s="171"/>
      <c r="AY984" s="171"/>
      <c r="AZ984" s="171"/>
      <c r="BA984" s="171"/>
      <c r="BB984" s="171"/>
      <c r="BC984" s="171"/>
      <c r="BD984" s="172"/>
      <c r="BE984" s="172"/>
      <c r="BF984" s="172"/>
      <c r="BG984" s="172"/>
      <c r="BH984" s="172"/>
      <c r="BI984" s="172"/>
      <c r="BJ984" s="172"/>
      <c r="BK984" s="172"/>
      <c r="BL984" s="172"/>
      <c r="BM984" s="172"/>
      <c r="BN984" s="172"/>
      <c r="BO984" s="172"/>
      <c r="BP984" s="172"/>
      <c r="BQ984" s="172"/>
      <c r="BR984" s="172"/>
      <c r="BS984" s="172"/>
    </row>
    <row r="985" spans="1:71" ht="12.5" x14ac:dyDescent="0.25">
      <c r="A985" s="170"/>
      <c r="B985" s="170"/>
      <c r="C985" s="170"/>
      <c r="D985" s="170"/>
      <c r="E985" s="171"/>
      <c r="F985" s="171"/>
      <c r="G985" s="170"/>
      <c r="H985" s="170"/>
      <c r="I985" s="170"/>
      <c r="J985" s="171"/>
      <c r="K985" s="171"/>
      <c r="L985" s="170"/>
      <c r="M985" s="170"/>
      <c r="N985" s="170"/>
      <c r="O985" s="171"/>
      <c r="P985" s="171"/>
      <c r="Q985" s="170"/>
      <c r="R985" s="170"/>
      <c r="S985" s="170"/>
      <c r="T985" s="171"/>
      <c r="U985" s="171"/>
      <c r="V985" s="171"/>
      <c r="W985" s="171"/>
      <c r="X985" s="171"/>
      <c r="Y985" s="171"/>
      <c r="Z985" s="171"/>
      <c r="AA985" s="171"/>
      <c r="AB985" s="171"/>
      <c r="AC985" s="170"/>
      <c r="AD985" s="170"/>
      <c r="AE985" s="170"/>
      <c r="AF985" s="170"/>
      <c r="AG985" s="170"/>
      <c r="AH985" s="170"/>
      <c r="AI985" s="170"/>
      <c r="AJ985" s="170"/>
      <c r="AK985" s="171"/>
      <c r="AL985" s="171"/>
      <c r="AM985" s="170"/>
      <c r="AN985" s="170"/>
      <c r="AO985" s="170"/>
      <c r="AP985" s="171"/>
      <c r="AQ985" s="171"/>
      <c r="AR985" s="170"/>
      <c r="AS985" s="170"/>
      <c r="AT985" s="170"/>
      <c r="AU985" s="171"/>
      <c r="AV985" s="171"/>
      <c r="AW985" s="171"/>
      <c r="AX985" s="171"/>
      <c r="AY985" s="171"/>
      <c r="AZ985" s="171"/>
      <c r="BA985" s="171"/>
      <c r="BB985" s="171"/>
      <c r="BC985" s="171"/>
      <c r="BD985" s="172"/>
      <c r="BE985" s="172"/>
      <c r="BF985" s="172"/>
      <c r="BG985" s="172"/>
      <c r="BH985" s="172"/>
      <c r="BI985" s="172"/>
      <c r="BJ985" s="172"/>
      <c r="BK985" s="172"/>
      <c r="BL985" s="172"/>
      <c r="BM985" s="172"/>
      <c r="BN985" s="172"/>
      <c r="BO985" s="172"/>
      <c r="BP985" s="172"/>
      <c r="BQ985" s="172"/>
      <c r="BR985" s="172"/>
      <c r="BS985" s="172"/>
    </row>
    <row r="986" spans="1:71" ht="12.5" x14ac:dyDescent="0.25">
      <c r="A986" s="170"/>
      <c r="B986" s="170"/>
      <c r="C986" s="170"/>
      <c r="D986" s="170"/>
      <c r="E986" s="171"/>
      <c r="F986" s="171"/>
      <c r="G986" s="170"/>
      <c r="H986" s="170"/>
      <c r="I986" s="170"/>
      <c r="J986" s="171"/>
      <c r="K986" s="171"/>
      <c r="L986" s="170"/>
      <c r="M986" s="170"/>
      <c r="N986" s="170"/>
      <c r="O986" s="171"/>
      <c r="P986" s="171"/>
      <c r="Q986" s="170"/>
      <c r="R986" s="170"/>
      <c r="S986" s="170"/>
      <c r="T986" s="171"/>
      <c r="U986" s="171"/>
      <c r="V986" s="171"/>
      <c r="W986" s="171"/>
      <c r="X986" s="171"/>
      <c r="Y986" s="171"/>
      <c r="Z986" s="171"/>
      <c r="AA986" s="171"/>
      <c r="AB986" s="171"/>
      <c r="AC986" s="170"/>
      <c r="AD986" s="170"/>
      <c r="AE986" s="170"/>
      <c r="AF986" s="170"/>
      <c r="AG986" s="170"/>
      <c r="AH986" s="170"/>
      <c r="AI986" s="170"/>
      <c r="AJ986" s="170"/>
      <c r="AK986" s="171"/>
      <c r="AL986" s="171"/>
      <c r="AM986" s="170"/>
      <c r="AN986" s="170"/>
      <c r="AO986" s="170"/>
      <c r="AP986" s="171"/>
      <c r="AQ986" s="171"/>
      <c r="AR986" s="170"/>
      <c r="AS986" s="170"/>
      <c r="AT986" s="170"/>
      <c r="AU986" s="171"/>
      <c r="AV986" s="171"/>
      <c r="AW986" s="171"/>
      <c r="AX986" s="171"/>
      <c r="AY986" s="171"/>
      <c r="AZ986" s="171"/>
      <c r="BA986" s="171"/>
      <c r="BB986" s="171"/>
      <c r="BC986" s="171"/>
      <c r="BD986" s="172"/>
      <c r="BE986" s="172"/>
      <c r="BF986" s="172"/>
      <c r="BG986" s="172"/>
      <c r="BH986" s="172"/>
      <c r="BI986" s="172"/>
      <c r="BJ986" s="172"/>
      <c r="BK986" s="172"/>
      <c r="BL986" s="172"/>
      <c r="BM986" s="172"/>
      <c r="BN986" s="172"/>
      <c r="BO986" s="172"/>
      <c r="BP986" s="172"/>
      <c r="BQ986" s="172"/>
      <c r="BR986" s="172"/>
      <c r="BS986" s="172"/>
    </row>
    <row r="987" spans="1:71" ht="12.5" x14ac:dyDescent="0.25">
      <c r="A987" s="170"/>
      <c r="B987" s="170"/>
      <c r="C987" s="170"/>
      <c r="D987" s="170"/>
      <c r="E987" s="171"/>
      <c r="F987" s="171"/>
      <c r="G987" s="170"/>
      <c r="H987" s="170"/>
      <c r="I987" s="170"/>
      <c r="J987" s="171"/>
      <c r="K987" s="171"/>
      <c r="L987" s="170"/>
      <c r="M987" s="170"/>
      <c r="N987" s="170"/>
      <c r="O987" s="171"/>
      <c r="P987" s="171"/>
      <c r="Q987" s="170"/>
      <c r="R987" s="170"/>
      <c r="S987" s="170"/>
      <c r="T987" s="171"/>
      <c r="U987" s="171"/>
      <c r="V987" s="171"/>
      <c r="W987" s="171"/>
      <c r="X987" s="171"/>
      <c r="Y987" s="171"/>
      <c r="Z987" s="171"/>
      <c r="AA987" s="171"/>
      <c r="AB987" s="171"/>
      <c r="AC987" s="170"/>
      <c r="AD987" s="170"/>
      <c r="AE987" s="170"/>
      <c r="AF987" s="170"/>
      <c r="AG987" s="170"/>
      <c r="AH987" s="170"/>
      <c r="AI987" s="170"/>
      <c r="AJ987" s="170"/>
      <c r="AK987" s="171"/>
      <c r="AL987" s="171"/>
      <c r="AM987" s="170"/>
      <c r="AN987" s="170"/>
      <c r="AO987" s="170"/>
      <c r="AP987" s="171"/>
      <c r="AQ987" s="171"/>
      <c r="AR987" s="170"/>
      <c r="AS987" s="170"/>
      <c r="AT987" s="170"/>
      <c r="AU987" s="171"/>
      <c r="AV987" s="171"/>
      <c r="AW987" s="171"/>
      <c r="AX987" s="171"/>
      <c r="AY987" s="171"/>
      <c r="AZ987" s="171"/>
      <c r="BA987" s="171"/>
      <c r="BB987" s="171"/>
      <c r="BC987" s="171"/>
      <c r="BD987" s="172"/>
      <c r="BE987" s="172"/>
      <c r="BF987" s="172"/>
      <c r="BG987" s="172"/>
      <c r="BH987" s="172"/>
      <c r="BI987" s="172"/>
      <c r="BJ987" s="172"/>
      <c r="BK987" s="172"/>
      <c r="BL987" s="172"/>
      <c r="BM987" s="172"/>
      <c r="BN987" s="172"/>
      <c r="BO987" s="172"/>
      <c r="BP987" s="172"/>
      <c r="BQ987" s="172"/>
      <c r="BR987" s="172"/>
      <c r="BS987" s="172"/>
    </row>
    <row r="988" spans="1:71" ht="12.5" x14ac:dyDescent="0.25">
      <c r="A988" s="170"/>
      <c r="B988" s="170"/>
      <c r="C988" s="170"/>
      <c r="D988" s="170"/>
      <c r="E988" s="171"/>
      <c r="F988" s="171"/>
      <c r="G988" s="170"/>
      <c r="H988" s="170"/>
      <c r="I988" s="170"/>
      <c r="J988" s="171"/>
      <c r="K988" s="171"/>
      <c r="L988" s="170"/>
      <c r="M988" s="170"/>
      <c r="N988" s="170"/>
      <c r="O988" s="171"/>
      <c r="P988" s="171"/>
      <c r="Q988" s="170"/>
      <c r="R988" s="170"/>
      <c r="S988" s="170"/>
      <c r="T988" s="171"/>
      <c r="U988" s="171"/>
      <c r="V988" s="171"/>
      <c r="W988" s="171"/>
      <c r="X988" s="171"/>
      <c r="Y988" s="171"/>
      <c r="Z988" s="171"/>
      <c r="AA988" s="171"/>
      <c r="AB988" s="171"/>
      <c r="AC988" s="170"/>
      <c r="AD988" s="170"/>
      <c r="AE988" s="170"/>
      <c r="AF988" s="170"/>
      <c r="AG988" s="170"/>
      <c r="AH988" s="170"/>
      <c r="AI988" s="170"/>
      <c r="AJ988" s="170"/>
      <c r="AK988" s="171"/>
      <c r="AL988" s="171"/>
      <c r="AM988" s="170"/>
      <c r="AN988" s="170"/>
      <c r="AO988" s="170"/>
      <c r="AP988" s="171"/>
      <c r="AQ988" s="171"/>
      <c r="AR988" s="170"/>
      <c r="AS988" s="170"/>
      <c r="AT988" s="170"/>
      <c r="AU988" s="171"/>
      <c r="AV988" s="171"/>
      <c r="AW988" s="171"/>
      <c r="AX988" s="171"/>
      <c r="AY988" s="171"/>
      <c r="AZ988" s="171"/>
      <c r="BA988" s="171"/>
      <c r="BB988" s="171"/>
      <c r="BC988" s="171"/>
      <c r="BD988" s="172"/>
      <c r="BE988" s="172"/>
      <c r="BF988" s="172"/>
      <c r="BG988" s="172"/>
      <c r="BH988" s="172"/>
      <c r="BI988" s="172"/>
      <c r="BJ988" s="172"/>
      <c r="BK988" s="172"/>
      <c r="BL988" s="172"/>
      <c r="BM988" s="172"/>
      <c r="BN988" s="172"/>
      <c r="BO988" s="172"/>
      <c r="BP988" s="172"/>
      <c r="BQ988" s="172"/>
      <c r="BR988" s="172"/>
      <c r="BS988" s="172"/>
    </row>
  </sheetData>
  <mergeCells count="22">
    <mergeCell ref="BI4:BM4"/>
    <mergeCell ref="BN4:BN5"/>
    <mergeCell ref="BO4:BO5"/>
    <mergeCell ref="BP4:BQ4"/>
    <mergeCell ref="A3:A5"/>
    <mergeCell ref="B3:AB3"/>
    <mergeCell ref="AH3:BH3"/>
    <mergeCell ref="BP3:BS3"/>
    <mergeCell ref="B4:F4"/>
    <mergeCell ref="G4:K4"/>
    <mergeCell ref="L4:P4"/>
    <mergeCell ref="BR4:BS4"/>
    <mergeCell ref="AM4:AQ4"/>
    <mergeCell ref="AR4:AV4"/>
    <mergeCell ref="AW4:BA4"/>
    <mergeCell ref="BB4:BC4"/>
    <mergeCell ref="BD4:BH4"/>
    <mergeCell ref="Q4:U4"/>
    <mergeCell ref="V4:W4"/>
    <mergeCell ref="X4:AB4"/>
    <mergeCell ref="AC4:AG4"/>
    <mergeCell ref="AH4:AL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998"/>
  <sheetViews>
    <sheetView workbookViewId="0"/>
  </sheetViews>
  <sheetFormatPr defaultColWidth="14.453125" defaultRowHeight="15.75" customHeight="1" x14ac:dyDescent="0.25"/>
  <cols>
    <col min="2" max="2" width="26.81640625" customWidth="1"/>
    <col min="3" max="3" width="25.453125" customWidth="1"/>
    <col min="4" max="4" width="25.08984375" customWidth="1"/>
    <col min="5" max="5" width="23.54296875" customWidth="1"/>
  </cols>
  <sheetData>
    <row r="1" spans="1:21" ht="15.75" customHeight="1" x14ac:dyDescent="0.35">
      <c r="A1" s="59" t="s">
        <v>0</v>
      </c>
      <c r="B1" s="173" t="s">
        <v>472</v>
      </c>
      <c r="C1" s="173" t="s">
        <v>473</v>
      </c>
      <c r="D1" s="173" t="s">
        <v>474</v>
      </c>
      <c r="E1" s="173" t="s">
        <v>475</v>
      </c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</row>
    <row r="2" spans="1:21" ht="15.75" customHeight="1" x14ac:dyDescent="0.25">
      <c r="A2" s="175">
        <f ca="1">IFERROR(__xludf.DUMMYFUNCTION("IMPORTRANGE(""https://docs.google.com/spreadsheets/d/1Z6aGDEehvntxFiePIi3q3HiVzeV-3jkOe87QLML9cWg/edit?ts=5f3b374c#gid=0"",""Histori Pemakaman!A2:E"")"),43891)</f>
        <v>43891</v>
      </c>
      <c r="B2" s="56">
        <f ca="1">IFERROR(__xludf.DUMMYFUNCTION("""COMPUTED_VALUE"""),0)</f>
        <v>0</v>
      </c>
      <c r="C2" s="56">
        <f ca="1">IFERROR(__xludf.DUMMYFUNCTION("""COMPUTED_VALUE"""),0)</f>
        <v>0</v>
      </c>
      <c r="D2" s="56">
        <f ca="1">IFERROR(__xludf.DUMMYFUNCTION("""COMPUTED_VALUE"""),150)</f>
        <v>150</v>
      </c>
      <c r="E2" s="56">
        <f ca="1">IFERROR(__xludf.DUMMYFUNCTION("""COMPUTED_VALUE"""),150)</f>
        <v>150</v>
      </c>
    </row>
    <row r="3" spans="1:21" ht="15.75" customHeight="1" x14ac:dyDescent="0.25">
      <c r="A3" s="175">
        <f ca="1">IFERROR(__xludf.DUMMYFUNCTION("""COMPUTED_VALUE"""),43892)</f>
        <v>43892</v>
      </c>
      <c r="B3" s="56">
        <f ca="1">IFERROR(__xludf.DUMMYFUNCTION("""COMPUTED_VALUE"""),0)</f>
        <v>0</v>
      </c>
      <c r="C3" s="56">
        <f ca="1">IFERROR(__xludf.DUMMYFUNCTION("""COMPUTED_VALUE"""),0)</f>
        <v>0</v>
      </c>
      <c r="D3" s="56">
        <f ca="1">IFERROR(__xludf.DUMMYFUNCTION("""COMPUTED_VALUE"""),136)</f>
        <v>136</v>
      </c>
      <c r="E3" s="56">
        <f ca="1">IFERROR(__xludf.DUMMYFUNCTION("""COMPUTED_VALUE"""),286)</f>
        <v>286</v>
      </c>
    </row>
    <row r="4" spans="1:21" ht="15.75" customHeight="1" x14ac:dyDescent="0.25">
      <c r="A4" s="175">
        <f ca="1">IFERROR(__xludf.DUMMYFUNCTION("""COMPUTED_VALUE"""),43893)</f>
        <v>43893</v>
      </c>
      <c r="B4" s="56">
        <f ca="1">IFERROR(__xludf.DUMMYFUNCTION("""COMPUTED_VALUE"""),0)</f>
        <v>0</v>
      </c>
      <c r="C4" s="56">
        <f ca="1">IFERROR(__xludf.DUMMYFUNCTION("""COMPUTED_VALUE"""),0)</f>
        <v>0</v>
      </c>
      <c r="D4" s="56">
        <f ca="1">IFERROR(__xludf.DUMMYFUNCTION("""COMPUTED_VALUE"""),135)</f>
        <v>135</v>
      </c>
      <c r="E4" s="56">
        <f ca="1">IFERROR(__xludf.DUMMYFUNCTION("""COMPUTED_VALUE"""),421)</f>
        <v>421</v>
      </c>
    </row>
    <row r="5" spans="1:21" ht="15.75" customHeight="1" x14ac:dyDescent="0.25">
      <c r="A5" s="175">
        <f ca="1">IFERROR(__xludf.DUMMYFUNCTION("""COMPUTED_VALUE"""),43894)</f>
        <v>43894</v>
      </c>
      <c r="B5" s="56">
        <f ca="1">IFERROR(__xludf.DUMMYFUNCTION("""COMPUTED_VALUE"""),0)</f>
        <v>0</v>
      </c>
      <c r="C5" s="56">
        <f ca="1">IFERROR(__xludf.DUMMYFUNCTION("""COMPUTED_VALUE"""),0)</f>
        <v>0</v>
      </c>
      <c r="D5" s="56">
        <f ca="1">IFERROR(__xludf.DUMMYFUNCTION("""COMPUTED_VALUE"""),116)</f>
        <v>116</v>
      </c>
      <c r="E5" s="56">
        <f ca="1">IFERROR(__xludf.DUMMYFUNCTION("""COMPUTED_VALUE"""),537)</f>
        <v>537</v>
      </c>
    </row>
    <row r="6" spans="1:21" ht="15.75" customHeight="1" x14ac:dyDescent="0.25">
      <c r="A6" s="175">
        <f ca="1">IFERROR(__xludf.DUMMYFUNCTION("""COMPUTED_VALUE"""),43895)</f>
        <v>43895</v>
      </c>
      <c r="B6" s="56">
        <f ca="1">IFERROR(__xludf.DUMMYFUNCTION("""COMPUTED_VALUE"""),0)</f>
        <v>0</v>
      </c>
      <c r="C6" s="56">
        <f ca="1">IFERROR(__xludf.DUMMYFUNCTION("""COMPUTED_VALUE"""),0)</f>
        <v>0</v>
      </c>
      <c r="D6" s="56">
        <f ca="1">IFERROR(__xludf.DUMMYFUNCTION("""COMPUTED_VALUE"""),124)</f>
        <v>124</v>
      </c>
      <c r="E6" s="56">
        <f ca="1">IFERROR(__xludf.DUMMYFUNCTION("""COMPUTED_VALUE"""),661)</f>
        <v>661</v>
      </c>
    </row>
    <row r="7" spans="1:21" ht="15.75" customHeight="1" x14ac:dyDescent="0.25">
      <c r="A7" s="175">
        <f ca="1">IFERROR(__xludf.DUMMYFUNCTION("""COMPUTED_VALUE"""),43896)</f>
        <v>43896</v>
      </c>
      <c r="B7" s="56">
        <f ca="1">IFERROR(__xludf.DUMMYFUNCTION("""COMPUTED_VALUE"""),1)</f>
        <v>1</v>
      </c>
      <c r="C7" s="56">
        <f ca="1">IFERROR(__xludf.DUMMYFUNCTION("""COMPUTED_VALUE"""),1)</f>
        <v>1</v>
      </c>
      <c r="D7" s="56">
        <f ca="1">IFERROR(__xludf.DUMMYFUNCTION("""COMPUTED_VALUE"""),158)</f>
        <v>158</v>
      </c>
      <c r="E7" s="56">
        <f ca="1">IFERROR(__xludf.DUMMYFUNCTION("""COMPUTED_VALUE"""),819)</f>
        <v>819</v>
      </c>
    </row>
    <row r="8" spans="1:21" ht="15.75" customHeight="1" x14ac:dyDescent="0.25">
      <c r="A8" s="175">
        <f ca="1">IFERROR(__xludf.DUMMYFUNCTION("""COMPUTED_VALUE"""),43897)</f>
        <v>43897</v>
      </c>
      <c r="B8" s="56">
        <f ca="1">IFERROR(__xludf.DUMMYFUNCTION("""COMPUTED_VALUE"""),0)</f>
        <v>0</v>
      </c>
      <c r="C8" s="56">
        <f ca="1">IFERROR(__xludf.DUMMYFUNCTION("""COMPUTED_VALUE"""),1)</f>
        <v>1</v>
      </c>
      <c r="D8" s="56">
        <f ca="1">IFERROR(__xludf.DUMMYFUNCTION("""COMPUTED_VALUE"""),144)</f>
        <v>144</v>
      </c>
      <c r="E8" s="56">
        <f ca="1">IFERROR(__xludf.DUMMYFUNCTION("""COMPUTED_VALUE"""),963)</f>
        <v>963</v>
      </c>
    </row>
    <row r="9" spans="1:21" ht="15.75" customHeight="1" x14ac:dyDescent="0.25">
      <c r="A9" s="175">
        <f ca="1">IFERROR(__xludf.DUMMYFUNCTION("""COMPUTED_VALUE"""),43898)</f>
        <v>43898</v>
      </c>
      <c r="B9" s="56">
        <f ca="1">IFERROR(__xludf.DUMMYFUNCTION("""COMPUTED_VALUE"""),0)</f>
        <v>0</v>
      </c>
      <c r="C9" s="56">
        <f ca="1">IFERROR(__xludf.DUMMYFUNCTION("""COMPUTED_VALUE"""),1)</f>
        <v>1</v>
      </c>
      <c r="D9" s="56">
        <f ca="1">IFERROR(__xludf.DUMMYFUNCTION("""COMPUTED_VALUE"""),106)</f>
        <v>106</v>
      </c>
      <c r="E9" s="56">
        <f ca="1">IFERROR(__xludf.DUMMYFUNCTION("""COMPUTED_VALUE"""),1069)</f>
        <v>1069</v>
      </c>
    </row>
    <row r="10" spans="1:21" ht="15.75" customHeight="1" x14ac:dyDescent="0.25">
      <c r="A10" s="175">
        <f ca="1">IFERROR(__xludf.DUMMYFUNCTION("""COMPUTED_VALUE"""),43899)</f>
        <v>43899</v>
      </c>
      <c r="B10" s="56">
        <f ca="1">IFERROR(__xludf.DUMMYFUNCTION("""COMPUTED_VALUE"""),0)</f>
        <v>0</v>
      </c>
      <c r="C10" s="56">
        <f ca="1">IFERROR(__xludf.DUMMYFUNCTION("""COMPUTED_VALUE"""),1)</f>
        <v>1</v>
      </c>
      <c r="D10" s="56">
        <f ca="1">IFERROR(__xludf.DUMMYFUNCTION("""COMPUTED_VALUE"""),145)</f>
        <v>145</v>
      </c>
      <c r="E10" s="56">
        <f ca="1">IFERROR(__xludf.DUMMYFUNCTION("""COMPUTED_VALUE"""),1214)</f>
        <v>1214</v>
      </c>
    </row>
    <row r="11" spans="1:21" ht="15.75" customHeight="1" x14ac:dyDescent="0.25">
      <c r="A11" s="175">
        <f ca="1">IFERROR(__xludf.DUMMYFUNCTION("""COMPUTED_VALUE"""),43900)</f>
        <v>43900</v>
      </c>
      <c r="B11" s="56">
        <f ca="1">IFERROR(__xludf.DUMMYFUNCTION("""COMPUTED_VALUE"""),0)</f>
        <v>0</v>
      </c>
      <c r="C11" s="56">
        <f ca="1">IFERROR(__xludf.DUMMYFUNCTION("""COMPUTED_VALUE"""),1)</f>
        <v>1</v>
      </c>
      <c r="D11" s="56">
        <f ca="1">IFERROR(__xludf.DUMMYFUNCTION("""COMPUTED_VALUE"""),146)</f>
        <v>146</v>
      </c>
      <c r="E11" s="56">
        <f ca="1">IFERROR(__xludf.DUMMYFUNCTION("""COMPUTED_VALUE"""),1360)</f>
        <v>1360</v>
      </c>
    </row>
    <row r="12" spans="1:21" ht="15.75" customHeight="1" x14ac:dyDescent="0.25">
      <c r="A12" s="175">
        <f ca="1">IFERROR(__xludf.DUMMYFUNCTION("""COMPUTED_VALUE"""),43901)</f>
        <v>43901</v>
      </c>
      <c r="B12" s="56">
        <f ca="1">IFERROR(__xludf.DUMMYFUNCTION("""COMPUTED_VALUE"""),0)</f>
        <v>0</v>
      </c>
      <c r="C12" s="56">
        <f ca="1">IFERROR(__xludf.DUMMYFUNCTION("""COMPUTED_VALUE"""),1)</f>
        <v>1</v>
      </c>
      <c r="D12" s="56">
        <f ca="1">IFERROR(__xludf.DUMMYFUNCTION("""COMPUTED_VALUE"""),148)</f>
        <v>148</v>
      </c>
      <c r="E12" s="56">
        <f ca="1">IFERROR(__xludf.DUMMYFUNCTION("""COMPUTED_VALUE"""),1508)</f>
        <v>1508</v>
      </c>
    </row>
    <row r="13" spans="1:21" ht="15.75" customHeight="1" x14ac:dyDescent="0.25">
      <c r="A13" s="175">
        <f ca="1">IFERROR(__xludf.DUMMYFUNCTION("""COMPUTED_VALUE"""),43902)</f>
        <v>43902</v>
      </c>
      <c r="B13" s="56">
        <f ca="1">IFERROR(__xludf.DUMMYFUNCTION("""COMPUTED_VALUE"""),1)</f>
        <v>1</v>
      </c>
      <c r="C13" s="56">
        <f ca="1">IFERROR(__xludf.DUMMYFUNCTION("""COMPUTED_VALUE"""),2)</f>
        <v>2</v>
      </c>
      <c r="D13" s="56">
        <f ca="1">IFERROR(__xludf.DUMMYFUNCTION("""COMPUTED_VALUE"""),154)</f>
        <v>154</v>
      </c>
      <c r="E13" s="56">
        <f ca="1">IFERROR(__xludf.DUMMYFUNCTION("""COMPUTED_VALUE"""),1662)</f>
        <v>1662</v>
      </c>
    </row>
    <row r="14" spans="1:21" ht="15.75" customHeight="1" x14ac:dyDescent="0.25">
      <c r="A14" s="175">
        <f ca="1">IFERROR(__xludf.DUMMYFUNCTION("""COMPUTED_VALUE"""),43903)</f>
        <v>43903</v>
      </c>
      <c r="B14" s="56">
        <f ca="1">IFERROR(__xludf.DUMMYFUNCTION("""COMPUTED_VALUE"""),2)</f>
        <v>2</v>
      </c>
      <c r="C14" s="56">
        <f ca="1">IFERROR(__xludf.DUMMYFUNCTION("""COMPUTED_VALUE"""),4)</f>
        <v>4</v>
      </c>
      <c r="D14" s="56">
        <f ca="1">IFERROR(__xludf.DUMMYFUNCTION("""COMPUTED_VALUE"""),124)</f>
        <v>124</v>
      </c>
      <c r="E14" s="56">
        <f ca="1">IFERROR(__xludf.DUMMYFUNCTION("""COMPUTED_VALUE"""),1786)</f>
        <v>1786</v>
      </c>
    </row>
    <row r="15" spans="1:21" ht="15.75" customHeight="1" x14ac:dyDescent="0.25">
      <c r="A15" s="175">
        <f ca="1">IFERROR(__xludf.DUMMYFUNCTION("""COMPUTED_VALUE"""),43904)</f>
        <v>43904</v>
      </c>
      <c r="B15" s="56">
        <f ca="1">IFERROR(__xludf.DUMMYFUNCTION("""COMPUTED_VALUE"""),2)</f>
        <v>2</v>
      </c>
      <c r="C15" s="56">
        <f ca="1">IFERROR(__xludf.DUMMYFUNCTION("""COMPUTED_VALUE"""),6)</f>
        <v>6</v>
      </c>
      <c r="D15" s="56">
        <f ca="1">IFERROR(__xludf.DUMMYFUNCTION("""COMPUTED_VALUE"""),162)</f>
        <v>162</v>
      </c>
      <c r="E15" s="56">
        <f ca="1">IFERROR(__xludf.DUMMYFUNCTION("""COMPUTED_VALUE"""),1948)</f>
        <v>1948</v>
      </c>
    </row>
    <row r="16" spans="1:21" ht="15.75" customHeight="1" x14ac:dyDescent="0.25">
      <c r="A16" s="175">
        <f ca="1">IFERROR(__xludf.DUMMYFUNCTION("""COMPUTED_VALUE"""),43905)</f>
        <v>43905</v>
      </c>
      <c r="B16" s="56">
        <f ca="1">IFERROR(__xludf.DUMMYFUNCTION("""COMPUTED_VALUE"""),0)</f>
        <v>0</v>
      </c>
      <c r="C16" s="56">
        <f ca="1">IFERROR(__xludf.DUMMYFUNCTION("""COMPUTED_VALUE"""),6)</f>
        <v>6</v>
      </c>
      <c r="D16" s="56">
        <f ca="1">IFERROR(__xludf.DUMMYFUNCTION("""COMPUTED_VALUE"""),119)</f>
        <v>119</v>
      </c>
      <c r="E16" s="56">
        <f ca="1">IFERROR(__xludf.DUMMYFUNCTION("""COMPUTED_VALUE"""),2067)</f>
        <v>2067</v>
      </c>
    </row>
    <row r="17" spans="1:5" ht="15.75" customHeight="1" x14ac:dyDescent="0.25">
      <c r="A17" s="175">
        <f ca="1">IFERROR(__xludf.DUMMYFUNCTION("""COMPUTED_VALUE"""),43906)</f>
        <v>43906</v>
      </c>
      <c r="B17" s="56">
        <f ca="1">IFERROR(__xludf.DUMMYFUNCTION("""COMPUTED_VALUE"""),4)</f>
        <v>4</v>
      </c>
      <c r="C17" s="56">
        <f ca="1">IFERROR(__xludf.DUMMYFUNCTION("""COMPUTED_VALUE"""),10)</f>
        <v>10</v>
      </c>
      <c r="D17" s="56">
        <f ca="1">IFERROR(__xludf.DUMMYFUNCTION("""COMPUTED_VALUE"""),128)</f>
        <v>128</v>
      </c>
      <c r="E17" s="56">
        <f ca="1">IFERROR(__xludf.DUMMYFUNCTION("""COMPUTED_VALUE"""),2195)</f>
        <v>2195</v>
      </c>
    </row>
    <row r="18" spans="1:5" ht="15.75" customHeight="1" x14ac:dyDescent="0.25">
      <c r="A18" s="175">
        <f ca="1">IFERROR(__xludf.DUMMYFUNCTION("""COMPUTED_VALUE"""),43907)</f>
        <v>43907</v>
      </c>
      <c r="B18" s="56">
        <f ca="1">IFERROR(__xludf.DUMMYFUNCTION("""COMPUTED_VALUE"""),4)</f>
        <v>4</v>
      </c>
      <c r="C18" s="56">
        <f ca="1">IFERROR(__xludf.DUMMYFUNCTION("""COMPUTED_VALUE"""),14)</f>
        <v>14</v>
      </c>
      <c r="D18" s="56">
        <f ca="1">IFERROR(__xludf.DUMMYFUNCTION("""COMPUTED_VALUE"""),135)</f>
        <v>135</v>
      </c>
      <c r="E18" s="56">
        <f ca="1">IFERROR(__xludf.DUMMYFUNCTION("""COMPUTED_VALUE"""),2330)</f>
        <v>2330</v>
      </c>
    </row>
    <row r="19" spans="1:5" ht="15.75" customHeight="1" x14ac:dyDescent="0.25">
      <c r="A19" s="175">
        <f ca="1">IFERROR(__xludf.DUMMYFUNCTION("""COMPUTED_VALUE"""),43908)</f>
        <v>43908</v>
      </c>
      <c r="B19" s="56">
        <f ca="1">IFERROR(__xludf.DUMMYFUNCTION("""COMPUTED_VALUE"""),8)</f>
        <v>8</v>
      </c>
      <c r="C19" s="56">
        <f ca="1">IFERROR(__xludf.DUMMYFUNCTION("""COMPUTED_VALUE"""),22)</f>
        <v>22</v>
      </c>
      <c r="D19" s="56">
        <f ca="1">IFERROR(__xludf.DUMMYFUNCTION("""COMPUTED_VALUE"""),122)</f>
        <v>122</v>
      </c>
      <c r="E19" s="56">
        <f ca="1">IFERROR(__xludf.DUMMYFUNCTION("""COMPUTED_VALUE"""),2452)</f>
        <v>2452</v>
      </c>
    </row>
    <row r="20" spans="1:5" ht="15.75" customHeight="1" x14ac:dyDescent="0.25">
      <c r="A20" s="175">
        <f ca="1">IFERROR(__xludf.DUMMYFUNCTION("""COMPUTED_VALUE"""),43909)</f>
        <v>43909</v>
      </c>
      <c r="B20" s="56">
        <f ca="1">IFERROR(__xludf.DUMMYFUNCTION("""COMPUTED_VALUE"""),7)</f>
        <v>7</v>
      </c>
      <c r="C20" s="56">
        <f ca="1">IFERROR(__xludf.DUMMYFUNCTION("""COMPUTED_VALUE"""),29)</f>
        <v>29</v>
      </c>
      <c r="D20" s="56">
        <f ca="1">IFERROR(__xludf.DUMMYFUNCTION("""COMPUTED_VALUE"""),108)</f>
        <v>108</v>
      </c>
      <c r="E20" s="56">
        <f ca="1">IFERROR(__xludf.DUMMYFUNCTION("""COMPUTED_VALUE"""),2560)</f>
        <v>2560</v>
      </c>
    </row>
    <row r="21" spans="1:5" ht="15.75" customHeight="1" x14ac:dyDescent="0.25">
      <c r="A21" s="175">
        <f ca="1">IFERROR(__xludf.DUMMYFUNCTION("""COMPUTED_VALUE"""),43910)</f>
        <v>43910</v>
      </c>
      <c r="B21" s="56">
        <f ca="1">IFERROR(__xludf.DUMMYFUNCTION("""COMPUTED_VALUE"""),8)</f>
        <v>8</v>
      </c>
      <c r="C21" s="56">
        <f ca="1">IFERROR(__xludf.DUMMYFUNCTION("""COMPUTED_VALUE"""),37)</f>
        <v>37</v>
      </c>
      <c r="D21" s="56">
        <f ca="1">IFERROR(__xludf.DUMMYFUNCTION("""COMPUTED_VALUE"""),138)</f>
        <v>138</v>
      </c>
      <c r="E21" s="56">
        <f ca="1">IFERROR(__xludf.DUMMYFUNCTION("""COMPUTED_VALUE"""),2698)</f>
        <v>2698</v>
      </c>
    </row>
    <row r="22" spans="1:5" ht="12.5" x14ac:dyDescent="0.25">
      <c r="A22" s="175">
        <f ca="1">IFERROR(__xludf.DUMMYFUNCTION("""COMPUTED_VALUE"""),43911)</f>
        <v>43911</v>
      </c>
      <c r="B22" s="56">
        <f ca="1">IFERROR(__xludf.DUMMYFUNCTION("""COMPUTED_VALUE"""),10)</f>
        <v>10</v>
      </c>
      <c r="C22" s="56">
        <f ca="1">IFERROR(__xludf.DUMMYFUNCTION("""COMPUTED_VALUE"""),47)</f>
        <v>47</v>
      </c>
      <c r="D22" s="56">
        <f ca="1">IFERROR(__xludf.DUMMYFUNCTION("""COMPUTED_VALUE"""),118)</f>
        <v>118</v>
      </c>
      <c r="E22" s="56">
        <f ca="1">IFERROR(__xludf.DUMMYFUNCTION("""COMPUTED_VALUE"""),2816)</f>
        <v>2816</v>
      </c>
    </row>
    <row r="23" spans="1:5" ht="12.5" x14ac:dyDescent="0.25">
      <c r="A23" s="175">
        <f ca="1">IFERROR(__xludf.DUMMYFUNCTION("""COMPUTED_VALUE"""),43912)</f>
        <v>43912</v>
      </c>
      <c r="B23" s="56">
        <f ca="1">IFERROR(__xludf.DUMMYFUNCTION("""COMPUTED_VALUE"""),18)</f>
        <v>18</v>
      </c>
      <c r="C23" s="56">
        <f ca="1">IFERROR(__xludf.DUMMYFUNCTION("""COMPUTED_VALUE"""),65)</f>
        <v>65</v>
      </c>
      <c r="D23" s="56">
        <f ca="1">IFERROR(__xludf.DUMMYFUNCTION("""COMPUTED_VALUE"""),150)</f>
        <v>150</v>
      </c>
      <c r="E23" s="56">
        <f ca="1">IFERROR(__xludf.DUMMYFUNCTION("""COMPUTED_VALUE"""),2966)</f>
        <v>2966</v>
      </c>
    </row>
    <row r="24" spans="1:5" ht="12.5" x14ac:dyDescent="0.25">
      <c r="A24" s="175">
        <f ca="1">IFERROR(__xludf.DUMMYFUNCTION("""COMPUTED_VALUE"""),43913)</f>
        <v>43913</v>
      </c>
      <c r="B24" s="56">
        <f ca="1">IFERROR(__xludf.DUMMYFUNCTION("""COMPUTED_VALUE"""),22)</f>
        <v>22</v>
      </c>
      <c r="C24" s="56">
        <f ca="1">IFERROR(__xludf.DUMMYFUNCTION("""COMPUTED_VALUE"""),87)</f>
        <v>87</v>
      </c>
      <c r="D24" s="56">
        <f ca="1">IFERROR(__xludf.DUMMYFUNCTION("""COMPUTED_VALUE"""),151)</f>
        <v>151</v>
      </c>
      <c r="E24" s="56">
        <f ca="1">IFERROR(__xludf.DUMMYFUNCTION("""COMPUTED_VALUE"""),3117)</f>
        <v>3117</v>
      </c>
    </row>
    <row r="25" spans="1:5" ht="12.5" x14ac:dyDescent="0.25">
      <c r="A25" s="175">
        <f ca="1">IFERROR(__xludf.DUMMYFUNCTION("""COMPUTED_VALUE"""),43914)</f>
        <v>43914</v>
      </c>
      <c r="B25" s="56">
        <f ca="1">IFERROR(__xludf.DUMMYFUNCTION("""COMPUTED_VALUE"""),20)</f>
        <v>20</v>
      </c>
      <c r="C25" s="56">
        <f ca="1">IFERROR(__xludf.DUMMYFUNCTION("""COMPUTED_VALUE"""),107)</f>
        <v>107</v>
      </c>
      <c r="D25" s="56">
        <f ca="1">IFERROR(__xludf.DUMMYFUNCTION("""COMPUTED_VALUE"""),119)</f>
        <v>119</v>
      </c>
      <c r="E25" s="56">
        <f ca="1">IFERROR(__xludf.DUMMYFUNCTION("""COMPUTED_VALUE"""),3236)</f>
        <v>3236</v>
      </c>
    </row>
    <row r="26" spans="1:5" ht="12.5" x14ac:dyDescent="0.25">
      <c r="A26" s="175">
        <f ca="1">IFERROR(__xludf.DUMMYFUNCTION("""COMPUTED_VALUE"""),43915)</f>
        <v>43915</v>
      </c>
      <c r="B26" s="56">
        <f ca="1">IFERROR(__xludf.DUMMYFUNCTION("""COMPUTED_VALUE"""),33)</f>
        <v>33</v>
      </c>
      <c r="C26" s="56">
        <f ca="1">IFERROR(__xludf.DUMMYFUNCTION("""COMPUTED_VALUE"""),140)</f>
        <v>140</v>
      </c>
      <c r="D26" s="56">
        <f ca="1">IFERROR(__xludf.DUMMYFUNCTION("""COMPUTED_VALUE"""),160)</f>
        <v>160</v>
      </c>
      <c r="E26" s="56">
        <f ca="1">IFERROR(__xludf.DUMMYFUNCTION("""COMPUTED_VALUE"""),3396)</f>
        <v>3396</v>
      </c>
    </row>
    <row r="27" spans="1:5" ht="12.5" x14ac:dyDescent="0.25">
      <c r="A27" s="175">
        <f ca="1">IFERROR(__xludf.DUMMYFUNCTION("""COMPUTED_VALUE"""),43916)</f>
        <v>43916</v>
      </c>
      <c r="B27" s="56">
        <f ca="1">IFERROR(__xludf.DUMMYFUNCTION("""COMPUTED_VALUE"""),35)</f>
        <v>35</v>
      </c>
      <c r="C27" s="56">
        <f ca="1">IFERROR(__xludf.DUMMYFUNCTION("""COMPUTED_VALUE"""),175)</f>
        <v>175</v>
      </c>
      <c r="D27" s="56">
        <f ca="1">IFERROR(__xludf.DUMMYFUNCTION("""COMPUTED_VALUE"""),117)</f>
        <v>117</v>
      </c>
      <c r="E27" s="56">
        <f ca="1">IFERROR(__xludf.DUMMYFUNCTION("""COMPUTED_VALUE"""),3513)</f>
        <v>3513</v>
      </c>
    </row>
    <row r="28" spans="1:5" ht="12.5" x14ac:dyDescent="0.25">
      <c r="A28" s="175">
        <f ca="1">IFERROR(__xludf.DUMMYFUNCTION("""COMPUTED_VALUE"""),43917)</f>
        <v>43917</v>
      </c>
      <c r="B28" s="56">
        <f ca="1">IFERROR(__xludf.DUMMYFUNCTION("""COMPUTED_VALUE"""),31)</f>
        <v>31</v>
      </c>
      <c r="C28" s="56">
        <f ca="1">IFERROR(__xludf.DUMMYFUNCTION("""COMPUTED_VALUE"""),206)</f>
        <v>206</v>
      </c>
      <c r="D28" s="56">
        <f ca="1">IFERROR(__xludf.DUMMYFUNCTION("""COMPUTED_VALUE"""),150)</f>
        <v>150</v>
      </c>
      <c r="E28" s="56">
        <f ca="1">IFERROR(__xludf.DUMMYFUNCTION("""COMPUTED_VALUE"""),3663)</f>
        <v>3663</v>
      </c>
    </row>
    <row r="29" spans="1:5" ht="12.5" x14ac:dyDescent="0.25">
      <c r="A29" s="175">
        <f ca="1">IFERROR(__xludf.DUMMYFUNCTION("""COMPUTED_VALUE"""),43918)</f>
        <v>43918</v>
      </c>
      <c r="B29" s="56">
        <f ca="1">IFERROR(__xludf.DUMMYFUNCTION("""COMPUTED_VALUE"""),30)</f>
        <v>30</v>
      </c>
      <c r="C29" s="56">
        <f ca="1">IFERROR(__xludf.DUMMYFUNCTION("""COMPUTED_VALUE"""),236)</f>
        <v>236</v>
      </c>
      <c r="D29" s="56">
        <f ca="1">IFERROR(__xludf.DUMMYFUNCTION("""COMPUTED_VALUE"""),141)</f>
        <v>141</v>
      </c>
      <c r="E29" s="56">
        <f ca="1">IFERROR(__xludf.DUMMYFUNCTION("""COMPUTED_VALUE"""),3804)</f>
        <v>3804</v>
      </c>
    </row>
    <row r="30" spans="1:5" ht="12.5" x14ac:dyDescent="0.25">
      <c r="A30" s="175">
        <f ca="1">IFERROR(__xludf.DUMMYFUNCTION("""COMPUTED_VALUE"""),43919)</f>
        <v>43919</v>
      </c>
      <c r="B30" s="56">
        <f ca="1">IFERROR(__xludf.DUMMYFUNCTION("""COMPUTED_VALUE"""),47)</f>
        <v>47</v>
      </c>
      <c r="C30" s="56">
        <f ca="1">IFERROR(__xludf.DUMMYFUNCTION("""COMPUTED_VALUE"""),283)</f>
        <v>283</v>
      </c>
      <c r="D30" s="56">
        <f ca="1">IFERROR(__xludf.DUMMYFUNCTION("""COMPUTED_VALUE"""),153)</f>
        <v>153</v>
      </c>
      <c r="E30" s="56">
        <f ca="1">IFERROR(__xludf.DUMMYFUNCTION("""COMPUTED_VALUE"""),3957)</f>
        <v>3957</v>
      </c>
    </row>
    <row r="31" spans="1:5" ht="12.5" x14ac:dyDescent="0.25">
      <c r="A31" s="175">
        <f ca="1">IFERROR(__xludf.DUMMYFUNCTION("""COMPUTED_VALUE"""),43920)</f>
        <v>43920</v>
      </c>
      <c r="B31" s="56">
        <f ca="1">IFERROR(__xludf.DUMMYFUNCTION("""COMPUTED_VALUE"""),33)</f>
        <v>33</v>
      </c>
      <c r="C31" s="56">
        <f ca="1">IFERROR(__xludf.DUMMYFUNCTION("""COMPUTED_VALUE"""),316)</f>
        <v>316</v>
      </c>
      <c r="D31" s="56">
        <f ca="1">IFERROR(__xludf.DUMMYFUNCTION("""COMPUTED_VALUE"""),140)</f>
        <v>140</v>
      </c>
      <c r="E31" s="56">
        <f ca="1">IFERROR(__xludf.DUMMYFUNCTION("""COMPUTED_VALUE"""),4097)</f>
        <v>4097</v>
      </c>
    </row>
    <row r="32" spans="1:5" ht="12.5" x14ac:dyDescent="0.25">
      <c r="A32" s="175">
        <f ca="1">IFERROR(__xludf.DUMMYFUNCTION("""COMPUTED_VALUE"""),43921)</f>
        <v>43921</v>
      </c>
      <c r="B32" s="56">
        <f ca="1">IFERROR(__xludf.DUMMYFUNCTION("""COMPUTED_VALUE"""),38)</f>
        <v>38</v>
      </c>
      <c r="C32" s="56">
        <f ca="1">IFERROR(__xludf.DUMMYFUNCTION("""COMPUTED_VALUE"""),354)</f>
        <v>354</v>
      </c>
      <c r="D32" s="56">
        <f ca="1">IFERROR(__xludf.DUMMYFUNCTION("""COMPUTED_VALUE"""),148)</f>
        <v>148</v>
      </c>
      <c r="E32" s="56">
        <f ca="1">IFERROR(__xludf.DUMMYFUNCTION("""COMPUTED_VALUE"""),4245)</f>
        <v>4245</v>
      </c>
    </row>
    <row r="33" spans="1:5" ht="12.5" x14ac:dyDescent="0.25">
      <c r="A33" s="175">
        <f ca="1">IFERROR(__xludf.DUMMYFUNCTION("""COMPUTED_VALUE"""),43922)</f>
        <v>43922</v>
      </c>
      <c r="B33" s="56">
        <f ca="1">IFERROR(__xludf.DUMMYFUNCTION("""COMPUTED_VALUE"""),47)</f>
        <v>47</v>
      </c>
      <c r="C33" s="56">
        <f ca="1">IFERROR(__xludf.DUMMYFUNCTION("""COMPUTED_VALUE"""),401)</f>
        <v>401</v>
      </c>
      <c r="D33" s="56">
        <f ca="1">IFERROR(__xludf.DUMMYFUNCTION("""COMPUTED_VALUE"""),171)</f>
        <v>171</v>
      </c>
      <c r="E33" s="56">
        <f ca="1">IFERROR(__xludf.DUMMYFUNCTION("""COMPUTED_VALUE"""),4416)</f>
        <v>4416</v>
      </c>
    </row>
    <row r="34" spans="1:5" ht="12.5" x14ac:dyDescent="0.25">
      <c r="A34" s="175">
        <f ca="1">IFERROR(__xludf.DUMMYFUNCTION("""COMPUTED_VALUE"""),43923)</f>
        <v>43923</v>
      </c>
      <c r="B34" s="56">
        <f ca="1">IFERROR(__xludf.DUMMYFUNCTION("""COMPUTED_VALUE"""),53)</f>
        <v>53</v>
      </c>
      <c r="C34" s="56">
        <f ca="1">IFERROR(__xludf.DUMMYFUNCTION("""COMPUTED_VALUE"""),454)</f>
        <v>454</v>
      </c>
      <c r="D34" s="56">
        <f ca="1">IFERROR(__xludf.DUMMYFUNCTION("""COMPUTED_VALUE"""),178)</f>
        <v>178</v>
      </c>
      <c r="E34" s="56">
        <f ca="1">IFERROR(__xludf.DUMMYFUNCTION("""COMPUTED_VALUE"""),4594)</f>
        <v>4594</v>
      </c>
    </row>
    <row r="35" spans="1:5" ht="12.5" x14ac:dyDescent="0.25">
      <c r="A35" s="175">
        <f ca="1">IFERROR(__xludf.DUMMYFUNCTION("""COMPUTED_VALUE"""),43924)</f>
        <v>43924</v>
      </c>
      <c r="B35" s="56">
        <f ca="1">IFERROR(__xludf.DUMMYFUNCTION("""COMPUTED_VALUE"""),50)</f>
        <v>50</v>
      </c>
      <c r="C35" s="56">
        <f ca="1">IFERROR(__xludf.DUMMYFUNCTION("""COMPUTED_VALUE"""),504)</f>
        <v>504</v>
      </c>
      <c r="D35" s="56">
        <f ca="1">IFERROR(__xludf.DUMMYFUNCTION("""COMPUTED_VALUE"""),143)</f>
        <v>143</v>
      </c>
      <c r="E35" s="56">
        <f ca="1">IFERROR(__xludf.DUMMYFUNCTION("""COMPUTED_VALUE"""),4737)</f>
        <v>4737</v>
      </c>
    </row>
    <row r="36" spans="1:5" ht="12.5" x14ac:dyDescent="0.25">
      <c r="A36" s="175">
        <f ca="1">IFERROR(__xludf.DUMMYFUNCTION("""COMPUTED_VALUE"""),43925)</f>
        <v>43925</v>
      </c>
      <c r="B36" s="56">
        <f ca="1">IFERROR(__xludf.DUMMYFUNCTION("""COMPUTED_VALUE"""),44)</f>
        <v>44</v>
      </c>
      <c r="C36" s="56">
        <f ca="1">IFERROR(__xludf.DUMMYFUNCTION("""COMPUTED_VALUE"""),548)</f>
        <v>548</v>
      </c>
      <c r="D36" s="56">
        <f ca="1">IFERROR(__xludf.DUMMYFUNCTION("""COMPUTED_VALUE"""),151)</f>
        <v>151</v>
      </c>
      <c r="E36" s="56">
        <f ca="1">IFERROR(__xludf.DUMMYFUNCTION("""COMPUTED_VALUE"""),4888)</f>
        <v>4888</v>
      </c>
    </row>
    <row r="37" spans="1:5" ht="12.5" x14ac:dyDescent="0.25">
      <c r="A37" s="175">
        <f ca="1">IFERROR(__xludf.DUMMYFUNCTION("""COMPUTED_VALUE"""),43926)</f>
        <v>43926</v>
      </c>
      <c r="B37" s="56">
        <f ca="1">IFERROR(__xludf.DUMMYFUNCTION("""COMPUTED_VALUE"""),48)</f>
        <v>48</v>
      </c>
      <c r="C37" s="56">
        <f ca="1">IFERROR(__xludf.DUMMYFUNCTION("""COMPUTED_VALUE"""),596)</f>
        <v>596</v>
      </c>
      <c r="D37" s="56">
        <f ca="1">IFERROR(__xludf.DUMMYFUNCTION("""COMPUTED_VALUE"""),160)</f>
        <v>160</v>
      </c>
      <c r="E37" s="56">
        <f ca="1">IFERROR(__xludf.DUMMYFUNCTION("""COMPUTED_VALUE"""),5048)</f>
        <v>5048</v>
      </c>
    </row>
    <row r="38" spans="1:5" ht="12.5" x14ac:dyDescent="0.25">
      <c r="A38" s="175">
        <f ca="1">IFERROR(__xludf.DUMMYFUNCTION("""COMPUTED_VALUE"""),43927)</f>
        <v>43927</v>
      </c>
      <c r="B38" s="56">
        <f ca="1">IFERROR(__xludf.DUMMYFUNCTION("""COMPUTED_VALUE"""),48)</f>
        <v>48</v>
      </c>
      <c r="C38" s="56">
        <f ca="1">IFERROR(__xludf.DUMMYFUNCTION("""COMPUTED_VALUE"""),644)</f>
        <v>644</v>
      </c>
      <c r="D38" s="56">
        <f ca="1">IFERROR(__xludf.DUMMYFUNCTION("""COMPUTED_VALUE"""),179)</f>
        <v>179</v>
      </c>
      <c r="E38" s="56">
        <f ca="1">IFERROR(__xludf.DUMMYFUNCTION("""COMPUTED_VALUE"""),5227)</f>
        <v>5227</v>
      </c>
    </row>
    <row r="39" spans="1:5" ht="12.5" x14ac:dyDescent="0.25">
      <c r="A39" s="175">
        <f ca="1">IFERROR(__xludf.DUMMYFUNCTION("""COMPUTED_VALUE"""),43928)</f>
        <v>43928</v>
      </c>
      <c r="B39" s="56">
        <f ca="1">IFERROR(__xludf.DUMMYFUNCTION("""COMPUTED_VALUE"""),53)</f>
        <v>53</v>
      </c>
      <c r="C39" s="56">
        <f ca="1">IFERROR(__xludf.DUMMYFUNCTION("""COMPUTED_VALUE"""),697)</f>
        <v>697</v>
      </c>
      <c r="D39" s="56">
        <f ca="1">IFERROR(__xludf.DUMMYFUNCTION("""COMPUTED_VALUE"""),159)</f>
        <v>159</v>
      </c>
      <c r="E39" s="56">
        <f ca="1">IFERROR(__xludf.DUMMYFUNCTION("""COMPUTED_VALUE"""),5386)</f>
        <v>5386</v>
      </c>
    </row>
    <row r="40" spans="1:5" ht="12.5" x14ac:dyDescent="0.25">
      <c r="A40" s="175">
        <f ca="1">IFERROR(__xludf.DUMMYFUNCTION("""COMPUTED_VALUE"""),43929)</f>
        <v>43929</v>
      </c>
      <c r="B40" s="56">
        <f ca="1">IFERROR(__xludf.DUMMYFUNCTION("""COMPUTED_VALUE"""),54)</f>
        <v>54</v>
      </c>
      <c r="C40" s="56">
        <f ca="1">IFERROR(__xludf.DUMMYFUNCTION("""COMPUTED_VALUE"""),751)</f>
        <v>751</v>
      </c>
      <c r="D40" s="56">
        <f ca="1">IFERROR(__xludf.DUMMYFUNCTION("""COMPUTED_VALUE"""),157)</f>
        <v>157</v>
      </c>
      <c r="E40" s="56">
        <f ca="1">IFERROR(__xludf.DUMMYFUNCTION("""COMPUTED_VALUE"""),5543)</f>
        <v>5543</v>
      </c>
    </row>
    <row r="41" spans="1:5" ht="12.5" x14ac:dyDescent="0.25">
      <c r="A41" s="175">
        <f ca="1">IFERROR(__xludf.DUMMYFUNCTION("""COMPUTED_VALUE"""),43930)</f>
        <v>43930</v>
      </c>
      <c r="B41" s="56">
        <f ca="1">IFERROR(__xludf.DUMMYFUNCTION("""COMPUTED_VALUE"""),47)</f>
        <v>47</v>
      </c>
      <c r="C41" s="56">
        <f ca="1">IFERROR(__xludf.DUMMYFUNCTION("""COMPUTED_VALUE"""),798)</f>
        <v>798</v>
      </c>
      <c r="D41" s="56">
        <f ca="1">IFERROR(__xludf.DUMMYFUNCTION("""COMPUTED_VALUE"""),134)</f>
        <v>134</v>
      </c>
      <c r="E41" s="56">
        <f ca="1">IFERROR(__xludf.DUMMYFUNCTION("""COMPUTED_VALUE"""),5677)</f>
        <v>5677</v>
      </c>
    </row>
    <row r="42" spans="1:5" ht="12.5" x14ac:dyDescent="0.25">
      <c r="A42" s="175">
        <f ca="1">IFERROR(__xludf.DUMMYFUNCTION("""COMPUTED_VALUE"""),43931)</f>
        <v>43931</v>
      </c>
      <c r="B42" s="56">
        <f ca="1">IFERROR(__xludf.DUMMYFUNCTION("""COMPUTED_VALUE"""),37)</f>
        <v>37</v>
      </c>
      <c r="C42" s="56">
        <f ca="1">IFERROR(__xludf.DUMMYFUNCTION("""COMPUTED_VALUE"""),835)</f>
        <v>835</v>
      </c>
      <c r="D42" s="56">
        <f ca="1">IFERROR(__xludf.DUMMYFUNCTION("""COMPUTED_VALUE"""),152)</f>
        <v>152</v>
      </c>
      <c r="E42" s="56">
        <f ca="1">IFERROR(__xludf.DUMMYFUNCTION("""COMPUTED_VALUE"""),5829)</f>
        <v>5829</v>
      </c>
    </row>
    <row r="43" spans="1:5" ht="12.5" x14ac:dyDescent="0.25">
      <c r="A43" s="175">
        <f ca="1">IFERROR(__xludf.DUMMYFUNCTION("""COMPUTED_VALUE"""),43932)</f>
        <v>43932</v>
      </c>
      <c r="B43" s="56">
        <f ca="1">IFERROR(__xludf.DUMMYFUNCTION("""COMPUTED_VALUE"""),39)</f>
        <v>39</v>
      </c>
      <c r="C43" s="56">
        <f ca="1">IFERROR(__xludf.DUMMYFUNCTION("""COMPUTED_VALUE"""),874)</f>
        <v>874</v>
      </c>
      <c r="D43" s="56">
        <f ca="1">IFERROR(__xludf.DUMMYFUNCTION("""COMPUTED_VALUE"""),148)</f>
        <v>148</v>
      </c>
      <c r="E43" s="56">
        <f ca="1">IFERROR(__xludf.DUMMYFUNCTION("""COMPUTED_VALUE"""),5977)</f>
        <v>5977</v>
      </c>
    </row>
    <row r="44" spans="1:5" ht="12.5" x14ac:dyDescent="0.25">
      <c r="A44" s="175">
        <f ca="1">IFERROR(__xludf.DUMMYFUNCTION("""COMPUTED_VALUE"""),43933)</f>
        <v>43933</v>
      </c>
      <c r="B44" s="56">
        <f ca="1">IFERROR(__xludf.DUMMYFUNCTION("""COMPUTED_VALUE"""),52)</f>
        <v>52</v>
      </c>
      <c r="C44" s="56">
        <f ca="1">IFERROR(__xludf.DUMMYFUNCTION("""COMPUTED_VALUE"""),926)</f>
        <v>926</v>
      </c>
      <c r="D44" s="56">
        <f ca="1">IFERROR(__xludf.DUMMYFUNCTION("""COMPUTED_VALUE"""),147)</f>
        <v>147</v>
      </c>
      <c r="E44" s="56">
        <f ca="1">IFERROR(__xludf.DUMMYFUNCTION("""COMPUTED_VALUE"""),6124)</f>
        <v>6124</v>
      </c>
    </row>
    <row r="45" spans="1:5" ht="12.5" x14ac:dyDescent="0.25">
      <c r="A45" s="175">
        <f ca="1">IFERROR(__xludf.DUMMYFUNCTION("""COMPUTED_VALUE"""),43934)</f>
        <v>43934</v>
      </c>
      <c r="B45" s="56">
        <f ca="1">IFERROR(__xludf.DUMMYFUNCTION("""COMPUTED_VALUE"""),40)</f>
        <v>40</v>
      </c>
      <c r="C45" s="56">
        <f ca="1">IFERROR(__xludf.DUMMYFUNCTION("""COMPUTED_VALUE"""),966)</f>
        <v>966</v>
      </c>
      <c r="D45" s="56">
        <f ca="1">IFERROR(__xludf.DUMMYFUNCTION("""COMPUTED_VALUE"""),173)</f>
        <v>173</v>
      </c>
      <c r="E45" s="56">
        <f ca="1">IFERROR(__xludf.DUMMYFUNCTION("""COMPUTED_VALUE"""),6297)</f>
        <v>6297</v>
      </c>
    </row>
    <row r="46" spans="1:5" ht="12.5" x14ac:dyDescent="0.25">
      <c r="A46" s="175">
        <f ca="1">IFERROR(__xludf.DUMMYFUNCTION("""COMPUTED_VALUE"""),43935)</f>
        <v>43935</v>
      </c>
      <c r="B46" s="56">
        <f ca="1">IFERROR(__xludf.DUMMYFUNCTION("""COMPUTED_VALUE"""),46)</f>
        <v>46</v>
      </c>
      <c r="C46" s="56">
        <f ca="1">IFERROR(__xludf.DUMMYFUNCTION("""COMPUTED_VALUE"""),1012)</f>
        <v>1012</v>
      </c>
      <c r="D46" s="56">
        <f ca="1">IFERROR(__xludf.DUMMYFUNCTION("""COMPUTED_VALUE"""),167)</f>
        <v>167</v>
      </c>
      <c r="E46" s="56">
        <f ca="1">IFERROR(__xludf.DUMMYFUNCTION("""COMPUTED_VALUE"""),6464)</f>
        <v>6464</v>
      </c>
    </row>
    <row r="47" spans="1:5" ht="12.5" x14ac:dyDescent="0.25">
      <c r="A47" s="175">
        <f ca="1">IFERROR(__xludf.DUMMYFUNCTION("""COMPUTED_VALUE"""),43936)</f>
        <v>43936</v>
      </c>
      <c r="B47" s="56">
        <f ca="1">IFERROR(__xludf.DUMMYFUNCTION("""COMPUTED_VALUE"""),31)</f>
        <v>31</v>
      </c>
      <c r="C47" s="56">
        <f ca="1">IFERROR(__xludf.DUMMYFUNCTION("""COMPUTED_VALUE"""),1043)</f>
        <v>1043</v>
      </c>
      <c r="D47" s="56">
        <f ca="1">IFERROR(__xludf.DUMMYFUNCTION("""COMPUTED_VALUE"""),143)</f>
        <v>143</v>
      </c>
      <c r="E47" s="56">
        <f ca="1">IFERROR(__xludf.DUMMYFUNCTION("""COMPUTED_VALUE"""),6607)</f>
        <v>6607</v>
      </c>
    </row>
    <row r="48" spans="1:5" ht="12.5" x14ac:dyDescent="0.25">
      <c r="A48" s="175">
        <f ca="1">IFERROR(__xludf.DUMMYFUNCTION("""COMPUTED_VALUE"""),43937)</f>
        <v>43937</v>
      </c>
      <c r="B48" s="56">
        <f ca="1">IFERROR(__xludf.DUMMYFUNCTION("""COMPUTED_VALUE"""),32)</f>
        <v>32</v>
      </c>
      <c r="C48" s="56">
        <f ca="1">IFERROR(__xludf.DUMMYFUNCTION("""COMPUTED_VALUE"""),1075)</f>
        <v>1075</v>
      </c>
      <c r="D48" s="56">
        <f ca="1">IFERROR(__xludf.DUMMYFUNCTION("""COMPUTED_VALUE"""),172)</f>
        <v>172</v>
      </c>
      <c r="E48" s="56">
        <f ca="1">IFERROR(__xludf.DUMMYFUNCTION("""COMPUTED_VALUE"""),6779)</f>
        <v>6779</v>
      </c>
    </row>
    <row r="49" spans="1:5" ht="12.5" x14ac:dyDescent="0.25">
      <c r="A49" s="175">
        <f ca="1">IFERROR(__xludf.DUMMYFUNCTION("""COMPUTED_VALUE"""),43938)</f>
        <v>43938</v>
      </c>
      <c r="B49" s="56">
        <f ca="1">IFERROR(__xludf.DUMMYFUNCTION("""COMPUTED_VALUE"""),42)</f>
        <v>42</v>
      </c>
      <c r="C49" s="56">
        <f ca="1">IFERROR(__xludf.DUMMYFUNCTION("""COMPUTED_VALUE"""),1117)</f>
        <v>1117</v>
      </c>
      <c r="D49" s="56">
        <f ca="1">IFERROR(__xludf.DUMMYFUNCTION("""COMPUTED_VALUE"""),145)</f>
        <v>145</v>
      </c>
      <c r="E49" s="56">
        <f ca="1">IFERROR(__xludf.DUMMYFUNCTION("""COMPUTED_VALUE"""),6924)</f>
        <v>6924</v>
      </c>
    </row>
    <row r="50" spans="1:5" ht="12.5" x14ac:dyDescent="0.25">
      <c r="A50" s="175">
        <f ca="1">IFERROR(__xludf.DUMMYFUNCTION("""COMPUTED_VALUE"""),43939)</f>
        <v>43939</v>
      </c>
      <c r="B50" s="56">
        <f ca="1">IFERROR(__xludf.DUMMYFUNCTION("""COMPUTED_VALUE"""),47)</f>
        <v>47</v>
      </c>
      <c r="C50" s="56">
        <f ca="1">IFERROR(__xludf.DUMMYFUNCTION("""COMPUTED_VALUE"""),1164)</f>
        <v>1164</v>
      </c>
      <c r="D50" s="56">
        <f ca="1">IFERROR(__xludf.DUMMYFUNCTION("""COMPUTED_VALUE"""),144)</f>
        <v>144</v>
      </c>
      <c r="E50" s="56">
        <f ca="1">IFERROR(__xludf.DUMMYFUNCTION("""COMPUTED_VALUE"""),7068)</f>
        <v>7068</v>
      </c>
    </row>
    <row r="51" spans="1:5" ht="12.5" x14ac:dyDescent="0.25">
      <c r="A51" s="175">
        <f ca="1">IFERROR(__xludf.DUMMYFUNCTION("""COMPUTED_VALUE"""),43940)</f>
        <v>43940</v>
      </c>
      <c r="B51" s="56">
        <f ca="1">IFERROR(__xludf.DUMMYFUNCTION("""COMPUTED_VALUE"""),29)</f>
        <v>29</v>
      </c>
      <c r="C51" s="56">
        <f ca="1">IFERROR(__xludf.DUMMYFUNCTION("""COMPUTED_VALUE"""),1193)</f>
        <v>1193</v>
      </c>
      <c r="D51" s="56">
        <f ca="1">IFERROR(__xludf.DUMMYFUNCTION("""COMPUTED_VALUE"""),136)</f>
        <v>136</v>
      </c>
      <c r="E51" s="56">
        <f ca="1">IFERROR(__xludf.DUMMYFUNCTION("""COMPUTED_VALUE"""),7204)</f>
        <v>7204</v>
      </c>
    </row>
    <row r="52" spans="1:5" ht="12.5" x14ac:dyDescent="0.25">
      <c r="A52" s="175">
        <f ca="1">IFERROR(__xludf.DUMMYFUNCTION("""COMPUTED_VALUE"""),43941)</f>
        <v>43941</v>
      </c>
      <c r="B52" s="56">
        <f ca="1">IFERROR(__xludf.DUMMYFUNCTION("""COMPUTED_VALUE"""),36)</f>
        <v>36</v>
      </c>
      <c r="C52" s="56">
        <f ca="1">IFERROR(__xludf.DUMMYFUNCTION("""COMPUTED_VALUE"""),1229)</f>
        <v>1229</v>
      </c>
      <c r="D52" s="56">
        <f ca="1">IFERROR(__xludf.DUMMYFUNCTION("""COMPUTED_VALUE"""),163)</f>
        <v>163</v>
      </c>
      <c r="E52" s="56">
        <f ca="1">IFERROR(__xludf.DUMMYFUNCTION("""COMPUTED_VALUE"""),7367)</f>
        <v>7367</v>
      </c>
    </row>
    <row r="53" spans="1:5" ht="12.5" x14ac:dyDescent="0.25">
      <c r="A53" s="175">
        <f ca="1">IFERROR(__xludf.DUMMYFUNCTION("""COMPUTED_VALUE"""),43942)</f>
        <v>43942</v>
      </c>
      <c r="B53" s="56">
        <f ca="1">IFERROR(__xludf.DUMMYFUNCTION("""COMPUTED_VALUE"""),38)</f>
        <v>38</v>
      </c>
      <c r="C53" s="56">
        <f ca="1">IFERROR(__xludf.DUMMYFUNCTION("""COMPUTED_VALUE"""),1267)</f>
        <v>1267</v>
      </c>
      <c r="D53" s="56">
        <f ca="1">IFERROR(__xludf.DUMMYFUNCTION("""COMPUTED_VALUE"""),153)</f>
        <v>153</v>
      </c>
      <c r="E53" s="56">
        <f ca="1">IFERROR(__xludf.DUMMYFUNCTION("""COMPUTED_VALUE"""),7520)</f>
        <v>7520</v>
      </c>
    </row>
    <row r="54" spans="1:5" ht="12.5" x14ac:dyDescent="0.25">
      <c r="A54" s="175">
        <f ca="1">IFERROR(__xludf.DUMMYFUNCTION("""COMPUTED_VALUE"""),43943)</f>
        <v>43943</v>
      </c>
      <c r="B54" s="56">
        <f ca="1">IFERROR(__xludf.DUMMYFUNCTION("""COMPUTED_VALUE"""),49)</f>
        <v>49</v>
      </c>
      <c r="C54" s="56">
        <f ca="1">IFERROR(__xludf.DUMMYFUNCTION("""COMPUTED_VALUE"""),1316)</f>
        <v>1316</v>
      </c>
      <c r="D54" s="56">
        <f ca="1">IFERROR(__xludf.DUMMYFUNCTION("""COMPUTED_VALUE"""),179)</f>
        <v>179</v>
      </c>
      <c r="E54" s="56">
        <f ca="1">IFERROR(__xludf.DUMMYFUNCTION("""COMPUTED_VALUE"""),7699)</f>
        <v>7699</v>
      </c>
    </row>
    <row r="55" spans="1:5" ht="12.5" x14ac:dyDescent="0.25">
      <c r="A55" s="175">
        <f ca="1">IFERROR(__xludf.DUMMYFUNCTION("""COMPUTED_VALUE"""),43944)</f>
        <v>43944</v>
      </c>
      <c r="B55" s="56">
        <f ca="1">IFERROR(__xludf.DUMMYFUNCTION("""COMPUTED_VALUE"""),45)</f>
        <v>45</v>
      </c>
      <c r="C55" s="56">
        <f ca="1">IFERROR(__xludf.DUMMYFUNCTION("""COMPUTED_VALUE"""),1361)</f>
        <v>1361</v>
      </c>
      <c r="D55" s="56">
        <f ca="1">IFERROR(__xludf.DUMMYFUNCTION("""COMPUTED_VALUE"""),169)</f>
        <v>169</v>
      </c>
      <c r="E55" s="56">
        <f ca="1">IFERROR(__xludf.DUMMYFUNCTION("""COMPUTED_VALUE"""),7868)</f>
        <v>7868</v>
      </c>
    </row>
    <row r="56" spans="1:5" ht="12.5" x14ac:dyDescent="0.25">
      <c r="A56" s="175">
        <f ca="1">IFERROR(__xludf.DUMMYFUNCTION("""COMPUTED_VALUE"""),43945)</f>
        <v>43945</v>
      </c>
      <c r="B56" s="56">
        <f ca="1">IFERROR(__xludf.DUMMYFUNCTION("""COMPUTED_VALUE"""),40)</f>
        <v>40</v>
      </c>
      <c r="C56" s="56">
        <f ca="1">IFERROR(__xludf.DUMMYFUNCTION("""COMPUTED_VALUE"""),1401)</f>
        <v>1401</v>
      </c>
      <c r="D56" s="56">
        <f ca="1">IFERROR(__xludf.DUMMYFUNCTION("""COMPUTED_VALUE"""),149)</f>
        <v>149</v>
      </c>
      <c r="E56" s="56">
        <f ca="1">IFERROR(__xludf.DUMMYFUNCTION("""COMPUTED_VALUE"""),8017)</f>
        <v>8017</v>
      </c>
    </row>
    <row r="57" spans="1:5" ht="12.5" x14ac:dyDescent="0.25">
      <c r="A57" s="175">
        <f ca="1">IFERROR(__xludf.DUMMYFUNCTION("""COMPUTED_VALUE"""),43946)</f>
        <v>43946</v>
      </c>
      <c r="B57" s="56">
        <f ca="1">IFERROR(__xludf.DUMMYFUNCTION("""COMPUTED_VALUE"""),44)</f>
        <v>44</v>
      </c>
      <c r="C57" s="56">
        <f ca="1">IFERROR(__xludf.DUMMYFUNCTION("""COMPUTED_VALUE"""),1445)</f>
        <v>1445</v>
      </c>
      <c r="D57" s="56">
        <f ca="1">IFERROR(__xludf.DUMMYFUNCTION("""COMPUTED_VALUE"""),186)</f>
        <v>186</v>
      </c>
      <c r="E57" s="56">
        <f ca="1">IFERROR(__xludf.DUMMYFUNCTION("""COMPUTED_VALUE"""),8203)</f>
        <v>8203</v>
      </c>
    </row>
    <row r="58" spans="1:5" ht="12.5" x14ac:dyDescent="0.25">
      <c r="A58" s="175">
        <f ca="1">IFERROR(__xludf.DUMMYFUNCTION("""COMPUTED_VALUE"""),43947)</f>
        <v>43947</v>
      </c>
      <c r="B58" s="56">
        <f ca="1">IFERROR(__xludf.DUMMYFUNCTION("""COMPUTED_VALUE"""),27)</f>
        <v>27</v>
      </c>
      <c r="C58" s="56">
        <f ca="1">IFERROR(__xludf.DUMMYFUNCTION("""COMPUTED_VALUE"""),1472)</f>
        <v>1472</v>
      </c>
      <c r="D58" s="56">
        <f ca="1">IFERROR(__xludf.DUMMYFUNCTION("""COMPUTED_VALUE"""),155)</f>
        <v>155</v>
      </c>
      <c r="E58" s="56">
        <f ca="1">IFERROR(__xludf.DUMMYFUNCTION("""COMPUTED_VALUE"""),8358)</f>
        <v>8358</v>
      </c>
    </row>
    <row r="59" spans="1:5" ht="12.5" x14ac:dyDescent="0.25">
      <c r="A59" s="175">
        <f ca="1">IFERROR(__xludf.DUMMYFUNCTION("""COMPUTED_VALUE"""),43948)</f>
        <v>43948</v>
      </c>
      <c r="B59" s="56">
        <f ca="1">IFERROR(__xludf.DUMMYFUNCTION("""COMPUTED_VALUE"""),38)</f>
        <v>38</v>
      </c>
      <c r="C59" s="56">
        <f ca="1">IFERROR(__xludf.DUMMYFUNCTION("""COMPUTED_VALUE"""),1510)</f>
        <v>1510</v>
      </c>
      <c r="D59" s="56">
        <f ca="1">IFERROR(__xludf.DUMMYFUNCTION("""COMPUTED_VALUE"""),140)</f>
        <v>140</v>
      </c>
      <c r="E59" s="56">
        <f ca="1">IFERROR(__xludf.DUMMYFUNCTION("""COMPUTED_VALUE"""),8498)</f>
        <v>8498</v>
      </c>
    </row>
    <row r="60" spans="1:5" ht="12.5" x14ac:dyDescent="0.25">
      <c r="A60" s="175">
        <f ca="1">IFERROR(__xludf.DUMMYFUNCTION("""COMPUTED_VALUE"""),43949)</f>
        <v>43949</v>
      </c>
      <c r="B60" s="56">
        <f ca="1">IFERROR(__xludf.DUMMYFUNCTION("""COMPUTED_VALUE"""),38)</f>
        <v>38</v>
      </c>
      <c r="C60" s="56">
        <f ca="1">IFERROR(__xludf.DUMMYFUNCTION("""COMPUTED_VALUE"""),1548)</f>
        <v>1548</v>
      </c>
      <c r="D60" s="56">
        <f ca="1">IFERROR(__xludf.DUMMYFUNCTION("""COMPUTED_VALUE"""),124)</f>
        <v>124</v>
      </c>
      <c r="E60" s="56">
        <f ca="1">IFERROR(__xludf.DUMMYFUNCTION("""COMPUTED_VALUE"""),8622)</f>
        <v>8622</v>
      </c>
    </row>
    <row r="61" spans="1:5" ht="12.5" x14ac:dyDescent="0.25">
      <c r="A61" s="175">
        <f ca="1">IFERROR(__xludf.DUMMYFUNCTION("""COMPUTED_VALUE"""),43950)</f>
        <v>43950</v>
      </c>
      <c r="B61" s="56">
        <f ca="1">IFERROR(__xludf.DUMMYFUNCTION("""COMPUTED_VALUE"""),25)</f>
        <v>25</v>
      </c>
      <c r="C61" s="56">
        <f ca="1">IFERROR(__xludf.DUMMYFUNCTION("""COMPUTED_VALUE"""),1573)</f>
        <v>1573</v>
      </c>
      <c r="D61" s="56">
        <f ca="1">IFERROR(__xludf.DUMMYFUNCTION("""COMPUTED_VALUE"""),110)</f>
        <v>110</v>
      </c>
      <c r="E61" s="56">
        <f ca="1">IFERROR(__xludf.DUMMYFUNCTION("""COMPUTED_VALUE"""),8732)</f>
        <v>8732</v>
      </c>
    </row>
    <row r="62" spans="1:5" ht="12.5" x14ac:dyDescent="0.25">
      <c r="A62" s="175">
        <f ca="1">IFERROR(__xludf.DUMMYFUNCTION("""COMPUTED_VALUE"""),43951)</f>
        <v>43951</v>
      </c>
      <c r="B62" s="56">
        <f ca="1">IFERROR(__xludf.DUMMYFUNCTION("""COMPUTED_VALUE"""),22)</f>
        <v>22</v>
      </c>
      <c r="C62" s="56">
        <f ca="1">IFERROR(__xludf.DUMMYFUNCTION("""COMPUTED_VALUE"""),1595)</f>
        <v>1595</v>
      </c>
      <c r="D62" s="56">
        <f ca="1">IFERROR(__xludf.DUMMYFUNCTION("""COMPUTED_VALUE"""),125)</f>
        <v>125</v>
      </c>
      <c r="E62" s="56">
        <f ca="1">IFERROR(__xludf.DUMMYFUNCTION("""COMPUTED_VALUE"""),8857)</f>
        <v>8857</v>
      </c>
    </row>
    <row r="63" spans="1:5" ht="12.5" x14ac:dyDescent="0.25">
      <c r="A63" s="175">
        <f ca="1">IFERROR(__xludf.DUMMYFUNCTION("""COMPUTED_VALUE"""),43952)</f>
        <v>43952</v>
      </c>
      <c r="B63" s="56">
        <f ca="1">IFERROR(__xludf.DUMMYFUNCTION("""COMPUTED_VALUE"""),35)</f>
        <v>35</v>
      </c>
      <c r="C63" s="56">
        <f ca="1">IFERROR(__xludf.DUMMYFUNCTION("""COMPUTED_VALUE"""),1630)</f>
        <v>1630</v>
      </c>
      <c r="D63" s="56">
        <f ca="1">IFERROR(__xludf.DUMMYFUNCTION("""COMPUTED_VALUE"""),125)</f>
        <v>125</v>
      </c>
      <c r="E63" s="56">
        <f ca="1">IFERROR(__xludf.DUMMYFUNCTION("""COMPUTED_VALUE"""),8982)</f>
        <v>8982</v>
      </c>
    </row>
    <row r="64" spans="1:5" ht="12.5" x14ac:dyDescent="0.25">
      <c r="A64" s="175">
        <f ca="1">IFERROR(__xludf.DUMMYFUNCTION("""COMPUTED_VALUE"""),43953)</f>
        <v>43953</v>
      </c>
      <c r="B64" s="56">
        <f ca="1">IFERROR(__xludf.DUMMYFUNCTION("""COMPUTED_VALUE"""),47)</f>
        <v>47</v>
      </c>
      <c r="C64" s="56">
        <f ca="1">IFERROR(__xludf.DUMMYFUNCTION("""COMPUTED_VALUE"""),1677)</f>
        <v>1677</v>
      </c>
      <c r="D64" s="56">
        <f ca="1">IFERROR(__xludf.DUMMYFUNCTION("""COMPUTED_VALUE"""),149)</f>
        <v>149</v>
      </c>
      <c r="E64" s="56">
        <f ca="1">IFERROR(__xludf.DUMMYFUNCTION("""COMPUTED_VALUE"""),9131)</f>
        <v>9131</v>
      </c>
    </row>
    <row r="65" spans="1:5" ht="12.5" x14ac:dyDescent="0.25">
      <c r="A65" s="175">
        <f ca="1">IFERROR(__xludf.DUMMYFUNCTION("""COMPUTED_VALUE"""),43954)</f>
        <v>43954</v>
      </c>
      <c r="B65" s="56">
        <f ca="1">IFERROR(__xludf.DUMMYFUNCTION("""COMPUTED_VALUE"""),26)</f>
        <v>26</v>
      </c>
      <c r="C65" s="56">
        <f ca="1">IFERROR(__xludf.DUMMYFUNCTION("""COMPUTED_VALUE"""),1703)</f>
        <v>1703</v>
      </c>
      <c r="D65" s="56">
        <f ca="1">IFERROR(__xludf.DUMMYFUNCTION("""COMPUTED_VALUE"""),129)</f>
        <v>129</v>
      </c>
      <c r="E65" s="56">
        <f ca="1">IFERROR(__xludf.DUMMYFUNCTION("""COMPUTED_VALUE"""),9260)</f>
        <v>9260</v>
      </c>
    </row>
    <row r="66" spans="1:5" ht="12.5" x14ac:dyDescent="0.25">
      <c r="A66" s="175">
        <f ca="1">IFERROR(__xludf.DUMMYFUNCTION("""COMPUTED_VALUE"""),43955)</f>
        <v>43955</v>
      </c>
      <c r="B66" s="56">
        <f ca="1">IFERROR(__xludf.DUMMYFUNCTION("""COMPUTED_VALUE"""),36)</f>
        <v>36</v>
      </c>
      <c r="C66" s="56">
        <f ca="1">IFERROR(__xludf.DUMMYFUNCTION("""COMPUTED_VALUE"""),1739)</f>
        <v>1739</v>
      </c>
      <c r="D66" s="56">
        <f ca="1">IFERROR(__xludf.DUMMYFUNCTION("""COMPUTED_VALUE"""),162)</f>
        <v>162</v>
      </c>
      <c r="E66" s="56">
        <f ca="1">IFERROR(__xludf.DUMMYFUNCTION("""COMPUTED_VALUE"""),9422)</f>
        <v>9422</v>
      </c>
    </row>
    <row r="67" spans="1:5" ht="12.5" x14ac:dyDescent="0.25">
      <c r="A67" s="175">
        <f ca="1">IFERROR(__xludf.DUMMYFUNCTION("""COMPUTED_VALUE"""),43956)</f>
        <v>43956</v>
      </c>
      <c r="B67" s="56">
        <f ca="1">IFERROR(__xludf.DUMMYFUNCTION("""COMPUTED_VALUE"""),36)</f>
        <v>36</v>
      </c>
      <c r="C67" s="56">
        <f ca="1">IFERROR(__xludf.DUMMYFUNCTION("""COMPUTED_VALUE"""),1775)</f>
        <v>1775</v>
      </c>
      <c r="D67" s="56">
        <f ca="1">IFERROR(__xludf.DUMMYFUNCTION("""COMPUTED_VALUE"""),145)</f>
        <v>145</v>
      </c>
      <c r="E67" s="56">
        <f ca="1">IFERROR(__xludf.DUMMYFUNCTION("""COMPUTED_VALUE"""),9567)</f>
        <v>9567</v>
      </c>
    </row>
    <row r="68" spans="1:5" ht="12.5" x14ac:dyDescent="0.25">
      <c r="A68" s="175">
        <f ca="1">IFERROR(__xludf.DUMMYFUNCTION("""COMPUTED_VALUE"""),43957)</f>
        <v>43957</v>
      </c>
      <c r="B68" s="56">
        <f ca="1">IFERROR(__xludf.DUMMYFUNCTION("""COMPUTED_VALUE"""),35)</f>
        <v>35</v>
      </c>
      <c r="C68" s="56">
        <f ca="1">IFERROR(__xludf.DUMMYFUNCTION("""COMPUTED_VALUE"""),1810)</f>
        <v>1810</v>
      </c>
      <c r="D68" s="56">
        <f ca="1">IFERROR(__xludf.DUMMYFUNCTION("""COMPUTED_VALUE"""),132)</f>
        <v>132</v>
      </c>
      <c r="E68" s="56">
        <f ca="1">IFERROR(__xludf.DUMMYFUNCTION("""COMPUTED_VALUE"""),9699)</f>
        <v>9699</v>
      </c>
    </row>
    <row r="69" spans="1:5" ht="12.5" x14ac:dyDescent="0.25">
      <c r="A69" s="175">
        <f ca="1">IFERROR(__xludf.DUMMYFUNCTION("""COMPUTED_VALUE"""),43958)</f>
        <v>43958</v>
      </c>
      <c r="B69" s="56">
        <f ca="1">IFERROR(__xludf.DUMMYFUNCTION("""COMPUTED_VALUE"""),28)</f>
        <v>28</v>
      </c>
      <c r="C69" s="56">
        <f ca="1">IFERROR(__xludf.DUMMYFUNCTION("""COMPUTED_VALUE"""),1838)</f>
        <v>1838</v>
      </c>
      <c r="D69" s="56">
        <f ca="1">IFERROR(__xludf.DUMMYFUNCTION("""COMPUTED_VALUE"""),139)</f>
        <v>139</v>
      </c>
      <c r="E69" s="56">
        <f ca="1">IFERROR(__xludf.DUMMYFUNCTION("""COMPUTED_VALUE"""),9838)</f>
        <v>9838</v>
      </c>
    </row>
    <row r="70" spans="1:5" ht="12.5" x14ac:dyDescent="0.25">
      <c r="A70" s="175">
        <f ca="1">IFERROR(__xludf.DUMMYFUNCTION("""COMPUTED_VALUE"""),43959)</f>
        <v>43959</v>
      </c>
      <c r="B70" s="56">
        <f ca="1">IFERROR(__xludf.DUMMYFUNCTION("""COMPUTED_VALUE"""),35)</f>
        <v>35</v>
      </c>
      <c r="C70" s="56">
        <f ca="1">IFERROR(__xludf.DUMMYFUNCTION("""COMPUTED_VALUE"""),1873)</f>
        <v>1873</v>
      </c>
      <c r="D70" s="56">
        <f ca="1">IFERROR(__xludf.DUMMYFUNCTION("""COMPUTED_VALUE"""),160)</f>
        <v>160</v>
      </c>
      <c r="E70" s="56">
        <f ca="1">IFERROR(__xludf.DUMMYFUNCTION("""COMPUTED_VALUE"""),9998)</f>
        <v>9998</v>
      </c>
    </row>
    <row r="71" spans="1:5" ht="12.5" x14ac:dyDescent="0.25">
      <c r="A71" s="175">
        <f ca="1">IFERROR(__xludf.DUMMYFUNCTION("""COMPUTED_VALUE"""),43960)</f>
        <v>43960</v>
      </c>
      <c r="B71" s="56">
        <f ca="1">IFERROR(__xludf.DUMMYFUNCTION("""COMPUTED_VALUE"""),30)</f>
        <v>30</v>
      </c>
      <c r="C71" s="56">
        <f ca="1">IFERROR(__xludf.DUMMYFUNCTION("""COMPUTED_VALUE"""),1903)</f>
        <v>1903</v>
      </c>
      <c r="D71" s="56">
        <f ca="1">IFERROR(__xludf.DUMMYFUNCTION("""COMPUTED_VALUE"""),139)</f>
        <v>139</v>
      </c>
      <c r="E71" s="56">
        <f ca="1">IFERROR(__xludf.DUMMYFUNCTION("""COMPUTED_VALUE"""),10137)</f>
        <v>10137</v>
      </c>
    </row>
    <row r="72" spans="1:5" ht="12.5" x14ac:dyDescent="0.25">
      <c r="A72" s="175">
        <f ca="1">IFERROR(__xludf.DUMMYFUNCTION("""COMPUTED_VALUE"""),43961)</f>
        <v>43961</v>
      </c>
      <c r="B72" s="56">
        <f ca="1">IFERROR(__xludf.DUMMYFUNCTION("""COMPUTED_VALUE"""),35)</f>
        <v>35</v>
      </c>
      <c r="C72" s="56">
        <f ca="1">IFERROR(__xludf.DUMMYFUNCTION("""COMPUTED_VALUE"""),1938)</f>
        <v>1938</v>
      </c>
      <c r="D72" s="56">
        <f ca="1">IFERROR(__xludf.DUMMYFUNCTION("""COMPUTED_VALUE"""),152)</f>
        <v>152</v>
      </c>
      <c r="E72" s="56">
        <f ca="1">IFERROR(__xludf.DUMMYFUNCTION("""COMPUTED_VALUE"""),10289)</f>
        <v>10289</v>
      </c>
    </row>
    <row r="73" spans="1:5" ht="12.5" x14ac:dyDescent="0.25">
      <c r="A73" s="175">
        <f ca="1">IFERROR(__xludf.DUMMYFUNCTION("""COMPUTED_VALUE"""),43962)</f>
        <v>43962</v>
      </c>
      <c r="B73" s="56">
        <f ca="1">IFERROR(__xludf.DUMMYFUNCTION("""COMPUTED_VALUE"""),27)</f>
        <v>27</v>
      </c>
      <c r="C73" s="56">
        <f ca="1">IFERROR(__xludf.DUMMYFUNCTION("""COMPUTED_VALUE"""),1965)</f>
        <v>1965</v>
      </c>
      <c r="D73" s="56">
        <f ca="1">IFERROR(__xludf.DUMMYFUNCTION("""COMPUTED_VALUE"""),112)</f>
        <v>112</v>
      </c>
      <c r="E73" s="56">
        <f ca="1">IFERROR(__xludf.DUMMYFUNCTION("""COMPUTED_VALUE"""),10401)</f>
        <v>10401</v>
      </c>
    </row>
    <row r="74" spans="1:5" ht="12.5" x14ac:dyDescent="0.25">
      <c r="A74" s="175">
        <f ca="1">IFERROR(__xludf.DUMMYFUNCTION("""COMPUTED_VALUE"""),43963)</f>
        <v>43963</v>
      </c>
      <c r="B74" s="56">
        <f ca="1">IFERROR(__xludf.DUMMYFUNCTION("""COMPUTED_VALUE"""),32)</f>
        <v>32</v>
      </c>
      <c r="C74" s="56">
        <f ca="1">IFERROR(__xludf.DUMMYFUNCTION("""COMPUTED_VALUE"""),1997)</f>
        <v>1997</v>
      </c>
      <c r="D74" s="56">
        <f ca="1">IFERROR(__xludf.DUMMYFUNCTION("""COMPUTED_VALUE"""),139)</f>
        <v>139</v>
      </c>
      <c r="E74" s="56">
        <f ca="1">IFERROR(__xludf.DUMMYFUNCTION("""COMPUTED_VALUE"""),10540)</f>
        <v>10540</v>
      </c>
    </row>
    <row r="75" spans="1:5" ht="12.5" x14ac:dyDescent="0.25">
      <c r="A75" s="175">
        <f ca="1">IFERROR(__xludf.DUMMYFUNCTION("""COMPUTED_VALUE"""),43964)</f>
        <v>43964</v>
      </c>
      <c r="B75" s="56">
        <f ca="1">IFERROR(__xludf.DUMMYFUNCTION("""COMPUTED_VALUE"""),38)</f>
        <v>38</v>
      </c>
      <c r="C75" s="56">
        <f ca="1">IFERROR(__xludf.DUMMYFUNCTION("""COMPUTED_VALUE"""),2035)</f>
        <v>2035</v>
      </c>
      <c r="D75" s="56">
        <f ca="1">IFERROR(__xludf.DUMMYFUNCTION("""COMPUTED_VALUE"""),165)</f>
        <v>165</v>
      </c>
      <c r="E75" s="56">
        <f ca="1">IFERROR(__xludf.DUMMYFUNCTION("""COMPUTED_VALUE"""),10705)</f>
        <v>10705</v>
      </c>
    </row>
    <row r="76" spans="1:5" ht="12.5" x14ac:dyDescent="0.25">
      <c r="A76" s="175">
        <f ca="1">IFERROR(__xludf.DUMMYFUNCTION("""COMPUTED_VALUE"""),43965)</f>
        <v>43965</v>
      </c>
      <c r="B76" s="56">
        <f ca="1">IFERROR(__xludf.DUMMYFUNCTION("""COMPUTED_VALUE"""),32)</f>
        <v>32</v>
      </c>
      <c r="C76" s="56">
        <f ca="1">IFERROR(__xludf.DUMMYFUNCTION("""COMPUTED_VALUE"""),2067)</f>
        <v>2067</v>
      </c>
      <c r="D76" s="56">
        <f ca="1">IFERROR(__xludf.DUMMYFUNCTION("""COMPUTED_VALUE"""),147)</f>
        <v>147</v>
      </c>
      <c r="E76" s="56">
        <f ca="1">IFERROR(__xludf.DUMMYFUNCTION("""COMPUTED_VALUE"""),10852)</f>
        <v>10852</v>
      </c>
    </row>
    <row r="77" spans="1:5" ht="12.5" x14ac:dyDescent="0.25">
      <c r="A77" s="175">
        <f ca="1">IFERROR(__xludf.DUMMYFUNCTION("""COMPUTED_VALUE"""),43966)</f>
        <v>43966</v>
      </c>
      <c r="B77" s="56">
        <f ca="1">IFERROR(__xludf.DUMMYFUNCTION("""COMPUTED_VALUE"""),28)</f>
        <v>28</v>
      </c>
      <c r="C77" s="56">
        <f ca="1">IFERROR(__xludf.DUMMYFUNCTION("""COMPUTED_VALUE"""),2095)</f>
        <v>2095</v>
      </c>
      <c r="D77" s="56">
        <f ca="1">IFERROR(__xludf.DUMMYFUNCTION("""COMPUTED_VALUE"""),154)</f>
        <v>154</v>
      </c>
      <c r="E77" s="56">
        <f ca="1">IFERROR(__xludf.DUMMYFUNCTION("""COMPUTED_VALUE"""),11006)</f>
        <v>11006</v>
      </c>
    </row>
    <row r="78" spans="1:5" ht="12.5" x14ac:dyDescent="0.25">
      <c r="A78" s="175">
        <f ca="1">IFERROR(__xludf.DUMMYFUNCTION("""COMPUTED_VALUE"""),43967)</f>
        <v>43967</v>
      </c>
      <c r="B78" s="56">
        <f ca="1">IFERROR(__xludf.DUMMYFUNCTION("""COMPUTED_VALUE"""),37)</f>
        <v>37</v>
      </c>
      <c r="C78" s="56">
        <f ca="1">IFERROR(__xludf.DUMMYFUNCTION("""COMPUTED_VALUE"""),2132)</f>
        <v>2132</v>
      </c>
      <c r="D78" s="56">
        <f ca="1">IFERROR(__xludf.DUMMYFUNCTION("""COMPUTED_VALUE"""),164)</f>
        <v>164</v>
      </c>
      <c r="E78" s="56">
        <f ca="1">IFERROR(__xludf.DUMMYFUNCTION("""COMPUTED_VALUE"""),11170)</f>
        <v>11170</v>
      </c>
    </row>
    <row r="79" spans="1:5" ht="12.5" x14ac:dyDescent="0.25">
      <c r="A79" s="175">
        <f ca="1">IFERROR(__xludf.DUMMYFUNCTION("""COMPUTED_VALUE"""),43968)</f>
        <v>43968</v>
      </c>
      <c r="B79" s="56">
        <f ca="1">IFERROR(__xludf.DUMMYFUNCTION("""COMPUTED_VALUE"""),34)</f>
        <v>34</v>
      </c>
      <c r="C79" s="56">
        <f ca="1">IFERROR(__xludf.DUMMYFUNCTION("""COMPUTED_VALUE"""),2166)</f>
        <v>2166</v>
      </c>
      <c r="D79" s="56">
        <f ca="1">IFERROR(__xludf.DUMMYFUNCTION("""COMPUTED_VALUE"""),171)</f>
        <v>171</v>
      </c>
      <c r="E79" s="56">
        <f ca="1">IFERROR(__xludf.DUMMYFUNCTION("""COMPUTED_VALUE"""),11341)</f>
        <v>11341</v>
      </c>
    </row>
    <row r="80" spans="1:5" ht="12.5" x14ac:dyDescent="0.25">
      <c r="A80" s="175">
        <f ca="1">IFERROR(__xludf.DUMMYFUNCTION("""COMPUTED_VALUE"""),43969)</f>
        <v>43969</v>
      </c>
      <c r="B80" s="56">
        <f ca="1">IFERROR(__xludf.DUMMYFUNCTION("""COMPUTED_VALUE"""),30)</f>
        <v>30</v>
      </c>
      <c r="C80" s="56">
        <f ca="1">IFERROR(__xludf.DUMMYFUNCTION("""COMPUTED_VALUE"""),2196)</f>
        <v>2196</v>
      </c>
      <c r="D80" s="56">
        <f ca="1">IFERROR(__xludf.DUMMYFUNCTION("""COMPUTED_VALUE"""),128)</f>
        <v>128</v>
      </c>
      <c r="E80" s="56">
        <f ca="1">IFERROR(__xludf.DUMMYFUNCTION("""COMPUTED_VALUE"""),11469)</f>
        <v>11469</v>
      </c>
    </row>
    <row r="81" spans="1:5" ht="12.5" x14ac:dyDescent="0.25">
      <c r="A81" s="175">
        <f ca="1">IFERROR(__xludf.DUMMYFUNCTION("""COMPUTED_VALUE"""),43970)</f>
        <v>43970</v>
      </c>
      <c r="B81" s="56">
        <f ca="1">IFERROR(__xludf.DUMMYFUNCTION("""COMPUTED_VALUE"""),30)</f>
        <v>30</v>
      </c>
      <c r="C81" s="56">
        <f ca="1">IFERROR(__xludf.DUMMYFUNCTION("""COMPUTED_VALUE"""),2226)</f>
        <v>2226</v>
      </c>
      <c r="D81" s="56">
        <f ca="1">IFERROR(__xludf.DUMMYFUNCTION("""COMPUTED_VALUE"""),144)</f>
        <v>144</v>
      </c>
      <c r="E81" s="56">
        <f ca="1">IFERROR(__xludf.DUMMYFUNCTION("""COMPUTED_VALUE"""),11613)</f>
        <v>11613</v>
      </c>
    </row>
    <row r="82" spans="1:5" ht="12.5" x14ac:dyDescent="0.25">
      <c r="A82" s="175">
        <f ca="1">IFERROR(__xludf.DUMMYFUNCTION("""COMPUTED_VALUE"""),43971)</f>
        <v>43971</v>
      </c>
      <c r="B82" s="56">
        <f ca="1">IFERROR(__xludf.DUMMYFUNCTION("""COMPUTED_VALUE"""),24)</f>
        <v>24</v>
      </c>
      <c r="C82" s="56">
        <f ca="1">IFERROR(__xludf.DUMMYFUNCTION("""COMPUTED_VALUE"""),2250)</f>
        <v>2250</v>
      </c>
      <c r="D82" s="56">
        <f ca="1">IFERROR(__xludf.DUMMYFUNCTION("""COMPUTED_VALUE"""),138)</f>
        <v>138</v>
      </c>
      <c r="E82" s="56">
        <f ca="1">IFERROR(__xludf.DUMMYFUNCTION("""COMPUTED_VALUE"""),11751)</f>
        <v>11751</v>
      </c>
    </row>
    <row r="83" spans="1:5" ht="12.5" x14ac:dyDescent="0.25">
      <c r="A83" s="175">
        <f ca="1">IFERROR(__xludf.DUMMYFUNCTION("""COMPUTED_VALUE"""),43972)</f>
        <v>43972</v>
      </c>
      <c r="B83" s="56">
        <f ca="1">IFERROR(__xludf.DUMMYFUNCTION("""COMPUTED_VALUE"""),20)</f>
        <v>20</v>
      </c>
      <c r="C83" s="56">
        <f ca="1">IFERROR(__xludf.DUMMYFUNCTION("""COMPUTED_VALUE"""),2270)</f>
        <v>2270</v>
      </c>
      <c r="D83" s="56">
        <f ca="1">IFERROR(__xludf.DUMMYFUNCTION("""COMPUTED_VALUE"""),139)</f>
        <v>139</v>
      </c>
      <c r="E83" s="56">
        <f ca="1">IFERROR(__xludf.DUMMYFUNCTION("""COMPUTED_VALUE"""),11890)</f>
        <v>11890</v>
      </c>
    </row>
    <row r="84" spans="1:5" ht="12.5" x14ac:dyDescent="0.25">
      <c r="A84" s="175">
        <f ca="1">IFERROR(__xludf.DUMMYFUNCTION("""COMPUTED_VALUE"""),43973)</f>
        <v>43973</v>
      </c>
      <c r="B84" s="56">
        <f ca="1">IFERROR(__xludf.DUMMYFUNCTION("""COMPUTED_VALUE"""),18)</f>
        <v>18</v>
      </c>
      <c r="C84" s="56">
        <f ca="1">IFERROR(__xludf.DUMMYFUNCTION("""COMPUTED_VALUE"""),2288)</f>
        <v>2288</v>
      </c>
      <c r="D84" s="56">
        <f ca="1">IFERROR(__xludf.DUMMYFUNCTION("""COMPUTED_VALUE"""),119)</f>
        <v>119</v>
      </c>
      <c r="E84" s="56">
        <f ca="1">IFERROR(__xludf.DUMMYFUNCTION("""COMPUTED_VALUE"""),12009)</f>
        <v>12009</v>
      </c>
    </row>
    <row r="85" spans="1:5" ht="12.5" x14ac:dyDescent="0.25">
      <c r="A85" s="175">
        <f ca="1">IFERROR(__xludf.DUMMYFUNCTION("""COMPUTED_VALUE"""),43974)</f>
        <v>43974</v>
      </c>
      <c r="B85" s="56">
        <f ca="1">IFERROR(__xludf.DUMMYFUNCTION("""COMPUTED_VALUE"""),21)</f>
        <v>21</v>
      </c>
      <c r="C85" s="56">
        <f ca="1">IFERROR(__xludf.DUMMYFUNCTION("""COMPUTED_VALUE"""),2309)</f>
        <v>2309</v>
      </c>
      <c r="D85" s="56">
        <f ca="1">IFERROR(__xludf.DUMMYFUNCTION("""COMPUTED_VALUE"""),132)</f>
        <v>132</v>
      </c>
      <c r="E85" s="56">
        <f ca="1">IFERROR(__xludf.DUMMYFUNCTION("""COMPUTED_VALUE"""),12141)</f>
        <v>12141</v>
      </c>
    </row>
    <row r="86" spans="1:5" ht="12.5" x14ac:dyDescent="0.25">
      <c r="A86" s="175">
        <f ca="1">IFERROR(__xludf.DUMMYFUNCTION("""COMPUTED_VALUE"""),43975)</f>
        <v>43975</v>
      </c>
      <c r="B86" s="56">
        <f ca="1">IFERROR(__xludf.DUMMYFUNCTION("""COMPUTED_VALUE"""),20)</f>
        <v>20</v>
      </c>
      <c r="C86" s="56">
        <f ca="1">IFERROR(__xludf.DUMMYFUNCTION("""COMPUTED_VALUE"""),2329)</f>
        <v>2329</v>
      </c>
      <c r="D86" s="56">
        <f ca="1">IFERROR(__xludf.DUMMYFUNCTION("""COMPUTED_VALUE"""),126)</f>
        <v>126</v>
      </c>
      <c r="E86" s="56">
        <f ca="1">IFERROR(__xludf.DUMMYFUNCTION("""COMPUTED_VALUE"""),12267)</f>
        <v>12267</v>
      </c>
    </row>
    <row r="87" spans="1:5" ht="12.5" x14ac:dyDescent="0.25">
      <c r="A87" s="175">
        <f ca="1">IFERROR(__xludf.DUMMYFUNCTION("""COMPUTED_VALUE"""),43976)</f>
        <v>43976</v>
      </c>
      <c r="B87" s="56">
        <f ca="1">IFERROR(__xludf.DUMMYFUNCTION("""COMPUTED_VALUE"""),20)</f>
        <v>20</v>
      </c>
      <c r="C87" s="56">
        <f ca="1">IFERROR(__xludf.DUMMYFUNCTION("""COMPUTED_VALUE"""),2349)</f>
        <v>2349</v>
      </c>
      <c r="D87" s="56">
        <f ca="1">IFERROR(__xludf.DUMMYFUNCTION("""COMPUTED_VALUE"""),165)</f>
        <v>165</v>
      </c>
      <c r="E87" s="56">
        <f ca="1">IFERROR(__xludf.DUMMYFUNCTION("""COMPUTED_VALUE"""),12432)</f>
        <v>12432</v>
      </c>
    </row>
    <row r="88" spans="1:5" ht="12.5" x14ac:dyDescent="0.25">
      <c r="A88" s="175">
        <f ca="1">IFERROR(__xludf.DUMMYFUNCTION("""COMPUTED_VALUE"""),43977)</f>
        <v>43977</v>
      </c>
      <c r="B88" s="56">
        <f ca="1">IFERROR(__xludf.DUMMYFUNCTION("""COMPUTED_VALUE"""),38)</f>
        <v>38</v>
      </c>
      <c r="C88" s="56">
        <f ca="1">IFERROR(__xludf.DUMMYFUNCTION("""COMPUTED_VALUE"""),2387)</f>
        <v>2387</v>
      </c>
      <c r="D88" s="56">
        <f ca="1">IFERROR(__xludf.DUMMYFUNCTION("""COMPUTED_VALUE"""),166)</f>
        <v>166</v>
      </c>
      <c r="E88" s="56">
        <f ca="1">IFERROR(__xludf.DUMMYFUNCTION("""COMPUTED_VALUE"""),12598)</f>
        <v>12598</v>
      </c>
    </row>
    <row r="89" spans="1:5" ht="12.5" x14ac:dyDescent="0.25">
      <c r="A89" s="175">
        <f ca="1">IFERROR(__xludf.DUMMYFUNCTION("""COMPUTED_VALUE"""),43978)</f>
        <v>43978</v>
      </c>
      <c r="B89" s="56">
        <f ca="1">IFERROR(__xludf.DUMMYFUNCTION("""COMPUTED_VALUE"""),24)</f>
        <v>24</v>
      </c>
      <c r="C89" s="56">
        <f ca="1">IFERROR(__xludf.DUMMYFUNCTION("""COMPUTED_VALUE"""),2411)</f>
        <v>2411</v>
      </c>
      <c r="D89" s="56">
        <f ca="1">IFERROR(__xludf.DUMMYFUNCTION("""COMPUTED_VALUE"""),154)</f>
        <v>154</v>
      </c>
      <c r="E89" s="56">
        <f ca="1">IFERROR(__xludf.DUMMYFUNCTION("""COMPUTED_VALUE"""),12752)</f>
        <v>12752</v>
      </c>
    </row>
    <row r="90" spans="1:5" ht="12.5" x14ac:dyDescent="0.25">
      <c r="A90" s="175">
        <f ca="1">IFERROR(__xludf.DUMMYFUNCTION("""COMPUTED_VALUE"""),43979)</f>
        <v>43979</v>
      </c>
      <c r="B90" s="56">
        <f ca="1">IFERROR(__xludf.DUMMYFUNCTION("""COMPUTED_VALUE"""),22)</f>
        <v>22</v>
      </c>
      <c r="C90" s="56">
        <f ca="1">IFERROR(__xludf.DUMMYFUNCTION("""COMPUTED_VALUE"""),2433)</f>
        <v>2433</v>
      </c>
      <c r="D90" s="56">
        <f ca="1">IFERROR(__xludf.DUMMYFUNCTION("""COMPUTED_VALUE"""),147)</f>
        <v>147</v>
      </c>
      <c r="E90" s="56">
        <f ca="1">IFERROR(__xludf.DUMMYFUNCTION("""COMPUTED_VALUE"""),12899)</f>
        <v>12899</v>
      </c>
    </row>
    <row r="91" spans="1:5" ht="12.5" x14ac:dyDescent="0.25">
      <c r="A91" s="175">
        <f ca="1">IFERROR(__xludf.DUMMYFUNCTION("""COMPUTED_VALUE"""),43980)</f>
        <v>43980</v>
      </c>
      <c r="B91" s="56">
        <f ca="1">IFERROR(__xludf.DUMMYFUNCTION("""COMPUTED_VALUE"""),20)</f>
        <v>20</v>
      </c>
      <c r="C91" s="56">
        <f ca="1">IFERROR(__xludf.DUMMYFUNCTION("""COMPUTED_VALUE"""),2453)</f>
        <v>2453</v>
      </c>
      <c r="D91" s="56">
        <f ca="1">IFERROR(__xludf.DUMMYFUNCTION("""COMPUTED_VALUE"""),155)</f>
        <v>155</v>
      </c>
      <c r="E91" s="56">
        <f ca="1">IFERROR(__xludf.DUMMYFUNCTION("""COMPUTED_VALUE"""),13054)</f>
        <v>13054</v>
      </c>
    </row>
    <row r="92" spans="1:5" ht="12.5" x14ac:dyDescent="0.25">
      <c r="A92" s="175">
        <f ca="1">IFERROR(__xludf.DUMMYFUNCTION("""COMPUTED_VALUE"""),43981)</f>
        <v>43981</v>
      </c>
      <c r="B92" s="56">
        <f ca="1">IFERROR(__xludf.DUMMYFUNCTION("""COMPUTED_VALUE"""),20)</f>
        <v>20</v>
      </c>
      <c r="C92" s="56">
        <f ca="1">IFERROR(__xludf.DUMMYFUNCTION("""COMPUTED_VALUE"""),2473)</f>
        <v>2473</v>
      </c>
      <c r="D92" s="56">
        <f ca="1">IFERROR(__xludf.DUMMYFUNCTION("""COMPUTED_VALUE"""),132)</f>
        <v>132</v>
      </c>
      <c r="E92" s="56">
        <f ca="1">IFERROR(__xludf.DUMMYFUNCTION("""COMPUTED_VALUE"""),13186)</f>
        <v>13186</v>
      </c>
    </row>
    <row r="93" spans="1:5" ht="12.5" x14ac:dyDescent="0.25">
      <c r="A93" s="175">
        <f ca="1">IFERROR(__xludf.DUMMYFUNCTION("""COMPUTED_VALUE"""),43982)</f>
        <v>43982</v>
      </c>
      <c r="B93" s="56">
        <f ca="1">IFERROR(__xludf.DUMMYFUNCTION("""COMPUTED_VALUE"""),14)</f>
        <v>14</v>
      </c>
      <c r="C93" s="56">
        <f ca="1">IFERROR(__xludf.DUMMYFUNCTION("""COMPUTED_VALUE"""),2487)</f>
        <v>2487</v>
      </c>
      <c r="D93" s="56">
        <f ca="1">IFERROR(__xludf.DUMMYFUNCTION("""COMPUTED_VALUE"""),126)</f>
        <v>126</v>
      </c>
      <c r="E93" s="56">
        <f ca="1">IFERROR(__xludf.DUMMYFUNCTION("""COMPUTED_VALUE"""),13312)</f>
        <v>13312</v>
      </c>
    </row>
    <row r="94" spans="1:5" ht="12.5" x14ac:dyDescent="0.25">
      <c r="A94" s="175">
        <f ca="1">IFERROR(__xludf.DUMMYFUNCTION("""COMPUTED_VALUE"""),43983)</f>
        <v>43983</v>
      </c>
      <c r="B94" s="56">
        <f ca="1">IFERROR(__xludf.DUMMYFUNCTION("""COMPUTED_VALUE"""),17)</f>
        <v>17</v>
      </c>
      <c r="C94" s="56">
        <f ca="1">IFERROR(__xludf.DUMMYFUNCTION("""COMPUTED_VALUE"""),2504)</f>
        <v>2504</v>
      </c>
      <c r="D94" s="56">
        <f ca="1">IFERROR(__xludf.DUMMYFUNCTION("""COMPUTED_VALUE"""),126)</f>
        <v>126</v>
      </c>
      <c r="E94" s="56">
        <f ca="1">IFERROR(__xludf.DUMMYFUNCTION("""COMPUTED_VALUE"""),13438)</f>
        <v>13438</v>
      </c>
    </row>
    <row r="95" spans="1:5" ht="12.5" x14ac:dyDescent="0.25">
      <c r="A95" s="175">
        <f ca="1">IFERROR(__xludf.DUMMYFUNCTION("""COMPUTED_VALUE"""),43984)</f>
        <v>43984</v>
      </c>
      <c r="B95" s="56">
        <f ca="1">IFERROR(__xludf.DUMMYFUNCTION("""COMPUTED_VALUE"""),19)</f>
        <v>19</v>
      </c>
      <c r="C95" s="56">
        <f ca="1">IFERROR(__xludf.DUMMYFUNCTION("""COMPUTED_VALUE"""),2523)</f>
        <v>2523</v>
      </c>
      <c r="D95" s="56">
        <f ca="1">IFERROR(__xludf.DUMMYFUNCTION("""COMPUTED_VALUE"""),138)</f>
        <v>138</v>
      </c>
      <c r="E95" s="56">
        <f ca="1">IFERROR(__xludf.DUMMYFUNCTION("""COMPUTED_VALUE"""),13576)</f>
        <v>13576</v>
      </c>
    </row>
    <row r="96" spans="1:5" ht="12.5" x14ac:dyDescent="0.25">
      <c r="A96" s="175">
        <f ca="1">IFERROR(__xludf.DUMMYFUNCTION("""COMPUTED_VALUE"""),43985)</f>
        <v>43985</v>
      </c>
      <c r="B96" s="56">
        <f ca="1">IFERROR(__xludf.DUMMYFUNCTION("""COMPUTED_VALUE"""),23)</f>
        <v>23</v>
      </c>
      <c r="C96" s="56">
        <f ca="1">IFERROR(__xludf.DUMMYFUNCTION("""COMPUTED_VALUE"""),2546)</f>
        <v>2546</v>
      </c>
      <c r="D96" s="56">
        <f ca="1">IFERROR(__xludf.DUMMYFUNCTION("""COMPUTED_VALUE"""),145)</f>
        <v>145</v>
      </c>
      <c r="E96" s="56">
        <f ca="1">IFERROR(__xludf.DUMMYFUNCTION("""COMPUTED_VALUE"""),13721)</f>
        <v>13721</v>
      </c>
    </row>
    <row r="97" spans="1:5" ht="12.5" x14ac:dyDescent="0.25">
      <c r="A97" s="175">
        <f ca="1">IFERROR(__xludf.DUMMYFUNCTION("""COMPUTED_VALUE"""),43986)</f>
        <v>43986</v>
      </c>
      <c r="B97" s="56">
        <f ca="1">IFERROR(__xludf.DUMMYFUNCTION("""COMPUTED_VALUE"""),24)</f>
        <v>24</v>
      </c>
      <c r="C97" s="56">
        <f ca="1">IFERROR(__xludf.DUMMYFUNCTION("""COMPUTED_VALUE"""),2570)</f>
        <v>2570</v>
      </c>
      <c r="D97" s="56">
        <f ca="1">IFERROR(__xludf.DUMMYFUNCTION("""COMPUTED_VALUE"""),138)</f>
        <v>138</v>
      </c>
      <c r="E97" s="56">
        <f ca="1">IFERROR(__xludf.DUMMYFUNCTION("""COMPUTED_VALUE"""),13859)</f>
        <v>13859</v>
      </c>
    </row>
    <row r="98" spans="1:5" ht="12.5" x14ac:dyDescent="0.25">
      <c r="A98" s="175">
        <f ca="1">IFERROR(__xludf.DUMMYFUNCTION("""COMPUTED_VALUE"""),43987)</f>
        <v>43987</v>
      </c>
      <c r="B98" s="56">
        <f ca="1">IFERROR(__xludf.DUMMYFUNCTION("""COMPUTED_VALUE"""),18)</f>
        <v>18</v>
      </c>
      <c r="C98" s="56">
        <f ca="1">IFERROR(__xludf.DUMMYFUNCTION("""COMPUTED_VALUE"""),2588)</f>
        <v>2588</v>
      </c>
      <c r="D98" s="56">
        <f ca="1">IFERROR(__xludf.DUMMYFUNCTION("""COMPUTED_VALUE"""),125)</f>
        <v>125</v>
      </c>
      <c r="E98" s="56">
        <f ca="1">IFERROR(__xludf.DUMMYFUNCTION("""COMPUTED_VALUE"""),13984)</f>
        <v>13984</v>
      </c>
    </row>
    <row r="99" spans="1:5" ht="12.5" x14ac:dyDescent="0.25">
      <c r="A99" s="175">
        <f ca="1">IFERROR(__xludf.DUMMYFUNCTION("""COMPUTED_VALUE"""),43988)</f>
        <v>43988</v>
      </c>
      <c r="B99" s="56">
        <f ca="1">IFERROR(__xludf.DUMMYFUNCTION("""COMPUTED_VALUE"""),21)</f>
        <v>21</v>
      </c>
      <c r="C99" s="56">
        <f ca="1">IFERROR(__xludf.DUMMYFUNCTION("""COMPUTED_VALUE"""),2609)</f>
        <v>2609</v>
      </c>
      <c r="D99" s="56">
        <f ca="1">IFERROR(__xludf.DUMMYFUNCTION("""COMPUTED_VALUE"""),149)</f>
        <v>149</v>
      </c>
      <c r="E99" s="56">
        <f ca="1">IFERROR(__xludf.DUMMYFUNCTION("""COMPUTED_VALUE"""),14133)</f>
        <v>14133</v>
      </c>
    </row>
    <row r="100" spans="1:5" ht="12.5" x14ac:dyDescent="0.25">
      <c r="A100" s="175">
        <f ca="1">IFERROR(__xludf.DUMMYFUNCTION("""COMPUTED_VALUE"""),43989)</f>
        <v>43989</v>
      </c>
      <c r="B100" s="56">
        <f ca="1">IFERROR(__xludf.DUMMYFUNCTION("""COMPUTED_VALUE"""),19)</f>
        <v>19</v>
      </c>
      <c r="C100" s="56">
        <f ca="1">IFERROR(__xludf.DUMMYFUNCTION("""COMPUTED_VALUE"""),2628)</f>
        <v>2628</v>
      </c>
      <c r="D100" s="56">
        <f ca="1">IFERROR(__xludf.DUMMYFUNCTION("""COMPUTED_VALUE"""),127)</f>
        <v>127</v>
      </c>
      <c r="E100" s="56">
        <f ca="1">IFERROR(__xludf.DUMMYFUNCTION("""COMPUTED_VALUE"""),14260)</f>
        <v>14260</v>
      </c>
    </row>
    <row r="101" spans="1:5" ht="12.5" x14ac:dyDescent="0.25">
      <c r="A101" s="175">
        <f ca="1">IFERROR(__xludf.DUMMYFUNCTION("""COMPUTED_VALUE"""),43990)</f>
        <v>43990</v>
      </c>
      <c r="B101" s="56">
        <f ca="1">IFERROR(__xludf.DUMMYFUNCTION("""COMPUTED_VALUE"""),21)</f>
        <v>21</v>
      </c>
      <c r="C101" s="56">
        <f ca="1">IFERROR(__xludf.DUMMYFUNCTION("""COMPUTED_VALUE"""),2649)</f>
        <v>2649</v>
      </c>
      <c r="D101" s="56">
        <f ca="1">IFERROR(__xludf.DUMMYFUNCTION("""COMPUTED_VALUE"""),131)</f>
        <v>131</v>
      </c>
      <c r="E101" s="56">
        <f ca="1">IFERROR(__xludf.DUMMYFUNCTION("""COMPUTED_VALUE"""),14391)</f>
        <v>14391</v>
      </c>
    </row>
    <row r="102" spans="1:5" ht="12.5" x14ac:dyDescent="0.25">
      <c r="A102" s="175">
        <f ca="1">IFERROR(__xludf.DUMMYFUNCTION("""COMPUTED_VALUE"""),43991)</f>
        <v>43991</v>
      </c>
      <c r="B102" s="56">
        <f ca="1">IFERROR(__xludf.DUMMYFUNCTION("""COMPUTED_VALUE"""),22)</f>
        <v>22</v>
      </c>
      <c r="C102" s="56">
        <f ca="1">IFERROR(__xludf.DUMMYFUNCTION("""COMPUTED_VALUE"""),2671)</f>
        <v>2671</v>
      </c>
      <c r="D102" s="56">
        <f ca="1">IFERROR(__xludf.DUMMYFUNCTION("""COMPUTED_VALUE"""),127)</f>
        <v>127</v>
      </c>
      <c r="E102" s="56">
        <f ca="1">IFERROR(__xludf.DUMMYFUNCTION("""COMPUTED_VALUE"""),14518)</f>
        <v>14518</v>
      </c>
    </row>
    <row r="103" spans="1:5" ht="12.5" x14ac:dyDescent="0.25">
      <c r="A103" s="175">
        <f ca="1">IFERROR(__xludf.DUMMYFUNCTION("""COMPUTED_VALUE"""),43992)</f>
        <v>43992</v>
      </c>
      <c r="B103" s="56">
        <f ca="1">IFERROR(__xludf.DUMMYFUNCTION("""COMPUTED_VALUE"""),15)</f>
        <v>15</v>
      </c>
      <c r="C103" s="56">
        <f ca="1">IFERROR(__xludf.DUMMYFUNCTION("""COMPUTED_VALUE"""),2686)</f>
        <v>2686</v>
      </c>
      <c r="D103" s="56">
        <f ca="1">IFERROR(__xludf.DUMMYFUNCTION("""COMPUTED_VALUE"""),132)</f>
        <v>132</v>
      </c>
      <c r="E103" s="56">
        <f ca="1">IFERROR(__xludf.DUMMYFUNCTION("""COMPUTED_VALUE"""),14650)</f>
        <v>14650</v>
      </c>
    </row>
    <row r="104" spans="1:5" ht="12.5" x14ac:dyDescent="0.25">
      <c r="A104" s="175">
        <f ca="1">IFERROR(__xludf.DUMMYFUNCTION("""COMPUTED_VALUE"""),43993)</f>
        <v>43993</v>
      </c>
      <c r="B104" s="56">
        <f ca="1">IFERROR(__xludf.DUMMYFUNCTION("""COMPUTED_VALUE"""),15)</f>
        <v>15</v>
      </c>
      <c r="C104" s="56">
        <f ca="1">IFERROR(__xludf.DUMMYFUNCTION("""COMPUTED_VALUE"""),2701)</f>
        <v>2701</v>
      </c>
      <c r="D104" s="56">
        <f ca="1">IFERROR(__xludf.DUMMYFUNCTION("""COMPUTED_VALUE"""),116)</f>
        <v>116</v>
      </c>
      <c r="E104" s="56">
        <f ca="1">IFERROR(__xludf.DUMMYFUNCTION("""COMPUTED_VALUE"""),14766)</f>
        <v>14766</v>
      </c>
    </row>
    <row r="105" spans="1:5" ht="12.5" x14ac:dyDescent="0.25">
      <c r="A105" s="175">
        <f ca="1">IFERROR(__xludf.DUMMYFUNCTION("""COMPUTED_VALUE"""),43994)</f>
        <v>43994</v>
      </c>
      <c r="B105" s="56">
        <f ca="1">IFERROR(__xludf.DUMMYFUNCTION("""COMPUTED_VALUE"""),21)</f>
        <v>21</v>
      </c>
      <c r="C105" s="56">
        <f ca="1">IFERROR(__xludf.DUMMYFUNCTION("""COMPUTED_VALUE"""),2722)</f>
        <v>2722</v>
      </c>
      <c r="D105" s="56">
        <f ca="1">IFERROR(__xludf.DUMMYFUNCTION("""COMPUTED_VALUE"""),133)</f>
        <v>133</v>
      </c>
      <c r="E105" s="56">
        <f ca="1">IFERROR(__xludf.DUMMYFUNCTION("""COMPUTED_VALUE"""),14899)</f>
        <v>14899</v>
      </c>
    </row>
    <row r="106" spans="1:5" ht="12.5" x14ac:dyDescent="0.25">
      <c r="A106" s="175">
        <f ca="1">IFERROR(__xludf.DUMMYFUNCTION("""COMPUTED_VALUE"""),43995)</f>
        <v>43995</v>
      </c>
      <c r="B106" s="56">
        <f ca="1">IFERROR(__xludf.DUMMYFUNCTION("""COMPUTED_VALUE"""),17)</f>
        <v>17</v>
      </c>
      <c r="C106" s="56">
        <f ca="1">IFERROR(__xludf.DUMMYFUNCTION("""COMPUTED_VALUE"""),2739)</f>
        <v>2739</v>
      </c>
      <c r="D106" s="56">
        <f ca="1">IFERROR(__xludf.DUMMYFUNCTION("""COMPUTED_VALUE"""),126)</f>
        <v>126</v>
      </c>
      <c r="E106" s="56">
        <f ca="1">IFERROR(__xludf.DUMMYFUNCTION("""COMPUTED_VALUE"""),15025)</f>
        <v>15025</v>
      </c>
    </row>
    <row r="107" spans="1:5" ht="12.5" x14ac:dyDescent="0.25">
      <c r="A107" s="175">
        <f ca="1">IFERROR(__xludf.DUMMYFUNCTION("""COMPUTED_VALUE"""),43996)</f>
        <v>43996</v>
      </c>
      <c r="B107" s="56">
        <f ca="1">IFERROR(__xludf.DUMMYFUNCTION("""COMPUTED_VALUE"""),30)</f>
        <v>30</v>
      </c>
      <c r="C107" s="56">
        <f ca="1">IFERROR(__xludf.DUMMYFUNCTION("""COMPUTED_VALUE"""),2769)</f>
        <v>2769</v>
      </c>
      <c r="D107" s="56">
        <f ca="1">IFERROR(__xludf.DUMMYFUNCTION("""COMPUTED_VALUE"""),129)</f>
        <v>129</v>
      </c>
      <c r="E107" s="56">
        <f ca="1">IFERROR(__xludf.DUMMYFUNCTION("""COMPUTED_VALUE"""),15154)</f>
        <v>15154</v>
      </c>
    </row>
    <row r="108" spans="1:5" ht="12.5" x14ac:dyDescent="0.25">
      <c r="A108" s="175">
        <f ca="1">IFERROR(__xludf.DUMMYFUNCTION("""COMPUTED_VALUE"""),43997)</f>
        <v>43997</v>
      </c>
      <c r="B108" s="56">
        <f ca="1">IFERROR(__xludf.DUMMYFUNCTION("""COMPUTED_VALUE"""),17)</f>
        <v>17</v>
      </c>
      <c r="C108" s="56">
        <f ca="1">IFERROR(__xludf.DUMMYFUNCTION("""COMPUTED_VALUE"""),2786)</f>
        <v>2786</v>
      </c>
      <c r="D108" s="56">
        <f ca="1">IFERROR(__xludf.DUMMYFUNCTION("""COMPUTED_VALUE"""),145)</f>
        <v>145</v>
      </c>
      <c r="E108" s="56">
        <f ca="1">IFERROR(__xludf.DUMMYFUNCTION("""COMPUTED_VALUE"""),15299)</f>
        <v>15299</v>
      </c>
    </row>
    <row r="109" spans="1:5" ht="12.5" x14ac:dyDescent="0.25">
      <c r="A109" s="175">
        <f ca="1">IFERROR(__xludf.DUMMYFUNCTION("""COMPUTED_VALUE"""),43998)</f>
        <v>43998</v>
      </c>
      <c r="B109" s="56">
        <f ca="1">IFERROR(__xludf.DUMMYFUNCTION("""COMPUTED_VALUE"""),10)</f>
        <v>10</v>
      </c>
      <c r="C109" s="56">
        <f ca="1">IFERROR(__xludf.DUMMYFUNCTION("""COMPUTED_VALUE"""),2796)</f>
        <v>2796</v>
      </c>
      <c r="D109" s="56">
        <f ca="1">IFERROR(__xludf.DUMMYFUNCTION("""COMPUTED_VALUE"""),145)</f>
        <v>145</v>
      </c>
      <c r="E109" s="56">
        <f ca="1">IFERROR(__xludf.DUMMYFUNCTION("""COMPUTED_VALUE"""),15444)</f>
        <v>15444</v>
      </c>
    </row>
    <row r="110" spans="1:5" ht="12.5" x14ac:dyDescent="0.25">
      <c r="A110" s="175">
        <f ca="1">IFERROR(__xludf.DUMMYFUNCTION("""COMPUTED_VALUE"""),43999)</f>
        <v>43999</v>
      </c>
      <c r="B110" s="56">
        <f ca="1">IFERROR(__xludf.DUMMYFUNCTION("""COMPUTED_VALUE"""),22)</f>
        <v>22</v>
      </c>
      <c r="C110" s="56">
        <f ca="1">IFERROR(__xludf.DUMMYFUNCTION("""COMPUTED_VALUE"""),2818)</f>
        <v>2818</v>
      </c>
      <c r="D110" s="56">
        <f ca="1">IFERROR(__xludf.DUMMYFUNCTION("""COMPUTED_VALUE"""),150)</f>
        <v>150</v>
      </c>
      <c r="E110" s="56">
        <f ca="1">IFERROR(__xludf.DUMMYFUNCTION("""COMPUTED_VALUE"""),15594)</f>
        <v>15594</v>
      </c>
    </row>
    <row r="111" spans="1:5" ht="12.5" x14ac:dyDescent="0.25">
      <c r="A111" s="175">
        <f ca="1">IFERROR(__xludf.DUMMYFUNCTION("""COMPUTED_VALUE"""),44000)</f>
        <v>44000</v>
      </c>
      <c r="B111" s="56">
        <f ca="1">IFERROR(__xludf.DUMMYFUNCTION("""COMPUTED_VALUE"""),16)</f>
        <v>16</v>
      </c>
      <c r="C111" s="56">
        <f ca="1">IFERROR(__xludf.DUMMYFUNCTION("""COMPUTED_VALUE"""),2834)</f>
        <v>2834</v>
      </c>
      <c r="D111" s="56">
        <f ca="1">IFERROR(__xludf.DUMMYFUNCTION("""COMPUTED_VALUE"""),135)</f>
        <v>135</v>
      </c>
      <c r="E111" s="56">
        <f ca="1">IFERROR(__xludf.DUMMYFUNCTION("""COMPUTED_VALUE"""),15729)</f>
        <v>15729</v>
      </c>
    </row>
    <row r="112" spans="1:5" ht="12.5" x14ac:dyDescent="0.25">
      <c r="A112" s="175">
        <f ca="1">IFERROR(__xludf.DUMMYFUNCTION("""COMPUTED_VALUE"""),44001)</f>
        <v>44001</v>
      </c>
      <c r="B112" s="56">
        <f ca="1">IFERROR(__xludf.DUMMYFUNCTION("""COMPUTED_VALUE"""),15)</f>
        <v>15</v>
      </c>
      <c r="C112" s="56">
        <f ca="1">IFERROR(__xludf.DUMMYFUNCTION("""COMPUTED_VALUE"""),2849)</f>
        <v>2849</v>
      </c>
      <c r="D112" s="56">
        <f ca="1">IFERROR(__xludf.DUMMYFUNCTION("""COMPUTED_VALUE"""),119)</f>
        <v>119</v>
      </c>
      <c r="E112" s="56">
        <f ca="1">IFERROR(__xludf.DUMMYFUNCTION("""COMPUTED_VALUE"""),15848)</f>
        <v>15848</v>
      </c>
    </row>
    <row r="113" spans="1:5" ht="12.5" x14ac:dyDescent="0.25">
      <c r="A113" s="175">
        <f ca="1">IFERROR(__xludf.DUMMYFUNCTION("""COMPUTED_VALUE"""),44002)</f>
        <v>44002</v>
      </c>
      <c r="B113" s="56">
        <f ca="1">IFERROR(__xludf.DUMMYFUNCTION("""COMPUTED_VALUE"""),25)</f>
        <v>25</v>
      </c>
      <c r="C113" s="56">
        <f ca="1">IFERROR(__xludf.DUMMYFUNCTION("""COMPUTED_VALUE"""),2874)</f>
        <v>2874</v>
      </c>
      <c r="D113" s="56">
        <f ca="1">IFERROR(__xludf.DUMMYFUNCTION("""COMPUTED_VALUE"""),125)</f>
        <v>125</v>
      </c>
      <c r="E113" s="56">
        <f ca="1">IFERROR(__xludf.DUMMYFUNCTION("""COMPUTED_VALUE"""),15973)</f>
        <v>15973</v>
      </c>
    </row>
    <row r="114" spans="1:5" ht="12.5" x14ac:dyDescent="0.25">
      <c r="A114" s="175">
        <f ca="1">IFERROR(__xludf.DUMMYFUNCTION("""COMPUTED_VALUE"""),44003)</f>
        <v>44003</v>
      </c>
      <c r="B114" s="56">
        <f ca="1">IFERROR(__xludf.DUMMYFUNCTION("""COMPUTED_VALUE"""),18)</f>
        <v>18</v>
      </c>
      <c r="C114" s="56">
        <f ca="1">IFERROR(__xludf.DUMMYFUNCTION("""COMPUTED_VALUE"""),2892)</f>
        <v>2892</v>
      </c>
      <c r="D114" s="56">
        <f ca="1">IFERROR(__xludf.DUMMYFUNCTION("""COMPUTED_VALUE"""),120)</f>
        <v>120</v>
      </c>
      <c r="E114" s="56">
        <f ca="1">IFERROR(__xludf.DUMMYFUNCTION("""COMPUTED_VALUE"""),16093)</f>
        <v>16093</v>
      </c>
    </row>
    <row r="115" spans="1:5" ht="12.5" x14ac:dyDescent="0.25">
      <c r="A115" s="175">
        <f ca="1">IFERROR(__xludf.DUMMYFUNCTION("""COMPUTED_VALUE"""),44004)</f>
        <v>44004</v>
      </c>
      <c r="B115" s="56">
        <f ca="1">IFERROR(__xludf.DUMMYFUNCTION("""COMPUTED_VALUE"""),28)</f>
        <v>28</v>
      </c>
      <c r="C115" s="56">
        <f ca="1">IFERROR(__xludf.DUMMYFUNCTION("""COMPUTED_VALUE"""),2920)</f>
        <v>2920</v>
      </c>
      <c r="D115" s="56">
        <f ca="1">IFERROR(__xludf.DUMMYFUNCTION("""COMPUTED_VALUE"""),124)</f>
        <v>124</v>
      </c>
      <c r="E115" s="56">
        <f ca="1">IFERROR(__xludf.DUMMYFUNCTION("""COMPUTED_VALUE"""),16217)</f>
        <v>16217</v>
      </c>
    </row>
    <row r="116" spans="1:5" ht="12.5" x14ac:dyDescent="0.25">
      <c r="A116" s="175">
        <f ca="1">IFERROR(__xludf.DUMMYFUNCTION("""COMPUTED_VALUE"""),44005)</f>
        <v>44005</v>
      </c>
      <c r="B116" s="56">
        <f ca="1">IFERROR(__xludf.DUMMYFUNCTION("""COMPUTED_VALUE"""),27)</f>
        <v>27</v>
      </c>
      <c r="C116" s="56">
        <f ca="1">IFERROR(__xludf.DUMMYFUNCTION("""COMPUTED_VALUE"""),2947)</f>
        <v>2947</v>
      </c>
      <c r="D116" s="56">
        <f ca="1">IFERROR(__xludf.DUMMYFUNCTION("""COMPUTED_VALUE"""),123)</f>
        <v>123</v>
      </c>
      <c r="E116" s="56">
        <f ca="1">IFERROR(__xludf.DUMMYFUNCTION("""COMPUTED_VALUE"""),16340)</f>
        <v>16340</v>
      </c>
    </row>
    <row r="117" spans="1:5" ht="12.5" x14ac:dyDescent="0.25">
      <c r="A117" s="175">
        <f ca="1">IFERROR(__xludf.DUMMYFUNCTION("""COMPUTED_VALUE"""),44006)</f>
        <v>44006</v>
      </c>
      <c r="B117" s="56">
        <f ca="1">IFERROR(__xludf.DUMMYFUNCTION("""COMPUTED_VALUE"""),12)</f>
        <v>12</v>
      </c>
      <c r="C117" s="56">
        <f ca="1">IFERROR(__xludf.DUMMYFUNCTION("""COMPUTED_VALUE"""),2959)</f>
        <v>2959</v>
      </c>
      <c r="D117" s="56">
        <f ca="1">IFERROR(__xludf.DUMMYFUNCTION("""COMPUTED_VALUE"""),129)</f>
        <v>129</v>
      </c>
      <c r="E117" s="56">
        <f ca="1">IFERROR(__xludf.DUMMYFUNCTION("""COMPUTED_VALUE"""),16469)</f>
        <v>16469</v>
      </c>
    </row>
    <row r="118" spans="1:5" ht="12.5" x14ac:dyDescent="0.25">
      <c r="A118" s="175">
        <f ca="1">IFERROR(__xludf.DUMMYFUNCTION("""COMPUTED_VALUE"""),44007)</f>
        <v>44007</v>
      </c>
      <c r="B118" s="56">
        <f ca="1">IFERROR(__xludf.DUMMYFUNCTION("""COMPUTED_VALUE"""),12)</f>
        <v>12</v>
      </c>
      <c r="C118" s="56">
        <f ca="1">IFERROR(__xludf.DUMMYFUNCTION("""COMPUTED_VALUE"""),2971)</f>
        <v>2971</v>
      </c>
      <c r="D118" s="56">
        <f ca="1">IFERROR(__xludf.DUMMYFUNCTION("""COMPUTED_VALUE"""),125)</f>
        <v>125</v>
      </c>
      <c r="E118" s="56">
        <f ca="1">IFERROR(__xludf.DUMMYFUNCTION("""COMPUTED_VALUE"""),16594)</f>
        <v>16594</v>
      </c>
    </row>
    <row r="119" spans="1:5" ht="12.5" x14ac:dyDescent="0.25">
      <c r="A119" s="175">
        <f ca="1">IFERROR(__xludf.DUMMYFUNCTION("""COMPUTED_VALUE"""),44008)</f>
        <v>44008</v>
      </c>
      <c r="B119" s="56">
        <f ca="1">IFERROR(__xludf.DUMMYFUNCTION("""COMPUTED_VALUE"""),25)</f>
        <v>25</v>
      </c>
      <c r="C119" s="56">
        <f ca="1">IFERROR(__xludf.DUMMYFUNCTION("""COMPUTED_VALUE"""),2996)</f>
        <v>2996</v>
      </c>
      <c r="D119" s="56">
        <f ca="1">IFERROR(__xludf.DUMMYFUNCTION("""COMPUTED_VALUE"""),148)</f>
        <v>148</v>
      </c>
      <c r="E119" s="56">
        <f ca="1">IFERROR(__xludf.DUMMYFUNCTION("""COMPUTED_VALUE"""),16742)</f>
        <v>16742</v>
      </c>
    </row>
    <row r="120" spans="1:5" ht="12.5" x14ac:dyDescent="0.25">
      <c r="A120" s="175">
        <f ca="1">IFERROR(__xludf.DUMMYFUNCTION("""COMPUTED_VALUE"""),44009)</f>
        <v>44009</v>
      </c>
      <c r="B120" s="56">
        <f ca="1">IFERROR(__xludf.DUMMYFUNCTION("""COMPUTED_VALUE"""),19)</f>
        <v>19</v>
      </c>
      <c r="C120" s="56">
        <f ca="1">IFERROR(__xludf.DUMMYFUNCTION("""COMPUTED_VALUE"""),3015)</f>
        <v>3015</v>
      </c>
      <c r="D120" s="56">
        <f ca="1">IFERROR(__xludf.DUMMYFUNCTION("""COMPUTED_VALUE"""),144)</f>
        <v>144</v>
      </c>
      <c r="E120" s="56">
        <f ca="1">IFERROR(__xludf.DUMMYFUNCTION("""COMPUTED_VALUE"""),16886)</f>
        <v>16886</v>
      </c>
    </row>
    <row r="121" spans="1:5" ht="12.5" x14ac:dyDescent="0.25">
      <c r="A121" s="175">
        <f ca="1">IFERROR(__xludf.DUMMYFUNCTION("""COMPUTED_VALUE"""),44010)</f>
        <v>44010</v>
      </c>
      <c r="B121" s="56">
        <f ca="1">IFERROR(__xludf.DUMMYFUNCTION("""COMPUTED_VALUE"""),20)</f>
        <v>20</v>
      </c>
      <c r="C121" s="56">
        <f ca="1">IFERROR(__xludf.DUMMYFUNCTION("""COMPUTED_VALUE"""),3035)</f>
        <v>3035</v>
      </c>
      <c r="D121" s="56">
        <f ca="1">IFERROR(__xludf.DUMMYFUNCTION("""COMPUTED_VALUE"""),128)</f>
        <v>128</v>
      </c>
      <c r="E121" s="56">
        <f ca="1">IFERROR(__xludf.DUMMYFUNCTION("""COMPUTED_VALUE"""),17014)</f>
        <v>17014</v>
      </c>
    </row>
    <row r="122" spans="1:5" ht="12.5" x14ac:dyDescent="0.25">
      <c r="A122" s="175">
        <f ca="1">IFERROR(__xludf.DUMMYFUNCTION("""COMPUTED_VALUE"""),44011)</f>
        <v>44011</v>
      </c>
      <c r="B122" s="56">
        <f ca="1">IFERROR(__xludf.DUMMYFUNCTION("""COMPUTED_VALUE"""),18)</f>
        <v>18</v>
      </c>
      <c r="C122" s="56">
        <f ca="1">IFERROR(__xludf.DUMMYFUNCTION("""COMPUTED_VALUE"""),3053)</f>
        <v>3053</v>
      </c>
      <c r="D122" s="56">
        <f ca="1">IFERROR(__xludf.DUMMYFUNCTION("""COMPUTED_VALUE"""),126)</f>
        <v>126</v>
      </c>
      <c r="E122" s="56">
        <f ca="1">IFERROR(__xludf.DUMMYFUNCTION("""COMPUTED_VALUE"""),17140)</f>
        <v>17140</v>
      </c>
    </row>
    <row r="123" spans="1:5" ht="12.5" x14ac:dyDescent="0.25">
      <c r="A123" s="175">
        <f ca="1">IFERROR(__xludf.DUMMYFUNCTION("""COMPUTED_VALUE"""),44012)</f>
        <v>44012</v>
      </c>
      <c r="B123" s="56">
        <f ca="1">IFERROR(__xludf.DUMMYFUNCTION("""COMPUTED_VALUE"""),9)</f>
        <v>9</v>
      </c>
      <c r="C123" s="56">
        <f ca="1">IFERROR(__xludf.DUMMYFUNCTION("""COMPUTED_VALUE"""),3062)</f>
        <v>3062</v>
      </c>
      <c r="D123" s="56">
        <f ca="1">IFERROR(__xludf.DUMMYFUNCTION("""COMPUTED_VALUE"""),147)</f>
        <v>147</v>
      </c>
      <c r="E123" s="56">
        <f ca="1">IFERROR(__xludf.DUMMYFUNCTION("""COMPUTED_VALUE"""),17287)</f>
        <v>17287</v>
      </c>
    </row>
    <row r="124" spans="1:5" ht="12.5" x14ac:dyDescent="0.25">
      <c r="A124" s="175">
        <f ca="1">IFERROR(__xludf.DUMMYFUNCTION("""COMPUTED_VALUE"""),44013)</f>
        <v>44013</v>
      </c>
      <c r="B124" s="56">
        <f ca="1">IFERROR(__xludf.DUMMYFUNCTION("""COMPUTED_VALUE"""),21)</f>
        <v>21</v>
      </c>
      <c r="C124" s="56">
        <f ca="1">IFERROR(__xludf.DUMMYFUNCTION("""COMPUTED_VALUE"""),3083)</f>
        <v>3083</v>
      </c>
      <c r="D124" s="56">
        <f ca="1">IFERROR(__xludf.DUMMYFUNCTION("""COMPUTED_VALUE"""),139)</f>
        <v>139</v>
      </c>
      <c r="E124" s="56">
        <f ca="1">IFERROR(__xludf.DUMMYFUNCTION("""COMPUTED_VALUE"""),17426)</f>
        <v>17426</v>
      </c>
    </row>
    <row r="125" spans="1:5" ht="12.5" x14ac:dyDescent="0.25">
      <c r="A125" s="175">
        <f ca="1">IFERROR(__xludf.DUMMYFUNCTION("""COMPUTED_VALUE"""),44014)</f>
        <v>44014</v>
      </c>
      <c r="B125" s="56">
        <f ca="1">IFERROR(__xludf.DUMMYFUNCTION("""COMPUTED_VALUE"""),21)</f>
        <v>21</v>
      </c>
      <c r="C125" s="56">
        <f ca="1">IFERROR(__xludf.DUMMYFUNCTION("""COMPUTED_VALUE"""),3104)</f>
        <v>3104</v>
      </c>
      <c r="D125" s="56">
        <f ca="1">IFERROR(__xludf.DUMMYFUNCTION("""COMPUTED_VALUE"""),122)</f>
        <v>122</v>
      </c>
      <c r="E125" s="56">
        <f ca="1">IFERROR(__xludf.DUMMYFUNCTION("""COMPUTED_VALUE"""),17548)</f>
        <v>17548</v>
      </c>
    </row>
    <row r="126" spans="1:5" ht="12.5" x14ac:dyDescent="0.25">
      <c r="A126" s="175">
        <f ca="1">IFERROR(__xludf.DUMMYFUNCTION("""COMPUTED_VALUE"""),44015)</f>
        <v>44015</v>
      </c>
      <c r="B126" s="56">
        <f ca="1">IFERROR(__xludf.DUMMYFUNCTION("""COMPUTED_VALUE"""),12)</f>
        <v>12</v>
      </c>
      <c r="C126" s="56">
        <f ca="1">IFERROR(__xludf.DUMMYFUNCTION("""COMPUTED_VALUE"""),3116)</f>
        <v>3116</v>
      </c>
      <c r="D126" s="56">
        <f ca="1">IFERROR(__xludf.DUMMYFUNCTION("""COMPUTED_VALUE"""),117)</f>
        <v>117</v>
      </c>
      <c r="E126" s="56">
        <f ca="1">IFERROR(__xludf.DUMMYFUNCTION("""COMPUTED_VALUE"""),17665)</f>
        <v>17665</v>
      </c>
    </row>
    <row r="127" spans="1:5" ht="12.5" x14ac:dyDescent="0.25">
      <c r="A127" s="175">
        <f ca="1">IFERROR(__xludf.DUMMYFUNCTION("""COMPUTED_VALUE"""),44016)</f>
        <v>44016</v>
      </c>
      <c r="B127" s="56">
        <f ca="1">IFERROR(__xludf.DUMMYFUNCTION("""COMPUTED_VALUE"""),19)</f>
        <v>19</v>
      </c>
      <c r="C127" s="56">
        <f ca="1">IFERROR(__xludf.DUMMYFUNCTION("""COMPUTED_VALUE"""),3135)</f>
        <v>3135</v>
      </c>
      <c r="D127" s="56">
        <f ca="1">IFERROR(__xludf.DUMMYFUNCTION("""COMPUTED_VALUE"""),142)</f>
        <v>142</v>
      </c>
      <c r="E127" s="56">
        <f ca="1">IFERROR(__xludf.DUMMYFUNCTION("""COMPUTED_VALUE"""),17807)</f>
        <v>17807</v>
      </c>
    </row>
    <row r="128" spans="1:5" ht="12.5" x14ac:dyDescent="0.25">
      <c r="A128" s="175">
        <f ca="1">IFERROR(__xludf.DUMMYFUNCTION("""COMPUTED_VALUE"""),44017)</f>
        <v>44017</v>
      </c>
      <c r="B128" s="56">
        <f ca="1">IFERROR(__xludf.DUMMYFUNCTION("""COMPUTED_VALUE"""),21)</f>
        <v>21</v>
      </c>
      <c r="C128" s="56">
        <f ca="1">IFERROR(__xludf.DUMMYFUNCTION("""COMPUTED_VALUE"""),3156)</f>
        <v>3156</v>
      </c>
      <c r="D128" s="56">
        <f ca="1">IFERROR(__xludf.DUMMYFUNCTION("""COMPUTED_VALUE"""),116)</f>
        <v>116</v>
      </c>
      <c r="E128" s="56">
        <f ca="1">IFERROR(__xludf.DUMMYFUNCTION("""COMPUTED_VALUE"""),17923)</f>
        <v>17923</v>
      </c>
    </row>
    <row r="129" spans="1:5" ht="12.5" x14ac:dyDescent="0.25">
      <c r="A129" s="175">
        <f ca="1">IFERROR(__xludf.DUMMYFUNCTION("""COMPUTED_VALUE"""),44018)</f>
        <v>44018</v>
      </c>
      <c r="B129" s="56">
        <f ca="1">IFERROR(__xludf.DUMMYFUNCTION("""COMPUTED_VALUE"""),20)</f>
        <v>20</v>
      </c>
      <c r="C129" s="56">
        <f ca="1">IFERROR(__xludf.DUMMYFUNCTION("""COMPUTED_VALUE"""),3176)</f>
        <v>3176</v>
      </c>
      <c r="D129" s="56">
        <f ca="1">IFERROR(__xludf.DUMMYFUNCTION("""COMPUTED_VALUE"""),127)</f>
        <v>127</v>
      </c>
      <c r="E129" s="56">
        <f ca="1">IFERROR(__xludf.DUMMYFUNCTION("""COMPUTED_VALUE"""),18050)</f>
        <v>18050</v>
      </c>
    </row>
    <row r="130" spans="1:5" ht="12.5" x14ac:dyDescent="0.25">
      <c r="A130" s="175">
        <f ca="1">IFERROR(__xludf.DUMMYFUNCTION("""COMPUTED_VALUE"""),44019)</f>
        <v>44019</v>
      </c>
      <c r="B130" s="56">
        <f ca="1">IFERROR(__xludf.DUMMYFUNCTION("""COMPUTED_VALUE"""),15)</f>
        <v>15</v>
      </c>
      <c r="C130" s="56">
        <f ca="1">IFERROR(__xludf.DUMMYFUNCTION("""COMPUTED_VALUE"""),3191)</f>
        <v>3191</v>
      </c>
      <c r="D130" s="56">
        <f ca="1">IFERROR(__xludf.DUMMYFUNCTION("""COMPUTED_VALUE"""),112)</f>
        <v>112</v>
      </c>
      <c r="E130" s="56">
        <f ca="1">IFERROR(__xludf.DUMMYFUNCTION("""COMPUTED_VALUE"""),18162)</f>
        <v>18162</v>
      </c>
    </row>
    <row r="131" spans="1:5" ht="12.5" x14ac:dyDescent="0.25">
      <c r="A131" s="175">
        <f ca="1">IFERROR(__xludf.DUMMYFUNCTION("""COMPUTED_VALUE"""),44020)</f>
        <v>44020</v>
      </c>
      <c r="B131" s="56">
        <f ca="1">IFERROR(__xludf.DUMMYFUNCTION("""COMPUTED_VALUE"""),17)</f>
        <v>17</v>
      </c>
      <c r="C131" s="56">
        <f ca="1">IFERROR(__xludf.DUMMYFUNCTION("""COMPUTED_VALUE"""),3208)</f>
        <v>3208</v>
      </c>
      <c r="D131" s="56">
        <f ca="1">IFERROR(__xludf.DUMMYFUNCTION("""COMPUTED_VALUE"""),145)</f>
        <v>145</v>
      </c>
      <c r="E131" s="56">
        <f ca="1">IFERROR(__xludf.DUMMYFUNCTION("""COMPUTED_VALUE"""),18307)</f>
        <v>18307</v>
      </c>
    </row>
    <row r="132" spans="1:5" ht="12.5" x14ac:dyDescent="0.25">
      <c r="A132" s="175">
        <f ca="1">IFERROR(__xludf.DUMMYFUNCTION("""COMPUTED_VALUE"""),44021)</f>
        <v>44021</v>
      </c>
      <c r="B132" s="56">
        <f ca="1">IFERROR(__xludf.DUMMYFUNCTION("""COMPUTED_VALUE"""),22)</f>
        <v>22</v>
      </c>
      <c r="C132" s="56">
        <f ca="1">IFERROR(__xludf.DUMMYFUNCTION("""COMPUTED_VALUE"""),3230)</f>
        <v>3230</v>
      </c>
      <c r="D132" s="56">
        <f ca="1">IFERROR(__xludf.DUMMYFUNCTION("""COMPUTED_VALUE"""),126)</f>
        <v>126</v>
      </c>
      <c r="E132" s="56">
        <f ca="1">IFERROR(__xludf.DUMMYFUNCTION("""COMPUTED_VALUE"""),18433)</f>
        <v>18433</v>
      </c>
    </row>
    <row r="133" spans="1:5" ht="12.5" x14ac:dyDescent="0.25">
      <c r="A133" s="175">
        <f ca="1">IFERROR(__xludf.DUMMYFUNCTION("""COMPUTED_VALUE"""),44022)</f>
        <v>44022</v>
      </c>
      <c r="B133" s="56">
        <f ca="1">IFERROR(__xludf.DUMMYFUNCTION("""COMPUTED_VALUE"""),21)</f>
        <v>21</v>
      </c>
      <c r="C133" s="56">
        <f ca="1">IFERROR(__xludf.DUMMYFUNCTION("""COMPUTED_VALUE"""),3251)</f>
        <v>3251</v>
      </c>
      <c r="D133" s="56">
        <f ca="1">IFERROR(__xludf.DUMMYFUNCTION("""COMPUTED_VALUE"""),118)</f>
        <v>118</v>
      </c>
      <c r="E133" s="56">
        <f ca="1">IFERROR(__xludf.DUMMYFUNCTION("""COMPUTED_VALUE"""),18551)</f>
        <v>18551</v>
      </c>
    </row>
    <row r="134" spans="1:5" ht="12.5" x14ac:dyDescent="0.25">
      <c r="A134" s="175">
        <f ca="1">IFERROR(__xludf.DUMMYFUNCTION("""COMPUTED_VALUE"""),44023)</f>
        <v>44023</v>
      </c>
      <c r="B134" s="56">
        <f ca="1">IFERROR(__xludf.DUMMYFUNCTION("""COMPUTED_VALUE"""),21)</f>
        <v>21</v>
      </c>
      <c r="C134" s="56">
        <f ca="1">IFERROR(__xludf.DUMMYFUNCTION("""COMPUTED_VALUE"""),3272)</f>
        <v>3272</v>
      </c>
      <c r="D134" s="56">
        <f ca="1">IFERROR(__xludf.DUMMYFUNCTION("""COMPUTED_VALUE"""),146)</f>
        <v>146</v>
      </c>
      <c r="E134" s="56">
        <f ca="1">IFERROR(__xludf.DUMMYFUNCTION("""COMPUTED_VALUE"""),18697)</f>
        <v>18697</v>
      </c>
    </row>
    <row r="135" spans="1:5" ht="12.5" x14ac:dyDescent="0.25">
      <c r="A135" s="175">
        <f ca="1">IFERROR(__xludf.DUMMYFUNCTION("""COMPUTED_VALUE"""),44024)</f>
        <v>44024</v>
      </c>
      <c r="B135" s="56">
        <f ca="1">IFERROR(__xludf.DUMMYFUNCTION("""COMPUTED_VALUE"""),20)</f>
        <v>20</v>
      </c>
      <c r="C135" s="56">
        <f ca="1">IFERROR(__xludf.DUMMYFUNCTION("""COMPUTED_VALUE"""),3292)</f>
        <v>3292</v>
      </c>
      <c r="D135" s="56">
        <f ca="1">IFERROR(__xludf.DUMMYFUNCTION("""COMPUTED_VALUE"""),139)</f>
        <v>139</v>
      </c>
      <c r="E135" s="56">
        <f ca="1">IFERROR(__xludf.DUMMYFUNCTION("""COMPUTED_VALUE"""),18836)</f>
        <v>18836</v>
      </c>
    </row>
    <row r="136" spans="1:5" ht="12.5" x14ac:dyDescent="0.25">
      <c r="A136" s="175">
        <f ca="1">IFERROR(__xludf.DUMMYFUNCTION("""COMPUTED_VALUE"""),44025)</f>
        <v>44025</v>
      </c>
      <c r="B136" s="56">
        <f ca="1">IFERROR(__xludf.DUMMYFUNCTION("""COMPUTED_VALUE"""),20)</f>
        <v>20</v>
      </c>
      <c r="C136" s="56">
        <f ca="1">IFERROR(__xludf.DUMMYFUNCTION("""COMPUTED_VALUE"""),3312)</f>
        <v>3312</v>
      </c>
      <c r="D136" s="56">
        <f ca="1">IFERROR(__xludf.DUMMYFUNCTION("""COMPUTED_VALUE"""),132)</f>
        <v>132</v>
      </c>
      <c r="E136" s="56">
        <f ca="1">IFERROR(__xludf.DUMMYFUNCTION("""COMPUTED_VALUE"""),18968)</f>
        <v>18968</v>
      </c>
    </row>
    <row r="137" spans="1:5" ht="12.5" x14ac:dyDescent="0.25">
      <c r="A137" s="175">
        <f ca="1">IFERROR(__xludf.DUMMYFUNCTION("""COMPUTED_VALUE"""),44026)</f>
        <v>44026</v>
      </c>
      <c r="B137" s="56">
        <f ca="1">IFERROR(__xludf.DUMMYFUNCTION("""COMPUTED_VALUE"""),14)</f>
        <v>14</v>
      </c>
      <c r="C137" s="56">
        <f ca="1">IFERROR(__xludf.DUMMYFUNCTION("""COMPUTED_VALUE"""),3326)</f>
        <v>3326</v>
      </c>
      <c r="D137" s="56">
        <f ca="1">IFERROR(__xludf.DUMMYFUNCTION("""COMPUTED_VALUE"""),146)</f>
        <v>146</v>
      </c>
      <c r="E137" s="56">
        <f ca="1">IFERROR(__xludf.DUMMYFUNCTION("""COMPUTED_VALUE"""),19114)</f>
        <v>19114</v>
      </c>
    </row>
    <row r="138" spans="1:5" ht="12.5" x14ac:dyDescent="0.25">
      <c r="A138" s="175">
        <f ca="1">IFERROR(__xludf.DUMMYFUNCTION("""COMPUTED_VALUE"""),44027)</f>
        <v>44027</v>
      </c>
      <c r="B138" s="56">
        <f ca="1">IFERROR(__xludf.DUMMYFUNCTION("""COMPUTED_VALUE"""),19)</f>
        <v>19</v>
      </c>
      <c r="C138" s="56">
        <f ca="1">IFERROR(__xludf.DUMMYFUNCTION("""COMPUTED_VALUE"""),3345)</f>
        <v>3345</v>
      </c>
      <c r="D138" s="56">
        <f ca="1">IFERROR(__xludf.DUMMYFUNCTION("""COMPUTED_VALUE"""),137)</f>
        <v>137</v>
      </c>
      <c r="E138" s="56">
        <f ca="1">IFERROR(__xludf.DUMMYFUNCTION("""COMPUTED_VALUE"""),19251)</f>
        <v>19251</v>
      </c>
    </row>
    <row r="139" spans="1:5" ht="12.5" x14ac:dyDescent="0.25">
      <c r="A139" s="175">
        <f ca="1">IFERROR(__xludf.DUMMYFUNCTION("""COMPUTED_VALUE"""),44028)</f>
        <v>44028</v>
      </c>
      <c r="B139" s="56">
        <f ca="1">IFERROR(__xludf.DUMMYFUNCTION("""COMPUTED_VALUE"""),14)</f>
        <v>14</v>
      </c>
      <c r="C139" s="56">
        <f ca="1">IFERROR(__xludf.DUMMYFUNCTION("""COMPUTED_VALUE"""),3359)</f>
        <v>3359</v>
      </c>
      <c r="D139" s="56">
        <f ca="1">IFERROR(__xludf.DUMMYFUNCTION("""COMPUTED_VALUE"""),111)</f>
        <v>111</v>
      </c>
      <c r="E139" s="56">
        <f ca="1">IFERROR(__xludf.DUMMYFUNCTION("""COMPUTED_VALUE"""),19362)</f>
        <v>19362</v>
      </c>
    </row>
    <row r="140" spans="1:5" ht="12.5" x14ac:dyDescent="0.25">
      <c r="A140" s="175">
        <f ca="1">IFERROR(__xludf.DUMMYFUNCTION("""COMPUTED_VALUE"""),44029)</f>
        <v>44029</v>
      </c>
      <c r="B140" s="56">
        <f ca="1">IFERROR(__xludf.DUMMYFUNCTION("""COMPUTED_VALUE"""),15)</f>
        <v>15</v>
      </c>
      <c r="C140" s="56">
        <f ca="1">IFERROR(__xludf.DUMMYFUNCTION("""COMPUTED_VALUE"""),3374)</f>
        <v>3374</v>
      </c>
      <c r="D140" s="56">
        <f ca="1">IFERROR(__xludf.DUMMYFUNCTION("""COMPUTED_VALUE"""),131)</f>
        <v>131</v>
      </c>
      <c r="E140" s="56">
        <f ca="1">IFERROR(__xludf.DUMMYFUNCTION("""COMPUTED_VALUE"""),19493)</f>
        <v>19493</v>
      </c>
    </row>
    <row r="141" spans="1:5" ht="12.5" x14ac:dyDescent="0.25">
      <c r="A141" s="175">
        <f ca="1">IFERROR(__xludf.DUMMYFUNCTION("""COMPUTED_VALUE"""),44030)</f>
        <v>44030</v>
      </c>
      <c r="B141" s="56">
        <f ca="1">IFERROR(__xludf.DUMMYFUNCTION("""COMPUTED_VALUE"""),24)</f>
        <v>24</v>
      </c>
      <c r="C141" s="56">
        <f ca="1">IFERROR(__xludf.DUMMYFUNCTION("""COMPUTED_VALUE"""),3398)</f>
        <v>3398</v>
      </c>
      <c r="D141" s="56">
        <f ca="1">IFERROR(__xludf.DUMMYFUNCTION("""COMPUTED_VALUE"""),150)</f>
        <v>150</v>
      </c>
      <c r="E141" s="56">
        <f ca="1">IFERROR(__xludf.DUMMYFUNCTION("""COMPUTED_VALUE"""),19643)</f>
        <v>19643</v>
      </c>
    </row>
    <row r="142" spans="1:5" ht="12.5" x14ac:dyDescent="0.25">
      <c r="A142" s="175">
        <f ca="1">IFERROR(__xludf.DUMMYFUNCTION("""COMPUTED_VALUE"""),44031)</f>
        <v>44031</v>
      </c>
      <c r="B142" s="56">
        <f ca="1">IFERROR(__xludf.DUMMYFUNCTION("""COMPUTED_VALUE"""),15)</f>
        <v>15</v>
      </c>
      <c r="C142" s="56">
        <f ca="1">IFERROR(__xludf.DUMMYFUNCTION("""COMPUTED_VALUE"""),3413)</f>
        <v>3413</v>
      </c>
      <c r="D142" s="56">
        <f ca="1">IFERROR(__xludf.DUMMYFUNCTION("""COMPUTED_VALUE"""),123)</f>
        <v>123</v>
      </c>
      <c r="E142" s="56">
        <f ca="1">IFERROR(__xludf.DUMMYFUNCTION("""COMPUTED_VALUE"""),19766)</f>
        <v>19766</v>
      </c>
    </row>
    <row r="143" spans="1:5" ht="12.5" x14ac:dyDescent="0.25">
      <c r="A143" s="175">
        <f ca="1">IFERROR(__xludf.DUMMYFUNCTION("""COMPUTED_VALUE"""),44032)</f>
        <v>44032</v>
      </c>
      <c r="B143" s="56">
        <f ca="1">IFERROR(__xludf.DUMMYFUNCTION("""COMPUTED_VALUE"""),23)</f>
        <v>23</v>
      </c>
      <c r="C143" s="56">
        <f ca="1">IFERROR(__xludf.DUMMYFUNCTION("""COMPUTED_VALUE"""),3436)</f>
        <v>3436</v>
      </c>
      <c r="D143" s="56">
        <f ca="1">IFERROR(__xludf.DUMMYFUNCTION("""COMPUTED_VALUE"""),151)</f>
        <v>151</v>
      </c>
      <c r="E143" s="56">
        <f ca="1">IFERROR(__xludf.DUMMYFUNCTION("""COMPUTED_VALUE"""),19917)</f>
        <v>19917</v>
      </c>
    </row>
    <row r="144" spans="1:5" ht="12.5" x14ac:dyDescent="0.25">
      <c r="A144" s="175">
        <f ca="1">IFERROR(__xludf.DUMMYFUNCTION("""COMPUTED_VALUE"""),44033)</f>
        <v>44033</v>
      </c>
      <c r="B144" s="56">
        <f ca="1">IFERROR(__xludf.DUMMYFUNCTION("""COMPUTED_VALUE"""),20)</f>
        <v>20</v>
      </c>
      <c r="C144" s="56">
        <f ca="1">IFERROR(__xludf.DUMMYFUNCTION("""COMPUTED_VALUE"""),3456)</f>
        <v>3456</v>
      </c>
      <c r="D144" s="56">
        <f ca="1">IFERROR(__xludf.DUMMYFUNCTION("""COMPUTED_VALUE"""),152)</f>
        <v>152</v>
      </c>
      <c r="E144" s="56">
        <f ca="1">IFERROR(__xludf.DUMMYFUNCTION("""COMPUTED_VALUE"""),20069)</f>
        <v>20069</v>
      </c>
    </row>
    <row r="145" spans="1:5" ht="12.5" x14ac:dyDescent="0.25">
      <c r="A145" s="175">
        <f ca="1">IFERROR(__xludf.DUMMYFUNCTION("""COMPUTED_VALUE"""),44034)</f>
        <v>44034</v>
      </c>
      <c r="B145" s="56">
        <f ca="1">IFERROR(__xludf.DUMMYFUNCTION("""COMPUTED_VALUE"""),21)</f>
        <v>21</v>
      </c>
      <c r="C145" s="56">
        <f ca="1">IFERROR(__xludf.DUMMYFUNCTION("""COMPUTED_VALUE"""),3477)</f>
        <v>3477</v>
      </c>
      <c r="D145" s="56">
        <f ca="1">IFERROR(__xludf.DUMMYFUNCTION("""COMPUTED_VALUE"""),132)</f>
        <v>132</v>
      </c>
      <c r="E145" s="56">
        <f ca="1">IFERROR(__xludf.DUMMYFUNCTION("""COMPUTED_VALUE"""),20201)</f>
        <v>20201</v>
      </c>
    </row>
    <row r="146" spans="1:5" ht="12.5" x14ac:dyDescent="0.25">
      <c r="A146" s="175">
        <f ca="1">IFERROR(__xludf.DUMMYFUNCTION("""COMPUTED_VALUE"""),44035)</f>
        <v>44035</v>
      </c>
      <c r="B146" s="56">
        <f ca="1">IFERROR(__xludf.DUMMYFUNCTION("""COMPUTED_VALUE"""),21)</f>
        <v>21</v>
      </c>
      <c r="C146" s="56">
        <f ca="1">IFERROR(__xludf.DUMMYFUNCTION("""COMPUTED_VALUE"""),3498)</f>
        <v>3498</v>
      </c>
      <c r="D146" s="56">
        <f ca="1">IFERROR(__xludf.DUMMYFUNCTION("""COMPUTED_VALUE"""),168)</f>
        <v>168</v>
      </c>
      <c r="E146" s="56">
        <f ca="1">IFERROR(__xludf.DUMMYFUNCTION("""COMPUTED_VALUE"""),20369)</f>
        <v>20369</v>
      </c>
    </row>
    <row r="147" spans="1:5" ht="12.5" x14ac:dyDescent="0.25">
      <c r="A147" s="175">
        <f ca="1">IFERROR(__xludf.DUMMYFUNCTION("""COMPUTED_VALUE"""),44036)</f>
        <v>44036</v>
      </c>
      <c r="B147" s="56">
        <f ca="1">IFERROR(__xludf.DUMMYFUNCTION("""COMPUTED_VALUE"""),25)</f>
        <v>25</v>
      </c>
      <c r="C147" s="56">
        <f ca="1">IFERROR(__xludf.DUMMYFUNCTION("""COMPUTED_VALUE"""),3523)</f>
        <v>3523</v>
      </c>
      <c r="D147" s="56">
        <f ca="1">IFERROR(__xludf.DUMMYFUNCTION("""COMPUTED_VALUE"""),155)</f>
        <v>155</v>
      </c>
      <c r="E147" s="56">
        <f ca="1">IFERROR(__xludf.DUMMYFUNCTION("""COMPUTED_VALUE"""),20524)</f>
        <v>20524</v>
      </c>
    </row>
    <row r="148" spans="1:5" ht="12.5" x14ac:dyDescent="0.25">
      <c r="A148" s="175">
        <f ca="1">IFERROR(__xludf.DUMMYFUNCTION("""COMPUTED_VALUE"""),44037)</f>
        <v>44037</v>
      </c>
      <c r="B148" s="56">
        <f ca="1">IFERROR(__xludf.DUMMYFUNCTION("""COMPUTED_VALUE"""),19)</f>
        <v>19</v>
      </c>
      <c r="C148" s="56">
        <f ca="1">IFERROR(__xludf.DUMMYFUNCTION("""COMPUTED_VALUE"""),3542)</f>
        <v>3542</v>
      </c>
      <c r="D148" s="56">
        <f ca="1">IFERROR(__xludf.DUMMYFUNCTION("""COMPUTED_VALUE"""),140)</f>
        <v>140</v>
      </c>
      <c r="E148" s="56">
        <f ca="1">IFERROR(__xludf.DUMMYFUNCTION("""COMPUTED_VALUE"""),20664)</f>
        <v>20664</v>
      </c>
    </row>
    <row r="149" spans="1:5" ht="12.5" x14ac:dyDescent="0.25">
      <c r="A149" s="175">
        <f ca="1">IFERROR(__xludf.DUMMYFUNCTION("""COMPUTED_VALUE"""),44038)</f>
        <v>44038</v>
      </c>
      <c r="B149" s="56">
        <f ca="1">IFERROR(__xludf.DUMMYFUNCTION("""COMPUTED_VALUE"""),23)</f>
        <v>23</v>
      </c>
      <c r="C149" s="56">
        <f ca="1">IFERROR(__xludf.DUMMYFUNCTION("""COMPUTED_VALUE"""),3565)</f>
        <v>3565</v>
      </c>
      <c r="D149" s="56">
        <f ca="1">IFERROR(__xludf.DUMMYFUNCTION("""COMPUTED_VALUE"""),117)</f>
        <v>117</v>
      </c>
      <c r="E149" s="56">
        <f ca="1">IFERROR(__xludf.DUMMYFUNCTION("""COMPUTED_VALUE"""),20781)</f>
        <v>20781</v>
      </c>
    </row>
    <row r="150" spans="1:5" ht="12.5" x14ac:dyDescent="0.25">
      <c r="A150" s="175">
        <f ca="1">IFERROR(__xludf.DUMMYFUNCTION("""COMPUTED_VALUE"""),44039)</f>
        <v>44039</v>
      </c>
      <c r="B150" s="56">
        <f ca="1">IFERROR(__xludf.DUMMYFUNCTION("""COMPUTED_VALUE"""),24)</f>
        <v>24</v>
      </c>
      <c r="C150" s="56">
        <f ca="1">IFERROR(__xludf.DUMMYFUNCTION("""COMPUTED_VALUE"""),3589)</f>
        <v>3589</v>
      </c>
      <c r="D150" s="56">
        <f ca="1">IFERROR(__xludf.DUMMYFUNCTION("""COMPUTED_VALUE"""),143)</f>
        <v>143</v>
      </c>
      <c r="E150" s="56">
        <f ca="1">IFERROR(__xludf.DUMMYFUNCTION("""COMPUTED_VALUE"""),20924)</f>
        <v>20924</v>
      </c>
    </row>
    <row r="151" spans="1:5" ht="12.5" x14ac:dyDescent="0.25">
      <c r="A151" s="175">
        <f ca="1">IFERROR(__xludf.DUMMYFUNCTION("""COMPUTED_VALUE"""),44040)</f>
        <v>44040</v>
      </c>
      <c r="B151" s="56">
        <f ca="1">IFERROR(__xludf.DUMMYFUNCTION("""COMPUTED_VALUE"""),30)</f>
        <v>30</v>
      </c>
      <c r="C151" s="56">
        <f ca="1">IFERROR(__xludf.DUMMYFUNCTION("""COMPUTED_VALUE"""),3619)</f>
        <v>3619</v>
      </c>
      <c r="D151" s="56">
        <f ca="1">IFERROR(__xludf.DUMMYFUNCTION("""COMPUTED_VALUE"""),144)</f>
        <v>144</v>
      </c>
      <c r="E151" s="56">
        <f ca="1">IFERROR(__xludf.DUMMYFUNCTION("""COMPUTED_VALUE"""),21068)</f>
        <v>21068</v>
      </c>
    </row>
    <row r="152" spans="1:5" ht="12.5" x14ac:dyDescent="0.25">
      <c r="A152" s="175">
        <f ca="1">IFERROR(__xludf.DUMMYFUNCTION("""COMPUTED_VALUE"""),44041)</f>
        <v>44041</v>
      </c>
      <c r="B152" s="56">
        <f ca="1">IFERROR(__xludf.DUMMYFUNCTION("""COMPUTED_VALUE"""),27)</f>
        <v>27</v>
      </c>
      <c r="C152" s="56">
        <f ca="1">IFERROR(__xludf.DUMMYFUNCTION("""COMPUTED_VALUE"""),3646)</f>
        <v>3646</v>
      </c>
      <c r="D152" s="56">
        <f ca="1">IFERROR(__xludf.DUMMYFUNCTION("""COMPUTED_VALUE"""),147)</f>
        <v>147</v>
      </c>
      <c r="E152" s="56">
        <f ca="1">IFERROR(__xludf.DUMMYFUNCTION("""COMPUTED_VALUE"""),21215)</f>
        <v>21215</v>
      </c>
    </row>
    <row r="153" spans="1:5" ht="12.5" x14ac:dyDescent="0.25">
      <c r="A153" s="175">
        <f ca="1">IFERROR(__xludf.DUMMYFUNCTION("""COMPUTED_VALUE"""),44042)</f>
        <v>44042</v>
      </c>
      <c r="B153" s="56">
        <f ca="1">IFERROR(__xludf.DUMMYFUNCTION("""COMPUTED_VALUE"""),20)</f>
        <v>20</v>
      </c>
      <c r="C153" s="56">
        <f ca="1">IFERROR(__xludf.DUMMYFUNCTION("""COMPUTED_VALUE"""),3666)</f>
        <v>3666</v>
      </c>
      <c r="D153" s="56">
        <f ca="1">IFERROR(__xludf.DUMMYFUNCTION("""COMPUTED_VALUE"""),141)</f>
        <v>141</v>
      </c>
      <c r="E153" s="56">
        <f ca="1">IFERROR(__xludf.DUMMYFUNCTION("""COMPUTED_VALUE"""),21356)</f>
        <v>21356</v>
      </c>
    </row>
    <row r="154" spans="1:5" ht="12.5" x14ac:dyDescent="0.25">
      <c r="A154" s="175">
        <f ca="1">IFERROR(__xludf.DUMMYFUNCTION("""COMPUTED_VALUE"""),44043)</f>
        <v>44043</v>
      </c>
      <c r="B154" s="56">
        <f ca="1">IFERROR(__xludf.DUMMYFUNCTION("""COMPUTED_VALUE"""),26)</f>
        <v>26</v>
      </c>
      <c r="C154" s="56">
        <f ca="1">IFERROR(__xludf.DUMMYFUNCTION("""COMPUTED_VALUE"""),3692)</f>
        <v>3692</v>
      </c>
      <c r="D154" s="56">
        <f ca="1">IFERROR(__xludf.DUMMYFUNCTION("""COMPUTED_VALUE"""),152)</f>
        <v>152</v>
      </c>
      <c r="E154" s="56">
        <f ca="1">IFERROR(__xludf.DUMMYFUNCTION("""COMPUTED_VALUE"""),21508)</f>
        <v>21508</v>
      </c>
    </row>
    <row r="155" spans="1:5" ht="12.5" x14ac:dyDescent="0.25">
      <c r="A155" s="175">
        <f ca="1">IFERROR(__xludf.DUMMYFUNCTION("""COMPUTED_VALUE"""),44044)</f>
        <v>44044</v>
      </c>
      <c r="B155" s="56">
        <f ca="1">IFERROR(__xludf.DUMMYFUNCTION("""COMPUTED_VALUE"""),31)</f>
        <v>31</v>
      </c>
      <c r="C155" s="56">
        <f ca="1">IFERROR(__xludf.DUMMYFUNCTION("""COMPUTED_VALUE"""),3723)</f>
        <v>3723</v>
      </c>
      <c r="D155" s="56">
        <f ca="1">IFERROR(__xludf.DUMMYFUNCTION("""COMPUTED_VALUE"""),151)</f>
        <v>151</v>
      </c>
      <c r="E155" s="56">
        <f ca="1">IFERROR(__xludf.DUMMYFUNCTION("""COMPUTED_VALUE"""),21659)</f>
        <v>21659</v>
      </c>
    </row>
    <row r="156" spans="1:5" ht="12.5" x14ac:dyDescent="0.25">
      <c r="A156" s="175">
        <f ca="1">IFERROR(__xludf.DUMMYFUNCTION("""COMPUTED_VALUE"""),44045)</f>
        <v>44045</v>
      </c>
      <c r="B156" s="56">
        <f ca="1">IFERROR(__xludf.DUMMYFUNCTION("""COMPUTED_VALUE"""),39)</f>
        <v>39</v>
      </c>
      <c r="C156" s="56">
        <f ca="1">IFERROR(__xludf.DUMMYFUNCTION("""COMPUTED_VALUE"""),3762)</f>
        <v>3762</v>
      </c>
      <c r="D156" s="56">
        <f ca="1">IFERROR(__xludf.DUMMYFUNCTION("""COMPUTED_VALUE"""),141)</f>
        <v>141</v>
      </c>
      <c r="E156" s="56">
        <f ca="1">IFERROR(__xludf.DUMMYFUNCTION("""COMPUTED_VALUE"""),21800)</f>
        <v>21800</v>
      </c>
    </row>
    <row r="157" spans="1:5" ht="12.5" x14ac:dyDescent="0.25">
      <c r="A157" s="175">
        <f ca="1">IFERROR(__xludf.DUMMYFUNCTION("""COMPUTED_VALUE"""),44046)</f>
        <v>44046</v>
      </c>
      <c r="B157" s="56">
        <f ca="1">IFERROR(__xludf.DUMMYFUNCTION("""COMPUTED_VALUE"""),25)</f>
        <v>25</v>
      </c>
      <c r="C157" s="56">
        <f ca="1">IFERROR(__xludf.DUMMYFUNCTION("""COMPUTED_VALUE"""),3787)</f>
        <v>3787</v>
      </c>
      <c r="D157" s="56">
        <f ca="1">IFERROR(__xludf.DUMMYFUNCTION("""COMPUTED_VALUE"""),129)</f>
        <v>129</v>
      </c>
      <c r="E157" s="56">
        <f ca="1">IFERROR(__xludf.DUMMYFUNCTION("""COMPUTED_VALUE"""),21929)</f>
        <v>21929</v>
      </c>
    </row>
    <row r="158" spans="1:5" ht="12.5" x14ac:dyDescent="0.25">
      <c r="A158" s="175">
        <f ca="1">IFERROR(__xludf.DUMMYFUNCTION("""COMPUTED_VALUE"""),44047)</f>
        <v>44047</v>
      </c>
      <c r="B158" s="56">
        <f ca="1">IFERROR(__xludf.DUMMYFUNCTION("""COMPUTED_VALUE"""),34)</f>
        <v>34</v>
      </c>
      <c r="C158" s="56">
        <f ca="1">IFERROR(__xludf.DUMMYFUNCTION("""COMPUTED_VALUE"""),3821)</f>
        <v>3821</v>
      </c>
      <c r="D158" s="56">
        <f ca="1">IFERROR(__xludf.DUMMYFUNCTION("""COMPUTED_VALUE"""),152)</f>
        <v>152</v>
      </c>
      <c r="E158" s="56">
        <f ca="1">IFERROR(__xludf.DUMMYFUNCTION("""COMPUTED_VALUE"""),22081)</f>
        <v>22081</v>
      </c>
    </row>
    <row r="159" spans="1:5" ht="12.5" x14ac:dyDescent="0.25">
      <c r="A159" s="175">
        <f ca="1">IFERROR(__xludf.DUMMYFUNCTION("""COMPUTED_VALUE"""),44048)</f>
        <v>44048</v>
      </c>
      <c r="B159" s="56">
        <f ca="1">IFERROR(__xludf.DUMMYFUNCTION("""COMPUTED_VALUE"""),36)</f>
        <v>36</v>
      </c>
      <c r="C159" s="56">
        <f ca="1">IFERROR(__xludf.DUMMYFUNCTION("""COMPUTED_VALUE"""),3857)</f>
        <v>3857</v>
      </c>
      <c r="D159" s="56">
        <f ca="1">IFERROR(__xludf.DUMMYFUNCTION("""COMPUTED_VALUE"""),138)</f>
        <v>138</v>
      </c>
      <c r="E159" s="56">
        <f ca="1">IFERROR(__xludf.DUMMYFUNCTION("""COMPUTED_VALUE"""),22219)</f>
        <v>22219</v>
      </c>
    </row>
    <row r="160" spans="1:5" ht="12.5" x14ac:dyDescent="0.25">
      <c r="A160" s="175">
        <f ca="1">IFERROR(__xludf.DUMMYFUNCTION("""COMPUTED_VALUE"""),44049)</f>
        <v>44049</v>
      </c>
      <c r="B160" s="56">
        <f ca="1">IFERROR(__xludf.DUMMYFUNCTION("""COMPUTED_VALUE"""),20)</f>
        <v>20</v>
      </c>
      <c r="C160" s="56">
        <f ca="1">IFERROR(__xludf.DUMMYFUNCTION("""COMPUTED_VALUE"""),3877)</f>
        <v>3877</v>
      </c>
      <c r="D160" s="56">
        <f ca="1">IFERROR(__xludf.DUMMYFUNCTION("""COMPUTED_VALUE"""),130)</f>
        <v>130</v>
      </c>
      <c r="E160" s="56">
        <f ca="1">IFERROR(__xludf.DUMMYFUNCTION("""COMPUTED_VALUE"""),22349)</f>
        <v>22349</v>
      </c>
    </row>
    <row r="161" spans="1:5" ht="12.5" x14ac:dyDescent="0.25">
      <c r="A161" s="175">
        <f ca="1">IFERROR(__xludf.DUMMYFUNCTION("""COMPUTED_VALUE"""),44050)</f>
        <v>44050</v>
      </c>
      <c r="B161" s="56">
        <f ca="1">IFERROR(__xludf.DUMMYFUNCTION("""COMPUTED_VALUE"""),36)</f>
        <v>36</v>
      </c>
      <c r="C161" s="56">
        <f ca="1">IFERROR(__xludf.DUMMYFUNCTION("""COMPUTED_VALUE"""),3913)</f>
        <v>3913</v>
      </c>
      <c r="D161" s="56">
        <f ca="1">IFERROR(__xludf.DUMMYFUNCTION("""COMPUTED_VALUE"""),159)</f>
        <v>159</v>
      </c>
      <c r="E161" s="56">
        <f ca="1">IFERROR(__xludf.DUMMYFUNCTION("""COMPUTED_VALUE"""),22508)</f>
        <v>22508</v>
      </c>
    </row>
    <row r="162" spans="1:5" ht="12.5" x14ac:dyDescent="0.25">
      <c r="A162" s="175">
        <f ca="1">IFERROR(__xludf.DUMMYFUNCTION("""COMPUTED_VALUE"""),44051)</f>
        <v>44051</v>
      </c>
      <c r="B162" s="56">
        <f ca="1">IFERROR(__xludf.DUMMYFUNCTION("""COMPUTED_VALUE"""),29)</f>
        <v>29</v>
      </c>
      <c r="C162" s="56">
        <f ca="1">IFERROR(__xludf.DUMMYFUNCTION("""COMPUTED_VALUE"""),3942)</f>
        <v>3942</v>
      </c>
      <c r="D162" s="56">
        <f ca="1">IFERROR(__xludf.DUMMYFUNCTION("""COMPUTED_VALUE"""),162)</f>
        <v>162</v>
      </c>
      <c r="E162" s="56">
        <f ca="1">IFERROR(__xludf.DUMMYFUNCTION("""COMPUTED_VALUE"""),22670)</f>
        <v>22670</v>
      </c>
    </row>
    <row r="163" spans="1:5" ht="12.5" x14ac:dyDescent="0.25">
      <c r="A163" s="175">
        <f ca="1">IFERROR(__xludf.DUMMYFUNCTION("""COMPUTED_VALUE"""),44052)</f>
        <v>44052</v>
      </c>
      <c r="B163" s="56">
        <f ca="1">IFERROR(__xludf.DUMMYFUNCTION("""COMPUTED_VALUE"""),35)</f>
        <v>35</v>
      </c>
      <c r="C163" s="56">
        <f ca="1">IFERROR(__xludf.DUMMYFUNCTION("""COMPUTED_VALUE"""),3977)</f>
        <v>3977</v>
      </c>
      <c r="D163" s="56">
        <f ca="1">IFERROR(__xludf.DUMMYFUNCTION("""COMPUTED_VALUE"""),145)</f>
        <v>145</v>
      </c>
      <c r="E163" s="56">
        <f ca="1">IFERROR(__xludf.DUMMYFUNCTION("""COMPUTED_VALUE"""),22815)</f>
        <v>22815</v>
      </c>
    </row>
    <row r="164" spans="1:5" ht="12.5" x14ac:dyDescent="0.25">
      <c r="A164" s="175">
        <f ca="1">IFERROR(__xludf.DUMMYFUNCTION("""COMPUTED_VALUE"""),44053)</f>
        <v>44053</v>
      </c>
      <c r="B164" s="56">
        <f ca="1">IFERROR(__xludf.DUMMYFUNCTION("""COMPUTED_VALUE"""),40)</f>
        <v>40</v>
      </c>
      <c r="C164" s="56">
        <f ca="1">IFERROR(__xludf.DUMMYFUNCTION("""COMPUTED_VALUE"""),4017)</f>
        <v>4017</v>
      </c>
      <c r="D164" s="56">
        <f ca="1">IFERROR(__xludf.DUMMYFUNCTION("""COMPUTED_VALUE"""),167)</f>
        <v>167</v>
      </c>
      <c r="E164" s="56">
        <f ca="1">IFERROR(__xludf.DUMMYFUNCTION("""COMPUTED_VALUE"""),22982)</f>
        <v>22982</v>
      </c>
    </row>
    <row r="165" spans="1:5" ht="12.5" x14ac:dyDescent="0.25">
      <c r="A165" s="175">
        <f ca="1">IFERROR(__xludf.DUMMYFUNCTION("""COMPUTED_VALUE"""),44054)</f>
        <v>44054</v>
      </c>
      <c r="B165" s="56">
        <f ca="1">IFERROR(__xludf.DUMMYFUNCTION("""COMPUTED_VALUE"""),36)</f>
        <v>36</v>
      </c>
      <c r="C165" s="56">
        <f ca="1">IFERROR(__xludf.DUMMYFUNCTION("""COMPUTED_VALUE"""),4053)</f>
        <v>4053</v>
      </c>
      <c r="D165" s="56">
        <f ca="1">IFERROR(__xludf.DUMMYFUNCTION("""COMPUTED_VALUE"""),136)</f>
        <v>136</v>
      </c>
      <c r="E165" s="56">
        <f ca="1">IFERROR(__xludf.DUMMYFUNCTION("""COMPUTED_VALUE"""),23118)</f>
        <v>23118</v>
      </c>
    </row>
    <row r="166" spans="1:5" ht="12.5" x14ac:dyDescent="0.25">
      <c r="A166" s="175">
        <f ca="1">IFERROR(__xludf.DUMMYFUNCTION("""COMPUTED_VALUE"""),44055)</f>
        <v>44055</v>
      </c>
      <c r="B166" s="56">
        <f ca="1">IFERROR(__xludf.DUMMYFUNCTION("""COMPUTED_VALUE"""),34)</f>
        <v>34</v>
      </c>
      <c r="C166" s="56">
        <f ca="1">IFERROR(__xludf.DUMMYFUNCTION("""COMPUTED_VALUE"""),4087)</f>
        <v>4087</v>
      </c>
      <c r="D166" s="56">
        <f ca="1">IFERROR(__xludf.DUMMYFUNCTION("""COMPUTED_VALUE"""),150)</f>
        <v>150</v>
      </c>
      <c r="E166" s="56">
        <f ca="1">IFERROR(__xludf.DUMMYFUNCTION("""COMPUTED_VALUE"""),23268)</f>
        <v>23268</v>
      </c>
    </row>
    <row r="167" spans="1:5" ht="12.5" x14ac:dyDescent="0.25">
      <c r="A167" s="175">
        <f ca="1">IFERROR(__xludf.DUMMYFUNCTION("""COMPUTED_VALUE"""),44056)</f>
        <v>44056</v>
      </c>
      <c r="B167" s="56">
        <f ca="1">IFERROR(__xludf.DUMMYFUNCTION("""COMPUTED_VALUE"""),34)</f>
        <v>34</v>
      </c>
      <c r="C167" s="56">
        <f ca="1">IFERROR(__xludf.DUMMYFUNCTION("""COMPUTED_VALUE"""),4121)</f>
        <v>4121</v>
      </c>
      <c r="D167" s="56">
        <f ca="1">IFERROR(__xludf.DUMMYFUNCTION("""COMPUTED_VALUE"""),149)</f>
        <v>149</v>
      </c>
      <c r="E167" s="56">
        <f ca="1">IFERROR(__xludf.DUMMYFUNCTION("""COMPUTED_VALUE"""),23417)</f>
        <v>23417</v>
      </c>
    </row>
    <row r="168" spans="1:5" ht="12.5" x14ac:dyDescent="0.25">
      <c r="A168" s="175">
        <f ca="1">IFERROR(__xludf.DUMMYFUNCTION("""COMPUTED_VALUE"""),44057)</f>
        <v>44057</v>
      </c>
      <c r="B168" s="56">
        <f ca="1">IFERROR(__xludf.DUMMYFUNCTION("""COMPUTED_VALUE"""),43)</f>
        <v>43</v>
      </c>
      <c r="C168" s="56">
        <f ca="1">IFERROR(__xludf.DUMMYFUNCTION("""COMPUTED_VALUE"""),4164)</f>
        <v>4164</v>
      </c>
      <c r="D168" s="56">
        <f ca="1">IFERROR(__xludf.DUMMYFUNCTION("""COMPUTED_VALUE"""),152)</f>
        <v>152</v>
      </c>
      <c r="E168" s="56">
        <f ca="1">IFERROR(__xludf.DUMMYFUNCTION("""COMPUTED_VALUE"""),23569)</f>
        <v>23569</v>
      </c>
    </row>
    <row r="169" spans="1:5" ht="12.5" x14ac:dyDescent="0.25">
      <c r="A169" s="175">
        <f ca="1">IFERROR(__xludf.DUMMYFUNCTION("""COMPUTED_VALUE"""),44058)</f>
        <v>44058</v>
      </c>
      <c r="B169" s="56">
        <f ca="1">IFERROR(__xludf.DUMMYFUNCTION("""COMPUTED_VALUE"""),30)</f>
        <v>30</v>
      </c>
      <c r="C169" s="56">
        <f ca="1">IFERROR(__xludf.DUMMYFUNCTION("""COMPUTED_VALUE"""),4194)</f>
        <v>4194</v>
      </c>
      <c r="D169" s="56">
        <f ca="1">IFERROR(__xludf.DUMMYFUNCTION("""COMPUTED_VALUE"""),150)</f>
        <v>150</v>
      </c>
      <c r="E169" s="56">
        <f ca="1">IFERROR(__xludf.DUMMYFUNCTION("""COMPUTED_VALUE"""),23719)</f>
        <v>23719</v>
      </c>
    </row>
    <row r="170" spans="1:5" ht="12.5" x14ac:dyDescent="0.25">
      <c r="A170" s="175">
        <f ca="1">IFERROR(__xludf.DUMMYFUNCTION("""COMPUTED_VALUE"""),44059)</f>
        <v>44059</v>
      </c>
      <c r="B170" s="56">
        <f ca="1">IFERROR(__xludf.DUMMYFUNCTION("""COMPUTED_VALUE"""),41)</f>
        <v>41</v>
      </c>
      <c r="C170" s="56">
        <f ca="1">IFERROR(__xludf.DUMMYFUNCTION("""COMPUTED_VALUE"""),4235)</f>
        <v>4235</v>
      </c>
      <c r="D170" s="56">
        <f ca="1">IFERROR(__xludf.DUMMYFUNCTION("""COMPUTED_VALUE"""),143)</f>
        <v>143</v>
      </c>
      <c r="E170" s="56">
        <f ca="1">IFERROR(__xludf.DUMMYFUNCTION("""COMPUTED_VALUE"""),23862)</f>
        <v>23862</v>
      </c>
    </row>
    <row r="171" spans="1:5" ht="12.5" x14ac:dyDescent="0.25">
      <c r="A171" s="175">
        <f ca="1">IFERROR(__xludf.DUMMYFUNCTION("""COMPUTED_VALUE"""),44060)</f>
        <v>44060</v>
      </c>
      <c r="B171" s="56">
        <f ca="1">IFERROR(__xludf.DUMMYFUNCTION("""COMPUTED_VALUE"""),39)</f>
        <v>39</v>
      </c>
      <c r="C171" s="56">
        <f ca="1">IFERROR(__xludf.DUMMYFUNCTION("""COMPUTED_VALUE"""),4274)</f>
        <v>4274</v>
      </c>
      <c r="D171" s="56">
        <f ca="1">IFERROR(__xludf.DUMMYFUNCTION("""COMPUTED_VALUE"""),157)</f>
        <v>157</v>
      </c>
      <c r="E171" s="56">
        <f ca="1">IFERROR(__xludf.DUMMYFUNCTION("""COMPUTED_VALUE"""),24019)</f>
        <v>24019</v>
      </c>
    </row>
    <row r="172" spans="1:5" ht="12.5" x14ac:dyDescent="0.25">
      <c r="A172" s="175">
        <f ca="1">IFERROR(__xludf.DUMMYFUNCTION("""COMPUTED_VALUE"""),44061)</f>
        <v>44061</v>
      </c>
      <c r="B172" s="56">
        <f ca="1">IFERROR(__xludf.DUMMYFUNCTION("""COMPUTED_VALUE"""),31)</f>
        <v>31</v>
      </c>
      <c r="C172" s="56">
        <f ca="1">IFERROR(__xludf.DUMMYFUNCTION("""COMPUTED_VALUE"""),4305)</f>
        <v>4305</v>
      </c>
      <c r="D172" s="56">
        <f ca="1">IFERROR(__xludf.DUMMYFUNCTION("""COMPUTED_VALUE"""),145)</f>
        <v>145</v>
      </c>
      <c r="E172" s="56">
        <f ca="1">IFERROR(__xludf.DUMMYFUNCTION("""COMPUTED_VALUE"""),24164)</f>
        <v>24164</v>
      </c>
    </row>
    <row r="173" spans="1:5" ht="12.5" x14ac:dyDescent="0.25">
      <c r="A173" s="175">
        <f ca="1">IFERROR(__xludf.DUMMYFUNCTION("""COMPUTED_VALUE"""),44062)</f>
        <v>44062</v>
      </c>
      <c r="B173" s="56">
        <f ca="1">IFERROR(__xludf.DUMMYFUNCTION("""COMPUTED_VALUE"""),35)</f>
        <v>35</v>
      </c>
      <c r="C173" s="56">
        <f ca="1">IFERROR(__xludf.DUMMYFUNCTION("""COMPUTED_VALUE"""),4340)</f>
        <v>4340</v>
      </c>
      <c r="D173" s="56">
        <f ca="1">IFERROR(__xludf.DUMMYFUNCTION("""COMPUTED_VALUE"""),147)</f>
        <v>147</v>
      </c>
      <c r="E173" s="56">
        <f ca="1">IFERROR(__xludf.DUMMYFUNCTION("""COMPUTED_VALUE"""),24311)</f>
        <v>24311</v>
      </c>
    </row>
    <row r="174" spans="1:5" ht="12.5" x14ac:dyDescent="0.25">
      <c r="A174" s="175">
        <f ca="1">IFERROR(__xludf.DUMMYFUNCTION("""COMPUTED_VALUE"""),44063)</f>
        <v>44063</v>
      </c>
      <c r="B174" s="56">
        <f ca="1">IFERROR(__xludf.DUMMYFUNCTION("""COMPUTED_VALUE"""),35)</f>
        <v>35</v>
      </c>
      <c r="C174" s="56">
        <f ca="1">IFERROR(__xludf.DUMMYFUNCTION("""COMPUTED_VALUE"""),4375)</f>
        <v>4375</v>
      </c>
      <c r="D174" s="56">
        <f ca="1">IFERROR(__xludf.DUMMYFUNCTION("""COMPUTED_VALUE"""),168)</f>
        <v>168</v>
      </c>
      <c r="E174" s="56">
        <f ca="1">IFERROR(__xludf.DUMMYFUNCTION("""COMPUTED_VALUE"""),24479)</f>
        <v>24479</v>
      </c>
    </row>
    <row r="175" spans="1:5" ht="12.5" x14ac:dyDescent="0.25">
      <c r="A175" s="175">
        <f ca="1">IFERROR(__xludf.DUMMYFUNCTION("""COMPUTED_VALUE"""),44064)</f>
        <v>44064</v>
      </c>
      <c r="B175" s="56">
        <f ca="1">IFERROR(__xludf.DUMMYFUNCTION("""COMPUTED_VALUE"""),37)</f>
        <v>37</v>
      </c>
      <c r="C175" s="56">
        <f ca="1">IFERROR(__xludf.DUMMYFUNCTION("""COMPUTED_VALUE"""),4412)</f>
        <v>4412</v>
      </c>
      <c r="D175" s="56">
        <f ca="1">IFERROR(__xludf.DUMMYFUNCTION("""COMPUTED_VALUE"""),160)</f>
        <v>160</v>
      </c>
      <c r="E175" s="56">
        <f ca="1">IFERROR(__xludf.DUMMYFUNCTION("""COMPUTED_VALUE"""),24639)</f>
        <v>24639</v>
      </c>
    </row>
    <row r="176" spans="1:5" ht="12.5" x14ac:dyDescent="0.25">
      <c r="A176" s="175">
        <f ca="1">IFERROR(__xludf.DUMMYFUNCTION("""COMPUTED_VALUE"""),44065)</f>
        <v>44065</v>
      </c>
      <c r="B176" s="56">
        <f ca="1">IFERROR(__xludf.DUMMYFUNCTION("""COMPUTED_VALUE"""),42)</f>
        <v>42</v>
      </c>
      <c r="C176" s="56">
        <f ca="1">IFERROR(__xludf.DUMMYFUNCTION("""COMPUTED_VALUE"""),4454)</f>
        <v>4454</v>
      </c>
      <c r="D176" s="56">
        <f ca="1">IFERROR(__xludf.DUMMYFUNCTION("""COMPUTED_VALUE"""),157)</f>
        <v>157</v>
      </c>
      <c r="E176" s="56">
        <f ca="1">IFERROR(__xludf.DUMMYFUNCTION("""COMPUTED_VALUE"""),24796)</f>
        <v>24796</v>
      </c>
    </row>
    <row r="177" spans="1:5" ht="12.5" x14ac:dyDescent="0.25">
      <c r="A177" s="175">
        <f ca="1">IFERROR(__xludf.DUMMYFUNCTION("""COMPUTED_VALUE"""),44066)</f>
        <v>44066</v>
      </c>
      <c r="B177" s="56">
        <f ca="1">IFERROR(__xludf.DUMMYFUNCTION("""COMPUTED_VALUE"""),37)</f>
        <v>37</v>
      </c>
      <c r="C177" s="56">
        <f ca="1">IFERROR(__xludf.DUMMYFUNCTION("""COMPUTED_VALUE"""),4491)</f>
        <v>4491</v>
      </c>
      <c r="D177" s="56">
        <f ca="1">IFERROR(__xludf.DUMMYFUNCTION("""COMPUTED_VALUE"""),139)</f>
        <v>139</v>
      </c>
      <c r="E177" s="56">
        <f ca="1">IFERROR(__xludf.DUMMYFUNCTION("""COMPUTED_VALUE"""),24935)</f>
        <v>24935</v>
      </c>
    </row>
    <row r="178" spans="1:5" ht="12.5" x14ac:dyDescent="0.25">
      <c r="A178" s="175">
        <f ca="1">IFERROR(__xludf.DUMMYFUNCTION("""COMPUTED_VALUE"""),44067)</f>
        <v>44067</v>
      </c>
      <c r="B178" s="56">
        <f ca="1">IFERROR(__xludf.DUMMYFUNCTION("""COMPUTED_VALUE"""),47)</f>
        <v>47</v>
      </c>
      <c r="C178" s="56">
        <f ca="1">IFERROR(__xludf.DUMMYFUNCTION("""COMPUTED_VALUE"""),4538)</f>
        <v>4538</v>
      </c>
      <c r="D178" s="56">
        <f ca="1">IFERROR(__xludf.DUMMYFUNCTION("""COMPUTED_VALUE"""),162)</f>
        <v>162</v>
      </c>
      <c r="E178" s="56">
        <f ca="1">IFERROR(__xludf.DUMMYFUNCTION("""COMPUTED_VALUE"""),25097)</f>
        <v>25097</v>
      </c>
    </row>
    <row r="179" spans="1:5" ht="12.5" x14ac:dyDescent="0.25">
      <c r="A179" s="175">
        <f ca="1">IFERROR(__xludf.DUMMYFUNCTION("""COMPUTED_VALUE"""),44068)</f>
        <v>44068</v>
      </c>
      <c r="B179" s="56">
        <f ca="1">IFERROR(__xludf.DUMMYFUNCTION("""COMPUTED_VALUE"""),38)</f>
        <v>38</v>
      </c>
      <c r="C179" s="56">
        <f ca="1">IFERROR(__xludf.DUMMYFUNCTION("""COMPUTED_VALUE"""),4576)</f>
        <v>4576</v>
      </c>
      <c r="D179" s="56">
        <f ca="1">IFERROR(__xludf.DUMMYFUNCTION("""COMPUTED_VALUE"""),161)</f>
        <v>161</v>
      </c>
      <c r="E179" s="56">
        <f ca="1">IFERROR(__xludf.DUMMYFUNCTION("""COMPUTED_VALUE"""),25258)</f>
        <v>25258</v>
      </c>
    </row>
    <row r="180" spans="1:5" ht="12.5" x14ac:dyDescent="0.25">
      <c r="A180" s="175">
        <f ca="1">IFERROR(__xludf.DUMMYFUNCTION("""COMPUTED_VALUE"""),44069)</f>
        <v>44069</v>
      </c>
      <c r="B180" s="56">
        <f ca="1">IFERROR(__xludf.DUMMYFUNCTION("""COMPUTED_VALUE"""),42)</f>
        <v>42</v>
      </c>
      <c r="C180" s="56">
        <f ca="1">IFERROR(__xludf.DUMMYFUNCTION("""COMPUTED_VALUE"""),4618)</f>
        <v>4618</v>
      </c>
      <c r="D180" s="56">
        <f ca="1">IFERROR(__xludf.DUMMYFUNCTION("""COMPUTED_VALUE"""),167)</f>
        <v>167</v>
      </c>
      <c r="E180" s="56">
        <f ca="1">IFERROR(__xludf.DUMMYFUNCTION("""COMPUTED_VALUE"""),25425)</f>
        <v>25425</v>
      </c>
    </row>
    <row r="181" spans="1:5" ht="12.5" x14ac:dyDescent="0.25">
      <c r="A181" s="175">
        <f ca="1">IFERROR(__xludf.DUMMYFUNCTION("""COMPUTED_VALUE"""),44070)</f>
        <v>44070</v>
      </c>
      <c r="B181" s="56">
        <f ca="1">IFERROR(__xludf.DUMMYFUNCTION("""COMPUTED_VALUE"""),50)</f>
        <v>50</v>
      </c>
      <c r="C181" s="56">
        <f ca="1">IFERROR(__xludf.DUMMYFUNCTION("""COMPUTED_VALUE"""),4668)</f>
        <v>4668</v>
      </c>
      <c r="D181" s="56">
        <f ca="1">IFERROR(__xludf.DUMMYFUNCTION("""COMPUTED_VALUE"""),165)</f>
        <v>165</v>
      </c>
      <c r="E181" s="56">
        <f ca="1">IFERROR(__xludf.DUMMYFUNCTION("""COMPUTED_VALUE"""),25590)</f>
        <v>25590</v>
      </c>
    </row>
    <row r="182" spans="1:5" ht="12.5" x14ac:dyDescent="0.25">
      <c r="A182" s="175">
        <f ca="1">IFERROR(__xludf.DUMMYFUNCTION("""COMPUTED_VALUE"""),44071)</f>
        <v>44071</v>
      </c>
      <c r="B182" s="56">
        <f ca="1">IFERROR(__xludf.DUMMYFUNCTION("""COMPUTED_VALUE"""),37)</f>
        <v>37</v>
      </c>
      <c r="C182" s="56">
        <f ca="1">IFERROR(__xludf.DUMMYFUNCTION("""COMPUTED_VALUE"""),4705)</f>
        <v>4705</v>
      </c>
      <c r="D182" s="56">
        <f ca="1">IFERROR(__xludf.DUMMYFUNCTION("""COMPUTED_VALUE"""),180)</f>
        <v>180</v>
      </c>
      <c r="E182" s="56">
        <f ca="1">IFERROR(__xludf.DUMMYFUNCTION("""COMPUTED_VALUE"""),25770)</f>
        <v>25770</v>
      </c>
    </row>
    <row r="183" spans="1:5" ht="12.5" x14ac:dyDescent="0.25">
      <c r="A183" s="175">
        <f ca="1">IFERROR(__xludf.DUMMYFUNCTION("""COMPUTED_VALUE"""),44072)</f>
        <v>44072</v>
      </c>
      <c r="B183" s="56">
        <f ca="1">IFERROR(__xludf.DUMMYFUNCTION("""COMPUTED_VALUE"""),54)</f>
        <v>54</v>
      </c>
      <c r="C183" s="56">
        <f ca="1">IFERROR(__xludf.DUMMYFUNCTION("""COMPUTED_VALUE"""),4759)</f>
        <v>4759</v>
      </c>
      <c r="D183" s="56">
        <f ca="1">IFERROR(__xludf.DUMMYFUNCTION("""COMPUTED_VALUE"""),152)</f>
        <v>152</v>
      </c>
      <c r="E183" s="56">
        <f ca="1">IFERROR(__xludf.DUMMYFUNCTION("""COMPUTED_VALUE"""),25922)</f>
        <v>25922</v>
      </c>
    </row>
    <row r="184" spans="1:5" ht="12.5" x14ac:dyDescent="0.25">
      <c r="A184" s="175">
        <f ca="1">IFERROR(__xludf.DUMMYFUNCTION("""COMPUTED_VALUE"""),44073)</f>
        <v>44073</v>
      </c>
      <c r="B184" s="56">
        <f ca="1">IFERROR(__xludf.DUMMYFUNCTION("""COMPUTED_VALUE"""),59)</f>
        <v>59</v>
      </c>
      <c r="C184" s="56">
        <f ca="1">IFERROR(__xludf.DUMMYFUNCTION("""COMPUTED_VALUE"""),4818)</f>
        <v>4818</v>
      </c>
      <c r="D184" s="56">
        <f ca="1">IFERROR(__xludf.DUMMYFUNCTION("""COMPUTED_VALUE"""),227)</f>
        <v>227</v>
      </c>
      <c r="E184" s="56">
        <f ca="1">IFERROR(__xludf.DUMMYFUNCTION("""COMPUTED_VALUE"""),26149)</f>
        <v>26149</v>
      </c>
    </row>
    <row r="185" spans="1:5" ht="12.5" x14ac:dyDescent="0.25">
      <c r="A185" s="175">
        <f ca="1">IFERROR(__xludf.DUMMYFUNCTION("""COMPUTED_VALUE"""),44074)</f>
        <v>44074</v>
      </c>
      <c r="B185" s="56">
        <f ca="1">IFERROR(__xludf.DUMMYFUNCTION("""COMPUTED_VALUE"""),57)</f>
        <v>57</v>
      </c>
      <c r="C185" s="56">
        <f ca="1">IFERROR(__xludf.DUMMYFUNCTION("""COMPUTED_VALUE"""),4875)</f>
        <v>4875</v>
      </c>
      <c r="D185" s="56">
        <f ca="1">IFERROR(__xludf.DUMMYFUNCTION("""COMPUTED_VALUE"""),166)</f>
        <v>166</v>
      </c>
      <c r="E185" s="56">
        <f ca="1">IFERROR(__xludf.DUMMYFUNCTION("""COMPUTED_VALUE"""),26315)</f>
        <v>26315</v>
      </c>
    </row>
    <row r="186" spans="1:5" ht="12.5" x14ac:dyDescent="0.25">
      <c r="A186" s="175">
        <f ca="1">IFERROR(__xludf.DUMMYFUNCTION("""COMPUTED_VALUE"""),44075)</f>
        <v>44075</v>
      </c>
      <c r="B186" s="56">
        <f ca="1">IFERROR(__xludf.DUMMYFUNCTION("""COMPUTED_VALUE"""),47)</f>
        <v>47</v>
      </c>
      <c r="C186" s="56">
        <f ca="1">IFERROR(__xludf.DUMMYFUNCTION("""COMPUTED_VALUE"""),4922)</f>
        <v>4922</v>
      </c>
      <c r="D186" s="56">
        <f ca="1">IFERROR(__xludf.DUMMYFUNCTION("""COMPUTED_VALUE"""),281)</f>
        <v>281</v>
      </c>
      <c r="E186" s="56">
        <f ca="1">IFERROR(__xludf.DUMMYFUNCTION("""COMPUTED_VALUE"""),26596)</f>
        <v>26596</v>
      </c>
    </row>
    <row r="187" spans="1:5" ht="12.5" x14ac:dyDescent="0.25">
      <c r="A187" s="175">
        <f ca="1">IFERROR(__xludf.DUMMYFUNCTION("""COMPUTED_VALUE"""),44076)</f>
        <v>44076</v>
      </c>
      <c r="B187" s="56">
        <f ca="1">IFERROR(__xludf.DUMMYFUNCTION("""COMPUTED_VALUE"""),60)</f>
        <v>60</v>
      </c>
      <c r="C187" s="56">
        <f ca="1">IFERROR(__xludf.DUMMYFUNCTION("""COMPUTED_VALUE"""),4982)</f>
        <v>4982</v>
      </c>
      <c r="D187" s="56">
        <f ca="1">IFERROR(__xludf.DUMMYFUNCTION("""COMPUTED_VALUE"""),181)</f>
        <v>181</v>
      </c>
      <c r="E187" s="56">
        <f ca="1">IFERROR(__xludf.DUMMYFUNCTION("""COMPUTED_VALUE"""),26777)</f>
        <v>26777</v>
      </c>
    </row>
    <row r="188" spans="1:5" ht="12.5" x14ac:dyDescent="0.25">
      <c r="A188" s="175">
        <f ca="1">IFERROR(__xludf.DUMMYFUNCTION("""COMPUTED_VALUE"""),44077)</f>
        <v>44077</v>
      </c>
      <c r="B188" s="56">
        <f ca="1">IFERROR(__xludf.DUMMYFUNCTION("""COMPUTED_VALUE"""),50)</f>
        <v>50</v>
      </c>
      <c r="C188" s="56">
        <f ca="1">IFERROR(__xludf.DUMMYFUNCTION("""COMPUTED_VALUE"""),5032)</f>
        <v>5032</v>
      </c>
      <c r="D188" s="56">
        <f ca="1">IFERROR(__xludf.DUMMYFUNCTION("""COMPUTED_VALUE"""),155)</f>
        <v>155</v>
      </c>
      <c r="E188" s="56">
        <f ca="1">IFERROR(__xludf.DUMMYFUNCTION("""COMPUTED_VALUE"""),26932)</f>
        <v>26932</v>
      </c>
    </row>
    <row r="189" spans="1:5" ht="12.5" x14ac:dyDescent="0.25">
      <c r="A189" s="175">
        <f ca="1">IFERROR(__xludf.DUMMYFUNCTION("""COMPUTED_VALUE"""),44078)</f>
        <v>44078</v>
      </c>
      <c r="B189" s="56">
        <f ca="1">IFERROR(__xludf.DUMMYFUNCTION("""COMPUTED_VALUE"""),52)</f>
        <v>52</v>
      </c>
      <c r="C189" s="56">
        <f ca="1">IFERROR(__xludf.DUMMYFUNCTION("""COMPUTED_VALUE"""),5084)</f>
        <v>5084</v>
      </c>
      <c r="D189" s="56">
        <f ca="1">IFERROR(__xludf.DUMMYFUNCTION("""COMPUTED_VALUE"""),176)</f>
        <v>176</v>
      </c>
      <c r="E189" s="56">
        <f ca="1">IFERROR(__xludf.DUMMYFUNCTION("""COMPUTED_VALUE"""),27108)</f>
        <v>27108</v>
      </c>
    </row>
    <row r="190" spans="1:5" ht="12.5" x14ac:dyDescent="0.25">
      <c r="A190" s="175">
        <f ca="1">IFERROR(__xludf.DUMMYFUNCTION("""COMPUTED_VALUE"""),44079)</f>
        <v>44079</v>
      </c>
      <c r="B190" s="56">
        <f ca="1">IFERROR(__xludf.DUMMYFUNCTION("""COMPUTED_VALUE"""),66)</f>
        <v>66</v>
      </c>
      <c r="C190" s="56">
        <f ca="1">IFERROR(__xludf.DUMMYFUNCTION("""COMPUTED_VALUE"""),5150)</f>
        <v>5150</v>
      </c>
      <c r="D190" s="56">
        <f ca="1">IFERROR(__xludf.DUMMYFUNCTION("""COMPUTED_VALUE"""),216)</f>
        <v>216</v>
      </c>
      <c r="E190" s="56">
        <f ca="1">IFERROR(__xludf.DUMMYFUNCTION("""COMPUTED_VALUE"""),27324)</f>
        <v>27324</v>
      </c>
    </row>
    <row r="191" spans="1:5" ht="12.5" x14ac:dyDescent="0.25">
      <c r="A191" s="175">
        <f ca="1">IFERROR(__xludf.DUMMYFUNCTION("""COMPUTED_VALUE"""),44080)</f>
        <v>44080</v>
      </c>
      <c r="B191" s="56">
        <f ca="1">IFERROR(__xludf.DUMMYFUNCTION("""COMPUTED_VALUE"""),50)</f>
        <v>50</v>
      </c>
      <c r="C191" s="56">
        <f ca="1">IFERROR(__xludf.DUMMYFUNCTION("""COMPUTED_VALUE"""),5200)</f>
        <v>5200</v>
      </c>
      <c r="D191" s="56">
        <f ca="1">IFERROR(__xludf.DUMMYFUNCTION("""COMPUTED_VALUE"""),183)</f>
        <v>183</v>
      </c>
      <c r="E191" s="56">
        <f ca="1">IFERROR(__xludf.DUMMYFUNCTION("""COMPUTED_VALUE"""),27507)</f>
        <v>27507</v>
      </c>
    </row>
    <row r="192" spans="1:5" ht="12.5" x14ac:dyDescent="0.25">
      <c r="A192" s="175">
        <f ca="1">IFERROR(__xludf.DUMMYFUNCTION("""COMPUTED_VALUE"""),44081)</f>
        <v>44081</v>
      </c>
      <c r="B192" s="56">
        <f ca="1">IFERROR(__xludf.DUMMYFUNCTION("""COMPUTED_VALUE"""),45)</f>
        <v>45</v>
      </c>
      <c r="C192" s="56">
        <f ca="1">IFERROR(__xludf.DUMMYFUNCTION("""COMPUTED_VALUE"""),5245)</f>
        <v>5245</v>
      </c>
      <c r="D192" s="56">
        <f ca="1">IFERROR(__xludf.DUMMYFUNCTION("""COMPUTED_VALUE"""),160)</f>
        <v>160</v>
      </c>
      <c r="E192" s="56">
        <f ca="1">IFERROR(__xludf.DUMMYFUNCTION("""COMPUTED_VALUE"""),27667)</f>
        <v>27667</v>
      </c>
    </row>
    <row r="193" spans="1:5" ht="12.5" x14ac:dyDescent="0.25">
      <c r="A193" s="175">
        <f ca="1">IFERROR(__xludf.DUMMYFUNCTION("""COMPUTED_VALUE"""),44082)</f>
        <v>44082</v>
      </c>
      <c r="B193" s="56">
        <f ca="1">IFERROR(__xludf.DUMMYFUNCTION("""COMPUTED_VALUE"""),46)</f>
        <v>46</v>
      </c>
      <c r="C193" s="56">
        <f ca="1">IFERROR(__xludf.DUMMYFUNCTION("""COMPUTED_VALUE"""),5291)</f>
        <v>5291</v>
      </c>
      <c r="D193" s="56">
        <f ca="1">IFERROR(__xludf.DUMMYFUNCTION("""COMPUTED_VALUE"""),189)</f>
        <v>189</v>
      </c>
      <c r="E193" s="56">
        <f ca="1">IFERROR(__xludf.DUMMYFUNCTION("""COMPUTED_VALUE"""),27856)</f>
        <v>27856</v>
      </c>
    </row>
    <row r="194" spans="1:5" ht="12.5" x14ac:dyDescent="0.25">
      <c r="A194" s="175">
        <f ca="1">IFERROR(__xludf.DUMMYFUNCTION("""COMPUTED_VALUE"""),44083)</f>
        <v>44083</v>
      </c>
      <c r="B194" s="56">
        <f ca="1">IFERROR(__xludf.DUMMYFUNCTION("""COMPUTED_VALUE"""),48)</f>
        <v>48</v>
      </c>
      <c r="C194" s="56">
        <f ca="1">IFERROR(__xludf.DUMMYFUNCTION("""COMPUTED_VALUE"""),5339)</f>
        <v>5339</v>
      </c>
      <c r="D194" s="56">
        <f ca="1">IFERROR(__xludf.DUMMYFUNCTION("""COMPUTED_VALUE"""),205)</f>
        <v>205</v>
      </c>
      <c r="E194" s="56">
        <f ca="1">IFERROR(__xludf.DUMMYFUNCTION("""COMPUTED_VALUE"""),28061)</f>
        <v>28061</v>
      </c>
    </row>
    <row r="195" spans="1:5" ht="12.5" x14ac:dyDescent="0.25">
      <c r="A195" s="175">
        <f ca="1">IFERROR(__xludf.DUMMYFUNCTION("""COMPUTED_VALUE"""),44084)</f>
        <v>44084</v>
      </c>
      <c r="B195" s="56">
        <f ca="1">IFERROR(__xludf.DUMMYFUNCTION("""COMPUTED_VALUE"""),60)</f>
        <v>60</v>
      </c>
      <c r="C195" s="56">
        <f ca="1">IFERROR(__xludf.DUMMYFUNCTION("""COMPUTED_VALUE"""),5399)</f>
        <v>5399</v>
      </c>
      <c r="D195" s="56">
        <f ca="1">IFERROR(__xludf.DUMMYFUNCTION("""COMPUTED_VALUE"""),214)</f>
        <v>214</v>
      </c>
      <c r="E195" s="56">
        <f ca="1">IFERROR(__xludf.DUMMYFUNCTION("""COMPUTED_VALUE"""),28275)</f>
        <v>28275</v>
      </c>
    </row>
    <row r="196" spans="1:5" ht="12.5" x14ac:dyDescent="0.25">
      <c r="A196" s="175">
        <f ca="1">IFERROR(__xludf.DUMMYFUNCTION("""COMPUTED_VALUE"""),44085)</f>
        <v>44085</v>
      </c>
      <c r="B196" s="56">
        <f ca="1">IFERROR(__xludf.DUMMYFUNCTION("""COMPUTED_VALUE"""),57)</f>
        <v>57</v>
      </c>
      <c r="C196" s="56">
        <f ca="1">IFERROR(__xludf.DUMMYFUNCTION("""COMPUTED_VALUE"""),5456)</f>
        <v>5456</v>
      </c>
      <c r="D196" s="56">
        <f ca="1">IFERROR(__xludf.DUMMYFUNCTION("""COMPUTED_VALUE"""),186)</f>
        <v>186</v>
      </c>
      <c r="E196" s="56">
        <f ca="1">IFERROR(__xludf.DUMMYFUNCTION("""COMPUTED_VALUE"""),28461)</f>
        <v>28461</v>
      </c>
    </row>
    <row r="197" spans="1:5" ht="12.5" x14ac:dyDescent="0.25">
      <c r="A197" s="175">
        <f ca="1">IFERROR(__xludf.DUMMYFUNCTION("""COMPUTED_VALUE"""),44086)</f>
        <v>44086</v>
      </c>
      <c r="B197" s="56">
        <f ca="1">IFERROR(__xludf.DUMMYFUNCTION("""COMPUTED_VALUE"""),47)</f>
        <v>47</v>
      </c>
      <c r="C197" s="56">
        <f ca="1">IFERROR(__xludf.DUMMYFUNCTION("""COMPUTED_VALUE"""),5503)</f>
        <v>5503</v>
      </c>
      <c r="D197" s="56">
        <f ca="1">IFERROR(__xludf.DUMMYFUNCTION("""COMPUTED_VALUE"""),189)</f>
        <v>189</v>
      </c>
      <c r="E197" s="56">
        <f ca="1">IFERROR(__xludf.DUMMYFUNCTION("""COMPUTED_VALUE"""),28650)</f>
        <v>28650</v>
      </c>
    </row>
    <row r="198" spans="1:5" ht="12.5" x14ac:dyDescent="0.25">
      <c r="A198" s="175">
        <f ca="1">IFERROR(__xludf.DUMMYFUNCTION("""COMPUTED_VALUE"""),44087)</f>
        <v>44087</v>
      </c>
      <c r="B198" s="56">
        <f ca="1">IFERROR(__xludf.DUMMYFUNCTION("""COMPUTED_VALUE"""),54)</f>
        <v>54</v>
      </c>
      <c r="C198" s="56">
        <f ca="1">IFERROR(__xludf.DUMMYFUNCTION("""COMPUTED_VALUE"""),5557)</f>
        <v>5557</v>
      </c>
      <c r="D198" s="56">
        <f ca="1">IFERROR(__xludf.DUMMYFUNCTION("""COMPUTED_VALUE"""),158)</f>
        <v>158</v>
      </c>
      <c r="E198" s="56">
        <f ca="1">IFERROR(__xludf.DUMMYFUNCTION("""COMPUTED_VALUE"""),28808)</f>
        <v>28808</v>
      </c>
    </row>
    <row r="199" spans="1:5" ht="12.5" x14ac:dyDescent="0.25">
      <c r="A199" s="175">
        <f ca="1">IFERROR(__xludf.DUMMYFUNCTION("""COMPUTED_VALUE"""),44088)</f>
        <v>44088</v>
      </c>
      <c r="B199" s="56">
        <f ca="1">IFERROR(__xludf.DUMMYFUNCTION("""COMPUTED_VALUE"""),52)</f>
        <v>52</v>
      </c>
      <c r="C199" s="56">
        <f ca="1">IFERROR(__xludf.DUMMYFUNCTION("""COMPUTED_VALUE"""),5609)</f>
        <v>5609</v>
      </c>
      <c r="D199" s="56">
        <f ca="1">IFERROR(__xludf.DUMMYFUNCTION("""COMPUTED_VALUE"""),198)</f>
        <v>198</v>
      </c>
      <c r="E199" s="56">
        <f ca="1">IFERROR(__xludf.DUMMYFUNCTION("""COMPUTED_VALUE"""),29006)</f>
        <v>29006</v>
      </c>
    </row>
    <row r="200" spans="1:5" ht="12.5" x14ac:dyDescent="0.25">
      <c r="A200" s="175">
        <f ca="1">IFERROR(__xludf.DUMMYFUNCTION("""COMPUTED_VALUE"""),44089)</f>
        <v>44089</v>
      </c>
      <c r="B200" s="56">
        <f ca="1">IFERROR(__xludf.DUMMYFUNCTION("""COMPUTED_VALUE"""),64)</f>
        <v>64</v>
      </c>
      <c r="C200" s="56">
        <f ca="1">IFERROR(__xludf.DUMMYFUNCTION("""COMPUTED_VALUE"""),5673)</f>
        <v>5673</v>
      </c>
      <c r="D200" s="56">
        <f ca="1">IFERROR(__xludf.DUMMYFUNCTION("""COMPUTED_VALUE"""),189)</f>
        <v>189</v>
      </c>
      <c r="E200" s="56">
        <f ca="1">IFERROR(__xludf.DUMMYFUNCTION("""COMPUTED_VALUE"""),29195)</f>
        <v>29195</v>
      </c>
    </row>
    <row r="201" spans="1:5" ht="12.5" x14ac:dyDescent="0.25">
      <c r="A201" s="175">
        <f ca="1">IFERROR(__xludf.DUMMYFUNCTION("""COMPUTED_VALUE"""),44090)</f>
        <v>44090</v>
      </c>
      <c r="B201" s="56">
        <f ca="1">IFERROR(__xludf.DUMMYFUNCTION("""COMPUTED_VALUE"""),67)</f>
        <v>67</v>
      </c>
      <c r="C201" s="56">
        <f ca="1">IFERROR(__xludf.DUMMYFUNCTION("""COMPUTED_VALUE"""),5740)</f>
        <v>5740</v>
      </c>
      <c r="D201" s="56">
        <f ca="1">IFERROR(__xludf.DUMMYFUNCTION("""COMPUTED_VALUE"""),161)</f>
        <v>161</v>
      </c>
      <c r="E201" s="56">
        <f ca="1">IFERROR(__xludf.DUMMYFUNCTION("""COMPUTED_VALUE"""),29356)</f>
        <v>29356</v>
      </c>
    </row>
    <row r="202" spans="1:5" ht="12.5" x14ac:dyDescent="0.25">
      <c r="A202" s="175">
        <f ca="1">IFERROR(__xludf.DUMMYFUNCTION("""COMPUTED_VALUE"""),44091)</f>
        <v>44091</v>
      </c>
      <c r="B202" s="56">
        <f ca="1">IFERROR(__xludf.DUMMYFUNCTION("""COMPUTED_VALUE"""),62)</f>
        <v>62</v>
      </c>
      <c r="C202" s="56">
        <f ca="1">IFERROR(__xludf.DUMMYFUNCTION("""COMPUTED_VALUE"""),5802)</f>
        <v>5802</v>
      </c>
      <c r="D202" s="56">
        <f ca="1">IFERROR(__xludf.DUMMYFUNCTION("""COMPUTED_VALUE"""),178)</f>
        <v>178</v>
      </c>
      <c r="E202" s="56">
        <f ca="1">IFERROR(__xludf.DUMMYFUNCTION("""COMPUTED_VALUE"""),29534)</f>
        <v>29534</v>
      </c>
    </row>
    <row r="203" spans="1:5" ht="12.5" x14ac:dyDescent="0.25">
      <c r="A203" s="175">
        <f ca="1">IFERROR(__xludf.DUMMYFUNCTION("""COMPUTED_VALUE"""),44092)</f>
        <v>44092</v>
      </c>
      <c r="B203" s="56">
        <f ca="1">IFERROR(__xludf.DUMMYFUNCTION("""COMPUTED_VALUE"""),65)</f>
        <v>65</v>
      </c>
      <c r="C203" s="56">
        <f ca="1">IFERROR(__xludf.DUMMYFUNCTION("""COMPUTED_VALUE"""),5867)</f>
        <v>5867</v>
      </c>
      <c r="D203" s="56">
        <f ca="1">IFERROR(__xludf.DUMMYFUNCTION("""COMPUTED_VALUE"""),172)</f>
        <v>172</v>
      </c>
      <c r="E203" s="56">
        <f ca="1">IFERROR(__xludf.DUMMYFUNCTION("""COMPUTED_VALUE"""),29706)</f>
        <v>29706</v>
      </c>
    </row>
    <row r="204" spans="1:5" ht="12.5" x14ac:dyDescent="0.25">
      <c r="A204" s="175">
        <f ca="1">IFERROR(__xludf.DUMMYFUNCTION("""COMPUTED_VALUE"""),44093)</f>
        <v>44093</v>
      </c>
      <c r="B204" s="56">
        <f ca="1">IFERROR(__xludf.DUMMYFUNCTION("""COMPUTED_VALUE"""),64)</f>
        <v>64</v>
      </c>
      <c r="C204" s="56">
        <f ca="1">IFERROR(__xludf.DUMMYFUNCTION("""COMPUTED_VALUE"""),5931)</f>
        <v>5931</v>
      </c>
      <c r="D204" s="56">
        <f ca="1">IFERROR(__xludf.DUMMYFUNCTION("""COMPUTED_VALUE"""),205)</f>
        <v>205</v>
      </c>
      <c r="E204" s="56">
        <f ca="1">IFERROR(__xludf.DUMMYFUNCTION("""COMPUTED_VALUE"""),29911)</f>
        <v>29911</v>
      </c>
    </row>
    <row r="205" spans="1:5" ht="12.5" x14ac:dyDescent="0.25">
      <c r="A205" s="175">
        <f ca="1">IFERROR(__xludf.DUMMYFUNCTION("""COMPUTED_VALUE"""),44094)</f>
        <v>44094</v>
      </c>
      <c r="B205" s="56">
        <f ca="1">IFERROR(__xludf.DUMMYFUNCTION("""COMPUTED_VALUE"""),52)</f>
        <v>52</v>
      </c>
      <c r="C205" s="56">
        <f ca="1">IFERROR(__xludf.DUMMYFUNCTION("""COMPUTED_VALUE"""),5983)</f>
        <v>5983</v>
      </c>
      <c r="D205" s="56">
        <f ca="1">IFERROR(__xludf.DUMMYFUNCTION("""COMPUTED_VALUE"""),175)</f>
        <v>175</v>
      </c>
      <c r="E205" s="56">
        <f ca="1">IFERROR(__xludf.DUMMYFUNCTION("""COMPUTED_VALUE"""),30086)</f>
        <v>30086</v>
      </c>
    </row>
    <row r="206" spans="1:5" ht="12.5" x14ac:dyDescent="0.25">
      <c r="A206" s="175">
        <f ca="1">IFERROR(__xludf.DUMMYFUNCTION("""COMPUTED_VALUE"""),44095)</f>
        <v>44095</v>
      </c>
      <c r="B206" s="56">
        <f ca="1">IFERROR(__xludf.DUMMYFUNCTION("""COMPUTED_VALUE"""),53)</f>
        <v>53</v>
      </c>
      <c r="C206" s="56">
        <f ca="1">IFERROR(__xludf.DUMMYFUNCTION("""COMPUTED_VALUE"""),6036)</f>
        <v>6036</v>
      </c>
      <c r="D206" s="56">
        <f ca="1">IFERROR(__xludf.DUMMYFUNCTION("""COMPUTED_VALUE"""),164)</f>
        <v>164</v>
      </c>
      <c r="E206" s="56">
        <f ca="1">IFERROR(__xludf.DUMMYFUNCTION("""COMPUTED_VALUE"""),30250)</f>
        <v>30250</v>
      </c>
    </row>
    <row r="207" spans="1:5" ht="12.5" x14ac:dyDescent="0.25">
      <c r="A207" s="175">
        <f ca="1">IFERROR(__xludf.DUMMYFUNCTION("""COMPUTED_VALUE"""),44096)</f>
        <v>44096</v>
      </c>
      <c r="B207" s="56">
        <f ca="1">IFERROR(__xludf.DUMMYFUNCTION("""COMPUTED_VALUE"""),55)</f>
        <v>55</v>
      </c>
      <c r="C207" s="56">
        <f ca="1">IFERROR(__xludf.DUMMYFUNCTION("""COMPUTED_VALUE"""),6091)</f>
        <v>6091</v>
      </c>
      <c r="D207" s="56">
        <f ca="1">IFERROR(__xludf.DUMMYFUNCTION("""COMPUTED_VALUE"""),133)</f>
        <v>133</v>
      </c>
      <c r="E207" s="56">
        <f ca="1">IFERROR(__xludf.DUMMYFUNCTION("""COMPUTED_VALUE"""),30383)</f>
        <v>30383</v>
      </c>
    </row>
    <row r="208" spans="1:5" ht="12.5" x14ac:dyDescent="0.25">
      <c r="A208" s="175">
        <f ca="1">IFERROR(__xludf.DUMMYFUNCTION("""COMPUTED_VALUE"""),44097)</f>
        <v>44097</v>
      </c>
      <c r="B208" s="56">
        <f ca="1">IFERROR(__xludf.DUMMYFUNCTION("""COMPUTED_VALUE"""),51)</f>
        <v>51</v>
      </c>
      <c r="C208" s="56">
        <f ca="1">IFERROR(__xludf.DUMMYFUNCTION("""COMPUTED_VALUE"""),6142)</f>
        <v>6142</v>
      </c>
      <c r="D208" s="56">
        <f ca="1">IFERROR(__xludf.DUMMYFUNCTION("""COMPUTED_VALUE"""),199)</f>
        <v>199</v>
      </c>
      <c r="E208" s="56">
        <f ca="1">IFERROR(__xludf.DUMMYFUNCTION("""COMPUTED_VALUE"""),30582)</f>
        <v>30582</v>
      </c>
    </row>
    <row r="209" spans="1:5" ht="12.5" x14ac:dyDescent="0.25">
      <c r="A209" s="175">
        <f ca="1">IFERROR(__xludf.DUMMYFUNCTION("""COMPUTED_VALUE"""),44098)</f>
        <v>44098</v>
      </c>
      <c r="B209" s="56">
        <f ca="1">IFERROR(__xludf.DUMMYFUNCTION("""COMPUTED_VALUE"""),66)</f>
        <v>66</v>
      </c>
      <c r="C209" s="56">
        <f ca="1">IFERROR(__xludf.DUMMYFUNCTION("""COMPUTED_VALUE"""),6208)</f>
        <v>6208</v>
      </c>
      <c r="D209" s="56">
        <f ca="1">IFERROR(__xludf.DUMMYFUNCTION("""COMPUTED_VALUE"""),163)</f>
        <v>163</v>
      </c>
      <c r="E209" s="56">
        <f ca="1">IFERROR(__xludf.DUMMYFUNCTION("""COMPUTED_VALUE"""),30745)</f>
        <v>30745</v>
      </c>
    </row>
    <row r="210" spans="1:5" ht="12.5" x14ac:dyDescent="0.25">
      <c r="A210" s="175">
        <f ca="1">IFERROR(__xludf.DUMMYFUNCTION("""COMPUTED_VALUE"""),44099)</f>
        <v>44099</v>
      </c>
      <c r="B210" s="56">
        <f ca="1">IFERROR(__xludf.DUMMYFUNCTION("""COMPUTED_VALUE"""),72)</f>
        <v>72</v>
      </c>
      <c r="C210" s="56">
        <f ca="1">IFERROR(__xludf.DUMMYFUNCTION("""COMPUTED_VALUE"""),6280)</f>
        <v>6280</v>
      </c>
      <c r="D210" s="56">
        <f ca="1">IFERROR(__xludf.DUMMYFUNCTION("""COMPUTED_VALUE"""),192)</f>
        <v>192</v>
      </c>
      <c r="E210" s="56">
        <f ca="1">IFERROR(__xludf.DUMMYFUNCTION("""COMPUTED_VALUE"""),30937)</f>
        <v>30937</v>
      </c>
    </row>
    <row r="211" spans="1:5" ht="12.5" x14ac:dyDescent="0.25">
      <c r="A211" s="175">
        <f ca="1">IFERROR(__xludf.DUMMYFUNCTION("""COMPUTED_VALUE"""),44100)</f>
        <v>44100</v>
      </c>
      <c r="B211" s="56">
        <f ca="1">IFERROR(__xludf.DUMMYFUNCTION("""COMPUTED_VALUE"""),50)</f>
        <v>50</v>
      </c>
      <c r="C211" s="56">
        <f ca="1">IFERROR(__xludf.DUMMYFUNCTION("""COMPUTED_VALUE"""),6330)</f>
        <v>6330</v>
      </c>
      <c r="D211" s="56">
        <f ca="1">IFERROR(__xludf.DUMMYFUNCTION("""COMPUTED_VALUE"""),194)</f>
        <v>194</v>
      </c>
      <c r="E211" s="56">
        <f ca="1">IFERROR(__xludf.DUMMYFUNCTION("""COMPUTED_VALUE"""),31131)</f>
        <v>31131</v>
      </c>
    </row>
    <row r="212" spans="1:5" ht="12.5" x14ac:dyDescent="0.25">
      <c r="A212" s="175">
        <f ca="1">IFERROR(__xludf.DUMMYFUNCTION("""COMPUTED_VALUE"""),44101)</f>
        <v>44101</v>
      </c>
      <c r="B212" s="56">
        <f ca="1">IFERROR(__xludf.DUMMYFUNCTION("""COMPUTED_VALUE"""),59)</f>
        <v>59</v>
      </c>
      <c r="C212" s="56">
        <f ca="1">IFERROR(__xludf.DUMMYFUNCTION("""COMPUTED_VALUE"""),6389)</f>
        <v>6389</v>
      </c>
      <c r="D212" s="56">
        <f ca="1">IFERROR(__xludf.DUMMYFUNCTION("""COMPUTED_VALUE"""),193)</f>
        <v>193</v>
      </c>
      <c r="E212" s="56">
        <f ca="1">IFERROR(__xludf.DUMMYFUNCTION("""COMPUTED_VALUE"""),31324)</f>
        <v>31324</v>
      </c>
    </row>
    <row r="213" spans="1:5" ht="12.5" x14ac:dyDescent="0.25">
      <c r="A213" s="175">
        <f ca="1">IFERROR(__xludf.DUMMYFUNCTION("""COMPUTED_VALUE"""),44102)</f>
        <v>44102</v>
      </c>
      <c r="B213" s="56">
        <f ca="1">IFERROR(__xludf.DUMMYFUNCTION("""COMPUTED_VALUE"""),52)</f>
        <v>52</v>
      </c>
      <c r="C213" s="56">
        <f ca="1">IFERROR(__xludf.DUMMYFUNCTION("""COMPUTED_VALUE"""),6441)</f>
        <v>6441</v>
      </c>
      <c r="D213" s="56">
        <f ca="1">IFERROR(__xludf.DUMMYFUNCTION("""COMPUTED_VALUE"""),143)</f>
        <v>143</v>
      </c>
      <c r="E213" s="56">
        <f ca="1">IFERROR(__xludf.DUMMYFUNCTION("""COMPUTED_VALUE"""),31467)</f>
        <v>31467</v>
      </c>
    </row>
    <row r="214" spans="1:5" ht="12.5" x14ac:dyDescent="0.25">
      <c r="A214" s="175">
        <f ca="1">IFERROR(__xludf.DUMMYFUNCTION("""COMPUTED_VALUE"""),44103)</f>
        <v>44103</v>
      </c>
      <c r="B214" s="56">
        <f ca="1">IFERROR(__xludf.DUMMYFUNCTION("""COMPUTED_VALUE"""),52)</f>
        <v>52</v>
      </c>
      <c r="C214" s="56">
        <f ca="1">IFERROR(__xludf.DUMMYFUNCTION("""COMPUTED_VALUE"""),6493)</f>
        <v>6493</v>
      </c>
      <c r="D214" s="56">
        <f ca="1">IFERROR(__xludf.DUMMYFUNCTION("""COMPUTED_VALUE"""),159)</f>
        <v>159</v>
      </c>
      <c r="E214" s="56">
        <f ca="1">IFERROR(__xludf.DUMMYFUNCTION("""COMPUTED_VALUE"""),31626)</f>
        <v>31626</v>
      </c>
    </row>
    <row r="215" spans="1:5" ht="12.5" x14ac:dyDescent="0.25">
      <c r="A215" s="175">
        <f ca="1">IFERROR(__xludf.DUMMYFUNCTION("""COMPUTED_VALUE"""),44104)</f>
        <v>44104</v>
      </c>
      <c r="B215" s="56">
        <f ca="1">IFERROR(__xludf.DUMMYFUNCTION("""COMPUTED_VALUE"""),41)</f>
        <v>41</v>
      </c>
      <c r="C215" s="56">
        <f ca="1">IFERROR(__xludf.DUMMYFUNCTION("""COMPUTED_VALUE"""),6534)</f>
        <v>6534</v>
      </c>
      <c r="D215" s="56">
        <f ca="1">IFERROR(__xludf.DUMMYFUNCTION("""COMPUTED_VALUE"""),181)</f>
        <v>181</v>
      </c>
      <c r="E215" s="56">
        <f ca="1">IFERROR(__xludf.DUMMYFUNCTION("""COMPUTED_VALUE"""),31807)</f>
        <v>31807</v>
      </c>
    </row>
    <row r="216" spans="1:5" ht="12.5" x14ac:dyDescent="0.25">
      <c r="A216" s="175">
        <f ca="1">IFERROR(__xludf.DUMMYFUNCTION("""COMPUTED_VALUE"""),44105)</f>
        <v>44105</v>
      </c>
      <c r="B216" s="56">
        <f ca="1">IFERROR(__xludf.DUMMYFUNCTION("""COMPUTED_VALUE"""),48)</f>
        <v>48</v>
      </c>
      <c r="C216" s="56">
        <f ca="1">IFERROR(__xludf.DUMMYFUNCTION("""COMPUTED_VALUE"""),6582)</f>
        <v>6582</v>
      </c>
      <c r="D216" s="56">
        <f ca="1">IFERROR(__xludf.DUMMYFUNCTION("""COMPUTED_VALUE"""),180)</f>
        <v>180</v>
      </c>
      <c r="E216" s="56">
        <f ca="1">IFERROR(__xludf.DUMMYFUNCTION("""COMPUTED_VALUE"""),31987)</f>
        <v>31987</v>
      </c>
    </row>
    <row r="217" spans="1:5" ht="12.5" x14ac:dyDescent="0.25">
      <c r="A217" s="175">
        <f ca="1">IFERROR(__xludf.DUMMYFUNCTION("""COMPUTED_VALUE"""),44106)</f>
        <v>44106</v>
      </c>
      <c r="B217" s="56">
        <f ca="1">IFERROR(__xludf.DUMMYFUNCTION("""COMPUTED_VALUE"""),61)</f>
        <v>61</v>
      </c>
      <c r="C217" s="56">
        <f ca="1">IFERROR(__xludf.DUMMYFUNCTION("""COMPUTED_VALUE"""),6643)</f>
        <v>6643</v>
      </c>
      <c r="D217" s="56">
        <f ca="1">IFERROR(__xludf.DUMMYFUNCTION("""COMPUTED_VALUE"""),190)</f>
        <v>190</v>
      </c>
      <c r="E217" s="56">
        <f ca="1">IFERROR(__xludf.DUMMYFUNCTION("""COMPUTED_VALUE"""),32177)</f>
        <v>32177</v>
      </c>
    </row>
    <row r="218" spans="1:5" ht="12.5" x14ac:dyDescent="0.25">
      <c r="A218" s="175">
        <f ca="1">IFERROR(__xludf.DUMMYFUNCTION("""COMPUTED_VALUE"""),44107)</f>
        <v>44107</v>
      </c>
      <c r="B218" s="56">
        <f ca="1">IFERROR(__xludf.DUMMYFUNCTION("""COMPUTED_VALUE"""),41)</f>
        <v>41</v>
      </c>
      <c r="C218" s="56">
        <f ca="1">IFERROR(__xludf.DUMMYFUNCTION("""COMPUTED_VALUE"""),6684)</f>
        <v>6684</v>
      </c>
      <c r="D218" s="56">
        <f ca="1">IFERROR(__xludf.DUMMYFUNCTION("""COMPUTED_VALUE"""),163)</f>
        <v>163</v>
      </c>
      <c r="E218" s="56">
        <f ca="1">IFERROR(__xludf.DUMMYFUNCTION("""COMPUTED_VALUE"""),32340)</f>
        <v>32340</v>
      </c>
    </row>
    <row r="219" spans="1:5" ht="12.5" x14ac:dyDescent="0.25">
      <c r="A219" s="175">
        <f ca="1">IFERROR(__xludf.DUMMYFUNCTION("""COMPUTED_VALUE"""),44108)</f>
        <v>44108</v>
      </c>
      <c r="B219" s="56">
        <f ca="1">IFERROR(__xludf.DUMMYFUNCTION("""COMPUTED_VALUE"""),54)</f>
        <v>54</v>
      </c>
      <c r="C219" s="56">
        <f ca="1">IFERROR(__xludf.DUMMYFUNCTION("""COMPUTED_VALUE"""),6738)</f>
        <v>6738</v>
      </c>
      <c r="D219" s="56">
        <f ca="1">IFERROR(__xludf.DUMMYFUNCTION("""COMPUTED_VALUE"""),178)</f>
        <v>178</v>
      </c>
      <c r="E219" s="56">
        <f ca="1">IFERROR(__xludf.DUMMYFUNCTION("""COMPUTED_VALUE"""),32518)</f>
        <v>32518</v>
      </c>
    </row>
    <row r="220" spans="1:5" ht="12.5" x14ac:dyDescent="0.25">
      <c r="A220" s="175">
        <f ca="1">IFERROR(__xludf.DUMMYFUNCTION("""COMPUTED_VALUE"""),44109)</f>
        <v>44109</v>
      </c>
      <c r="B220" s="56">
        <f ca="1">IFERROR(__xludf.DUMMYFUNCTION("""COMPUTED_VALUE"""),43)</f>
        <v>43</v>
      </c>
      <c r="C220" s="56">
        <f ca="1">IFERROR(__xludf.DUMMYFUNCTION("""COMPUTED_VALUE"""),6781)</f>
        <v>6781</v>
      </c>
      <c r="D220" s="56">
        <f ca="1">IFERROR(__xludf.DUMMYFUNCTION("""COMPUTED_VALUE"""),150)</f>
        <v>150</v>
      </c>
      <c r="E220" s="56">
        <f ca="1">IFERROR(__xludf.DUMMYFUNCTION("""COMPUTED_VALUE"""),32668)</f>
        <v>32668</v>
      </c>
    </row>
    <row r="221" spans="1:5" ht="12.5" x14ac:dyDescent="0.25">
      <c r="A221" s="175">
        <f ca="1">IFERROR(__xludf.DUMMYFUNCTION("""COMPUTED_VALUE"""),44110)</f>
        <v>44110</v>
      </c>
      <c r="B221" s="56">
        <f ca="1">IFERROR(__xludf.DUMMYFUNCTION("""COMPUTED_VALUE"""),41)</f>
        <v>41</v>
      </c>
      <c r="C221" s="56">
        <f ca="1">IFERROR(__xludf.DUMMYFUNCTION("""COMPUTED_VALUE"""),6822)</f>
        <v>6822</v>
      </c>
      <c r="D221" s="56">
        <f ca="1">IFERROR(__xludf.DUMMYFUNCTION("""COMPUTED_VALUE"""),139)</f>
        <v>139</v>
      </c>
      <c r="E221" s="56">
        <f ca="1">IFERROR(__xludf.DUMMYFUNCTION("""COMPUTED_VALUE"""),32807)</f>
        <v>32807</v>
      </c>
    </row>
    <row r="222" spans="1:5" ht="12.5" x14ac:dyDescent="0.25">
      <c r="A222" s="175">
        <f ca="1">IFERROR(__xludf.DUMMYFUNCTION("""COMPUTED_VALUE"""),44111)</f>
        <v>44111</v>
      </c>
      <c r="B222" s="56">
        <f ca="1">IFERROR(__xludf.DUMMYFUNCTION("""COMPUTED_VALUE"""),48)</f>
        <v>48</v>
      </c>
      <c r="C222" s="56">
        <f ca="1">IFERROR(__xludf.DUMMYFUNCTION("""COMPUTED_VALUE"""),6870)</f>
        <v>6870</v>
      </c>
      <c r="D222" s="56">
        <f ca="1">IFERROR(__xludf.DUMMYFUNCTION("""COMPUTED_VALUE"""),152)</f>
        <v>152</v>
      </c>
      <c r="E222" s="56">
        <f ca="1">IFERROR(__xludf.DUMMYFUNCTION("""COMPUTED_VALUE"""),32959)</f>
        <v>32959</v>
      </c>
    </row>
    <row r="223" spans="1:5" ht="12.5" x14ac:dyDescent="0.25">
      <c r="A223" s="175">
        <f ca="1">IFERROR(__xludf.DUMMYFUNCTION("""COMPUTED_VALUE"""),44112)</f>
        <v>44112</v>
      </c>
      <c r="B223" s="56">
        <f ca="1">IFERROR(__xludf.DUMMYFUNCTION("""COMPUTED_VALUE"""),39)</f>
        <v>39</v>
      </c>
      <c r="C223" s="56">
        <f ca="1">IFERROR(__xludf.DUMMYFUNCTION("""COMPUTED_VALUE"""),6909)</f>
        <v>6909</v>
      </c>
      <c r="D223" s="56">
        <f ca="1">IFERROR(__xludf.DUMMYFUNCTION("""COMPUTED_VALUE"""),160)</f>
        <v>160</v>
      </c>
      <c r="E223" s="56">
        <f ca="1">IFERROR(__xludf.DUMMYFUNCTION("""COMPUTED_VALUE"""),33119)</f>
        <v>33119</v>
      </c>
    </row>
    <row r="224" spans="1:5" ht="12.5" x14ac:dyDescent="0.25">
      <c r="A224" s="175">
        <f ca="1">IFERROR(__xludf.DUMMYFUNCTION("""COMPUTED_VALUE"""),44113)</f>
        <v>44113</v>
      </c>
      <c r="B224" s="56">
        <f ca="1">IFERROR(__xludf.DUMMYFUNCTION("""COMPUTED_VALUE"""),42)</f>
        <v>42</v>
      </c>
      <c r="C224" s="56">
        <f ca="1">IFERROR(__xludf.DUMMYFUNCTION("""COMPUTED_VALUE"""),6951)</f>
        <v>6951</v>
      </c>
      <c r="D224" s="56">
        <f ca="1">IFERROR(__xludf.DUMMYFUNCTION("""COMPUTED_VALUE"""),152)</f>
        <v>152</v>
      </c>
      <c r="E224" s="56">
        <f ca="1">IFERROR(__xludf.DUMMYFUNCTION("""COMPUTED_VALUE"""),33271)</f>
        <v>33271</v>
      </c>
    </row>
    <row r="225" spans="1:5" ht="12.5" x14ac:dyDescent="0.25">
      <c r="A225" s="175">
        <f ca="1">IFERROR(__xludf.DUMMYFUNCTION("""COMPUTED_VALUE"""),44114)</f>
        <v>44114</v>
      </c>
      <c r="B225" s="56">
        <f ca="1">IFERROR(__xludf.DUMMYFUNCTION("""COMPUTED_VALUE"""),44)</f>
        <v>44</v>
      </c>
      <c r="C225" s="56">
        <f ca="1">IFERROR(__xludf.DUMMYFUNCTION("""COMPUTED_VALUE"""),6995)</f>
        <v>6995</v>
      </c>
      <c r="D225" s="56">
        <f ca="1">IFERROR(__xludf.DUMMYFUNCTION("""COMPUTED_VALUE"""),154)</f>
        <v>154</v>
      </c>
      <c r="E225" s="56">
        <f ca="1">IFERROR(__xludf.DUMMYFUNCTION("""COMPUTED_VALUE"""),33425)</f>
        <v>33425</v>
      </c>
    </row>
    <row r="226" spans="1:5" ht="12.5" x14ac:dyDescent="0.25">
      <c r="A226" s="175">
        <f ca="1">IFERROR(__xludf.DUMMYFUNCTION("""COMPUTED_VALUE"""),44115)</f>
        <v>44115</v>
      </c>
      <c r="B226" s="56">
        <f ca="1">IFERROR(__xludf.DUMMYFUNCTION("""COMPUTED_VALUE"""),30)</f>
        <v>30</v>
      </c>
      <c r="C226" s="56">
        <f ca="1">IFERROR(__xludf.DUMMYFUNCTION("""COMPUTED_VALUE"""),7025)</f>
        <v>7025</v>
      </c>
      <c r="D226" s="56">
        <f ca="1">IFERROR(__xludf.DUMMYFUNCTION("""COMPUTED_VALUE"""),155)</f>
        <v>155</v>
      </c>
      <c r="E226" s="56">
        <f ca="1">IFERROR(__xludf.DUMMYFUNCTION("""COMPUTED_VALUE"""),33580)</f>
        <v>33580</v>
      </c>
    </row>
    <row r="227" spans="1:5" ht="12.5" x14ac:dyDescent="0.25">
      <c r="A227" s="175">
        <f ca="1">IFERROR(__xludf.DUMMYFUNCTION("""COMPUTED_VALUE"""),44116)</f>
        <v>44116</v>
      </c>
      <c r="B227" s="56">
        <f ca="1">IFERROR(__xludf.DUMMYFUNCTION("""COMPUTED_VALUE"""),50)</f>
        <v>50</v>
      </c>
      <c r="C227" s="56">
        <f ca="1">IFERROR(__xludf.DUMMYFUNCTION("""COMPUTED_VALUE"""),7075)</f>
        <v>7075</v>
      </c>
      <c r="D227" s="56">
        <f ca="1">IFERROR(__xludf.DUMMYFUNCTION("""COMPUTED_VALUE"""),153)</f>
        <v>153</v>
      </c>
      <c r="E227" s="56">
        <f ca="1">IFERROR(__xludf.DUMMYFUNCTION("""COMPUTED_VALUE"""),33733)</f>
        <v>33733</v>
      </c>
    </row>
    <row r="228" spans="1:5" ht="12.5" x14ac:dyDescent="0.25">
      <c r="A228" s="175">
        <f ca="1">IFERROR(__xludf.DUMMYFUNCTION("""COMPUTED_VALUE"""),44117)</f>
        <v>44117</v>
      </c>
      <c r="B228" s="56">
        <f ca="1">IFERROR(__xludf.DUMMYFUNCTION("""COMPUTED_VALUE"""),47)</f>
        <v>47</v>
      </c>
      <c r="C228" s="56">
        <f ca="1">IFERROR(__xludf.DUMMYFUNCTION("""COMPUTED_VALUE"""),7122)</f>
        <v>7122</v>
      </c>
      <c r="D228" s="56">
        <f ca="1">IFERROR(__xludf.DUMMYFUNCTION("""COMPUTED_VALUE"""),143)</f>
        <v>143</v>
      </c>
      <c r="E228" s="56">
        <f ca="1">IFERROR(__xludf.DUMMYFUNCTION("""COMPUTED_VALUE"""),33876)</f>
        <v>33876</v>
      </c>
    </row>
    <row r="229" spans="1:5" ht="12.5" x14ac:dyDescent="0.25">
      <c r="A229" s="175">
        <f ca="1">IFERROR(__xludf.DUMMYFUNCTION("""COMPUTED_VALUE"""),44118)</f>
        <v>44118</v>
      </c>
      <c r="B229" s="56">
        <f ca="1">IFERROR(__xludf.DUMMYFUNCTION("""COMPUTED_VALUE"""),34)</f>
        <v>34</v>
      </c>
      <c r="C229" s="56">
        <f ca="1">IFERROR(__xludf.DUMMYFUNCTION("""COMPUTED_VALUE"""),7156)</f>
        <v>7156</v>
      </c>
      <c r="D229" s="56">
        <f ca="1">IFERROR(__xludf.DUMMYFUNCTION("""COMPUTED_VALUE"""),158)</f>
        <v>158</v>
      </c>
      <c r="E229" s="56">
        <f ca="1">IFERROR(__xludf.DUMMYFUNCTION("""COMPUTED_VALUE"""),34034)</f>
        <v>34034</v>
      </c>
    </row>
    <row r="230" spans="1:5" ht="12.5" x14ac:dyDescent="0.25">
      <c r="A230" s="175">
        <f ca="1">IFERROR(__xludf.DUMMYFUNCTION("""COMPUTED_VALUE"""),44119)</f>
        <v>44119</v>
      </c>
      <c r="B230" s="56">
        <f ca="1">IFERROR(__xludf.DUMMYFUNCTION("""COMPUTED_VALUE"""),46)</f>
        <v>46</v>
      </c>
      <c r="C230" s="56">
        <f ca="1">IFERROR(__xludf.DUMMYFUNCTION("""COMPUTED_VALUE"""),7202)</f>
        <v>7202</v>
      </c>
      <c r="D230" s="56">
        <f ca="1">IFERROR(__xludf.DUMMYFUNCTION("""COMPUTED_VALUE"""),155)</f>
        <v>155</v>
      </c>
      <c r="E230" s="56">
        <f ca="1">IFERROR(__xludf.DUMMYFUNCTION("""COMPUTED_VALUE"""),34189)</f>
        <v>34189</v>
      </c>
    </row>
    <row r="231" spans="1:5" ht="12.5" x14ac:dyDescent="0.25">
      <c r="A231" s="175">
        <f ca="1">IFERROR(__xludf.DUMMYFUNCTION("""COMPUTED_VALUE"""),44120)</f>
        <v>44120</v>
      </c>
      <c r="B231" s="56">
        <f ca="1">IFERROR(__xludf.DUMMYFUNCTION("""COMPUTED_VALUE"""),30)</f>
        <v>30</v>
      </c>
      <c r="C231" s="56">
        <f ca="1">IFERROR(__xludf.DUMMYFUNCTION("""COMPUTED_VALUE"""),7232)</f>
        <v>7232</v>
      </c>
      <c r="D231" s="56">
        <f ca="1">IFERROR(__xludf.DUMMYFUNCTION("""COMPUTED_VALUE"""),147)</f>
        <v>147</v>
      </c>
      <c r="E231" s="56">
        <f ca="1">IFERROR(__xludf.DUMMYFUNCTION("""COMPUTED_VALUE"""),34336)</f>
        <v>34336</v>
      </c>
    </row>
    <row r="232" spans="1:5" ht="12.5" x14ac:dyDescent="0.25">
      <c r="A232" s="175">
        <f ca="1">IFERROR(__xludf.DUMMYFUNCTION("""COMPUTED_VALUE"""),44121)</f>
        <v>44121</v>
      </c>
      <c r="B232" s="56">
        <f ca="1">IFERROR(__xludf.DUMMYFUNCTION("""COMPUTED_VALUE"""),46)</f>
        <v>46</v>
      </c>
      <c r="C232" s="56">
        <f ca="1">IFERROR(__xludf.DUMMYFUNCTION("""COMPUTED_VALUE"""),7278)</f>
        <v>7278</v>
      </c>
      <c r="D232" s="56">
        <f ca="1">IFERROR(__xludf.DUMMYFUNCTION("""COMPUTED_VALUE"""),153)</f>
        <v>153</v>
      </c>
      <c r="E232" s="56">
        <f ca="1">IFERROR(__xludf.DUMMYFUNCTION("""COMPUTED_VALUE"""),34489)</f>
        <v>34489</v>
      </c>
    </row>
    <row r="233" spans="1:5" ht="12.5" x14ac:dyDescent="0.25">
      <c r="A233" s="175">
        <f ca="1">IFERROR(__xludf.DUMMYFUNCTION("""COMPUTED_VALUE"""),44122)</f>
        <v>44122</v>
      </c>
      <c r="B233" s="56">
        <f ca="1">IFERROR(__xludf.DUMMYFUNCTION("""COMPUTED_VALUE"""),35)</f>
        <v>35</v>
      </c>
      <c r="C233" s="56">
        <f ca="1">IFERROR(__xludf.DUMMYFUNCTION("""COMPUTED_VALUE"""),7313)</f>
        <v>7313</v>
      </c>
      <c r="D233" s="56">
        <f ca="1">IFERROR(__xludf.DUMMYFUNCTION("""COMPUTED_VALUE"""),138)</f>
        <v>138</v>
      </c>
      <c r="E233" s="56">
        <f ca="1">IFERROR(__xludf.DUMMYFUNCTION("""COMPUTED_VALUE"""),34627)</f>
        <v>34627</v>
      </c>
    </row>
    <row r="234" spans="1:5" ht="12.5" x14ac:dyDescent="0.25">
      <c r="A234" s="175">
        <f ca="1">IFERROR(__xludf.DUMMYFUNCTION("""COMPUTED_VALUE"""),44123)</f>
        <v>44123</v>
      </c>
      <c r="B234" s="56">
        <f ca="1">IFERROR(__xludf.DUMMYFUNCTION("""COMPUTED_VALUE"""),44)</f>
        <v>44</v>
      </c>
      <c r="C234" s="56">
        <f ca="1">IFERROR(__xludf.DUMMYFUNCTION("""COMPUTED_VALUE"""),7357)</f>
        <v>7357</v>
      </c>
      <c r="D234" s="56">
        <f ca="1">IFERROR(__xludf.DUMMYFUNCTION("""COMPUTED_VALUE"""),163)</f>
        <v>163</v>
      </c>
      <c r="E234" s="56">
        <f ca="1">IFERROR(__xludf.DUMMYFUNCTION("""COMPUTED_VALUE"""),34790)</f>
        <v>34790</v>
      </c>
    </row>
    <row r="235" spans="1:5" ht="12.5" x14ac:dyDescent="0.25">
      <c r="A235" s="175">
        <f ca="1">IFERROR(__xludf.DUMMYFUNCTION("""COMPUTED_VALUE"""),44124)</f>
        <v>44124</v>
      </c>
      <c r="B235" s="56">
        <f ca="1">IFERROR(__xludf.DUMMYFUNCTION("""COMPUTED_VALUE"""),40)</f>
        <v>40</v>
      </c>
      <c r="C235" s="56">
        <f ca="1">IFERROR(__xludf.DUMMYFUNCTION("""COMPUTED_VALUE"""),7397)</f>
        <v>7397</v>
      </c>
      <c r="D235" s="56">
        <f ca="1">IFERROR(__xludf.DUMMYFUNCTION("""COMPUTED_VALUE"""),136)</f>
        <v>136</v>
      </c>
      <c r="E235" s="56">
        <f ca="1">IFERROR(__xludf.DUMMYFUNCTION("""COMPUTED_VALUE"""),34926)</f>
        <v>34926</v>
      </c>
    </row>
    <row r="236" spans="1:5" ht="12.5" x14ac:dyDescent="0.25">
      <c r="A236" s="175">
        <f ca="1">IFERROR(__xludf.DUMMYFUNCTION("""COMPUTED_VALUE"""),44125)</f>
        <v>44125</v>
      </c>
      <c r="B236" s="56">
        <f ca="1">IFERROR(__xludf.DUMMYFUNCTION("""COMPUTED_VALUE"""),42)</f>
        <v>42</v>
      </c>
      <c r="C236" s="56">
        <f ca="1">IFERROR(__xludf.DUMMYFUNCTION("""COMPUTED_VALUE"""),7439)</f>
        <v>7439</v>
      </c>
      <c r="D236" s="56">
        <f ca="1">IFERROR(__xludf.DUMMYFUNCTION("""COMPUTED_VALUE"""),148)</f>
        <v>148</v>
      </c>
      <c r="E236" s="56">
        <f ca="1">IFERROR(__xludf.DUMMYFUNCTION("""COMPUTED_VALUE"""),35074)</f>
        <v>35074</v>
      </c>
    </row>
    <row r="237" spans="1:5" ht="12.5" x14ac:dyDescent="0.25">
      <c r="A237" s="175">
        <f ca="1">IFERROR(__xludf.DUMMYFUNCTION("""COMPUTED_VALUE"""),44126)</f>
        <v>44126</v>
      </c>
      <c r="B237" s="56">
        <f ca="1">IFERROR(__xludf.DUMMYFUNCTION("""COMPUTED_VALUE"""),34)</f>
        <v>34</v>
      </c>
      <c r="C237" s="56">
        <f ca="1">IFERROR(__xludf.DUMMYFUNCTION("""COMPUTED_VALUE"""),7473)</f>
        <v>7473</v>
      </c>
      <c r="D237" s="56">
        <f ca="1">IFERROR(__xludf.DUMMYFUNCTION("""COMPUTED_VALUE"""),118)</f>
        <v>118</v>
      </c>
      <c r="E237" s="56">
        <f ca="1">IFERROR(__xludf.DUMMYFUNCTION("""COMPUTED_VALUE"""),35192)</f>
        <v>35192</v>
      </c>
    </row>
    <row r="238" spans="1:5" ht="12.5" x14ac:dyDescent="0.25">
      <c r="A238" s="175">
        <f ca="1">IFERROR(__xludf.DUMMYFUNCTION("""COMPUTED_VALUE"""),44127)</f>
        <v>44127</v>
      </c>
      <c r="B238" s="56">
        <f ca="1">IFERROR(__xludf.DUMMYFUNCTION("""COMPUTED_VALUE"""),44)</f>
        <v>44</v>
      </c>
      <c r="C238" s="56">
        <f ca="1">IFERROR(__xludf.DUMMYFUNCTION("""COMPUTED_VALUE"""),7517)</f>
        <v>7517</v>
      </c>
      <c r="D238" s="56">
        <f ca="1">IFERROR(__xludf.DUMMYFUNCTION("""COMPUTED_VALUE"""),170)</f>
        <v>170</v>
      </c>
      <c r="E238" s="56">
        <f ca="1">IFERROR(__xludf.DUMMYFUNCTION("""COMPUTED_VALUE"""),35362)</f>
        <v>35362</v>
      </c>
    </row>
    <row r="239" spans="1:5" ht="12.5" x14ac:dyDescent="0.25">
      <c r="A239" s="175">
        <f ca="1">IFERROR(__xludf.DUMMYFUNCTION("""COMPUTED_VALUE"""),44128)</f>
        <v>44128</v>
      </c>
      <c r="B239" s="56">
        <f ca="1">IFERROR(__xludf.DUMMYFUNCTION("""COMPUTED_VALUE"""),28)</f>
        <v>28</v>
      </c>
      <c r="C239" s="56">
        <f ca="1">IFERROR(__xludf.DUMMYFUNCTION("""COMPUTED_VALUE"""),7545)</f>
        <v>7545</v>
      </c>
      <c r="D239" s="56">
        <f ca="1">IFERROR(__xludf.DUMMYFUNCTION("""COMPUTED_VALUE"""),158)</f>
        <v>158</v>
      </c>
      <c r="E239" s="56">
        <f ca="1">IFERROR(__xludf.DUMMYFUNCTION("""COMPUTED_VALUE"""),35520)</f>
        <v>35520</v>
      </c>
    </row>
    <row r="240" spans="1:5" ht="12.5" x14ac:dyDescent="0.25">
      <c r="A240" s="175">
        <f ca="1">IFERROR(__xludf.DUMMYFUNCTION("""COMPUTED_VALUE"""),44129)</f>
        <v>44129</v>
      </c>
      <c r="B240" s="56">
        <f ca="1">IFERROR(__xludf.DUMMYFUNCTION("""COMPUTED_VALUE"""),32)</f>
        <v>32</v>
      </c>
      <c r="C240" s="56">
        <f ca="1">IFERROR(__xludf.DUMMYFUNCTION("""COMPUTED_VALUE"""),7577)</f>
        <v>7577</v>
      </c>
      <c r="D240" s="56">
        <f ca="1">IFERROR(__xludf.DUMMYFUNCTION("""COMPUTED_VALUE"""),153)</f>
        <v>153</v>
      </c>
      <c r="E240" s="56">
        <f ca="1">IFERROR(__xludf.DUMMYFUNCTION("""COMPUTED_VALUE"""),35673)</f>
        <v>35673</v>
      </c>
    </row>
    <row r="241" spans="1:5" ht="12.5" x14ac:dyDescent="0.25">
      <c r="A241" s="175">
        <f ca="1">IFERROR(__xludf.DUMMYFUNCTION("""COMPUTED_VALUE"""),44130)</f>
        <v>44130</v>
      </c>
      <c r="B241" s="56">
        <f ca="1">IFERROR(__xludf.DUMMYFUNCTION("""COMPUTED_VALUE"""),37)</f>
        <v>37</v>
      </c>
      <c r="C241" s="56">
        <f ca="1">IFERROR(__xludf.DUMMYFUNCTION("""COMPUTED_VALUE"""),7614)</f>
        <v>7614</v>
      </c>
      <c r="D241" s="56">
        <f ca="1">IFERROR(__xludf.DUMMYFUNCTION("""COMPUTED_VALUE"""),146)</f>
        <v>146</v>
      </c>
      <c r="E241" s="56">
        <f ca="1">IFERROR(__xludf.DUMMYFUNCTION("""COMPUTED_VALUE"""),35819)</f>
        <v>35819</v>
      </c>
    </row>
    <row r="242" spans="1:5" ht="12.5" x14ac:dyDescent="0.25">
      <c r="A242" s="175">
        <f ca="1">IFERROR(__xludf.DUMMYFUNCTION("""COMPUTED_VALUE"""),44131)</f>
        <v>44131</v>
      </c>
      <c r="B242" s="56">
        <f ca="1">IFERROR(__xludf.DUMMYFUNCTION("""COMPUTED_VALUE"""),39)</f>
        <v>39</v>
      </c>
      <c r="C242" s="56">
        <f ca="1">IFERROR(__xludf.DUMMYFUNCTION("""COMPUTED_VALUE"""),7653)</f>
        <v>7653</v>
      </c>
      <c r="D242" s="56">
        <f ca="1">IFERROR(__xludf.DUMMYFUNCTION("""COMPUTED_VALUE"""),145)</f>
        <v>145</v>
      </c>
      <c r="E242" s="56">
        <f ca="1">IFERROR(__xludf.DUMMYFUNCTION("""COMPUTED_VALUE"""),35964)</f>
        <v>35964</v>
      </c>
    </row>
    <row r="243" spans="1:5" ht="12.5" x14ac:dyDescent="0.25">
      <c r="A243" s="175">
        <f ca="1">IFERROR(__xludf.DUMMYFUNCTION("""COMPUTED_VALUE"""),44132)</f>
        <v>44132</v>
      </c>
      <c r="B243" s="56">
        <f ca="1">IFERROR(__xludf.DUMMYFUNCTION("""COMPUTED_VALUE"""),40)</f>
        <v>40</v>
      </c>
      <c r="C243" s="56">
        <f ca="1">IFERROR(__xludf.DUMMYFUNCTION("""COMPUTED_VALUE"""),7693)</f>
        <v>7693</v>
      </c>
      <c r="D243" s="56">
        <f ca="1">IFERROR(__xludf.DUMMYFUNCTION("""COMPUTED_VALUE"""),124)</f>
        <v>124</v>
      </c>
      <c r="E243" s="56">
        <f ca="1">IFERROR(__xludf.DUMMYFUNCTION("""COMPUTED_VALUE"""),36088)</f>
        <v>36088</v>
      </c>
    </row>
    <row r="244" spans="1:5" ht="12.5" x14ac:dyDescent="0.25">
      <c r="A244" s="175">
        <f ca="1">IFERROR(__xludf.DUMMYFUNCTION("""COMPUTED_VALUE"""),44133)</f>
        <v>44133</v>
      </c>
      <c r="B244" s="56">
        <f ca="1">IFERROR(__xludf.DUMMYFUNCTION("""COMPUTED_VALUE"""),31)</f>
        <v>31</v>
      </c>
      <c r="C244" s="56">
        <f ca="1">IFERROR(__xludf.DUMMYFUNCTION("""COMPUTED_VALUE"""),7724)</f>
        <v>7724</v>
      </c>
      <c r="D244" s="56">
        <f ca="1">IFERROR(__xludf.DUMMYFUNCTION("""COMPUTED_VALUE"""),140)</f>
        <v>140</v>
      </c>
      <c r="E244" s="56">
        <f ca="1">IFERROR(__xludf.DUMMYFUNCTION("""COMPUTED_VALUE"""),36228)</f>
        <v>36228</v>
      </c>
    </row>
    <row r="245" spans="1:5" ht="12.5" x14ac:dyDescent="0.25">
      <c r="A245" s="175">
        <f ca="1">IFERROR(__xludf.DUMMYFUNCTION("""COMPUTED_VALUE"""),44134)</f>
        <v>44134</v>
      </c>
      <c r="B245" s="56">
        <f ca="1">IFERROR(__xludf.DUMMYFUNCTION("""COMPUTED_VALUE"""),33)</f>
        <v>33</v>
      </c>
      <c r="C245" s="56">
        <f ca="1">IFERROR(__xludf.DUMMYFUNCTION("""COMPUTED_VALUE"""),7757)</f>
        <v>7757</v>
      </c>
      <c r="D245" s="56">
        <f ca="1">IFERROR(__xludf.DUMMYFUNCTION("""COMPUTED_VALUE"""),150)</f>
        <v>150</v>
      </c>
      <c r="E245" s="56">
        <f ca="1">IFERROR(__xludf.DUMMYFUNCTION("""COMPUTED_VALUE"""),36378)</f>
        <v>36378</v>
      </c>
    </row>
    <row r="246" spans="1:5" ht="12.5" x14ac:dyDescent="0.25">
      <c r="A246" s="175">
        <f ca="1">IFERROR(__xludf.DUMMYFUNCTION("""COMPUTED_VALUE"""),44135)</f>
        <v>44135</v>
      </c>
      <c r="B246" s="56">
        <f ca="1">IFERROR(__xludf.DUMMYFUNCTION("""COMPUTED_VALUE"""),38)</f>
        <v>38</v>
      </c>
      <c r="C246" s="56">
        <f ca="1">IFERROR(__xludf.DUMMYFUNCTION("""COMPUTED_VALUE"""),7795)</f>
        <v>7795</v>
      </c>
      <c r="D246" s="56">
        <f ca="1">IFERROR(__xludf.DUMMYFUNCTION("""COMPUTED_VALUE"""),141)</f>
        <v>141</v>
      </c>
      <c r="E246" s="56">
        <f ca="1">IFERROR(__xludf.DUMMYFUNCTION("""COMPUTED_VALUE"""),36519)</f>
        <v>36519</v>
      </c>
    </row>
    <row r="247" spans="1:5" ht="12.5" x14ac:dyDescent="0.25">
      <c r="A247" s="175">
        <f ca="1">IFERROR(__xludf.DUMMYFUNCTION("""COMPUTED_VALUE"""),44136)</f>
        <v>44136</v>
      </c>
      <c r="B247" s="56">
        <f ca="1">IFERROR(__xludf.DUMMYFUNCTION("""COMPUTED_VALUE"""),28)</f>
        <v>28</v>
      </c>
      <c r="C247" s="56">
        <f ca="1">IFERROR(__xludf.DUMMYFUNCTION("""COMPUTED_VALUE"""),7823)</f>
        <v>7823</v>
      </c>
      <c r="D247" s="56">
        <f ca="1">IFERROR(__xludf.DUMMYFUNCTION("""COMPUTED_VALUE"""),130)</f>
        <v>130</v>
      </c>
      <c r="E247" s="56">
        <f ca="1">IFERROR(__xludf.DUMMYFUNCTION("""COMPUTED_VALUE"""),36649)</f>
        <v>36649</v>
      </c>
    </row>
    <row r="248" spans="1:5" ht="12.5" x14ac:dyDescent="0.25">
      <c r="A248" s="175">
        <f ca="1">IFERROR(__xludf.DUMMYFUNCTION("""COMPUTED_VALUE"""),44137)</f>
        <v>44137</v>
      </c>
      <c r="B248" s="56">
        <f ca="1">IFERROR(__xludf.DUMMYFUNCTION("""COMPUTED_VALUE"""),29)</f>
        <v>29</v>
      </c>
      <c r="C248" s="56">
        <f ca="1">IFERROR(__xludf.DUMMYFUNCTION("""COMPUTED_VALUE"""),7852)</f>
        <v>7852</v>
      </c>
      <c r="D248" s="56">
        <f ca="1">IFERROR(__xludf.DUMMYFUNCTION("""COMPUTED_VALUE"""),127)</f>
        <v>127</v>
      </c>
      <c r="E248" s="56">
        <f ca="1">IFERROR(__xludf.DUMMYFUNCTION("""COMPUTED_VALUE"""),36776)</f>
        <v>36776</v>
      </c>
    </row>
    <row r="249" spans="1:5" ht="12.5" x14ac:dyDescent="0.25">
      <c r="A249" s="175">
        <f ca="1">IFERROR(__xludf.DUMMYFUNCTION("""COMPUTED_VALUE"""),44138)</f>
        <v>44138</v>
      </c>
      <c r="B249" s="56">
        <f ca="1">IFERROR(__xludf.DUMMYFUNCTION("""COMPUTED_VALUE"""),40)</f>
        <v>40</v>
      </c>
      <c r="C249" s="56">
        <f ca="1">IFERROR(__xludf.DUMMYFUNCTION("""COMPUTED_VALUE"""),7892)</f>
        <v>7892</v>
      </c>
      <c r="D249" s="56">
        <f ca="1">IFERROR(__xludf.DUMMYFUNCTION("""COMPUTED_VALUE"""),158)</f>
        <v>158</v>
      </c>
      <c r="E249" s="56">
        <f ca="1">IFERROR(__xludf.DUMMYFUNCTION("""COMPUTED_VALUE"""),36934)</f>
        <v>36934</v>
      </c>
    </row>
    <row r="250" spans="1:5" ht="12.5" x14ac:dyDescent="0.25">
      <c r="A250" s="175">
        <f ca="1">IFERROR(__xludf.DUMMYFUNCTION("""COMPUTED_VALUE"""),44139)</f>
        <v>44139</v>
      </c>
      <c r="B250" s="56">
        <f ca="1">IFERROR(__xludf.DUMMYFUNCTION("""COMPUTED_VALUE"""),23)</f>
        <v>23</v>
      </c>
      <c r="C250" s="56">
        <f ca="1">IFERROR(__xludf.DUMMYFUNCTION("""COMPUTED_VALUE"""),7915)</f>
        <v>7915</v>
      </c>
      <c r="D250" s="56">
        <f ca="1">IFERROR(__xludf.DUMMYFUNCTION("""COMPUTED_VALUE"""),153)</f>
        <v>153</v>
      </c>
      <c r="E250" s="56">
        <f ca="1">IFERROR(__xludf.DUMMYFUNCTION("""COMPUTED_VALUE"""),37087)</f>
        <v>37087</v>
      </c>
    </row>
    <row r="251" spans="1:5" ht="12.5" x14ac:dyDescent="0.25">
      <c r="A251" s="175">
        <f ca="1">IFERROR(__xludf.DUMMYFUNCTION("""COMPUTED_VALUE"""),44140)</f>
        <v>44140</v>
      </c>
      <c r="B251" s="56">
        <f ca="1">IFERROR(__xludf.DUMMYFUNCTION("""COMPUTED_VALUE"""),36)</f>
        <v>36</v>
      </c>
      <c r="C251" s="56">
        <f ca="1">IFERROR(__xludf.DUMMYFUNCTION("""COMPUTED_VALUE"""),7951)</f>
        <v>7951</v>
      </c>
      <c r="D251" s="56">
        <f ca="1">IFERROR(__xludf.DUMMYFUNCTION("""COMPUTED_VALUE"""),135)</f>
        <v>135</v>
      </c>
      <c r="E251" s="56">
        <f ca="1">IFERROR(__xludf.DUMMYFUNCTION("""COMPUTED_VALUE"""),37222)</f>
        <v>37222</v>
      </c>
    </row>
    <row r="252" spans="1:5" ht="12.5" x14ac:dyDescent="0.25">
      <c r="A252" s="175">
        <f ca="1">IFERROR(__xludf.DUMMYFUNCTION("""COMPUTED_VALUE"""),44141)</f>
        <v>44141</v>
      </c>
      <c r="B252" s="56">
        <f ca="1">IFERROR(__xludf.DUMMYFUNCTION("""COMPUTED_VALUE"""),36)</f>
        <v>36</v>
      </c>
      <c r="C252" s="56">
        <f ca="1">IFERROR(__xludf.DUMMYFUNCTION("""COMPUTED_VALUE"""),7987)</f>
        <v>7987</v>
      </c>
      <c r="D252" s="56">
        <f ca="1">IFERROR(__xludf.DUMMYFUNCTION("""COMPUTED_VALUE"""),173)</f>
        <v>173</v>
      </c>
      <c r="E252" s="56">
        <f ca="1">IFERROR(__xludf.DUMMYFUNCTION("""COMPUTED_VALUE"""),37395)</f>
        <v>37395</v>
      </c>
    </row>
    <row r="253" spans="1:5" ht="12.5" x14ac:dyDescent="0.25">
      <c r="A253" s="175">
        <f ca="1">IFERROR(__xludf.DUMMYFUNCTION("""COMPUTED_VALUE"""),44142)</f>
        <v>44142</v>
      </c>
      <c r="B253" s="56">
        <f ca="1">IFERROR(__xludf.DUMMYFUNCTION("""COMPUTED_VALUE"""),32)</f>
        <v>32</v>
      </c>
      <c r="C253" s="56">
        <f ca="1">IFERROR(__xludf.DUMMYFUNCTION("""COMPUTED_VALUE"""),8019)</f>
        <v>8019</v>
      </c>
      <c r="D253" s="56">
        <f ca="1">IFERROR(__xludf.DUMMYFUNCTION("""COMPUTED_VALUE"""),132)</f>
        <v>132</v>
      </c>
      <c r="E253" s="56">
        <f ca="1">IFERROR(__xludf.DUMMYFUNCTION("""COMPUTED_VALUE"""),37527)</f>
        <v>37527</v>
      </c>
    </row>
    <row r="254" spans="1:5" ht="12.5" x14ac:dyDescent="0.25">
      <c r="A254" s="175">
        <f ca="1">IFERROR(__xludf.DUMMYFUNCTION("""COMPUTED_VALUE"""),44143)</f>
        <v>44143</v>
      </c>
      <c r="B254" s="56">
        <f ca="1">IFERROR(__xludf.DUMMYFUNCTION("""COMPUTED_VALUE"""),33)</f>
        <v>33</v>
      </c>
      <c r="C254" s="56">
        <f ca="1">IFERROR(__xludf.DUMMYFUNCTION("""COMPUTED_VALUE"""),8052)</f>
        <v>8052</v>
      </c>
      <c r="D254" s="56">
        <f ca="1">IFERROR(__xludf.DUMMYFUNCTION("""COMPUTED_VALUE"""),131)</f>
        <v>131</v>
      </c>
      <c r="E254" s="56">
        <f ca="1">IFERROR(__xludf.DUMMYFUNCTION("""COMPUTED_VALUE"""),37658)</f>
        <v>37658</v>
      </c>
    </row>
    <row r="255" spans="1:5" ht="12.5" x14ac:dyDescent="0.25">
      <c r="A255" s="175">
        <f ca="1">IFERROR(__xludf.DUMMYFUNCTION("""COMPUTED_VALUE"""),44144)</f>
        <v>44144</v>
      </c>
      <c r="B255" s="56">
        <f ca="1">IFERROR(__xludf.DUMMYFUNCTION("""COMPUTED_VALUE"""),32)</f>
        <v>32</v>
      </c>
      <c r="C255" s="56">
        <f ca="1">IFERROR(__xludf.DUMMYFUNCTION("""COMPUTED_VALUE"""),8084)</f>
        <v>8084</v>
      </c>
      <c r="D255" s="56">
        <f ca="1">IFERROR(__xludf.DUMMYFUNCTION("""COMPUTED_VALUE"""),143)</f>
        <v>143</v>
      </c>
      <c r="E255" s="56">
        <f ca="1">IFERROR(__xludf.DUMMYFUNCTION("""COMPUTED_VALUE"""),37801)</f>
        <v>37801</v>
      </c>
    </row>
    <row r="256" spans="1:5" ht="12.5" x14ac:dyDescent="0.25">
      <c r="A256" s="175">
        <f ca="1">IFERROR(__xludf.DUMMYFUNCTION("""COMPUTED_VALUE"""),44145)</f>
        <v>44145</v>
      </c>
      <c r="B256" s="56">
        <f ca="1">IFERROR(__xludf.DUMMYFUNCTION("""COMPUTED_VALUE"""),37)</f>
        <v>37</v>
      </c>
      <c r="C256" s="56">
        <f ca="1">IFERROR(__xludf.DUMMYFUNCTION("""COMPUTED_VALUE"""),8121)</f>
        <v>8121</v>
      </c>
      <c r="D256" s="56">
        <f ca="1">IFERROR(__xludf.DUMMYFUNCTION("""COMPUTED_VALUE"""),182)</f>
        <v>182</v>
      </c>
      <c r="E256" s="56">
        <f ca="1">IFERROR(__xludf.DUMMYFUNCTION("""COMPUTED_VALUE"""),37983)</f>
        <v>37983</v>
      </c>
    </row>
    <row r="257" spans="1:5" ht="12.5" x14ac:dyDescent="0.25">
      <c r="A257" s="175">
        <f ca="1">IFERROR(__xludf.DUMMYFUNCTION("""COMPUTED_VALUE"""),44146)</f>
        <v>44146</v>
      </c>
      <c r="B257" s="56">
        <f ca="1">IFERROR(__xludf.DUMMYFUNCTION("""COMPUTED_VALUE"""),41)</f>
        <v>41</v>
      </c>
      <c r="C257" s="56">
        <f ca="1">IFERROR(__xludf.DUMMYFUNCTION("""COMPUTED_VALUE"""),8162)</f>
        <v>8162</v>
      </c>
      <c r="D257" s="56">
        <f ca="1">IFERROR(__xludf.DUMMYFUNCTION("""COMPUTED_VALUE"""),166)</f>
        <v>166</v>
      </c>
      <c r="E257" s="56">
        <f ca="1">IFERROR(__xludf.DUMMYFUNCTION("""COMPUTED_VALUE"""),38149)</f>
        <v>38149</v>
      </c>
    </row>
    <row r="258" spans="1:5" ht="12.5" x14ac:dyDescent="0.25">
      <c r="A258" s="175">
        <f ca="1">IFERROR(__xludf.DUMMYFUNCTION("""COMPUTED_VALUE"""),44147)</f>
        <v>44147</v>
      </c>
      <c r="B258" s="56">
        <f ca="1">IFERROR(__xludf.DUMMYFUNCTION("""COMPUTED_VALUE"""),53)</f>
        <v>53</v>
      </c>
      <c r="C258" s="56">
        <f ca="1">IFERROR(__xludf.DUMMYFUNCTION("""COMPUTED_VALUE"""),8215)</f>
        <v>8215</v>
      </c>
      <c r="D258" s="56">
        <f ca="1">IFERROR(__xludf.DUMMYFUNCTION("""COMPUTED_VALUE"""),157)</f>
        <v>157</v>
      </c>
      <c r="E258" s="56">
        <f ca="1">IFERROR(__xludf.DUMMYFUNCTION("""COMPUTED_VALUE"""),38306)</f>
        <v>38306</v>
      </c>
    </row>
    <row r="259" spans="1:5" ht="12.5" x14ac:dyDescent="0.25">
      <c r="A259" s="175">
        <f ca="1">IFERROR(__xludf.DUMMYFUNCTION("""COMPUTED_VALUE"""),44148)</f>
        <v>44148</v>
      </c>
      <c r="B259" s="56">
        <f ca="1">IFERROR(__xludf.DUMMYFUNCTION("""COMPUTED_VALUE"""),36)</f>
        <v>36</v>
      </c>
      <c r="C259" s="56">
        <f ca="1">IFERROR(__xludf.DUMMYFUNCTION("""COMPUTED_VALUE"""),8251)</f>
        <v>8251</v>
      </c>
      <c r="D259" s="56">
        <f ca="1">IFERROR(__xludf.DUMMYFUNCTION("""COMPUTED_VALUE"""),177)</f>
        <v>177</v>
      </c>
      <c r="E259" s="56">
        <f ca="1">IFERROR(__xludf.DUMMYFUNCTION("""COMPUTED_VALUE"""),38483)</f>
        <v>38483</v>
      </c>
    </row>
    <row r="260" spans="1:5" ht="12.5" x14ac:dyDescent="0.25">
      <c r="A260" s="175">
        <f ca="1">IFERROR(__xludf.DUMMYFUNCTION("""COMPUTED_VALUE"""),44149)</f>
        <v>44149</v>
      </c>
      <c r="B260" s="56">
        <f ca="1">IFERROR(__xludf.DUMMYFUNCTION("""COMPUTED_VALUE"""),37)</f>
        <v>37</v>
      </c>
      <c r="C260" s="56">
        <f ca="1">IFERROR(__xludf.DUMMYFUNCTION("""COMPUTED_VALUE"""),8288)</f>
        <v>8288</v>
      </c>
      <c r="D260" s="56">
        <f ca="1">IFERROR(__xludf.DUMMYFUNCTION("""COMPUTED_VALUE"""),170)</f>
        <v>170</v>
      </c>
      <c r="E260" s="56">
        <f ca="1">IFERROR(__xludf.DUMMYFUNCTION("""COMPUTED_VALUE"""),38653)</f>
        <v>38653</v>
      </c>
    </row>
    <row r="261" spans="1:5" ht="12.5" x14ac:dyDescent="0.25">
      <c r="A261" s="175">
        <f ca="1">IFERROR(__xludf.DUMMYFUNCTION("""COMPUTED_VALUE"""),44150)</f>
        <v>44150</v>
      </c>
      <c r="B261" s="56">
        <f ca="1">IFERROR(__xludf.DUMMYFUNCTION("""COMPUTED_VALUE"""),34)</f>
        <v>34</v>
      </c>
      <c r="C261" s="56">
        <f ca="1">IFERROR(__xludf.DUMMYFUNCTION("""COMPUTED_VALUE"""),8322)</f>
        <v>8322</v>
      </c>
      <c r="D261" s="56">
        <f ca="1">IFERROR(__xludf.DUMMYFUNCTION("""COMPUTED_VALUE"""),168)</f>
        <v>168</v>
      </c>
      <c r="E261" s="56">
        <f ca="1">IFERROR(__xludf.DUMMYFUNCTION("""COMPUTED_VALUE"""),38821)</f>
        <v>38821</v>
      </c>
    </row>
    <row r="262" spans="1:5" ht="12.5" x14ac:dyDescent="0.25">
      <c r="A262" s="175">
        <f ca="1">IFERROR(__xludf.DUMMYFUNCTION("""COMPUTED_VALUE"""),44151)</f>
        <v>44151</v>
      </c>
      <c r="B262" s="56">
        <f ca="1">IFERROR(__xludf.DUMMYFUNCTION("""COMPUTED_VALUE"""),37)</f>
        <v>37</v>
      </c>
      <c r="C262" s="56">
        <f ca="1">IFERROR(__xludf.DUMMYFUNCTION("""COMPUTED_VALUE"""),8359)</f>
        <v>8359</v>
      </c>
      <c r="D262" s="56">
        <f ca="1">IFERROR(__xludf.DUMMYFUNCTION("""COMPUTED_VALUE"""),156)</f>
        <v>156</v>
      </c>
      <c r="E262" s="56">
        <f ca="1">IFERROR(__xludf.DUMMYFUNCTION("""COMPUTED_VALUE"""),38977)</f>
        <v>38977</v>
      </c>
    </row>
    <row r="263" spans="1:5" ht="12.5" x14ac:dyDescent="0.25">
      <c r="A263" s="175">
        <f ca="1">IFERROR(__xludf.DUMMYFUNCTION("""COMPUTED_VALUE"""),44152)</f>
        <v>44152</v>
      </c>
      <c r="B263" s="56">
        <f ca="1">IFERROR(__xludf.DUMMYFUNCTION("""COMPUTED_VALUE"""),44)</f>
        <v>44</v>
      </c>
      <c r="C263" s="56">
        <f ca="1">IFERROR(__xludf.DUMMYFUNCTION("""COMPUTED_VALUE"""),8403)</f>
        <v>8403</v>
      </c>
      <c r="D263" s="56">
        <f ca="1">IFERROR(__xludf.DUMMYFUNCTION("""COMPUTED_VALUE"""),176)</f>
        <v>176</v>
      </c>
      <c r="E263" s="56">
        <f ca="1">IFERROR(__xludf.DUMMYFUNCTION("""COMPUTED_VALUE"""),39153)</f>
        <v>39153</v>
      </c>
    </row>
    <row r="264" spans="1:5" ht="12.5" x14ac:dyDescent="0.25">
      <c r="A264" s="175">
        <f ca="1">IFERROR(__xludf.DUMMYFUNCTION("""COMPUTED_VALUE"""),44153)</f>
        <v>44153</v>
      </c>
      <c r="B264" s="56">
        <f ca="1">IFERROR(__xludf.DUMMYFUNCTION("""COMPUTED_VALUE"""),52)</f>
        <v>52</v>
      </c>
      <c r="C264" s="56">
        <f ca="1">IFERROR(__xludf.DUMMYFUNCTION("""COMPUTED_VALUE"""),8455)</f>
        <v>8455</v>
      </c>
      <c r="D264" s="56">
        <f ca="1">IFERROR(__xludf.DUMMYFUNCTION("""COMPUTED_VALUE"""),172)</f>
        <v>172</v>
      </c>
      <c r="E264" s="56">
        <f ca="1">IFERROR(__xludf.DUMMYFUNCTION("""COMPUTED_VALUE"""),39325)</f>
        <v>39325</v>
      </c>
    </row>
    <row r="265" spans="1:5" ht="12.5" x14ac:dyDescent="0.25">
      <c r="A265" s="175">
        <f ca="1">IFERROR(__xludf.DUMMYFUNCTION("""COMPUTED_VALUE"""),44154)</f>
        <v>44154</v>
      </c>
      <c r="B265" s="56">
        <f ca="1">IFERROR(__xludf.DUMMYFUNCTION("""COMPUTED_VALUE"""),43)</f>
        <v>43</v>
      </c>
      <c r="C265" s="56">
        <f ca="1">IFERROR(__xludf.DUMMYFUNCTION("""COMPUTED_VALUE"""),8498)</f>
        <v>8498</v>
      </c>
      <c r="D265" s="56">
        <f ca="1">IFERROR(__xludf.DUMMYFUNCTION("""COMPUTED_VALUE"""),169)</f>
        <v>169</v>
      </c>
      <c r="E265" s="56">
        <f ca="1">IFERROR(__xludf.DUMMYFUNCTION("""COMPUTED_VALUE"""),39494)</f>
        <v>39494</v>
      </c>
    </row>
    <row r="266" spans="1:5" ht="12.5" x14ac:dyDescent="0.25">
      <c r="A266" s="175">
        <f ca="1">IFERROR(__xludf.DUMMYFUNCTION("""COMPUTED_VALUE"""),44155)</f>
        <v>44155</v>
      </c>
      <c r="B266" s="56">
        <f ca="1">IFERROR(__xludf.DUMMYFUNCTION("""COMPUTED_VALUE"""),44)</f>
        <v>44</v>
      </c>
      <c r="C266" s="56">
        <f ca="1">IFERROR(__xludf.DUMMYFUNCTION("""COMPUTED_VALUE"""),8542)</f>
        <v>8542</v>
      </c>
      <c r="D266" s="56">
        <f ca="1">IFERROR(__xludf.DUMMYFUNCTION("""COMPUTED_VALUE"""),167)</f>
        <v>167</v>
      </c>
      <c r="E266" s="56">
        <f ca="1">IFERROR(__xludf.DUMMYFUNCTION("""COMPUTED_VALUE"""),39661)</f>
        <v>39661</v>
      </c>
    </row>
    <row r="267" spans="1:5" ht="12.5" x14ac:dyDescent="0.25">
      <c r="A267" s="175">
        <f ca="1">IFERROR(__xludf.DUMMYFUNCTION("""COMPUTED_VALUE"""),44156)</f>
        <v>44156</v>
      </c>
      <c r="B267" s="56">
        <f ca="1">IFERROR(__xludf.DUMMYFUNCTION("""COMPUTED_VALUE"""),42)</f>
        <v>42</v>
      </c>
      <c r="C267" s="56">
        <f ca="1">IFERROR(__xludf.DUMMYFUNCTION("""COMPUTED_VALUE"""),8584)</f>
        <v>8584</v>
      </c>
      <c r="D267" s="56">
        <f ca="1">IFERROR(__xludf.DUMMYFUNCTION("""COMPUTED_VALUE"""),165)</f>
        <v>165</v>
      </c>
      <c r="E267" s="56">
        <f ca="1">IFERROR(__xludf.DUMMYFUNCTION("""COMPUTED_VALUE"""),39826)</f>
        <v>39826</v>
      </c>
    </row>
    <row r="268" spans="1:5" ht="12.5" x14ac:dyDescent="0.25">
      <c r="A268" s="175">
        <f ca="1">IFERROR(__xludf.DUMMYFUNCTION("""COMPUTED_VALUE"""),44157)</f>
        <v>44157</v>
      </c>
      <c r="B268" s="56">
        <f ca="1">IFERROR(__xludf.DUMMYFUNCTION("""COMPUTED_VALUE"""),30)</f>
        <v>30</v>
      </c>
      <c r="C268" s="56">
        <f ca="1">IFERROR(__xludf.DUMMYFUNCTION("""COMPUTED_VALUE"""),8614)</f>
        <v>8614</v>
      </c>
      <c r="D268" s="56">
        <f ca="1">IFERROR(__xludf.DUMMYFUNCTION("""COMPUTED_VALUE"""),148)</f>
        <v>148</v>
      </c>
      <c r="E268" s="56">
        <f ca="1">IFERROR(__xludf.DUMMYFUNCTION("""COMPUTED_VALUE"""),39974)</f>
        <v>39974</v>
      </c>
    </row>
    <row r="269" spans="1:5" ht="12.5" x14ac:dyDescent="0.25">
      <c r="A269" s="175">
        <f ca="1">IFERROR(__xludf.DUMMYFUNCTION("""COMPUTED_VALUE"""),44158)</f>
        <v>44158</v>
      </c>
      <c r="B269" s="56">
        <f ca="1">IFERROR(__xludf.DUMMYFUNCTION("""COMPUTED_VALUE"""),38)</f>
        <v>38</v>
      </c>
      <c r="C269" s="56">
        <f ca="1">IFERROR(__xludf.DUMMYFUNCTION("""COMPUTED_VALUE"""),8652)</f>
        <v>8652</v>
      </c>
      <c r="D269" s="56">
        <f ca="1">IFERROR(__xludf.DUMMYFUNCTION("""COMPUTED_VALUE"""),142)</f>
        <v>142</v>
      </c>
      <c r="E269" s="56">
        <f ca="1">IFERROR(__xludf.DUMMYFUNCTION("""COMPUTED_VALUE"""),40116)</f>
        <v>40116</v>
      </c>
    </row>
    <row r="270" spans="1:5" ht="12.5" x14ac:dyDescent="0.25">
      <c r="A270" s="175">
        <f ca="1">IFERROR(__xludf.DUMMYFUNCTION("""COMPUTED_VALUE"""),44159)</f>
        <v>44159</v>
      </c>
      <c r="B270" s="56">
        <f ca="1">IFERROR(__xludf.DUMMYFUNCTION("""COMPUTED_VALUE"""),46)</f>
        <v>46</v>
      </c>
      <c r="C270" s="56">
        <f ca="1">IFERROR(__xludf.DUMMYFUNCTION("""COMPUTED_VALUE"""),8698)</f>
        <v>8698</v>
      </c>
      <c r="D270" s="56">
        <f ca="1">IFERROR(__xludf.DUMMYFUNCTION("""COMPUTED_VALUE"""),149)</f>
        <v>149</v>
      </c>
      <c r="E270" s="56">
        <f ca="1">IFERROR(__xludf.DUMMYFUNCTION("""COMPUTED_VALUE"""),40265)</f>
        <v>40265</v>
      </c>
    </row>
    <row r="271" spans="1:5" ht="12.5" x14ac:dyDescent="0.25">
      <c r="A271" s="175">
        <f ca="1">IFERROR(__xludf.DUMMYFUNCTION("""COMPUTED_VALUE"""),44160)</f>
        <v>44160</v>
      </c>
      <c r="B271" s="56">
        <f ca="1">IFERROR(__xludf.DUMMYFUNCTION("""COMPUTED_VALUE"""),40)</f>
        <v>40</v>
      </c>
      <c r="C271" s="56">
        <f ca="1">IFERROR(__xludf.DUMMYFUNCTION("""COMPUTED_VALUE"""),8738)</f>
        <v>8738</v>
      </c>
      <c r="D271" s="56">
        <f ca="1">IFERROR(__xludf.DUMMYFUNCTION("""COMPUTED_VALUE"""),143)</f>
        <v>143</v>
      </c>
      <c r="E271" s="56">
        <f ca="1">IFERROR(__xludf.DUMMYFUNCTION("""COMPUTED_VALUE"""),40408)</f>
        <v>40408</v>
      </c>
    </row>
    <row r="272" spans="1:5" ht="12.5" x14ac:dyDescent="0.25">
      <c r="A272" s="175">
        <f ca="1">IFERROR(__xludf.DUMMYFUNCTION("""COMPUTED_VALUE"""),44161)</f>
        <v>44161</v>
      </c>
      <c r="B272" s="56">
        <f ca="1">IFERROR(__xludf.DUMMYFUNCTION("""COMPUTED_VALUE"""),54)</f>
        <v>54</v>
      </c>
      <c r="C272" s="56">
        <f ca="1">IFERROR(__xludf.DUMMYFUNCTION("""COMPUTED_VALUE"""),8792)</f>
        <v>8792</v>
      </c>
      <c r="D272" s="56">
        <f ca="1">IFERROR(__xludf.DUMMYFUNCTION("""COMPUTED_VALUE"""),160)</f>
        <v>160</v>
      </c>
      <c r="E272" s="56">
        <f ca="1">IFERROR(__xludf.DUMMYFUNCTION("""COMPUTED_VALUE"""),40568)</f>
        <v>40568</v>
      </c>
    </row>
    <row r="273" spans="1:5" ht="12.5" x14ac:dyDescent="0.25">
      <c r="A273" s="175">
        <f ca="1">IFERROR(__xludf.DUMMYFUNCTION("""COMPUTED_VALUE"""),44162)</f>
        <v>44162</v>
      </c>
      <c r="B273" s="56">
        <f ca="1">IFERROR(__xludf.DUMMYFUNCTION("""COMPUTED_VALUE"""),46)</f>
        <v>46</v>
      </c>
      <c r="C273" s="56">
        <f ca="1">IFERROR(__xludf.DUMMYFUNCTION("""COMPUTED_VALUE"""),8838)</f>
        <v>8838</v>
      </c>
      <c r="D273" s="56">
        <f ca="1">IFERROR(__xludf.DUMMYFUNCTION("""COMPUTED_VALUE"""),172)</f>
        <v>172</v>
      </c>
      <c r="E273" s="56">
        <f ca="1">IFERROR(__xludf.DUMMYFUNCTION("""COMPUTED_VALUE"""),40740)</f>
        <v>40740</v>
      </c>
    </row>
    <row r="274" spans="1:5" ht="12.5" x14ac:dyDescent="0.25">
      <c r="A274" s="175">
        <f ca="1">IFERROR(__xludf.DUMMYFUNCTION("""COMPUTED_VALUE"""),44163)</f>
        <v>44163</v>
      </c>
      <c r="B274" s="56">
        <f ca="1">IFERROR(__xludf.DUMMYFUNCTION("""COMPUTED_VALUE"""),53)</f>
        <v>53</v>
      </c>
      <c r="C274" s="56">
        <f ca="1">IFERROR(__xludf.DUMMYFUNCTION("""COMPUTED_VALUE"""),8891)</f>
        <v>8891</v>
      </c>
      <c r="D274" s="56">
        <f ca="1">IFERROR(__xludf.DUMMYFUNCTION("""COMPUTED_VALUE"""),149)</f>
        <v>149</v>
      </c>
      <c r="E274" s="56">
        <f ca="1">IFERROR(__xludf.DUMMYFUNCTION("""COMPUTED_VALUE"""),40889)</f>
        <v>40889</v>
      </c>
    </row>
    <row r="275" spans="1:5" ht="12.5" x14ac:dyDescent="0.25">
      <c r="A275" s="175">
        <f ca="1">IFERROR(__xludf.DUMMYFUNCTION("""COMPUTED_VALUE"""),44164)</f>
        <v>44164</v>
      </c>
      <c r="B275" s="56">
        <f ca="1">IFERROR(__xludf.DUMMYFUNCTION("""COMPUTED_VALUE"""),45)</f>
        <v>45</v>
      </c>
      <c r="C275" s="56">
        <f ca="1">IFERROR(__xludf.DUMMYFUNCTION("""COMPUTED_VALUE"""),8936)</f>
        <v>8936</v>
      </c>
      <c r="D275" s="56">
        <f ca="1">IFERROR(__xludf.DUMMYFUNCTION("""COMPUTED_VALUE"""),161)</f>
        <v>161</v>
      </c>
      <c r="E275" s="56">
        <f ca="1">IFERROR(__xludf.DUMMYFUNCTION("""COMPUTED_VALUE"""),41050)</f>
        <v>41050</v>
      </c>
    </row>
    <row r="276" spans="1:5" ht="12.5" x14ac:dyDescent="0.25">
      <c r="A276" s="175">
        <f ca="1">IFERROR(__xludf.DUMMYFUNCTION("""COMPUTED_VALUE"""),44165)</f>
        <v>44165</v>
      </c>
      <c r="B276" s="56">
        <f ca="1">IFERROR(__xludf.DUMMYFUNCTION("""COMPUTED_VALUE"""),62)</f>
        <v>62</v>
      </c>
      <c r="C276" s="56">
        <f ca="1">IFERROR(__xludf.DUMMYFUNCTION("""COMPUTED_VALUE"""),8998)</f>
        <v>8998</v>
      </c>
      <c r="D276" s="56">
        <f ca="1">IFERROR(__xludf.DUMMYFUNCTION("""COMPUTED_VALUE"""),167)</f>
        <v>167</v>
      </c>
      <c r="E276" s="56">
        <f ca="1">IFERROR(__xludf.DUMMYFUNCTION("""COMPUTED_VALUE"""),41217)</f>
        <v>41217</v>
      </c>
    </row>
    <row r="277" spans="1:5" ht="12.5" x14ac:dyDescent="0.25">
      <c r="A277" s="175">
        <f ca="1">IFERROR(__xludf.DUMMYFUNCTION("""COMPUTED_VALUE"""),44166)</f>
        <v>44166</v>
      </c>
      <c r="B277" s="56">
        <f ca="1">IFERROR(__xludf.DUMMYFUNCTION("""COMPUTED_VALUE"""),47)</f>
        <v>47</v>
      </c>
      <c r="C277" s="56">
        <f ca="1">IFERROR(__xludf.DUMMYFUNCTION("""COMPUTED_VALUE"""),9045)</f>
        <v>9045</v>
      </c>
      <c r="D277" s="56">
        <f ca="1">IFERROR(__xludf.DUMMYFUNCTION("""COMPUTED_VALUE"""),178)</f>
        <v>178</v>
      </c>
      <c r="E277" s="56">
        <f ca="1">IFERROR(__xludf.DUMMYFUNCTION("""COMPUTED_VALUE"""),41395)</f>
        <v>41395</v>
      </c>
    </row>
    <row r="278" spans="1:5" ht="12.5" x14ac:dyDescent="0.25">
      <c r="A278" s="175">
        <f ca="1">IFERROR(__xludf.DUMMYFUNCTION("""COMPUTED_VALUE"""),44167)</f>
        <v>44167</v>
      </c>
      <c r="B278" s="56">
        <f ca="1">IFERROR(__xludf.DUMMYFUNCTION("""COMPUTED_VALUE"""),56)</f>
        <v>56</v>
      </c>
      <c r="C278" s="56">
        <f ca="1">IFERROR(__xludf.DUMMYFUNCTION("""COMPUTED_VALUE"""),9101)</f>
        <v>9101</v>
      </c>
      <c r="D278" s="56">
        <f ca="1">IFERROR(__xludf.DUMMYFUNCTION("""COMPUTED_VALUE"""),177)</f>
        <v>177</v>
      </c>
      <c r="E278" s="56">
        <f ca="1">IFERROR(__xludf.DUMMYFUNCTION("""COMPUTED_VALUE"""),41572)</f>
        <v>41572</v>
      </c>
    </row>
    <row r="279" spans="1:5" ht="12.5" x14ac:dyDescent="0.25">
      <c r="A279" s="175">
        <f ca="1">IFERROR(__xludf.DUMMYFUNCTION("""COMPUTED_VALUE"""),44168)</f>
        <v>44168</v>
      </c>
      <c r="B279" s="56">
        <f ca="1">IFERROR(__xludf.DUMMYFUNCTION("""COMPUTED_VALUE"""),50)</f>
        <v>50</v>
      </c>
      <c r="C279" s="56">
        <f ca="1">IFERROR(__xludf.DUMMYFUNCTION("""COMPUTED_VALUE"""),9151)</f>
        <v>9151</v>
      </c>
      <c r="D279" s="56">
        <f ca="1">IFERROR(__xludf.DUMMYFUNCTION("""COMPUTED_VALUE"""),149)</f>
        <v>149</v>
      </c>
      <c r="E279" s="56">
        <f ca="1">IFERROR(__xludf.DUMMYFUNCTION("""COMPUTED_VALUE"""),41721)</f>
        <v>41721</v>
      </c>
    </row>
    <row r="280" spans="1:5" ht="12.5" x14ac:dyDescent="0.25">
      <c r="A280" s="175">
        <f ca="1">IFERROR(__xludf.DUMMYFUNCTION("""COMPUTED_VALUE"""),44169)</f>
        <v>44169</v>
      </c>
      <c r="B280" s="56">
        <f ca="1">IFERROR(__xludf.DUMMYFUNCTION("""COMPUTED_VALUE"""),49)</f>
        <v>49</v>
      </c>
      <c r="C280" s="56">
        <f ca="1">IFERROR(__xludf.DUMMYFUNCTION("""COMPUTED_VALUE"""),9200)</f>
        <v>9200</v>
      </c>
      <c r="D280" s="56">
        <f ca="1">IFERROR(__xludf.DUMMYFUNCTION("""COMPUTED_VALUE"""),139)</f>
        <v>139</v>
      </c>
      <c r="E280" s="56">
        <f ca="1">IFERROR(__xludf.DUMMYFUNCTION("""COMPUTED_VALUE"""),41860)</f>
        <v>41860</v>
      </c>
    </row>
    <row r="281" spans="1:5" ht="12.5" x14ac:dyDescent="0.25">
      <c r="A281" s="175">
        <f ca="1">IFERROR(__xludf.DUMMYFUNCTION("""COMPUTED_VALUE"""),44170)</f>
        <v>44170</v>
      </c>
      <c r="B281" s="56">
        <f ca="1">IFERROR(__xludf.DUMMYFUNCTION("""COMPUTED_VALUE"""),52)</f>
        <v>52</v>
      </c>
      <c r="C281" s="56">
        <f ca="1">IFERROR(__xludf.DUMMYFUNCTION("""COMPUTED_VALUE"""),9252)</f>
        <v>9252</v>
      </c>
      <c r="D281" s="56">
        <f ca="1">IFERROR(__xludf.DUMMYFUNCTION("""COMPUTED_VALUE"""),148)</f>
        <v>148</v>
      </c>
      <c r="E281" s="56">
        <f ca="1">IFERROR(__xludf.DUMMYFUNCTION("""COMPUTED_VALUE"""),42008)</f>
        <v>42008</v>
      </c>
    </row>
    <row r="282" spans="1:5" ht="12.5" x14ac:dyDescent="0.25">
      <c r="A282" s="175">
        <f ca="1">IFERROR(__xludf.DUMMYFUNCTION("""COMPUTED_VALUE"""),44171)</f>
        <v>44171</v>
      </c>
      <c r="B282" s="56">
        <f ca="1">IFERROR(__xludf.DUMMYFUNCTION("""COMPUTED_VALUE"""),50)</f>
        <v>50</v>
      </c>
      <c r="C282" s="56">
        <f ca="1">IFERROR(__xludf.DUMMYFUNCTION("""COMPUTED_VALUE"""),9302)</f>
        <v>9302</v>
      </c>
      <c r="D282" s="56">
        <f ca="1">IFERROR(__xludf.DUMMYFUNCTION("""COMPUTED_VALUE"""),164)</f>
        <v>164</v>
      </c>
      <c r="E282" s="56">
        <f ca="1">IFERROR(__xludf.DUMMYFUNCTION("""COMPUTED_VALUE"""),42172)</f>
        <v>42172</v>
      </c>
    </row>
    <row r="283" spans="1:5" ht="12.5" x14ac:dyDescent="0.25">
      <c r="A283" s="175">
        <f ca="1">IFERROR(__xludf.DUMMYFUNCTION("""COMPUTED_VALUE"""),44172)</f>
        <v>44172</v>
      </c>
      <c r="B283" s="56">
        <f ca="1">IFERROR(__xludf.DUMMYFUNCTION("""COMPUTED_VALUE"""),55)</f>
        <v>55</v>
      </c>
      <c r="C283" s="56">
        <f ca="1">IFERROR(__xludf.DUMMYFUNCTION("""COMPUTED_VALUE"""),9357)</f>
        <v>9357</v>
      </c>
      <c r="D283" s="56">
        <f ca="1">IFERROR(__xludf.DUMMYFUNCTION("""COMPUTED_VALUE"""),165)</f>
        <v>165</v>
      </c>
      <c r="E283" s="56">
        <f ca="1">IFERROR(__xludf.DUMMYFUNCTION("""COMPUTED_VALUE"""),42337)</f>
        <v>42337</v>
      </c>
    </row>
    <row r="284" spans="1:5" ht="12.5" x14ac:dyDescent="0.25">
      <c r="A284" s="175">
        <f ca="1">IFERROR(__xludf.DUMMYFUNCTION("""COMPUTED_VALUE"""),44173)</f>
        <v>44173</v>
      </c>
      <c r="B284" s="56">
        <f ca="1">IFERROR(__xludf.DUMMYFUNCTION("""COMPUTED_VALUE"""),50)</f>
        <v>50</v>
      </c>
      <c r="C284" s="56">
        <f ca="1">IFERROR(__xludf.DUMMYFUNCTION("""COMPUTED_VALUE"""),9407)</f>
        <v>9407</v>
      </c>
      <c r="D284" s="56">
        <f ca="1">IFERROR(__xludf.DUMMYFUNCTION("""COMPUTED_VALUE"""),155)</f>
        <v>155</v>
      </c>
      <c r="E284" s="56">
        <f ca="1">IFERROR(__xludf.DUMMYFUNCTION("""COMPUTED_VALUE"""),42492)</f>
        <v>42492</v>
      </c>
    </row>
    <row r="285" spans="1:5" ht="12.5" x14ac:dyDescent="0.25">
      <c r="A285" s="175">
        <f ca="1">IFERROR(__xludf.DUMMYFUNCTION("""COMPUTED_VALUE"""),44174)</f>
        <v>44174</v>
      </c>
      <c r="B285" s="56">
        <f ca="1">IFERROR(__xludf.DUMMYFUNCTION("""COMPUTED_VALUE"""),55)</f>
        <v>55</v>
      </c>
      <c r="C285" s="56">
        <f ca="1">IFERROR(__xludf.DUMMYFUNCTION("""COMPUTED_VALUE"""),9462)</f>
        <v>9462</v>
      </c>
      <c r="D285" s="56">
        <f ca="1">IFERROR(__xludf.DUMMYFUNCTION("""COMPUTED_VALUE"""),164)</f>
        <v>164</v>
      </c>
      <c r="E285" s="56">
        <f ca="1">IFERROR(__xludf.DUMMYFUNCTION("""COMPUTED_VALUE"""),42656)</f>
        <v>42656</v>
      </c>
    </row>
    <row r="286" spans="1:5" ht="12.5" x14ac:dyDescent="0.25">
      <c r="A286" s="175">
        <f ca="1">IFERROR(__xludf.DUMMYFUNCTION("""COMPUTED_VALUE"""),44175)</f>
        <v>44175</v>
      </c>
      <c r="B286" s="56">
        <f ca="1">IFERROR(__xludf.DUMMYFUNCTION("""COMPUTED_VALUE"""),55)</f>
        <v>55</v>
      </c>
      <c r="C286" s="56">
        <f ca="1">IFERROR(__xludf.DUMMYFUNCTION("""COMPUTED_VALUE"""),9517)</f>
        <v>9517</v>
      </c>
      <c r="D286" s="56">
        <f ca="1">IFERROR(__xludf.DUMMYFUNCTION("""COMPUTED_VALUE"""),159)</f>
        <v>159</v>
      </c>
      <c r="E286" s="56">
        <f ca="1">IFERROR(__xludf.DUMMYFUNCTION("""COMPUTED_VALUE"""),42815)</f>
        <v>42815</v>
      </c>
    </row>
    <row r="287" spans="1:5" ht="12.5" x14ac:dyDescent="0.25">
      <c r="A287" s="175">
        <f ca="1">IFERROR(__xludf.DUMMYFUNCTION("""COMPUTED_VALUE"""),44176)</f>
        <v>44176</v>
      </c>
      <c r="B287" s="56">
        <f ca="1">IFERROR(__xludf.DUMMYFUNCTION("""COMPUTED_VALUE"""),61)</f>
        <v>61</v>
      </c>
      <c r="C287" s="56">
        <f ca="1">IFERROR(__xludf.DUMMYFUNCTION("""COMPUTED_VALUE"""),9578)</f>
        <v>9578</v>
      </c>
      <c r="D287" s="56">
        <f ca="1">IFERROR(__xludf.DUMMYFUNCTION("""COMPUTED_VALUE"""),165)</f>
        <v>165</v>
      </c>
      <c r="E287" s="56">
        <f ca="1">IFERROR(__xludf.DUMMYFUNCTION("""COMPUTED_VALUE"""),42980)</f>
        <v>42980</v>
      </c>
    </row>
    <row r="288" spans="1:5" ht="12.5" x14ac:dyDescent="0.25">
      <c r="A288" s="175">
        <f ca="1">IFERROR(__xludf.DUMMYFUNCTION("""COMPUTED_VALUE"""),44177)</f>
        <v>44177</v>
      </c>
      <c r="B288" s="56">
        <f ca="1">IFERROR(__xludf.DUMMYFUNCTION("""COMPUTED_VALUE"""),52)</f>
        <v>52</v>
      </c>
      <c r="C288" s="56">
        <f ca="1">IFERROR(__xludf.DUMMYFUNCTION("""COMPUTED_VALUE"""),9630)</f>
        <v>9630</v>
      </c>
      <c r="D288" s="56">
        <f ca="1">IFERROR(__xludf.DUMMYFUNCTION("""COMPUTED_VALUE"""),158)</f>
        <v>158</v>
      </c>
      <c r="E288" s="56">
        <f ca="1">IFERROR(__xludf.DUMMYFUNCTION("""COMPUTED_VALUE"""),43138)</f>
        <v>43138</v>
      </c>
    </row>
    <row r="289" spans="1:5" ht="12.5" x14ac:dyDescent="0.25">
      <c r="A289" s="175">
        <f ca="1">IFERROR(__xludf.DUMMYFUNCTION("""COMPUTED_VALUE"""),44178)</f>
        <v>44178</v>
      </c>
      <c r="B289" s="56">
        <f ca="1">IFERROR(__xludf.DUMMYFUNCTION("""COMPUTED_VALUE"""),56)</f>
        <v>56</v>
      </c>
      <c r="C289" s="56">
        <f ca="1">IFERROR(__xludf.DUMMYFUNCTION("""COMPUTED_VALUE"""),9686)</f>
        <v>9686</v>
      </c>
      <c r="D289" s="56">
        <f ca="1">IFERROR(__xludf.DUMMYFUNCTION("""COMPUTED_VALUE"""),147)</f>
        <v>147</v>
      </c>
      <c r="E289" s="56">
        <f ca="1">IFERROR(__xludf.DUMMYFUNCTION("""COMPUTED_VALUE"""),43285)</f>
        <v>43285</v>
      </c>
    </row>
    <row r="290" spans="1:5" ht="12.5" x14ac:dyDescent="0.25">
      <c r="A290" s="175">
        <f ca="1">IFERROR(__xludf.DUMMYFUNCTION("""COMPUTED_VALUE"""),44179)</f>
        <v>44179</v>
      </c>
      <c r="B290" s="56">
        <f ca="1">IFERROR(__xludf.DUMMYFUNCTION("""COMPUTED_VALUE"""),48)</f>
        <v>48</v>
      </c>
      <c r="C290" s="56">
        <f ca="1">IFERROR(__xludf.DUMMYFUNCTION("""COMPUTED_VALUE"""),9734)</f>
        <v>9734</v>
      </c>
      <c r="D290" s="56">
        <f ca="1">IFERROR(__xludf.DUMMYFUNCTION("""COMPUTED_VALUE"""),181)</f>
        <v>181</v>
      </c>
      <c r="E290" s="56">
        <f ca="1">IFERROR(__xludf.DUMMYFUNCTION("""COMPUTED_VALUE"""),43466)</f>
        <v>43466</v>
      </c>
    </row>
    <row r="291" spans="1:5" ht="12.5" x14ac:dyDescent="0.25">
      <c r="A291" s="175">
        <f ca="1">IFERROR(__xludf.DUMMYFUNCTION("""COMPUTED_VALUE"""),44180)</f>
        <v>44180</v>
      </c>
      <c r="B291" s="56">
        <f ca="1">IFERROR(__xludf.DUMMYFUNCTION("""COMPUTED_VALUE"""),62)</f>
        <v>62</v>
      </c>
      <c r="C291" s="56">
        <f ca="1">IFERROR(__xludf.DUMMYFUNCTION("""COMPUTED_VALUE"""),9796)</f>
        <v>9796</v>
      </c>
      <c r="D291" s="56">
        <f ca="1">IFERROR(__xludf.DUMMYFUNCTION("""COMPUTED_VALUE"""),179)</f>
        <v>179</v>
      </c>
      <c r="E291" s="56">
        <f ca="1">IFERROR(__xludf.DUMMYFUNCTION("""COMPUTED_VALUE"""),43645)</f>
        <v>43645</v>
      </c>
    </row>
    <row r="292" spans="1:5" ht="12.5" x14ac:dyDescent="0.25">
      <c r="A292" s="175">
        <f ca="1">IFERROR(__xludf.DUMMYFUNCTION("""COMPUTED_VALUE"""),44181)</f>
        <v>44181</v>
      </c>
      <c r="B292" s="56">
        <f ca="1">IFERROR(__xludf.DUMMYFUNCTION("""COMPUTED_VALUE"""),53)</f>
        <v>53</v>
      </c>
      <c r="C292" s="56">
        <f ca="1">IFERROR(__xludf.DUMMYFUNCTION("""COMPUTED_VALUE"""),9849)</f>
        <v>9849</v>
      </c>
      <c r="D292" s="56">
        <f ca="1">IFERROR(__xludf.DUMMYFUNCTION("""COMPUTED_VALUE"""),175)</f>
        <v>175</v>
      </c>
      <c r="E292" s="56">
        <f ca="1">IFERROR(__xludf.DUMMYFUNCTION("""COMPUTED_VALUE"""),43820)</f>
        <v>43820</v>
      </c>
    </row>
    <row r="293" spans="1:5" ht="12.5" x14ac:dyDescent="0.25">
      <c r="A293" s="175">
        <f ca="1">IFERROR(__xludf.DUMMYFUNCTION("""COMPUTED_VALUE"""),44182)</f>
        <v>44182</v>
      </c>
      <c r="B293" s="56">
        <f ca="1">IFERROR(__xludf.DUMMYFUNCTION("""COMPUTED_VALUE"""),59)</f>
        <v>59</v>
      </c>
      <c r="C293" s="56">
        <f ca="1">IFERROR(__xludf.DUMMYFUNCTION("""COMPUTED_VALUE"""),9908)</f>
        <v>9908</v>
      </c>
      <c r="D293" s="56">
        <f ca="1">IFERROR(__xludf.DUMMYFUNCTION("""COMPUTED_VALUE"""),176)</f>
        <v>176</v>
      </c>
      <c r="E293" s="56">
        <f ca="1">IFERROR(__xludf.DUMMYFUNCTION("""COMPUTED_VALUE"""),43996)</f>
        <v>43996</v>
      </c>
    </row>
    <row r="294" spans="1:5" ht="12.5" x14ac:dyDescent="0.25">
      <c r="A294" s="175">
        <f ca="1">IFERROR(__xludf.DUMMYFUNCTION("""COMPUTED_VALUE"""),44183)</f>
        <v>44183</v>
      </c>
      <c r="B294" s="56">
        <f ca="1">IFERROR(__xludf.DUMMYFUNCTION("""COMPUTED_VALUE"""),62)</f>
        <v>62</v>
      </c>
      <c r="C294" s="56">
        <f ca="1">IFERROR(__xludf.DUMMYFUNCTION("""COMPUTED_VALUE"""),9970)</f>
        <v>9970</v>
      </c>
      <c r="D294" s="56">
        <f ca="1">IFERROR(__xludf.DUMMYFUNCTION("""COMPUTED_VALUE"""),163)</f>
        <v>163</v>
      </c>
      <c r="E294" s="56">
        <f ca="1">IFERROR(__xludf.DUMMYFUNCTION("""COMPUTED_VALUE"""),44159)</f>
        <v>44159</v>
      </c>
    </row>
    <row r="295" spans="1:5" ht="12.5" x14ac:dyDescent="0.25">
      <c r="A295" s="175">
        <f ca="1">IFERROR(__xludf.DUMMYFUNCTION("""COMPUTED_VALUE"""),44184)</f>
        <v>44184</v>
      </c>
      <c r="B295" s="56">
        <f ca="1">IFERROR(__xludf.DUMMYFUNCTION("""COMPUTED_VALUE"""),58)</f>
        <v>58</v>
      </c>
      <c r="C295" s="56">
        <f ca="1">IFERROR(__xludf.DUMMYFUNCTION("""COMPUTED_VALUE"""),10028)</f>
        <v>10028</v>
      </c>
      <c r="D295" s="56">
        <f ca="1">IFERROR(__xludf.DUMMYFUNCTION("""COMPUTED_VALUE"""),152)</f>
        <v>152</v>
      </c>
      <c r="E295" s="56">
        <f ca="1">IFERROR(__xludf.DUMMYFUNCTION("""COMPUTED_VALUE"""),44311)</f>
        <v>44311</v>
      </c>
    </row>
    <row r="296" spans="1:5" ht="12.5" x14ac:dyDescent="0.25">
      <c r="A296" s="175">
        <f ca="1">IFERROR(__xludf.DUMMYFUNCTION("""COMPUTED_VALUE"""),44185)</f>
        <v>44185</v>
      </c>
      <c r="B296" s="56">
        <f ca="1">IFERROR(__xludf.DUMMYFUNCTION("""COMPUTED_VALUE"""),60)</f>
        <v>60</v>
      </c>
      <c r="C296" s="56">
        <f ca="1">IFERROR(__xludf.DUMMYFUNCTION("""COMPUTED_VALUE"""),10088)</f>
        <v>10088</v>
      </c>
      <c r="D296" s="56">
        <f ca="1">IFERROR(__xludf.DUMMYFUNCTION("""COMPUTED_VALUE"""),169)</f>
        <v>169</v>
      </c>
      <c r="E296" s="56">
        <f ca="1">IFERROR(__xludf.DUMMYFUNCTION("""COMPUTED_VALUE"""),44480)</f>
        <v>44480</v>
      </c>
    </row>
    <row r="297" spans="1:5" ht="12.5" x14ac:dyDescent="0.25">
      <c r="A297" s="175">
        <f ca="1">IFERROR(__xludf.DUMMYFUNCTION("""COMPUTED_VALUE"""),44186)</f>
        <v>44186</v>
      </c>
      <c r="B297" s="56">
        <f ca="1">IFERROR(__xludf.DUMMYFUNCTION("""COMPUTED_VALUE"""),52)</f>
        <v>52</v>
      </c>
      <c r="C297" s="56">
        <f ca="1">IFERROR(__xludf.DUMMYFUNCTION("""COMPUTED_VALUE"""),10140)</f>
        <v>10140</v>
      </c>
      <c r="D297" s="56">
        <f ca="1">IFERROR(__xludf.DUMMYFUNCTION("""COMPUTED_VALUE"""),188)</f>
        <v>188</v>
      </c>
      <c r="E297" s="56">
        <f ca="1">IFERROR(__xludf.DUMMYFUNCTION("""COMPUTED_VALUE"""),44668)</f>
        <v>44668</v>
      </c>
    </row>
    <row r="298" spans="1:5" ht="12.5" x14ac:dyDescent="0.25">
      <c r="A298" s="175">
        <f ca="1">IFERROR(__xludf.DUMMYFUNCTION("""COMPUTED_VALUE"""),44187)</f>
        <v>44187</v>
      </c>
      <c r="B298" s="56">
        <f ca="1">IFERROR(__xludf.DUMMYFUNCTION("""COMPUTED_VALUE"""),66)</f>
        <v>66</v>
      </c>
      <c r="C298" s="56">
        <f ca="1">IFERROR(__xludf.DUMMYFUNCTION("""COMPUTED_VALUE"""),10206)</f>
        <v>10206</v>
      </c>
      <c r="D298" s="56">
        <f ca="1">IFERROR(__xludf.DUMMYFUNCTION("""COMPUTED_VALUE"""),199)</f>
        <v>199</v>
      </c>
      <c r="E298" s="56">
        <f ca="1">IFERROR(__xludf.DUMMYFUNCTION("""COMPUTED_VALUE"""),44867)</f>
        <v>44867</v>
      </c>
    </row>
    <row r="299" spans="1:5" ht="12.5" x14ac:dyDescent="0.25">
      <c r="A299" s="175">
        <f ca="1">IFERROR(__xludf.DUMMYFUNCTION("""COMPUTED_VALUE"""),44188)</f>
        <v>44188</v>
      </c>
      <c r="B299" s="56">
        <f ca="1">IFERROR(__xludf.DUMMYFUNCTION("""COMPUTED_VALUE"""),71)</f>
        <v>71</v>
      </c>
      <c r="C299" s="56">
        <f ca="1">IFERROR(__xludf.DUMMYFUNCTION("""COMPUTED_VALUE"""),10277)</f>
        <v>10277</v>
      </c>
      <c r="D299" s="56">
        <f ca="1">IFERROR(__xludf.DUMMYFUNCTION("""COMPUTED_VALUE"""),185)</f>
        <v>185</v>
      </c>
      <c r="E299" s="56">
        <f ca="1">IFERROR(__xludf.DUMMYFUNCTION("""COMPUTED_VALUE"""),45052)</f>
        <v>45052</v>
      </c>
    </row>
    <row r="300" spans="1:5" ht="12.5" x14ac:dyDescent="0.25">
      <c r="A300" s="175">
        <f ca="1">IFERROR(__xludf.DUMMYFUNCTION("""COMPUTED_VALUE"""),44189)</f>
        <v>44189</v>
      </c>
      <c r="B300" s="56">
        <f ca="1">IFERROR(__xludf.DUMMYFUNCTION("""COMPUTED_VALUE"""),70)</f>
        <v>70</v>
      </c>
      <c r="C300" s="56">
        <f ca="1">IFERROR(__xludf.DUMMYFUNCTION("""COMPUTED_VALUE"""),10347)</f>
        <v>10347</v>
      </c>
      <c r="D300" s="56">
        <f ca="1">IFERROR(__xludf.DUMMYFUNCTION("""COMPUTED_VALUE"""),204)</f>
        <v>204</v>
      </c>
      <c r="E300" s="56">
        <f ca="1">IFERROR(__xludf.DUMMYFUNCTION("""COMPUTED_VALUE"""),45256)</f>
        <v>45256</v>
      </c>
    </row>
    <row r="301" spans="1:5" ht="12.5" x14ac:dyDescent="0.25">
      <c r="A301" s="175">
        <f ca="1">IFERROR(__xludf.DUMMYFUNCTION("""COMPUTED_VALUE"""),44190)</f>
        <v>44190</v>
      </c>
      <c r="B301" s="56">
        <f ca="1">IFERROR(__xludf.DUMMYFUNCTION("""COMPUTED_VALUE"""),77)</f>
        <v>77</v>
      </c>
      <c r="C301" s="56">
        <f ca="1">IFERROR(__xludf.DUMMYFUNCTION("""COMPUTED_VALUE"""),10424)</f>
        <v>10424</v>
      </c>
      <c r="D301" s="56">
        <f ca="1">IFERROR(__xludf.DUMMYFUNCTION("""COMPUTED_VALUE"""),206)</f>
        <v>206</v>
      </c>
      <c r="E301" s="56">
        <f ca="1">IFERROR(__xludf.DUMMYFUNCTION("""COMPUTED_VALUE"""),45462)</f>
        <v>45462</v>
      </c>
    </row>
    <row r="302" spans="1:5" ht="12.5" x14ac:dyDescent="0.25">
      <c r="A302" s="175">
        <f ca="1">IFERROR(__xludf.DUMMYFUNCTION("""COMPUTED_VALUE"""),44191)</f>
        <v>44191</v>
      </c>
      <c r="B302" s="56">
        <f ca="1">IFERROR(__xludf.DUMMYFUNCTION("""COMPUTED_VALUE"""),77)</f>
        <v>77</v>
      </c>
      <c r="C302" s="56">
        <f ca="1">IFERROR(__xludf.DUMMYFUNCTION("""COMPUTED_VALUE"""),10501)</f>
        <v>10501</v>
      </c>
      <c r="D302" s="56">
        <f ca="1">IFERROR(__xludf.DUMMYFUNCTION("""COMPUTED_VALUE"""),213)</f>
        <v>213</v>
      </c>
      <c r="E302" s="56">
        <f ca="1">IFERROR(__xludf.DUMMYFUNCTION("""COMPUTED_VALUE"""),45675)</f>
        <v>45675</v>
      </c>
    </row>
    <row r="303" spans="1:5" ht="12.5" x14ac:dyDescent="0.25">
      <c r="A303" s="175">
        <f ca="1">IFERROR(__xludf.DUMMYFUNCTION("""COMPUTED_VALUE"""),44192)</f>
        <v>44192</v>
      </c>
      <c r="B303" s="56">
        <f ca="1">IFERROR(__xludf.DUMMYFUNCTION("""COMPUTED_VALUE"""),69)</f>
        <v>69</v>
      </c>
      <c r="C303" s="56">
        <f ca="1">IFERROR(__xludf.DUMMYFUNCTION("""COMPUTED_VALUE"""),10570)</f>
        <v>10570</v>
      </c>
      <c r="D303" s="56">
        <f ca="1">IFERROR(__xludf.DUMMYFUNCTION("""COMPUTED_VALUE"""),217)</f>
        <v>217</v>
      </c>
      <c r="E303" s="56">
        <f ca="1">IFERROR(__xludf.DUMMYFUNCTION("""COMPUTED_VALUE"""),45892)</f>
        <v>45892</v>
      </c>
    </row>
    <row r="304" spans="1:5" ht="12.5" x14ac:dyDescent="0.25">
      <c r="A304" s="175">
        <f ca="1">IFERROR(__xludf.DUMMYFUNCTION("""COMPUTED_VALUE"""),44193)</f>
        <v>44193</v>
      </c>
      <c r="B304" s="56">
        <f ca="1">IFERROR(__xludf.DUMMYFUNCTION("""COMPUTED_VALUE"""),101)</f>
        <v>101</v>
      </c>
      <c r="C304" s="56">
        <f ca="1">IFERROR(__xludf.DUMMYFUNCTION("""COMPUTED_VALUE"""),10671)</f>
        <v>10671</v>
      </c>
      <c r="D304" s="56">
        <f ca="1">IFERROR(__xludf.DUMMYFUNCTION("""COMPUTED_VALUE"""),223)</f>
        <v>223</v>
      </c>
      <c r="E304" s="56">
        <f ca="1">IFERROR(__xludf.DUMMYFUNCTION("""COMPUTED_VALUE"""),46115)</f>
        <v>46115</v>
      </c>
    </row>
    <row r="305" spans="1:5" ht="12.5" x14ac:dyDescent="0.25">
      <c r="A305" s="175">
        <f ca="1">IFERROR(__xludf.DUMMYFUNCTION("""COMPUTED_VALUE"""),44194)</f>
        <v>44194</v>
      </c>
      <c r="B305" s="56">
        <f ca="1">IFERROR(__xludf.DUMMYFUNCTION("""COMPUTED_VALUE"""),68)</f>
        <v>68</v>
      </c>
      <c r="C305" s="56">
        <f ca="1">IFERROR(__xludf.DUMMYFUNCTION("""COMPUTED_VALUE"""),10739)</f>
        <v>10739</v>
      </c>
      <c r="D305" s="56">
        <f ca="1">IFERROR(__xludf.DUMMYFUNCTION("""COMPUTED_VALUE"""),196)</f>
        <v>196</v>
      </c>
      <c r="E305" s="56">
        <f ca="1">IFERROR(__xludf.DUMMYFUNCTION("""COMPUTED_VALUE"""),46311)</f>
        <v>46311</v>
      </c>
    </row>
    <row r="306" spans="1:5" ht="12.5" x14ac:dyDescent="0.25">
      <c r="A306" s="175">
        <f ca="1">IFERROR(__xludf.DUMMYFUNCTION("""COMPUTED_VALUE"""),44195)</f>
        <v>44195</v>
      </c>
      <c r="B306" s="56">
        <f ca="1">IFERROR(__xludf.DUMMYFUNCTION("""COMPUTED_VALUE"""),75)</f>
        <v>75</v>
      </c>
      <c r="C306" s="56">
        <f ca="1">IFERROR(__xludf.DUMMYFUNCTION("""COMPUTED_VALUE"""),10814)</f>
        <v>10814</v>
      </c>
      <c r="D306" s="56">
        <f ca="1">IFERROR(__xludf.DUMMYFUNCTION("""COMPUTED_VALUE"""),196)</f>
        <v>196</v>
      </c>
      <c r="E306" s="56">
        <f ca="1">IFERROR(__xludf.DUMMYFUNCTION("""COMPUTED_VALUE"""),46507)</f>
        <v>46507</v>
      </c>
    </row>
    <row r="307" spans="1:5" ht="12.5" x14ac:dyDescent="0.25">
      <c r="A307" s="175">
        <f ca="1">IFERROR(__xludf.DUMMYFUNCTION("""COMPUTED_VALUE"""),44196)</f>
        <v>44196</v>
      </c>
      <c r="B307" s="56">
        <f ca="1">IFERROR(__xludf.DUMMYFUNCTION("""COMPUTED_VALUE"""),80)</f>
        <v>80</v>
      </c>
      <c r="C307" s="56">
        <f ca="1">IFERROR(__xludf.DUMMYFUNCTION("""COMPUTED_VALUE"""),10894)</f>
        <v>10894</v>
      </c>
      <c r="D307" s="56">
        <f ca="1">IFERROR(__xludf.DUMMYFUNCTION("""COMPUTED_VALUE"""),185)</f>
        <v>185</v>
      </c>
      <c r="E307" s="56">
        <f ca="1">IFERROR(__xludf.DUMMYFUNCTION("""COMPUTED_VALUE"""),46692)</f>
        <v>46692</v>
      </c>
    </row>
    <row r="308" spans="1:5" ht="12.5" x14ac:dyDescent="0.25">
      <c r="A308" s="175">
        <f ca="1">IFERROR(__xludf.DUMMYFUNCTION("""COMPUTED_VALUE"""),44197)</f>
        <v>44197</v>
      </c>
      <c r="B308" s="56">
        <f ca="1">IFERROR(__xludf.DUMMYFUNCTION("""COMPUTED_VALUE"""),82)</f>
        <v>82</v>
      </c>
      <c r="C308" s="56">
        <f ca="1">IFERROR(__xludf.DUMMYFUNCTION("""COMPUTED_VALUE"""),10976)</f>
        <v>10976</v>
      </c>
      <c r="D308" s="56">
        <f ca="1">IFERROR(__xludf.DUMMYFUNCTION("""COMPUTED_VALUE"""),190)</f>
        <v>190</v>
      </c>
      <c r="E308" s="56">
        <f ca="1">IFERROR(__xludf.DUMMYFUNCTION("""COMPUTED_VALUE"""),46882)</f>
        <v>46882</v>
      </c>
    </row>
    <row r="309" spans="1:5" ht="12.5" x14ac:dyDescent="0.25">
      <c r="A309" s="175">
        <f ca="1">IFERROR(__xludf.DUMMYFUNCTION("""COMPUTED_VALUE"""),44198)</f>
        <v>44198</v>
      </c>
      <c r="B309" s="56">
        <f ca="1">IFERROR(__xludf.DUMMYFUNCTION("""COMPUTED_VALUE"""),88)</f>
        <v>88</v>
      </c>
      <c r="C309" s="56">
        <f ca="1">IFERROR(__xludf.DUMMYFUNCTION("""COMPUTED_VALUE"""),11064)</f>
        <v>11064</v>
      </c>
      <c r="D309" s="56">
        <f ca="1">IFERROR(__xludf.DUMMYFUNCTION("""COMPUTED_VALUE"""),191)</f>
        <v>191</v>
      </c>
      <c r="E309" s="56">
        <f ca="1">IFERROR(__xludf.DUMMYFUNCTION("""COMPUTED_VALUE"""),47073)</f>
        <v>47073</v>
      </c>
    </row>
    <row r="310" spans="1:5" ht="12.5" x14ac:dyDescent="0.25">
      <c r="A310" s="175">
        <f ca="1">IFERROR(__xludf.DUMMYFUNCTION("""COMPUTED_VALUE"""),44199)</f>
        <v>44199</v>
      </c>
      <c r="B310" s="56">
        <f ca="1">IFERROR(__xludf.DUMMYFUNCTION("""COMPUTED_VALUE"""),106)</f>
        <v>106</v>
      </c>
      <c r="C310" s="56">
        <f ca="1">IFERROR(__xludf.DUMMYFUNCTION("""COMPUTED_VALUE"""),11170)</f>
        <v>11170</v>
      </c>
      <c r="D310" s="56">
        <f ca="1">IFERROR(__xludf.DUMMYFUNCTION("""COMPUTED_VALUE"""),212)</f>
        <v>212</v>
      </c>
      <c r="E310" s="56">
        <f ca="1">IFERROR(__xludf.DUMMYFUNCTION("""COMPUTED_VALUE"""),47285)</f>
        <v>47285</v>
      </c>
    </row>
    <row r="311" spans="1:5" ht="12.5" x14ac:dyDescent="0.25">
      <c r="A311" s="175">
        <f ca="1">IFERROR(__xludf.DUMMYFUNCTION("""COMPUTED_VALUE"""),44200)</f>
        <v>44200</v>
      </c>
      <c r="B311" s="56">
        <f ca="1">IFERROR(__xludf.DUMMYFUNCTION("""COMPUTED_VALUE"""),94)</f>
        <v>94</v>
      </c>
      <c r="C311" s="56">
        <f ca="1">IFERROR(__xludf.DUMMYFUNCTION("""COMPUTED_VALUE"""),11264)</f>
        <v>11264</v>
      </c>
      <c r="D311" s="56">
        <f ca="1">IFERROR(__xludf.DUMMYFUNCTION("""COMPUTED_VALUE"""),202)</f>
        <v>202</v>
      </c>
      <c r="E311" s="56">
        <f ca="1">IFERROR(__xludf.DUMMYFUNCTION("""COMPUTED_VALUE"""),47487)</f>
        <v>47487</v>
      </c>
    </row>
    <row r="312" spans="1:5" ht="12.5" x14ac:dyDescent="0.25">
      <c r="A312" s="175">
        <f ca="1">IFERROR(__xludf.DUMMYFUNCTION("""COMPUTED_VALUE"""),44201)</f>
        <v>44201</v>
      </c>
      <c r="B312" s="56">
        <f ca="1">IFERROR(__xludf.DUMMYFUNCTION("""COMPUTED_VALUE"""),88)</f>
        <v>88</v>
      </c>
      <c r="C312" s="56">
        <f ca="1">IFERROR(__xludf.DUMMYFUNCTION("""COMPUTED_VALUE"""),11352)</f>
        <v>11352</v>
      </c>
      <c r="D312" s="56">
        <f ca="1">IFERROR(__xludf.DUMMYFUNCTION("""COMPUTED_VALUE"""),198)</f>
        <v>198</v>
      </c>
      <c r="E312" s="56">
        <f ca="1">IFERROR(__xludf.DUMMYFUNCTION("""COMPUTED_VALUE"""),47685)</f>
        <v>47685</v>
      </c>
    </row>
    <row r="313" spans="1:5" ht="12.5" x14ac:dyDescent="0.25">
      <c r="A313" s="175">
        <f ca="1">IFERROR(__xludf.DUMMYFUNCTION("""COMPUTED_VALUE"""),44202)</f>
        <v>44202</v>
      </c>
      <c r="B313" s="56">
        <f ca="1">IFERROR(__xludf.DUMMYFUNCTION("""COMPUTED_VALUE"""),94)</f>
        <v>94</v>
      </c>
      <c r="C313" s="56">
        <f ca="1">IFERROR(__xludf.DUMMYFUNCTION("""COMPUTED_VALUE"""),11446)</f>
        <v>11446</v>
      </c>
      <c r="D313" s="56">
        <f ca="1">IFERROR(__xludf.DUMMYFUNCTION("""COMPUTED_VALUE"""),238)</f>
        <v>238</v>
      </c>
      <c r="E313" s="56">
        <f ca="1">IFERROR(__xludf.DUMMYFUNCTION("""COMPUTED_VALUE"""),47923)</f>
        <v>47923</v>
      </c>
    </row>
    <row r="314" spans="1:5" ht="12.5" x14ac:dyDescent="0.25">
      <c r="A314" s="175">
        <f ca="1">IFERROR(__xludf.DUMMYFUNCTION("""COMPUTED_VALUE"""),44203)</f>
        <v>44203</v>
      </c>
      <c r="B314" s="56">
        <f ca="1">IFERROR(__xludf.DUMMYFUNCTION("""COMPUTED_VALUE"""),84)</f>
        <v>84</v>
      </c>
      <c r="C314" s="56">
        <f ca="1">IFERROR(__xludf.DUMMYFUNCTION("""COMPUTED_VALUE"""),11530)</f>
        <v>11530</v>
      </c>
      <c r="D314" s="56">
        <f ca="1">IFERROR(__xludf.DUMMYFUNCTION("""COMPUTED_VALUE"""),211)</f>
        <v>211</v>
      </c>
      <c r="E314" s="56">
        <f ca="1">IFERROR(__xludf.DUMMYFUNCTION("""COMPUTED_VALUE"""),48134)</f>
        <v>48134</v>
      </c>
    </row>
    <row r="315" spans="1:5" ht="12.5" x14ac:dyDescent="0.25">
      <c r="A315" s="175">
        <f ca="1">IFERROR(__xludf.DUMMYFUNCTION("""COMPUTED_VALUE"""),44204)</f>
        <v>44204</v>
      </c>
      <c r="B315" s="56">
        <f ca="1">IFERROR(__xludf.DUMMYFUNCTION("""COMPUTED_VALUE"""),92)</f>
        <v>92</v>
      </c>
      <c r="C315" s="56">
        <f ca="1">IFERROR(__xludf.DUMMYFUNCTION("""COMPUTED_VALUE"""),11622)</f>
        <v>11622</v>
      </c>
      <c r="D315" s="56">
        <f ca="1">IFERROR(__xludf.DUMMYFUNCTION("""COMPUTED_VALUE"""),234)</f>
        <v>234</v>
      </c>
      <c r="E315" s="56">
        <f ca="1">IFERROR(__xludf.DUMMYFUNCTION("""COMPUTED_VALUE"""),48368)</f>
        <v>48368</v>
      </c>
    </row>
    <row r="316" spans="1:5" ht="12.5" x14ac:dyDescent="0.25">
      <c r="A316" s="175">
        <f ca="1">IFERROR(__xludf.DUMMYFUNCTION("""COMPUTED_VALUE"""),44205)</f>
        <v>44205</v>
      </c>
      <c r="B316" s="56">
        <f ca="1">IFERROR(__xludf.DUMMYFUNCTION("""COMPUTED_VALUE"""),107)</f>
        <v>107</v>
      </c>
      <c r="C316" s="56">
        <f ca="1">IFERROR(__xludf.DUMMYFUNCTION("""COMPUTED_VALUE"""),11729)</f>
        <v>11729</v>
      </c>
      <c r="D316" s="56">
        <f ca="1">IFERROR(__xludf.DUMMYFUNCTION("""COMPUTED_VALUE"""),243)</f>
        <v>243</v>
      </c>
      <c r="E316" s="56">
        <f ca="1">IFERROR(__xludf.DUMMYFUNCTION("""COMPUTED_VALUE"""),48611)</f>
        <v>48611</v>
      </c>
    </row>
    <row r="317" spans="1:5" ht="12.5" x14ac:dyDescent="0.25">
      <c r="A317" s="175">
        <f ca="1">IFERROR(__xludf.DUMMYFUNCTION("""COMPUTED_VALUE"""),44206)</f>
        <v>44206</v>
      </c>
      <c r="B317" s="56">
        <f ca="1">IFERROR(__xludf.DUMMYFUNCTION("""COMPUTED_VALUE"""),78)</f>
        <v>78</v>
      </c>
      <c r="C317" s="56">
        <f ca="1">IFERROR(__xludf.DUMMYFUNCTION("""COMPUTED_VALUE"""),11807)</f>
        <v>11807</v>
      </c>
      <c r="D317" s="56">
        <f ca="1">IFERROR(__xludf.DUMMYFUNCTION("""COMPUTED_VALUE"""),194)</f>
        <v>194</v>
      </c>
      <c r="E317" s="56">
        <f ca="1">IFERROR(__xludf.DUMMYFUNCTION("""COMPUTED_VALUE"""),48805)</f>
        <v>48805</v>
      </c>
    </row>
    <row r="318" spans="1:5" ht="12.5" x14ac:dyDescent="0.25">
      <c r="A318" s="175">
        <f ca="1">IFERROR(__xludf.DUMMYFUNCTION("""COMPUTED_VALUE"""),44207)</f>
        <v>44207</v>
      </c>
      <c r="B318" s="56">
        <f ca="1">IFERROR(__xludf.DUMMYFUNCTION("""COMPUTED_VALUE"""),106)</f>
        <v>106</v>
      </c>
      <c r="C318" s="56">
        <f ca="1">IFERROR(__xludf.DUMMYFUNCTION("""COMPUTED_VALUE"""),11913)</f>
        <v>11913</v>
      </c>
      <c r="D318" s="56">
        <f ca="1">IFERROR(__xludf.DUMMYFUNCTION("""COMPUTED_VALUE"""),229)</f>
        <v>229</v>
      </c>
      <c r="E318" s="56">
        <f ca="1">IFERROR(__xludf.DUMMYFUNCTION("""COMPUTED_VALUE"""),49034)</f>
        <v>49034</v>
      </c>
    </row>
    <row r="319" spans="1:5" ht="12.5" x14ac:dyDescent="0.25">
      <c r="A319" s="175">
        <f ca="1">IFERROR(__xludf.DUMMYFUNCTION("""COMPUTED_VALUE"""),44208)</f>
        <v>44208</v>
      </c>
      <c r="B319" s="56">
        <f ca="1">IFERROR(__xludf.DUMMYFUNCTION("""COMPUTED_VALUE"""),107)</f>
        <v>107</v>
      </c>
      <c r="C319" s="56">
        <f ca="1">IFERROR(__xludf.DUMMYFUNCTION("""COMPUTED_VALUE"""),12020)</f>
        <v>12020</v>
      </c>
      <c r="D319" s="56">
        <f ca="1">IFERROR(__xludf.DUMMYFUNCTION("""COMPUTED_VALUE"""),223)</f>
        <v>223</v>
      </c>
      <c r="E319" s="56">
        <f ca="1">IFERROR(__xludf.DUMMYFUNCTION("""COMPUTED_VALUE"""),49257)</f>
        <v>49257</v>
      </c>
    </row>
    <row r="320" spans="1:5" ht="12.5" x14ac:dyDescent="0.25">
      <c r="A320" s="175">
        <f ca="1">IFERROR(__xludf.DUMMYFUNCTION("""COMPUTED_VALUE"""),44209)</f>
        <v>44209</v>
      </c>
      <c r="B320" s="56">
        <f ca="1">IFERROR(__xludf.DUMMYFUNCTION("""COMPUTED_VALUE"""),98)</f>
        <v>98</v>
      </c>
      <c r="C320" s="56">
        <f ca="1">IFERROR(__xludf.DUMMYFUNCTION("""COMPUTED_VALUE"""),12118)</f>
        <v>12118</v>
      </c>
      <c r="D320" s="56">
        <f ca="1">IFERROR(__xludf.DUMMYFUNCTION("""COMPUTED_VALUE"""),231)</f>
        <v>231</v>
      </c>
      <c r="E320" s="56">
        <f ca="1">IFERROR(__xludf.DUMMYFUNCTION("""COMPUTED_VALUE"""),49488)</f>
        <v>49488</v>
      </c>
    </row>
    <row r="321" spans="1:5" ht="12.5" x14ac:dyDescent="0.25">
      <c r="A321" s="175">
        <f ca="1">IFERROR(__xludf.DUMMYFUNCTION("""COMPUTED_VALUE"""),44210)</f>
        <v>44210</v>
      </c>
      <c r="B321" s="56">
        <f ca="1">IFERROR(__xludf.DUMMYFUNCTION("""COMPUTED_VALUE"""),113)</f>
        <v>113</v>
      </c>
      <c r="C321" s="56">
        <f ca="1">IFERROR(__xludf.DUMMYFUNCTION("""COMPUTED_VALUE"""),12231)</f>
        <v>12231</v>
      </c>
      <c r="D321" s="56">
        <f ca="1">IFERROR(__xludf.DUMMYFUNCTION("""COMPUTED_VALUE"""),206)</f>
        <v>206</v>
      </c>
      <c r="E321" s="56">
        <f ca="1">IFERROR(__xludf.DUMMYFUNCTION("""COMPUTED_VALUE"""),49694)</f>
        <v>49694</v>
      </c>
    </row>
    <row r="322" spans="1:5" ht="12.5" x14ac:dyDescent="0.25">
      <c r="A322" s="175">
        <f ca="1">IFERROR(__xludf.DUMMYFUNCTION("""COMPUTED_VALUE"""),44211)</f>
        <v>44211</v>
      </c>
      <c r="B322" s="56">
        <f ca="1">IFERROR(__xludf.DUMMYFUNCTION("""COMPUTED_VALUE"""),88)</f>
        <v>88</v>
      </c>
      <c r="C322" s="56">
        <f ca="1">IFERROR(__xludf.DUMMYFUNCTION("""COMPUTED_VALUE"""),12319)</f>
        <v>12319</v>
      </c>
      <c r="D322" s="56">
        <f ca="1">IFERROR(__xludf.DUMMYFUNCTION("""COMPUTED_VALUE"""),210)</f>
        <v>210</v>
      </c>
      <c r="E322" s="56">
        <f ca="1">IFERROR(__xludf.DUMMYFUNCTION("""COMPUTED_VALUE"""),49904)</f>
        <v>49904</v>
      </c>
    </row>
    <row r="323" spans="1:5" ht="12.5" x14ac:dyDescent="0.25">
      <c r="A323" s="175">
        <f ca="1">IFERROR(__xludf.DUMMYFUNCTION("""COMPUTED_VALUE"""),44212)</f>
        <v>44212</v>
      </c>
      <c r="B323" s="56">
        <f ca="1">IFERROR(__xludf.DUMMYFUNCTION("""COMPUTED_VALUE"""),103)</f>
        <v>103</v>
      </c>
      <c r="C323" s="56">
        <f ca="1">IFERROR(__xludf.DUMMYFUNCTION("""COMPUTED_VALUE"""),12422)</f>
        <v>12422</v>
      </c>
      <c r="D323" s="56">
        <f ca="1">IFERROR(__xludf.DUMMYFUNCTION("""COMPUTED_VALUE"""),225)</f>
        <v>225</v>
      </c>
      <c r="E323" s="56">
        <f ca="1">IFERROR(__xludf.DUMMYFUNCTION("""COMPUTED_VALUE"""),50129)</f>
        <v>50129</v>
      </c>
    </row>
    <row r="324" spans="1:5" ht="12.5" x14ac:dyDescent="0.25">
      <c r="A324" s="175">
        <f ca="1">IFERROR(__xludf.DUMMYFUNCTION("""COMPUTED_VALUE"""),44213)</f>
        <v>44213</v>
      </c>
      <c r="B324" s="56">
        <f ca="1">IFERROR(__xludf.DUMMYFUNCTION("""COMPUTED_VALUE"""),99)</f>
        <v>99</v>
      </c>
      <c r="C324" s="56">
        <f ca="1">IFERROR(__xludf.DUMMYFUNCTION("""COMPUTED_VALUE"""),12521)</f>
        <v>12521</v>
      </c>
      <c r="D324" s="56">
        <f ca="1">IFERROR(__xludf.DUMMYFUNCTION("""COMPUTED_VALUE"""),225)</f>
        <v>225</v>
      </c>
      <c r="E324" s="56">
        <f ca="1">IFERROR(__xludf.DUMMYFUNCTION("""COMPUTED_VALUE"""),50354)</f>
        <v>50354</v>
      </c>
    </row>
    <row r="325" spans="1:5" ht="12.5" x14ac:dyDescent="0.25">
      <c r="A325" s="175">
        <f ca="1">IFERROR(__xludf.DUMMYFUNCTION("""COMPUTED_VALUE"""),44214)</f>
        <v>44214</v>
      </c>
      <c r="B325" s="56">
        <f ca="1">IFERROR(__xludf.DUMMYFUNCTION("""COMPUTED_VALUE"""),111)</f>
        <v>111</v>
      </c>
      <c r="C325" s="56">
        <f ca="1">IFERROR(__xludf.DUMMYFUNCTION("""COMPUTED_VALUE"""),12632)</f>
        <v>12632</v>
      </c>
      <c r="D325" s="56">
        <f ca="1">IFERROR(__xludf.DUMMYFUNCTION("""COMPUTED_VALUE"""),214)</f>
        <v>214</v>
      </c>
      <c r="E325" s="56">
        <f ca="1">IFERROR(__xludf.DUMMYFUNCTION("""COMPUTED_VALUE"""),50568)</f>
        <v>50568</v>
      </c>
    </row>
    <row r="326" spans="1:5" ht="12.5" x14ac:dyDescent="0.25">
      <c r="A326" s="175">
        <f ca="1">IFERROR(__xludf.DUMMYFUNCTION("""COMPUTED_VALUE"""),44215)</f>
        <v>44215</v>
      </c>
      <c r="B326" s="56">
        <f ca="1">IFERROR(__xludf.DUMMYFUNCTION("""COMPUTED_VALUE"""),100)</f>
        <v>100</v>
      </c>
      <c r="C326" s="56">
        <f ca="1">IFERROR(__xludf.DUMMYFUNCTION("""COMPUTED_VALUE"""),12732)</f>
        <v>12732</v>
      </c>
      <c r="D326" s="56">
        <f ca="1">IFERROR(__xludf.DUMMYFUNCTION("""COMPUTED_VALUE"""),222)</f>
        <v>222</v>
      </c>
      <c r="E326" s="56">
        <f ca="1">IFERROR(__xludf.DUMMYFUNCTION("""COMPUTED_VALUE"""),50790)</f>
        <v>50790</v>
      </c>
    </row>
    <row r="327" spans="1:5" ht="12.5" x14ac:dyDescent="0.25">
      <c r="A327" s="175">
        <f ca="1">IFERROR(__xludf.DUMMYFUNCTION("""COMPUTED_VALUE"""),44216)</f>
        <v>44216</v>
      </c>
      <c r="B327" s="56">
        <f ca="1">IFERROR(__xludf.DUMMYFUNCTION("""COMPUTED_VALUE"""),95)</f>
        <v>95</v>
      </c>
      <c r="C327" s="56">
        <f ca="1">IFERROR(__xludf.DUMMYFUNCTION("""COMPUTED_VALUE"""),12827)</f>
        <v>12827</v>
      </c>
      <c r="D327" s="56">
        <f ca="1">IFERROR(__xludf.DUMMYFUNCTION("""COMPUTED_VALUE"""),217)</f>
        <v>217</v>
      </c>
      <c r="E327" s="56">
        <f ca="1">IFERROR(__xludf.DUMMYFUNCTION("""COMPUTED_VALUE"""),51007)</f>
        <v>51007</v>
      </c>
    </row>
    <row r="328" spans="1:5" ht="12.5" x14ac:dyDescent="0.25">
      <c r="A328" s="175">
        <f ca="1">IFERROR(__xludf.DUMMYFUNCTION("""COMPUTED_VALUE"""),44217)</f>
        <v>44217</v>
      </c>
      <c r="B328" s="56">
        <f ca="1">IFERROR(__xludf.DUMMYFUNCTION("""COMPUTED_VALUE"""),92)</f>
        <v>92</v>
      </c>
      <c r="C328" s="56">
        <f ca="1">IFERROR(__xludf.DUMMYFUNCTION("""COMPUTED_VALUE"""),12919)</f>
        <v>12919</v>
      </c>
      <c r="D328" s="56">
        <f ca="1">IFERROR(__xludf.DUMMYFUNCTION("""COMPUTED_VALUE"""),214)</f>
        <v>214</v>
      </c>
      <c r="E328" s="56">
        <f ca="1">IFERROR(__xludf.DUMMYFUNCTION("""COMPUTED_VALUE"""),51221)</f>
        <v>51221</v>
      </c>
    </row>
    <row r="329" spans="1:5" ht="12.5" x14ac:dyDescent="0.25">
      <c r="A329" s="175">
        <f ca="1">IFERROR(__xludf.DUMMYFUNCTION("""COMPUTED_VALUE"""),44218)</f>
        <v>44218</v>
      </c>
      <c r="B329" s="56">
        <f ca="1">IFERROR(__xludf.DUMMYFUNCTION("""COMPUTED_VALUE"""),87)</f>
        <v>87</v>
      </c>
      <c r="C329" s="56">
        <f ca="1">IFERROR(__xludf.DUMMYFUNCTION("""COMPUTED_VALUE"""),13006)</f>
        <v>13006</v>
      </c>
      <c r="D329" s="56">
        <f ca="1">IFERROR(__xludf.DUMMYFUNCTION("""COMPUTED_VALUE"""),177)</f>
        <v>177</v>
      </c>
      <c r="E329" s="56">
        <f ca="1">IFERROR(__xludf.DUMMYFUNCTION("""COMPUTED_VALUE"""),51398)</f>
        <v>51398</v>
      </c>
    </row>
    <row r="330" spans="1:5" ht="12.5" x14ac:dyDescent="0.25">
      <c r="A330" s="175">
        <f ca="1">IFERROR(__xludf.DUMMYFUNCTION("""COMPUTED_VALUE"""),44219)</f>
        <v>44219</v>
      </c>
      <c r="B330" s="56">
        <f ca="1">IFERROR(__xludf.DUMMYFUNCTION("""COMPUTED_VALUE"""),95)</f>
        <v>95</v>
      </c>
      <c r="C330" s="56">
        <f ca="1">IFERROR(__xludf.DUMMYFUNCTION("""COMPUTED_VALUE"""),13101)</f>
        <v>13101</v>
      </c>
      <c r="D330" s="56">
        <f ca="1">IFERROR(__xludf.DUMMYFUNCTION("""COMPUTED_VALUE"""),208)</f>
        <v>208</v>
      </c>
      <c r="E330" s="56">
        <f ca="1">IFERROR(__xludf.DUMMYFUNCTION("""COMPUTED_VALUE"""),51606)</f>
        <v>51606</v>
      </c>
    </row>
    <row r="331" spans="1:5" ht="12.5" x14ac:dyDescent="0.25">
      <c r="A331" s="175">
        <f ca="1">IFERROR(__xludf.DUMMYFUNCTION("""COMPUTED_VALUE"""),44220)</f>
        <v>44220</v>
      </c>
      <c r="B331" s="56">
        <f ca="1">IFERROR(__xludf.DUMMYFUNCTION("""COMPUTED_VALUE"""),79)</f>
        <v>79</v>
      </c>
      <c r="C331" s="56">
        <f ca="1">IFERROR(__xludf.DUMMYFUNCTION("""COMPUTED_VALUE"""),13180)</f>
        <v>13180</v>
      </c>
      <c r="D331" s="56">
        <f ca="1">IFERROR(__xludf.DUMMYFUNCTION("""COMPUTED_VALUE"""),201)</f>
        <v>201</v>
      </c>
      <c r="E331" s="56">
        <f ca="1">IFERROR(__xludf.DUMMYFUNCTION("""COMPUTED_VALUE"""),51807)</f>
        <v>51807</v>
      </c>
    </row>
    <row r="332" spans="1:5" ht="12.5" x14ac:dyDescent="0.25">
      <c r="A332" s="175">
        <f ca="1">IFERROR(__xludf.DUMMYFUNCTION("""COMPUTED_VALUE"""),44221)</f>
        <v>44221</v>
      </c>
      <c r="B332" s="56">
        <f ca="1">IFERROR(__xludf.DUMMYFUNCTION("""COMPUTED_VALUE"""),95)</f>
        <v>95</v>
      </c>
      <c r="C332" s="56">
        <f ca="1">IFERROR(__xludf.DUMMYFUNCTION("""COMPUTED_VALUE"""),13275)</f>
        <v>13275</v>
      </c>
      <c r="D332" s="56">
        <f ca="1">IFERROR(__xludf.DUMMYFUNCTION("""COMPUTED_VALUE"""),196)</f>
        <v>196</v>
      </c>
      <c r="E332" s="56">
        <f ca="1">IFERROR(__xludf.DUMMYFUNCTION("""COMPUTED_VALUE"""),52003)</f>
        <v>52003</v>
      </c>
    </row>
    <row r="333" spans="1:5" ht="12.5" x14ac:dyDescent="0.25">
      <c r="A333" s="175">
        <f ca="1">IFERROR(__xludf.DUMMYFUNCTION("""COMPUTED_VALUE"""),44222)</f>
        <v>44222</v>
      </c>
      <c r="B333" s="56">
        <f ca="1">IFERROR(__xludf.DUMMYFUNCTION("""COMPUTED_VALUE"""),106)</f>
        <v>106</v>
      </c>
      <c r="C333" s="56">
        <f ca="1">IFERROR(__xludf.DUMMYFUNCTION("""COMPUTED_VALUE"""),13381)</f>
        <v>13381</v>
      </c>
      <c r="D333" s="56">
        <f ca="1">IFERROR(__xludf.DUMMYFUNCTION("""COMPUTED_VALUE"""),237)</f>
        <v>237</v>
      </c>
      <c r="E333" s="56">
        <f ca="1">IFERROR(__xludf.DUMMYFUNCTION("""COMPUTED_VALUE"""),52240)</f>
        <v>52240</v>
      </c>
    </row>
    <row r="334" spans="1:5" ht="12.5" x14ac:dyDescent="0.25">
      <c r="A334" s="175">
        <f ca="1">IFERROR(__xludf.DUMMYFUNCTION("""COMPUTED_VALUE"""),44223)</f>
        <v>44223</v>
      </c>
      <c r="B334" s="56">
        <f ca="1">IFERROR(__xludf.DUMMYFUNCTION("""COMPUTED_VALUE"""),104)</f>
        <v>104</v>
      </c>
      <c r="C334" s="56">
        <f ca="1">IFERROR(__xludf.DUMMYFUNCTION("""COMPUTED_VALUE"""),13485)</f>
        <v>13485</v>
      </c>
      <c r="D334" s="56">
        <f ca="1">IFERROR(__xludf.DUMMYFUNCTION("""COMPUTED_VALUE"""),203)</f>
        <v>203</v>
      </c>
      <c r="E334" s="56">
        <f ca="1">IFERROR(__xludf.DUMMYFUNCTION("""COMPUTED_VALUE"""),52443)</f>
        <v>52443</v>
      </c>
    </row>
    <row r="335" spans="1:5" ht="12.5" x14ac:dyDescent="0.25">
      <c r="A335" s="175">
        <f ca="1">IFERROR(__xludf.DUMMYFUNCTION("""COMPUTED_VALUE"""),44224)</f>
        <v>44224</v>
      </c>
      <c r="B335" s="56">
        <f ca="1">IFERROR(__xludf.DUMMYFUNCTION("""COMPUTED_VALUE"""),110)</f>
        <v>110</v>
      </c>
      <c r="C335" s="56">
        <f ca="1">IFERROR(__xludf.DUMMYFUNCTION("""COMPUTED_VALUE"""),13595)</f>
        <v>13595</v>
      </c>
      <c r="D335" s="56">
        <f ca="1">IFERROR(__xludf.DUMMYFUNCTION("""COMPUTED_VALUE"""),218)</f>
        <v>218</v>
      </c>
      <c r="E335" s="56">
        <f ca="1">IFERROR(__xludf.DUMMYFUNCTION("""COMPUTED_VALUE"""),52661)</f>
        <v>52661</v>
      </c>
    </row>
    <row r="336" spans="1:5" ht="12.5" x14ac:dyDescent="0.25">
      <c r="A336" s="175">
        <f ca="1">IFERROR(__xludf.DUMMYFUNCTION("""COMPUTED_VALUE"""),44225)</f>
        <v>44225</v>
      </c>
      <c r="B336" s="56">
        <f ca="1">IFERROR(__xludf.DUMMYFUNCTION("""COMPUTED_VALUE"""),85)</f>
        <v>85</v>
      </c>
      <c r="C336" s="56">
        <f ca="1">IFERROR(__xludf.DUMMYFUNCTION("""COMPUTED_VALUE"""),13680)</f>
        <v>13680</v>
      </c>
      <c r="D336" s="56">
        <f ca="1">IFERROR(__xludf.DUMMYFUNCTION("""COMPUTED_VALUE"""),175)</f>
        <v>175</v>
      </c>
      <c r="E336" s="56">
        <f ca="1">IFERROR(__xludf.DUMMYFUNCTION("""COMPUTED_VALUE"""),52836)</f>
        <v>52836</v>
      </c>
    </row>
    <row r="337" spans="1:5" ht="12.5" x14ac:dyDescent="0.25">
      <c r="A337" s="175">
        <f ca="1">IFERROR(__xludf.DUMMYFUNCTION("""COMPUTED_VALUE"""),44226)</f>
        <v>44226</v>
      </c>
      <c r="B337" s="56">
        <f ca="1">IFERROR(__xludf.DUMMYFUNCTION("""COMPUTED_VALUE"""),75)</f>
        <v>75</v>
      </c>
      <c r="C337" s="56">
        <f ca="1">IFERROR(__xludf.DUMMYFUNCTION("""COMPUTED_VALUE"""),13755)</f>
        <v>13755</v>
      </c>
      <c r="D337" s="56">
        <f ca="1">IFERROR(__xludf.DUMMYFUNCTION("""COMPUTED_VALUE"""),199)</f>
        <v>199</v>
      </c>
      <c r="E337" s="56">
        <f ca="1">IFERROR(__xludf.DUMMYFUNCTION("""COMPUTED_VALUE"""),53035)</f>
        <v>53035</v>
      </c>
    </row>
    <row r="338" spans="1:5" ht="12.5" x14ac:dyDescent="0.25">
      <c r="A338" s="175">
        <f ca="1">IFERROR(__xludf.DUMMYFUNCTION("""COMPUTED_VALUE"""),44227)</f>
        <v>44227</v>
      </c>
      <c r="B338" s="56">
        <f ca="1">IFERROR(__xludf.DUMMYFUNCTION("""COMPUTED_VALUE"""),96)</f>
        <v>96</v>
      </c>
      <c r="C338" s="56">
        <f ca="1">IFERROR(__xludf.DUMMYFUNCTION("""COMPUTED_VALUE"""),13851)</f>
        <v>13851</v>
      </c>
      <c r="D338" s="56">
        <f ca="1">IFERROR(__xludf.DUMMYFUNCTION("""COMPUTED_VALUE"""),171)</f>
        <v>171</v>
      </c>
      <c r="E338" s="56">
        <f ca="1">IFERROR(__xludf.DUMMYFUNCTION("""COMPUTED_VALUE"""),53206)</f>
        <v>53206</v>
      </c>
    </row>
    <row r="339" spans="1:5" ht="12.5" x14ac:dyDescent="0.25">
      <c r="A339" s="175">
        <f ca="1">IFERROR(__xludf.DUMMYFUNCTION("""COMPUTED_VALUE"""),44228)</f>
        <v>44228</v>
      </c>
      <c r="B339" s="56">
        <f ca="1">IFERROR(__xludf.DUMMYFUNCTION("""COMPUTED_VALUE"""),87)</f>
        <v>87</v>
      </c>
      <c r="C339" s="56">
        <f ca="1">IFERROR(__xludf.DUMMYFUNCTION("""COMPUTED_VALUE"""),13938)</f>
        <v>13938</v>
      </c>
      <c r="D339" s="56">
        <f ca="1">IFERROR(__xludf.DUMMYFUNCTION("""COMPUTED_VALUE"""),192)</f>
        <v>192</v>
      </c>
      <c r="E339" s="56">
        <f ca="1">IFERROR(__xludf.DUMMYFUNCTION("""COMPUTED_VALUE"""),53398)</f>
        <v>53398</v>
      </c>
    </row>
    <row r="340" spans="1:5" ht="12.5" x14ac:dyDescent="0.25">
      <c r="A340" s="175">
        <f ca="1">IFERROR(__xludf.DUMMYFUNCTION("""COMPUTED_VALUE"""),44229)</f>
        <v>44229</v>
      </c>
      <c r="B340" s="56">
        <f ca="1">IFERROR(__xludf.DUMMYFUNCTION("""COMPUTED_VALUE"""),70)</f>
        <v>70</v>
      </c>
      <c r="C340" s="56">
        <f ca="1">IFERROR(__xludf.DUMMYFUNCTION("""COMPUTED_VALUE"""),14008)</f>
        <v>14008</v>
      </c>
      <c r="D340" s="56">
        <f ca="1">IFERROR(__xludf.DUMMYFUNCTION("""COMPUTED_VALUE"""),198)</f>
        <v>198</v>
      </c>
      <c r="E340" s="56">
        <f ca="1">IFERROR(__xludf.DUMMYFUNCTION("""COMPUTED_VALUE"""),53596)</f>
        <v>53596</v>
      </c>
    </row>
    <row r="341" spans="1:5" ht="12.5" x14ac:dyDescent="0.25">
      <c r="A341" s="175">
        <f ca="1">IFERROR(__xludf.DUMMYFUNCTION("""COMPUTED_VALUE"""),44230)</f>
        <v>44230</v>
      </c>
      <c r="B341" s="56">
        <f ca="1">IFERROR(__xludf.DUMMYFUNCTION("""COMPUTED_VALUE"""),78)</f>
        <v>78</v>
      </c>
      <c r="C341" s="56">
        <f ca="1">IFERROR(__xludf.DUMMYFUNCTION("""COMPUTED_VALUE"""),14086)</f>
        <v>14086</v>
      </c>
      <c r="D341" s="56">
        <f ca="1">IFERROR(__xludf.DUMMYFUNCTION("""COMPUTED_VALUE"""),201)</f>
        <v>201</v>
      </c>
      <c r="E341" s="56">
        <f ca="1">IFERROR(__xludf.DUMMYFUNCTION("""COMPUTED_VALUE"""),53797)</f>
        <v>53797</v>
      </c>
    </row>
    <row r="342" spans="1:5" ht="12.5" x14ac:dyDescent="0.25">
      <c r="A342" s="175">
        <f ca="1">IFERROR(__xludf.DUMMYFUNCTION("""COMPUTED_VALUE"""),44231)</f>
        <v>44231</v>
      </c>
      <c r="B342" s="56">
        <f ca="1">IFERROR(__xludf.DUMMYFUNCTION("""COMPUTED_VALUE"""),71)</f>
        <v>71</v>
      </c>
      <c r="C342" s="56">
        <f ca="1">IFERROR(__xludf.DUMMYFUNCTION("""COMPUTED_VALUE"""),14157)</f>
        <v>14157</v>
      </c>
      <c r="D342" s="56">
        <f ca="1">IFERROR(__xludf.DUMMYFUNCTION("""COMPUTED_VALUE"""),176)</f>
        <v>176</v>
      </c>
      <c r="E342" s="56">
        <f ca="1">IFERROR(__xludf.DUMMYFUNCTION("""COMPUTED_VALUE"""),53973)</f>
        <v>53973</v>
      </c>
    </row>
    <row r="343" spans="1:5" ht="12.5" x14ac:dyDescent="0.25">
      <c r="A343" s="175">
        <f ca="1">IFERROR(__xludf.DUMMYFUNCTION("""COMPUTED_VALUE"""),44232)</f>
        <v>44232</v>
      </c>
      <c r="B343" s="56">
        <f ca="1">IFERROR(__xludf.DUMMYFUNCTION("""COMPUTED_VALUE"""),80)</f>
        <v>80</v>
      </c>
      <c r="C343" s="56">
        <f ca="1">IFERROR(__xludf.DUMMYFUNCTION("""COMPUTED_VALUE"""),14237)</f>
        <v>14237</v>
      </c>
      <c r="D343" s="56">
        <f ca="1">IFERROR(__xludf.DUMMYFUNCTION("""COMPUTED_VALUE"""),209)</f>
        <v>209</v>
      </c>
      <c r="E343" s="56">
        <f ca="1">IFERROR(__xludf.DUMMYFUNCTION("""COMPUTED_VALUE"""),54182)</f>
        <v>54182</v>
      </c>
    </row>
    <row r="344" spans="1:5" ht="12.5" x14ac:dyDescent="0.25">
      <c r="A344" s="175">
        <f ca="1">IFERROR(__xludf.DUMMYFUNCTION("""COMPUTED_VALUE"""),44233)</f>
        <v>44233</v>
      </c>
      <c r="B344" s="56">
        <f ca="1">IFERROR(__xludf.DUMMYFUNCTION("""COMPUTED_VALUE"""),68)</f>
        <v>68</v>
      </c>
      <c r="C344" s="56">
        <f ca="1">IFERROR(__xludf.DUMMYFUNCTION("""COMPUTED_VALUE"""),14305)</f>
        <v>14305</v>
      </c>
      <c r="D344" s="56">
        <f ca="1">IFERROR(__xludf.DUMMYFUNCTION("""COMPUTED_VALUE"""),185)</f>
        <v>185</v>
      </c>
      <c r="E344" s="56">
        <f ca="1">IFERROR(__xludf.DUMMYFUNCTION("""COMPUTED_VALUE"""),54367)</f>
        <v>54367</v>
      </c>
    </row>
    <row r="345" spans="1:5" ht="12.5" x14ac:dyDescent="0.25">
      <c r="A345" s="175">
        <f ca="1">IFERROR(__xludf.DUMMYFUNCTION("""COMPUTED_VALUE"""),44234)</f>
        <v>44234</v>
      </c>
      <c r="B345" s="56">
        <f ca="1">IFERROR(__xludf.DUMMYFUNCTION("""COMPUTED_VALUE"""),62)</f>
        <v>62</v>
      </c>
      <c r="C345" s="56">
        <f ca="1">IFERROR(__xludf.DUMMYFUNCTION("""COMPUTED_VALUE"""),14367)</f>
        <v>14367</v>
      </c>
      <c r="D345" s="56">
        <f ca="1">IFERROR(__xludf.DUMMYFUNCTION("""COMPUTED_VALUE"""),163)</f>
        <v>163</v>
      </c>
      <c r="E345" s="56">
        <f ca="1">IFERROR(__xludf.DUMMYFUNCTION("""COMPUTED_VALUE"""),54530)</f>
        <v>54530</v>
      </c>
    </row>
    <row r="346" spans="1:5" ht="12.5" x14ac:dyDescent="0.25">
      <c r="A346" s="175">
        <f ca="1">IFERROR(__xludf.DUMMYFUNCTION("""COMPUTED_VALUE"""),44235)</f>
        <v>44235</v>
      </c>
      <c r="B346" s="56">
        <f ca="1">IFERROR(__xludf.DUMMYFUNCTION("""COMPUTED_VALUE"""),74)</f>
        <v>74</v>
      </c>
      <c r="C346" s="56">
        <f ca="1">IFERROR(__xludf.DUMMYFUNCTION("""COMPUTED_VALUE"""),14441)</f>
        <v>14441</v>
      </c>
      <c r="D346" s="56">
        <f ca="1">IFERROR(__xludf.DUMMYFUNCTION("""COMPUTED_VALUE"""),168)</f>
        <v>168</v>
      </c>
      <c r="E346" s="56">
        <f ca="1">IFERROR(__xludf.DUMMYFUNCTION("""COMPUTED_VALUE"""),54698)</f>
        <v>54698</v>
      </c>
    </row>
    <row r="347" spans="1:5" ht="12.5" x14ac:dyDescent="0.25">
      <c r="A347" s="175">
        <f ca="1">IFERROR(__xludf.DUMMYFUNCTION("""COMPUTED_VALUE"""),44236)</f>
        <v>44236</v>
      </c>
      <c r="B347" s="56">
        <f ca="1">IFERROR(__xludf.DUMMYFUNCTION("""COMPUTED_VALUE"""),83)</f>
        <v>83</v>
      </c>
      <c r="C347" s="56">
        <f ca="1">IFERROR(__xludf.DUMMYFUNCTION("""COMPUTED_VALUE"""),14524)</f>
        <v>14524</v>
      </c>
      <c r="D347" s="56">
        <f ca="1">IFERROR(__xludf.DUMMYFUNCTION("""COMPUTED_VALUE"""),194)</f>
        <v>194</v>
      </c>
      <c r="E347" s="56">
        <f ca="1">IFERROR(__xludf.DUMMYFUNCTION("""COMPUTED_VALUE"""),54892)</f>
        <v>54892</v>
      </c>
    </row>
    <row r="348" spans="1:5" ht="12.5" x14ac:dyDescent="0.25">
      <c r="A348" s="175">
        <f ca="1">IFERROR(__xludf.DUMMYFUNCTION("""COMPUTED_VALUE"""),44237)</f>
        <v>44237</v>
      </c>
      <c r="B348" s="56">
        <f ca="1">IFERROR(__xludf.DUMMYFUNCTION("""COMPUTED_VALUE"""),70)</f>
        <v>70</v>
      </c>
      <c r="C348" s="56">
        <f ca="1">IFERROR(__xludf.DUMMYFUNCTION("""COMPUTED_VALUE"""),14594)</f>
        <v>14594</v>
      </c>
      <c r="D348" s="56">
        <f ca="1">IFERROR(__xludf.DUMMYFUNCTION("""COMPUTED_VALUE"""),203)</f>
        <v>203</v>
      </c>
      <c r="E348" s="56">
        <f ca="1">IFERROR(__xludf.DUMMYFUNCTION("""COMPUTED_VALUE"""),55095)</f>
        <v>55095</v>
      </c>
    </row>
    <row r="349" spans="1:5" ht="12.5" x14ac:dyDescent="0.25">
      <c r="A349" s="175">
        <f ca="1">IFERROR(__xludf.DUMMYFUNCTION("""COMPUTED_VALUE"""),44238)</f>
        <v>44238</v>
      </c>
      <c r="B349" s="56">
        <f ca="1">IFERROR(__xludf.DUMMYFUNCTION("""COMPUTED_VALUE"""),68)</f>
        <v>68</v>
      </c>
      <c r="C349" s="56">
        <f ca="1">IFERROR(__xludf.DUMMYFUNCTION("""COMPUTED_VALUE"""),14662)</f>
        <v>14662</v>
      </c>
      <c r="D349" s="56">
        <f ca="1">IFERROR(__xludf.DUMMYFUNCTION("""COMPUTED_VALUE"""),175)</f>
        <v>175</v>
      </c>
      <c r="E349" s="56">
        <f ca="1">IFERROR(__xludf.DUMMYFUNCTION("""COMPUTED_VALUE"""),55270)</f>
        <v>55270</v>
      </c>
    </row>
    <row r="350" spans="1:5" ht="12.5" x14ac:dyDescent="0.25">
      <c r="A350" s="175">
        <f ca="1">IFERROR(__xludf.DUMMYFUNCTION("""COMPUTED_VALUE"""),44239)</f>
        <v>44239</v>
      </c>
      <c r="B350" s="56">
        <f ca="1">IFERROR(__xludf.DUMMYFUNCTION("""COMPUTED_VALUE"""),75)</f>
        <v>75</v>
      </c>
      <c r="C350" s="56">
        <f ca="1">IFERROR(__xludf.DUMMYFUNCTION("""COMPUTED_VALUE"""),14737)</f>
        <v>14737</v>
      </c>
      <c r="D350" s="56">
        <f ca="1">IFERROR(__xludf.DUMMYFUNCTION("""COMPUTED_VALUE"""),186)</f>
        <v>186</v>
      </c>
      <c r="E350" s="56">
        <f ca="1">IFERROR(__xludf.DUMMYFUNCTION("""COMPUTED_VALUE"""),55456)</f>
        <v>55456</v>
      </c>
    </row>
    <row r="351" spans="1:5" ht="12.5" x14ac:dyDescent="0.25">
      <c r="A351" s="175">
        <f ca="1">IFERROR(__xludf.DUMMYFUNCTION("""COMPUTED_VALUE"""),44240)</f>
        <v>44240</v>
      </c>
      <c r="B351" s="56">
        <f ca="1">IFERROR(__xludf.DUMMYFUNCTION("""COMPUTED_VALUE"""),89)</f>
        <v>89</v>
      </c>
      <c r="C351" s="56">
        <f ca="1">IFERROR(__xludf.DUMMYFUNCTION("""COMPUTED_VALUE"""),14826)</f>
        <v>14826</v>
      </c>
      <c r="D351" s="56">
        <f ca="1">IFERROR(__xludf.DUMMYFUNCTION("""COMPUTED_VALUE"""),180)</f>
        <v>180</v>
      </c>
      <c r="E351" s="56">
        <f ca="1">IFERROR(__xludf.DUMMYFUNCTION("""COMPUTED_VALUE"""),55636)</f>
        <v>55636</v>
      </c>
    </row>
    <row r="352" spans="1:5" ht="12.5" x14ac:dyDescent="0.25">
      <c r="A352" s="175">
        <f ca="1">IFERROR(__xludf.DUMMYFUNCTION("""COMPUTED_VALUE"""),44241)</f>
        <v>44241</v>
      </c>
      <c r="B352" s="56">
        <f ca="1">IFERROR(__xludf.DUMMYFUNCTION("""COMPUTED_VALUE"""),63)</f>
        <v>63</v>
      </c>
      <c r="C352" s="56">
        <f ca="1">IFERROR(__xludf.DUMMYFUNCTION("""COMPUTED_VALUE"""),14889)</f>
        <v>14889</v>
      </c>
      <c r="D352" s="56">
        <f ca="1">IFERROR(__xludf.DUMMYFUNCTION("""COMPUTED_VALUE"""),148)</f>
        <v>148</v>
      </c>
      <c r="E352" s="56">
        <f ca="1">IFERROR(__xludf.DUMMYFUNCTION("""COMPUTED_VALUE"""),55784)</f>
        <v>55784</v>
      </c>
    </row>
    <row r="353" spans="1:5" ht="12.5" x14ac:dyDescent="0.25">
      <c r="A353" s="175">
        <f ca="1">IFERROR(__xludf.DUMMYFUNCTION("""COMPUTED_VALUE"""),44242)</f>
        <v>44242</v>
      </c>
      <c r="B353" s="56">
        <f ca="1">IFERROR(__xludf.DUMMYFUNCTION("""COMPUTED_VALUE"""),65)</f>
        <v>65</v>
      </c>
      <c r="C353" s="56">
        <f ca="1">IFERROR(__xludf.DUMMYFUNCTION("""COMPUTED_VALUE"""),14954)</f>
        <v>14954</v>
      </c>
      <c r="D353" s="56">
        <f ca="1">IFERROR(__xludf.DUMMYFUNCTION("""COMPUTED_VALUE"""),174)</f>
        <v>174</v>
      </c>
      <c r="E353" s="56">
        <f ca="1">IFERROR(__xludf.DUMMYFUNCTION("""COMPUTED_VALUE"""),55958)</f>
        <v>55958</v>
      </c>
    </row>
    <row r="354" spans="1:5" ht="12.5" x14ac:dyDescent="0.25">
      <c r="A354" s="175">
        <f ca="1">IFERROR(__xludf.DUMMYFUNCTION("""COMPUTED_VALUE"""),44243)</f>
        <v>44243</v>
      </c>
      <c r="B354" s="56">
        <f ca="1">IFERROR(__xludf.DUMMYFUNCTION("""COMPUTED_VALUE"""),75)</f>
        <v>75</v>
      </c>
      <c r="C354" s="56">
        <f ca="1">IFERROR(__xludf.DUMMYFUNCTION("""COMPUTED_VALUE"""),15029)</f>
        <v>15029</v>
      </c>
      <c r="D354" s="56">
        <f ca="1">IFERROR(__xludf.DUMMYFUNCTION("""COMPUTED_VALUE"""),192)</f>
        <v>192</v>
      </c>
      <c r="E354" s="56">
        <f ca="1">IFERROR(__xludf.DUMMYFUNCTION("""COMPUTED_VALUE"""),56150)</f>
        <v>56150</v>
      </c>
    </row>
    <row r="355" spans="1:5" ht="12.5" x14ac:dyDescent="0.25">
      <c r="A355" s="175">
        <f ca="1">IFERROR(__xludf.DUMMYFUNCTION("""COMPUTED_VALUE"""),44244)</f>
        <v>44244</v>
      </c>
      <c r="B355" s="56">
        <f ca="1">IFERROR(__xludf.DUMMYFUNCTION("""COMPUTED_VALUE"""),76)</f>
        <v>76</v>
      </c>
      <c r="C355" s="56">
        <f ca="1">IFERROR(__xludf.DUMMYFUNCTION("""COMPUTED_VALUE"""),15105)</f>
        <v>15105</v>
      </c>
      <c r="D355" s="56">
        <f ca="1">IFERROR(__xludf.DUMMYFUNCTION("""COMPUTED_VALUE"""),175)</f>
        <v>175</v>
      </c>
      <c r="E355" s="56">
        <f ca="1">IFERROR(__xludf.DUMMYFUNCTION("""COMPUTED_VALUE"""),56325)</f>
        <v>56325</v>
      </c>
    </row>
    <row r="356" spans="1:5" ht="12.5" x14ac:dyDescent="0.25">
      <c r="A356" s="175">
        <f ca="1">IFERROR(__xludf.DUMMYFUNCTION("""COMPUTED_VALUE"""),44245)</f>
        <v>44245</v>
      </c>
      <c r="B356" s="56">
        <f ca="1">IFERROR(__xludf.DUMMYFUNCTION("""COMPUTED_VALUE"""),69)</f>
        <v>69</v>
      </c>
      <c r="C356" s="56">
        <f ca="1">IFERROR(__xludf.DUMMYFUNCTION("""COMPUTED_VALUE"""),15174)</f>
        <v>15174</v>
      </c>
      <c r="D356" s="56">
        <f ca="1">IFERROR(__xludf.DUMMYFUNCTION("""COMPUTED_VALUE"""),179)</f>
        <v>179</v>
      </c>
      <c r="E356" s="56">
        <f ca="1">IFERROR(__xludf.DUMMYFUNCTION("""COMPUTED_VALUE"""),56504)</f>
        <v>56504</v>
      </c>
    </row>
    <row r="357" spans="1:5" ht="12.5" x14ac:dyDescent="0.25">
      <c r="A357" s="175">
        <f ca="1">IFERROR(__xludf.DUMMYFUNCTION("""COMPUTED_VALUE"""),44246)</f>
        <v>44246</v>
      </c>
      <c r="B357" s="56">
        <f ca="1">IFERROR(__xludf.DUMMYFUNCTION("""COMPUTED_VALUE"""),72)</f>
        <v>72</v>
      </c>
      <c r="C357" s="56">
        <f ca="1">IFERROR(__xludf.DUMMYFUNCTION("""COMPUTED_VALUE"""),15246)</f>
        <v>15246</v>
      </c>
      <c r="D357" s="56">
        <f ca="1">IFERROR(__xludf.DUMMYFUNCTION("""COMPUTED_VALUE"""),179)</f>
        <v>179</v>
      </c>
      <c r="E357" s="56">
        <f ca="1">IFERROR(__xludf.DUMMYFUNCTION("""COMPUTED_VALUE"""),56683)</f>
        <v>56683</v>
      </c>
    </row>
    <row r="358" spans="1:5" ht="12.5" x14ac:dyDescent="0.25">
      <c r="A358" s="175">
        <f ca="1">IFERROR(__xludf.DUMMYFUNCTION("""COMPUTED_VALUE"""),44247)</f>
        <v>44247</v>
      </c>
      <c r="B358" s="56">
        <f ca="1">IFERROR(__xludf.DUMMYFUNCTION("""COMPUTED_VALUE"""),60)</f>
        <v>60</v>
      </c>
      <c r="C358" s="56">
        <f ca="1">IFERROR(__xludf.DUMMYFUNCTION("""COMPUTED_VALUE"""),15306)</f>
        <v>15306</v>
      </c>
      <c r="D358" s="56">
        <f ca="1">IFERROR(__xludf.DUMMYFUNCTION("""COMPUTED_VALUE"""),157)</f>
        <v>157</v>
      </c>
      <c r="E358" s="56">
        <f ca="1">IFERROR(__xludf.DUMMYFUNCTION("""COMPUTED_VALUE"""),56840)</f>
        <v>56840</v>
      </c>
    </row>
    <row r="359" spans="1:5" ht="12.5" x14ac:dyDescent="0.25">
      <c r="A359" s="175">
        <f ca="1">IFERROR(__xludf.DUMMYFUNCTION("""COMPUTED_VALUE"""),44248)</f>
        <v>44248</v>
      </c>
      <c r="B359" s="56">
        <f ca="1">IFERROR(__xludf.DUMMYFUNCTION("""COMPUTED_VALUE"""),61)</f>
        <v>61</v>
      </c>
      <c r="C359" s="56">
        <f ca="1">IFERROR(__xludf.DUMMYFUNCTION("""COMPUTED_VALUE"""),15367)</f>
        <v>15367</v>
      </c>
      <c r="D359" s="56">
        <f ca="1">IFERROR(__xludf.DUMMYFUNCTION("""COMPUTED_VALUE"""),170)</f>
        <v>170</v>
      </c>
      <c r="E359" s="56">
        <f ca="1">IFERROR(__xludf.DUMMYFUNCTION("""COMPUTED_VALUE"""),57010)</f>
        <v>57010</v>
      </c>
    </row>
    <row r="360" spans="1:5" ht="12.5" x14ac:dyDescent="0.25">
      <c r="A360" s="175">
        <f ca="1">IFERROR(__xludf.DUMMYFUNCTION("""COMPUTED_VALUE"""),44249)</f>
        <v>44249</v>
      </c>
      <c r="B360" s="56">
        <f ca="1">IFERROR(__xludf.DUMMYFUNCTION("""COMPUTED_VALUE"""),60)</f>
        <v>60</v>
      </c>
      <c r="C360" s="56">
        <f ca="1">IFERROR(__xludf.DUMMYFUNCTION("""COMPUTED_VALUE"""),15427)</f>
        <v>15427</v>
      </c>
      <c r="D360" s="56">
        <f ca="1">IFERROR(__xludf.DUMMYFUNCTION("""COMPUTED_VALUE"""),166)</f>
        <v>166</v>
      </c>
      <c r="E360" s="56">
        <f ca="1">IFERROR(__xludf.DUMMYFUNCTION("""COMPUTED_VALUE"""),57176)</f>
        <v>57176</v>
      </c>
    </row>
    <row r="361" spans="1:5" ht="12.5" x14ac:dyDescent="0.25">
      <c r="A361" s="175">
        <f ca="1">IFERROR(__xludf.DUMMYFUNCTION("""COMPUTED_VALUE"""),44250)</f>
        <v>44250</v>
      </c>
      <c r="B361" s="56">
        <f ca="1">IFERROR(__xludf.DUMMYFUNCTION("""COMPUTED_VALUE"""),65)</f>
        <v>65</v>
      </c>
      <c r="C361" s="56">
        <f ca="1">IFERROR(__xludf.DUMMYFUNCTION("""COMPUTED_VALUE"""),15492)</f>
        <v>15492</v>
      </c>
      <c r="D361" s="56">
        <f ca="1">IFERROR(__xludf.DUMMYFUNCTION("""COMPUTED_VALUE"""),159)</f>
        <v>159</v>
      </c>
      <c r="E361" s="56">
        <f ca="1">IFERROR(__xludf.DUMMYFUNCTION("""COMPUTED_VALUE"""),57335)</f>
        <v>57335</v>
      </c>
    </row>
    <row r="362" spans="1:5" ht="12.5" x14ac:dyDescent="0.25">
      <c r="A362" s="175">
        <f ca="1">IFERROR(__xludf.DUMMYFUNCTION("""COMPUTED_VALUE"""),44251)</f>
        <v>44251</v>
      </c>
      <c r="B362" s="56">
        <f ca="1">IFERROR(__xludf.DUMMYFUNCTION("""COMPUTED_VALUE"""),40)</f>
        <v>40</v>
      </c>
      <c r="C362" s="56">
        <f ca="1">IFERROR(__xludf.DUMMYFUNCTION("""COMPUTED_VALUE"""),15532)</f>
        <v>15532</v>
      </c>
      <c r="D362" s="56">
        <f ca="1">IFERROR(__xludf.DUMMYFUNCTION("""COMPUTED_VALUE"""),156)</f>
        <v>156</v>
      </c>
      <c r="E362" s="56">
        <f ca="1">IFERROR(__xludf.DUMMYFUNCTION("""COMPUTED_VALUE"""),57491)</f>
        <v>57491</v>
      </c>
    </row>
    <row r="363" spans="1:5" ht="12.5" x14ac:dyDescent="0.25">
      <c r="A363" s="175">
        <f ca="1">IFERROR(__xludf.DUMMYFUNCTION("""COMPUTED_VALUE"""),44252)</f>
        <v>44252</v>
      </c>
      <c r="B363" s="56">
        <f ca="1">IFERROR(__xludf.DUMMYFUNCTION("""COMPUTED_VALUE"""),56)</f>
        <v>56</v>
      </c>
      <c r="C363" s="56">
        <f ca="1">IFERROR(__xludf.DUMMYFUNCTION("""COMPUTED_VALUE"""),15588)</f>
        <v>15588</v>
      </c>
      <c r="D363" s="56">
        <f ca="1">IFERROR(__xludf.DUMMYFUNCTION("""COMPUTED_VALUE"""),171)</f>
        <v>171</v>
      </c>
      <c r="E363" s="56">
        <f ca="1">IFERROR(__xludf.DUMMYFUNCTION("""COMPUTED_VALUE"""),57662)</f>
        <v>57662</v>
      </c>
    </row>
    <row r="364" spans="1:5" ht="12.5" x14ac:dyDescent="0.25">
      <c r="A364" s="175">
        <f ca="1">IFERROR(__xludf.DUMMYFUNCTION("""COMPUTED_VALUE"""),44253)</f>
        <v>44253</v>
      </c>
      <c r="B364" s="56">
        <f ca="1">IFERROR(__xludf.DUMMYFUNCTION("""COMPUTED_VALUE"""),63)</f>
        <v>63</v>
      </c>
      <c r="C364" s="56">
        <f ca="1">IFERROR(__xludf.DUMMYFUNCTION("""COMPUTED_VALUE"""),15651)</f>
        <v>15651</v>
      </c>
      <c r="D364" s="56">
        <f ca="1">IFERROR(__xludf.DUMMYFUNCTION("""COMPUTED_VALUE"""),146)</f>
        <v>146</v>
      </c>
      <c r="E364" s="56">
        <f ca="1">IFERROR(__xludf.DUMMYFUNCTION("""COMPUTED_VALUE"""),57808)</f>
        <v>57808</v>
      </c>
    </row>
    <row r="365" spans="1:5" ht="12.5" x14ac:dyDescent="0.25">
      <c r="A365" s="175">
        <f ca="1">IFERROR(__xludf.DUMMYFUNCTION("""COMPUTED_VALUE"""),44254)</f>
        <v>44254</v>
      </c>
      <c r="B365" s="56">
        <f ca="1">IFERROR(__xludf.DUMMYFUNCTION("""COMPUTED_VALUE"""),62)</f>
        <v>62</v>
      </c>
      <c r="C365" s="56">
        <f ca="1">IFERROR(__xludf.DUMMYFUNCTION("""COMPUTED_VALUE"""),15713)</f>
        <v>15713</v>
      </c>
      <c r="D365" s="56">
        <f ca="1">IFERROR(__xludf.DUMMYFUNCTION("""COMPUTED_VALUE"""),150)</f>
        <v>150</v>
      </c>
      <c r="E365" s="56">
        <f ca="1">IFERROR(__xludf.DUMMYFUNCTION("""COMPUTED_VALUE"""),57958)</f>
        <v>57958</v>
      </c>
    </row>
    <row r="366" spans="1:5" ht="12.5" x14ac:dyDescent="0.25">
      <c r="A366" s="175">
        <f ca="1">IFERROR(__xludf.DUMMYFUNCTION("""COMPUTED_VALUE"""),44255)</f>
        <v>44255</v>
      </c>
      <c r="B366" s="56">
        <f ca="1">IFERROR(__xludf.DUMMYFUNCTION("""COMPUTED_VALUE"""),50)</f>
        <v>50</v>
      </c>
      <c r="C366" s="56">
        <f ca="1">IFERROR(__xludf.DUMMYFUNCTION("""COMPUTED_VALUE"""),15763)</f>
        <v>15763</v>
      </c>
      <c r="D366" s="56">
        <f ca="1">IFERROR(__xludf.DUMMYFUNCTION("""COMPUTED_VALUE"""),180)</f>
        <v>180</v>
      </c>
      <c r="E366" s="56">
        <f ca="1">IFERROR(__xludf.DUMMYFUNCTION("""COMPUTED_VALUE"""),58138)</f>
        <v>58138</v>
      </c>
    </row>
    <row r="367" spans="1:5" ht="12.5" x14ac:dyDescent="0.25">
      <c r="A367" s="175">
        <f ca="1">IFERROR(__xludf.DUMMYFUNCTION("""COMPUTED_VALUE"""),44256)</f>
        <v>44256</v>
      </c>
      <c r="B367" s="56">
        <f ca="1">IFERROR(__xludf.DUMMYFUNCTION("""COMPUTED_VALUE"""),75)</f>
        <v>75</v>
      </c>
      <c r="C367" s="56">
        <f ca="1">IFERROR(__xludf.DUMMYFUNCTION("""COMPUTED_VALUE"""),15838)</f>
        <v>15838</v>
      </c>
      <c r="D367" s="56">
        <f ca="1">IFERROR(__xludf.DUMMYFUNCTION("""COMPUTED_VALUE"""),176)</f>
        <v>176</v>
      </c>
      <c r="E367" s="56">
        <f ca="1">IFERROR(__xludf.DUMMYFUNCTION("""COMPUTED_VALUE"""),58314)</f>
        <v>58314</v>
      </c>
    </row>
    <row r="368" spans="1:5" ht="12.5" x14ac:dyDescent="0.25">
      <c r="A368" s="175">
        <f ca="1">IFERROR(__xludf.DUMMYFUNCTION("""COMPUTED_VALUE"""),44257)</f>
        <v>44257</v>
      </c>
      <c r="B368" s="56">
        <f ca="1">IFERROR(__xludf.DUMMYFUNCTION("""COMPUTED_VALUE"""),57)</f>
        <v>57</v>
      </c>
      <c r="C368" s="56">
        <f ca="1">IFERROR(__xludf.DUMMYFUNCTION("""COMPUTED_VALUE"""),15895)</f>
        <v>15895</v>
      </c>
      <c r="D368" s="56">
        <f ca="1">IFERROR(__xludf.DUMMYFUNCTION("""COMPUTED_VALUE"""),159)</f>
        <v>159</v>
      </c>
      <c r="E368" s="56">
        <f ca="1">IFERROR(__xludf.DUMMYFUNCTION("""COMPUTED_VALUE"""),58473)</f>
        <v>58473</v>
      </c>
    </row>
    <row r="369" spans="1:5" ht="12.5" x14ac:dyDescent="0.25">
      <c r="A369" s="175">
        <f ca="1">IFERROR(__xludf.DUMMYFUNCTION("""COMPUTED_VALUE"""),44258)</f>
        <v>44258</v>
      </c>
      <c r="B369" s="56">
        <f ca="1">IFERROR(__xludf.DUMMYFUNCTION("""COMPUTED_VALUE"""),62)</f>
        <v>62</v>
      </c>
      <c r="C369" s="56">
        <f ca="1">IFERROR(__xludf.DUMMYFUNCTION("""COMPUTED_VALUE"""),15957)</f>
        <v>15957</v>
      </c>
      <c r="D369" s="56">
        <f ca="1">IFERROR(__xludf.DUMMYFUNCTION("""COMPUTED_VALUE"""),169)</f>
        <v>169</v>
      </c>
      <c r="E369" s="56">
        <f ca="1">IFERROR(__xludf.DUMMYFUNCTION("""COMPUTED_VALUE"""),58642)</f>
        <v>58642</v>
      </c>
    </row>
    <row r="370" spans="1:5" ht="12.5" x14ac:dyDescent="0.25">
      <c r="A370" s="175">
        <f ca="1">IFERROR(__xludf.DUMMYFUNCTION("""COMPUTED_VALUE"""),44259)</f>
        <v>44259</v>
      </c>
      <c r="B370" s="56">
        <f ca="1">IFERROR(__xludf.DUMMYFUNCTION("""COMPUTED_VALUE"""),51)</f>
        <v>51</v>
      </c>
      <c r="C370" s="56">
        <f ca="1">IFERROR(__xludf.DUMMYFUNCTION("""COMPUTED_VALUE"""),16008)</f>
        <v>16008</v>
      </c>
      <c r="D370" s="56">
        <f ca="1">IFERROR(__xludf.DUMMYFUNCTION("""COMPUTED_VALUE"""),166)</f>
        <v>166</v>
      </c>
      <c r="E370" s="56">
        <f ca="1">IFERROR(__xludf.DUMMYFUNCTION("""COMPUTED_VALUE"""),58808)</f>
        <v>58808</v>
      </c>
    </row>
    <row r="371" spans="1:5" ht="12.5" x14ac:dyDescent="0.25">
      <c r="A371" s="175">
        <f ca="1">IFERROR(__xludf.DUMMYFUNCTION("""COMPUTED_VALUE"""),44260)</f>
        <v>44260</v>
      </c>
      <c r="B371" s="56">
        <f ca="1">IFERROR(__xludf.DUMMYFUNCTION("""COMPUTED_VALUE"""),45)</f>
        <v>45</v>
      </c>
      <c r="C371" s="56">
        <f ca="1">IFERROR(__xludf.DUMMYFUNCTION("""COMPUTED_VALUE"""),16053)</f>
        <v>16053</v>
      </c>
      <c r="D371" s="56">
        <f ca="1">IFERROR(__xludf.DUMMYFUNCTION("""COMPUTED_VALUE"""),142)</f>
        <v>142</v>
      </c>
      <c r="E371" s="56">
        <f ca="1">IFERROR(__xludf.DUMMYFUNCTION("""COMPUTED_VALUE"""),58950)</f>
        <v>58950</v>
      </c>
    </row>
    <row r="372" spans="1:5" ht="12.5" x14ac:dyDescent="0.25">
      <c r="A372" s="175">
        <f ca="1">IFERROR(__xludf.DUMMYFUNCTION("""COMPUTED_VALUE"""),44261)</f>
        <v>44261</v>
      </c>
      <c r="B372" s="56">
        <f ca="1">IFERROR(__xludf.DUMMYFUNCTION("""COMPUTED_VALUE"""),56)</f>
        <v>56</v>
      </c>
      <c r="C372" s="56">
        <f ca="1">IFERROR(__xludf.DUMMYFUNCTION("""COMPUTED_VALUE"""),16109)</f>
        <v>16109</v>
      </c>
      <c r="D372" s="56">
        <f ca="1">IFERROR(__xludf.DUMMYFUNCTION("""COMPUTED_VALUE"""),152)</f>
        <v>152</v>
      </c>
      <c r="E372" s="56">
        <f ca="1">IFERROR(__xludf.DUMMYFUNCTION("""COMPUTED_VALUE"""),59102)</f>
        <v>59102</v>
      </c>
    </row>
    <row r="373" spans="1:5" ht="12.5" x14ac:dyDescent="0.25">
      <c r="A373" s="175">
        <f ca="1">IFERROR(__xludf.DUMMYFUNCTION("""COMPUTED_VALUE"""),44262)</f>
        <v>44262</v>
      </c>
      <c r="B373" s="56">
        <f ca="1">IFERROR(__xludf.DUMMYFUNCTION("""COMPUTED_VALUE"""),41)</f>
        <v>41</v>
      </c>
      <c r="C373" s="56">
        <f ca="1">IFERROR(__xludf.DUMMYFUNCTION("""COMPUTED_VALUE"""),16150)</f>
        <v>16150</v>
      </c>
      <c r="D373" s="56">
        <f ca="1">IFERROR(__xludf.DUMMYFUNCTION("""COMPUTED_VALUE"""),125)</f>
        <v>125</v>
      </c>
      <c r="E373" s="56">
        <f ca="1">IFERROR(__xludf.DUMMYFUNCTION("""COMPUTED_VALUE"""),59227)</f>
        <v>59227</v>
      </c>
    </row>
    <row r="374" spans="1:5" ht="12.5" x14ac:dyDescent="0.25">
      <c r="A374" s="175">
        <f ca="1">IFERROR(__xludf.DUMMYFUNCTION("""COMPUTED_VALUE"""),44263)</f>
        <v>44263</v>
      </c>
      <c r="B374" s="56">
        <f ca="1">IFERROR(__xludf.DUMMYFUNCTION("""COMPUTED_VALUE"""),50)</f>
        <v>50</v>
      </c>
      <c r="C374" s="56">
        <f ca="1">IFERROR(__xludf.DUMMYFUNCTION("""COMPUTED_VALUE"""),16200)</f>
        <v>16200</v>
      </c>
      <c r="D374" s="56">
        <f ca="1">IFERROR(__xludf.DUMMYFUNCTION("""COMPUTED_VALUE"""),163)</f>
        <v>163</v>
      </c>
      <c r="E374" s="56">
        <f ca="1">IFERROR(__xludf.DUMMYFUNCTION("""COMPUTED_VALUE"""),59390)</f>
        <v>59390</v>
      </c>
    </row>
    <row r="375" spans="1:5" ht="12.5" x14ac:dyDescent="0.25">
      <c r="A375" s="175">
        <f ca="1">IFERROR(__xludf.DUMMYFUNCTION("""COMPUTED_VALUE"""),44264)</f>
        <v>44264</v>
      </c>
      <c r="B375" s="56">
        <f ca="1">IFERROR(__xludf.DUMMYFUNCTION("""COMPUTED_VALUE"""),51)</f>
        <v>51</v>
      </c>
      <c r="C375" s="56">
        <f ca="1">IFERROR(__xludf.DUMMYFUNCTION("""COMPUTED_VALUE"""),16251)</f>
        <v>16251</v>
      </c>
      <c r="D375" s="56">
        <f ca="1">IFERROR(__xludf.DUMMYFUNCTION("""COMPUTED_VALUE"""),146)</f>
        <v>146</v>
      </c>
      <c r="E375" s="56">
        <f ca="1">IFERROR(__xludf.DUMMYFUNCTION("""COMPUTED_VALUE"""),59536)</f>
        <v>59536</v>
      </c>
    </row>
    <row r="376" spans="1:5" ht="12.5" x14ac:dyDescent="0.25">
      <c r="A376" s="175">
        <f ca="1">IFERROR(__xludf.DUMMYFUNCTION("""COMPUTED_VALUE"""),44265)</f>
        <v>44265</v>
      </c>
      <c r="B376" s="56">
        <f ca="1">IFERROR(__xludf.DUMMYFUNCTION("""COMPUTED_VALUE"""),38)</f>
        <v>38</v>
      </c>
      <c r="C376" s="56">
        <f ca="1">IFERROR(__xludf.DUMMYFUNCTION("""COMPUTED_VALUE"""),16289)</f>
        <v>16289</v>
      </c>
      <c r="D376" s="56">
        <f ca="1">IFERROR(__xludf.DUMMYFUNCTION("""COMPUTED_VALUE"""),149)</f>
        <v>149</v>
      </c>
      <c r="E376" s="56">
        <f ca="1">IFERROR(__xludf.DUMMYFUNCTION("""COMPUTED_VALUE"""),59685)</f>
        <v>59685</v>
      </c>
    </row>
    <row r="377" spans="1:5" ht="12.5" x14ac:dyDescent="0.25">
      <c r="A377" s="175">
        <f ca="1">IFERROR(__xludf.DUMMYFUNCTION("""COMPUTED_VALUE"""),44266)</f>
        <v>44266</v>
      </c>
      <c r="B377" s="56">
        <f ca="1">IFERROR(__xludf.DUMMYFUNCTION("""COMPUTED_VALUE"""),57)</f>
        <v>57</v>
      </c>
      <c r="C377" s="56">
        <f ca="1">IFERROR(__xludf.DUMMYFUNCTION("""COMPUTED_VALUE"""),16346)</f>
        <v>16346</v>
      </c>
      <c r="D377" s="56">
        <f ca="1">IFERROR(__xludf.DUMMYFUNCTION("""COMPUTED_VALUE"""),133)</f>
        <v>133</v>
      </c>
      <c r="E377" s="56">
        <f ca="1">IFERROR(__xludf.DUMMYFUNCTION("""COMPUTED_VALUE"""),59818)</f>
        <v>59818</v>
      </c>
    </row>
    <row r="378" spans="1:5" ht="12.5" x14ac:dyDescent="0.25">
      <c r="A378" s="175">
        <f ca="1">IFERROR(__xludf.DUMMYFUNCTION("""COMPUTED_VALUE"""),44267)</f>
        <v>44267</v>
      </c>
      <c r="B378" s="56">
        <f ca="1">IFERROR(__xludf.DUMMYFUNCTION("""COMPUTED_VALUE"""),48)</f>
        <v>48</v>
      </c>
      <c r="C378" s="56">
        <f ca="1">IFERROR(__xludf.DUMMYFUNCTION("""COMPUTED_VALUE"""),16394)</f>
        <v>16394</v>
      </c>
      <c r="D378" s="56">
        <f ca="1">IFERROR(__xludf.DUMMYFUNCTION("""COMPUTED_VALUE"""),173)</f>
        <v>173</v>
      </c>
      <c r="E378" s="56">
        <f ca="1">IFERROR(__xludf.DUMMYFUNCTION("""COMPUTED_VALUE"""),59991)</f>
        <v>59991</v>
      </c>
    </row>
    <row r="379" spans="1:5" ht="12.5" x14ac:dyDescent="0.25">
      <c r="A379" s="175">
        <f ca="1">IFERROR(__xludf.DUMMYFUNCTION("""COMPUTED_VALUE"""),44268)</f>
        <v>44268</v>
      </c>
      <c r="B379" s="56">
        <f ca="1">IFERROR(__xludf.DUMMYFUNCTION("""COMPUTED_VALUE"""),51)</f>
        <v>51</v>
      </c>
      <c r="C379" s="56">
        <f ca="1">IFERROR(__xludf.DUMMYFUNCTION("""COMPUTED_VALUE"""),16445)</f>
        <v>16445</v>
      </c>
      <c r="D379" s="56">
        <f ca="1">IFERROR(__xludf.DUMMYFUNCTION("""COMPUTED_VALUE"""),156)</f>
        <v>156</v>
      </c>
      <c r="E379" s="56">
        <f ca="1">IFERROR(__xludf.DUMMYFUNCTION("""COMPUTED_VALUE"""),60147)</f>
        <v>60147</v>
      </c>
    </row>
    <row r="380" spans="1:5" ht="12.5" x14ac:dyDescent="0.25">
      <c r="A380" s="175">
        <f ca="1">IFERROR(__xludf.DUMMYFUNCTION("""COMPUTED_VALUE"""),44269)</f>
        <v>44269</v>
      </c>
      <c r="B380" s="56">
        <f ca="1">IFERROR(__xludf.DUMMYFUNCTION("""COMPUTED_VALUE"""),24)</f>
        <v>24</v>
      </c>
      <c r="C380" s="56">
        <f ca="1">IFERROR(__xludf.DUMMYFUNCTION("""COMPUTED_VALUE"""),16469)</f>
        <v>16469</v>
      </c>
      <c r="D380" s="56">
        <f ca="1">IFERROR(__xludf.DUMMYFUNCTION("""COMPUTED_VALUE"""),123)</f>
        <v>123</v>
      </c>
      <c r="E380" s="56">
        <f ca="1">IFERROR(__xludf.DUMMYFUNCTION("""COMPUTED_VALUE"""),60270)</f>
        <v>60270</v>
      </c>
    </row>
    <row r="381" spans="1:5" ht="12.5" x14ac:dyDescent="0.25">
      <c r="A381" s="175">
        <f ca="1">IFERROR(__xludf.DUMMYFUNCTION("""COMPUTED_VALUE"""),44270)</f>
        <v>44270</v>
      </c>
      <c r="B381" s="56">
        <f ca="1">IFERROR(__xludf.DUMMYFUNCTION("""COMPUTED_VALUE"""),43)</f>
        <v>43</v>
      </c>
      <c r="C381" s="56">
        <f ca="1">IFERROR(__xludf.DUMMYFUNCTION("""COMPUTED_VALUE"""),16512)</f>
        <v>16512</v>
      </c>
      <c r="D381" s="56">
        <f ca="1">IFERROR(__xludf.DUMMYFUNCTION("""COMPUTED_VALUE"""),153)</f>
        <v>153</v>
      </c>
      <c r="E381" s="56">
        <f ca="1">IFERROR(__xludf.DUMMYFUNCTION("""COMPUTED_VALUE"""),60423)</f>
        <v>60423</v>
      </c>
    </row>
    <row r="382" spans="1:5" ht="12.5" x14ac:dyDescent="0.25">
      <c r="A382" s="175">
        <f ca="1">IFERROR(__xludf.DUMMYFUNCTION("""COMPUTED_VALUE"""),44271)</f>
        <v>44271</v>
      </c>
      <c r="B382" s="56">
        <f ca="1">IFERROR(__xludf.DUMMYFUNCTION("""COMPUTED_VALUE"""),52)</f>
        <v>52</v>
      </c>
      <c r="C382" s="56">
        <f ca="1">IFERROR(__xludf.DUMMYFUNCTION("""COMPUTED_VALUE"""),16564)</f>
        <v>16564</v>
      </c>
      <c r="D382" s="56">
        <f ca="1">IFERROR(__xludf.DUMMYFUNCTION("""COMPUTED_VALUE"""),152)</f>
        <v>152</v>
      </c>
      <c r="E382" s="56">
        <f ca="1">IFERROR(__xludf.DUMMYFUNCTION("""COMPUTED_VALUE"""),60575)</f>
        <v>60575</v>
      </c>
    </row>
    <row r="383" spans="1:5" ht="12.5" x14ac:dyDescent="0.25">
      <c r="A383" s="175">
        <f ca="1">IFERROR(__xludf.DUMMYFUNCTION("""COMPUTED_VALUE"""),44272)</f>
        <v>44272</v>
      </c>
      <c r="B383" s="56">
        <f ca="1">IFERROR(__xludf.DUMMYFUNCTION("""COMPUTED_VALUE"""),59)</f>
        <v>59</v>
      </c>
      <c r="C383" s="56">
        <f ca="1">IFERROR(__xludf.DUMMYFUNCTION("""COMPUTED_VALUE"""),16623)</f>
        <v>16623</v>
      </c>
      <c r="D383" s="56">
        <f ca="1">IFERROR(__xludf.DUMMYFUNCTION("""COMPUTED_VALUE"""),177)</f>
        <v>177</v>
      </c>
      <c r="E383" s="56">
        <f ca="1">IFERROR(__xludf.DUMMYFUNCTION("""COMPUTED_VALUE"""),60752)</f>
        <v>60752</v>
      </c>
    </row>
    <row r="384" spans="1:5" ht="12.5" x14ac:dyDescent="0.25">
      <c r="A384" s="175">
        <f ca="1">IFERROR(__xludf.DUMMYFUNCTION("""COMPUTED_VALUE"""),44273)</f>
        <v>44273</v>
      </c>
      <c r="B384" s="56">
        <f ca="1">IFERROR(__xludf.DUMMYFUNCTION("""COMPUTED_VALUE"""),41)</f>
        <v>41</v>
      </c>
      <c r="C384" s="56">
        <f ca="1">IFERROR(__xludf.DUMMYFUNCTION("""COMPUTED_VALUE"""),16664)</f>
        <v>16664</v>
      </c>
      <c r="D384" s="56">
        <f ca="1">IFERROR(__xludf.DUMMYFUNCTION("""COMPUTED_VALUE"""),172)</f>
        <v>172</v>
      </c>
      <c r="E384" s="56">
        <f ca="1">IFERROR(__xludf.DUMMYFUNCTION("""COMPUTED_VALUE"""),60924)</f>
        <v>60924</v>
      </c>
    </row>
    <row r="385" spans="1:5" ht="12.5" x14ac:dyDescent="0.25">
      <c r="A385" s="175">
        <f ca="1">IFERROR(__xludf.DUMMYFUNCTION("""COMPUTED_VALUE"""),44274)</f>
        <v>44274</v>
      </c>
      <c r="B385" s="56">
        <f ca="1">IFERROR(__xludf.DUMMYFUNCTION("""COMPUTED_VALUE"""),49)</f>
        <v>49</v>
      </c>
      <c r="C385" s="56">
        <f ca="1">IFERROR(__xludf.DUMMYFUNCTION("""COMPUTED_VALUE"""),16713)</f>
        <v>16713</v>
      </c>
      <c r="D385" s="56">
        <f ca="1">IFERROR(__xludf.DUMMYFUNCTION("""COMPUTED_VALUE"""),173)</f>
        <v>173</v>
      </c>
      <c r="E385" s="56">
        <f ca="1">IFERROR(__xludf.DUMMYFUNCTION("""COMPUTED_VALUE"""),61097)</f>
        <v>61097</v>
      </c>
    </row>
    <row r="386" spans="1:5" ht="12.5" x14ac:dyDescent="0.25">
      <c r="A386" s="175">
        <f ca="1">IFERROR(__xludf.DUMMYFUNCTION("""COMPUTED_VALUE"""),44275)</f>
        <v>44275</v>
      </c>
      <c r="B386" s="56">
        <f ca="1">IFERROR(__xludf.DUMMYFUNCTION("""COMPUTED_VALUE"""),49)</f>
        <v>49</v>
      </c>
      <c r="C386" s="56">
        <f ca="1">IFERROR(__xludf.DUMMYFUNCTION("""COMPUTED_VALUE"""),16762)</f>
        <v>16762</v>
      </c>
      <c r="D386" s="56">
        <f ca="1">IFERROR(__xludf.DUMMYFUNCTION("""COMPUTED_VALUE"""),137)</f>
        <v>137</v>
      </c>
      <c r="E386" s="56">
        <f ca="1">IFERROR(__xludf.DUMMYFUNCTION("""COMPUTED_VALUE"""),61234)</f>
        <v>61234</v>
      </c>
    </row>
    <row r="387" spans="1:5" ht="12.5" x14ac:dyDescent="0.25">
      <c r="A387" s="175">
        <f ca="1">IFERROR(__xludf.DUMMYFUNCTION("""COMPUTED_VALUE"""),44276)</f>
        <v>44276</v>
      </c>
      <c r="B387" s="56">
        <f ca="1">IFERROR(__xludf.DUMMYFUNCTION("""COMPUTED_VALUE"""),42)</f>
        <v>42</v>
      </c>
      <c r="C387" s="56">
        <f ca="1">IFERROR(__xludf.DUMMYFUNCTION("""COMPUTED_VALUE"""),16804)</f>
        <v>16804</v>
      </c>
      <c r="D387" s="56">
        <f ca="1">IFERROR(__xludf.DUMMYFUNCTION("""COMPUTED_VALUE"""),166)</f>
        <v>166</v>
      </c>
      <c r="E387" s="56">
        <f ca="1">IFERROR(__xludf.DUMMYFUNCTION("""COMPUTED_VALUE"""),61400)</f>
        <v>61400</v>
      </c>
    </row>
    <row r="388" spans="1:5" ht="12.5" x14ac:dyDescent="0.25">
      <c r="A388" s="175">
        <f ca="1">IFERROR(__xludf.DUMMYFUNCTION("""COMPUTED_VALUE"""),44277)</f>
        <v>44277</v>
      </c>
      <c r="B388" s="56">
        <f ca="1">IFERROR(__xludf.DUMMYFUNCTION("""COMPUTED_VALUE"""),49)</f>
        <v>49</v>
      </c>
      <c r="C388" s="56">
        <f ca="1">IFERROR(__xludf.DUMMYFUNCTION("""COMPUTED_VALUE"""),16853)</f>
        <v>16853</v>
      </c>
      <c r="D388" s="56">
        <f ca="1">IFERROR(__xludf.DUMMYFUNCTION("""COMPUTED_VALUE"""),154)</f>
        <v>154</v>
      </c>
      <c r="E388" s="56">
        <f ca="1">IFERROR(__xludf.DUMMYFUNCTION("""COMPUTED_VALUE"""),61554)</f>
        <v>61554</v>
      </c>
    </row>
    <row r="389" spans="1:5" ht="12.5" x14ac:dyDescent="0.25">
      <c r="A389" s="175">
        <f ca="1">IFERROR(__xludf.DUMMYFUNCTION("""COMPUTED_VALUE"""),44278)</f>
        <v>44278</v>
      </c>
      <c r="B389" s="56">
        <f ca="1">IFERROR(__xludf.DUMMYFUNCTION("""COMPUTED_VALUE"""),45)</f>
        <v>45</v>
      </c>
      <c r="C389" s="56">
        <f ca="1">IFERROR(__xludf.DUMMYFUNCTION("""COMPUTED_VALUE"""),16898)</f>
        <v>16898</v>
      </c>
      <c r="D389" s="56">
        <f ca="1">IFERROR(__xludf.DUMMYFUNCTION("""COMPUTED_VALUE"""),161)</f>
        <v>161</v>
      </c>
      <c r="E389" s="56">
        <f ca="1">IFERROR(__xludf.DUMMYFUNCTION("""COMPUTED_VALUE"""),61715)</f>
        <v>61715</v>
      </c>
    </row>
    <row r="390" spans="1:5" ht="12.5" x14ac:dyDescent="0.25">
      <c r="A390" s="175">
        <f ca="1">IFERROR(__xludf.DUMMYFUNCTION("""COMPUTED_VALUE"""),44279)</f>
        <v>44279</v>
      </c>
      <c r="B390" s="56">
        <f ca="1">IFERROR(__xludf.DUMMYFUNCTION("""COMPUTED_VALUE"""),39)</f>
        <v>39</v>
      </c>
      <c r="C390" s="56">
        <f ca="1">IFERROR(__xludf.DUMMYFUNCTION("""COMPUTED_VALUE"""),16937)</f>
        <v>16937</v>
      </c>
      <c r="D390" s="56">
        <f ca="1">IFERROR(__xludf.DUMMYFUNCTION("""COMPUTED_VALUE"""),156)</f>
        <v>156</v>
      </c>
      <c r="E390" s="56">
        <f ca="1">IFERROR(__xludf.DUMMYFUNCTION("""COMPUTED_VALUE"""),61871)</f>
        <v>61871</v>
      </c>
    </row>
    <row r="391" spans="1:5" ht="12.5" x14ac:dyDescent="0.25">
      <c r="A391" s="175">
        <f ca="1">IFERROR(__xludf.DUMMYFUNCTION("""COMPUTED_VALUE"""),44280)</f>
        <v>44280</v>
      </c>
      <c r="B391" s="56">
        <f ca="1">IFERROR(__xludf.DUMMYFUNCTION("""COMPUTED_VALUE"""),48)</f>
        <v>48</v>
      </c>
      <c r="C391" s="56">
        <f ca="1">IFERROR(__xludf.DUMMYFUNCTION("""COMPUTED_VALUE"""),16985)</f>
        <v>16985</v>
      </c>
      <c r="D391" s="56">
        <f ca="1">IFERROR(__xludf.DUMMYFUNCTION("""COMPUTED_VALUE"""),164)</f>
        <v>164</v>
      </c>
      <c r="E391" s="56">
        <f ca="1">IFERROR(__xludf.DUMMYFUNCTION("""COMPUTED_VALUE"""),62035)</f>
        <v>62035</v>
      </c>
    </row>
    <row r="392" spans="1:5" ht="12.5" x14ac:dyDescent="0.25">
      <c r="A392" s="175">
        <f ca="1">IFERROR(__xludf.DUMMYFUNCTION("""COMPUTED_VALUE"""),44281)</f>
        <v>44281</v>
      </c>
      <c r="B392" s="56">
        <f ca="1">IFERROR(__xludf.DUMMYFUNCTION("""COMPUTED_VALUE"""),37)</f>
        <v>37</v>
      </c>
      <c r="C392" s="56">
        <f ca="1">IFERROR(__xludf.DUMMYFUNCTION("""COMPUTED_VALUE"""),17022)</f>
        <v>17022</v>
      </c>
      <c r="D392" s="56">
        <f ca="1">IFERROR(__xludf.DUMMYFUNCTION("""COMPUTED_VALUE"""),131)</f>
        <v>131</v>
      </c>
      <c r="E392" s="56">
        <f ca="1">IFERROR(__xludf.DUMMYFUNCTION("""COMPUTED_VALUE"""),62166)</f>
        <v>62166</v>
      </c>
    </row>
    <row r="393" spans="1:5" ht="12.5" x14ac:dyDescent="0.25">
      <c r="A393" s="175">
        <f ca="1">IFERROR(__xludf.DUMMYFUNCTION("""COMPUTED_VALUE"""),44282)</f>
        <v>44282</v>
      </c>
      <c r="B393" s="56">
        <f ca="1">IFERROR(__xludf.DUMMYFUNCTION("""COMPUTED_VALUE"""),31)</f>
        <v>31</v>
      </c>
      <c r="C393" s="56">
        <f ca="1">IFERROR(__xludf.DUMMYFUNCTION("""COMPUTED_VALUE"""),17053)</f>
        <v>17053</v>
      </c>
      <c r="D393" s="56">
        <f ca="1">IFERROR(__xludf.DUMMYFUNCTION("""COMPUTED_VALUE"""),146)</f>
        <v>146</v>
      </c>
      <c r="E393" s="56">
        <f ca="1">IFERROR(__xludf.DUMMYFUNCTION("""COMPUTED_VALUE"""),62312)</f>
        <v>62312</v>
      </c>
    </row>
    <row r="394" spans="1:5" ht="12.5" x14ac:dyDescent="0.25">
      <c r="A394" s="175">
        <f ca="1">IFERROR(__xludf.DUMMYFUNCTION("""COMPUTED_VALUE"""),44283)</f>
        <v>44283</v>
      </c>
      <c r="B394" s="56">
        <f ca="1">IFERROR(__xludf.DUMMYFUNCTION("""COMPUTED_VALUE"""),37)</f>
        <v>37</v>
      </c>
      <c r="C394" s="56">
        <f ca="1">IFERROR(__xludf.DUMMYFUNCTION("""COMPUTED_VALUE"""),17090)</f>
        <v>17090</v>
      </c>
      <c r="D394" s="56">
        <f ca="1">IFERROR(__xludf.DUMMYFUNCTION("""COMPUTED_VALUE"""),158)</f>
        <v>158</v>
      </c>
      <c r="E394" s="56">
        <f ca="1">IFERROR(__xludf.DUMMYFUNCTION("""COMPUTED_VALUE"""),62470)</f>
        <v>62470</v>
      </c>
    </row>
    <row r="395" spans="1:5" ht="12.5" x14ac:dyDescent="0.25">
      <c r="A395" s="175">
        <f ca="1">IFERROR(__xludf.DUMMYFUNCTION("""COMPUTED_VALUE"""),44284)</f>
        <v>44284</v>
      </c>
      <c r="B395" s="56">
        <f ca="1">IFERROR(__xludf.DUMMYFUNCTION("""COMPUTED_VALUE"""),39)</f>
        <v>39</v>
      </c>
      <c r="C395" s="56">
        <f ca="1">IFERROR(__xludf.DUMMYFUNCTION("""COMPUTED_VALUE"""),17129)</f>
        <v>17129</v>
      </c>
      <c r="D395" s="56">
        <f ca="1">IFERROR(__xludf.DUMMYFUNCTION("""COMPUTED_VALUE"""),151)</f>
        <v>151</v>
      </c>
      <c r="E395" s="56">
        <f ca="1">IFERROR(__xludf.DUMMYFUNCTION("""COMPUTED_VALUE"""),62621)</f>
        <v>62621</v>
      </c>
    </row>
    <row r="396" spans="1:5" ht="12.5" x14ac:dyDescent="0.25">
      <c r="A396" s="175">
        <f ca="1">IFERROR(__xludf.DUMMYFUNCTION("""COMPUTED_VALUE"""),44285)</f>
        <v>44285</v>
      </c>
      <c r="B396" s="56">
        <f ca="1">IFERROR(__xludf.DUMMYFUNCTION("""COMPUTED_VALUE"""),34)</f>
        <v>34</v>
      </c>
      <c r="C396" s="56">
        <f ca="1">IFERROR(__xludf.DUMMYFUNCTION("""COMPUTED_VALUE"""),17163)</f>
        <v>17163</v>
      </c>
      <c r="D396" s="56">
        <f ca="1">IFERROR(__xludf.DUMMYFUNCTION("""COMPUTED_VALUE"""),130)</f>
        <v>130</v>
      </c>
      <c r="E396" s="56">
        <f ca="1">IFERROR(__xludf.DUMMYFUNCTION("""COMPUTED_VALUE"""),62751)</f>
        <v>62751</v>
      </c>
    </row>
    <row r="397" spans="1:5" ht="12.5" x14ac:dyDescent="0.25">
      <c r="A397" s="175">
        <f ca="1">IFERROR(__xludf.DUMMYFUNCTION("""COMPUTED_VALUE"""),44286)</f>
        <v>44286</v>
      </c>
      <c r="B397" s="56">
        <f ca="1">IFERROR(__xludf.DUMMYFUNCTION("""COMPUTED_VALUE"""),37)</f>
        <v>37</v>
      </c>
      <c r="C397" s="56">
        <f ca="1">IFERROR(__xludf.DUMMYFUNCTION("""COMPUTED_VALUE"""),17200)</f>
        <v>17200</v>
      </c>
      <c r="D397" s="56">
        <f ca="1">IFERROR(__xludf.DUMMYFUNCTION("""COMPUTED_VALUE"""),151)</f>
        <v>151</v>
      </c>
      <c r="E397" s="56">
        <f ca="1">IFERROR(__xludf.DUMMYFUNCTION("""COMPUTED_VALUE"""),62902)</f>
        <v>62902</v>
      </c>
    </row>
    <row r="398" spans="1:5" ht="12.5" x14ac:dyDescent="0.25">
      <c r="A398" s="175">
        <f ca="1">IFERROR(__xludf.DUMMYFUNCTION("""COMPUTED_VALUE"""),44287)</f>
        <v>44287</v>
      </c>
      <c r="B398" s="56">
        <f ca="1">IFERROR(__xludf.DUMMYFUNCTION("""COMPUTED_VALUE"""),32)</f>
        <v>32</v>
      </c>
      <c r="C398" s="56">
        <f ca="1">IFERROR(__xludf.DUMMYFUNCTION("""COMPUTED_VALUE"""),17232)</f>
        <v>17232</v>
      </c>
      <c r="D398" s="56">
        <f ca="1">IFERROR(__xludf.DUMMYFUNCTION("""COMPUTED_VALUE"""),135)</f>
        <v>135</v>
      </c>
      <c r="E398" s="56">
        <f ca="1">IFERROR(__xludf.DUMMYFUNCTION("""COMPUTED_VALUE"""),63037)</f>
        <v>63037</v>
      </c>
    </row>
    <row r="399" spans="1:5" ht="12.5" x14ac:dyDescent="0.25">
      <c r="A399" s="175">
        <f ca="1">IFERROR(__xludf.DUMMYFUNCTION("""COMPUTED_VALUE"""),44288)</f>
        <v>44288</v>
      </c>
      <c r="B399" s="56">
        <f ca="1">IFERROR(__xludf.DUMMYFUNCTION("""COMPUTED_VALUE"""),33)</f>
        <v>33</v>
      </c>
      <c r="C399" s="56">
        <f ca="1">IFERROR(__xludf.DUMMYFUNCTION("""COMPUTED_VALUE"""),17265)</f>
        <v>17265</v>
      </c>
      <c r="D399" s="56">
        <f ca="1">IFERROR(__xludf.DUMMYFUNCTION("""COMPUTED_VALUE"""),152)</f>
        <v>152</v>
      </c>
      <c r="E399" s="56">
        <f ca="1">IFERROR(__xludf.DUMMYFUNCTION("""COMPUTED_VALUE"""),63189)</f>
        <v>63189</v>
      </c>
    </row>
    <row r="400" spans="1:5" ht="12.5" x14ac:dyDescent="0.25">
      <c r="A400" s="175">
        <f ca="1">IFERROR(__xludf.DUMMYFUNCTION("""COMPUTED_VALUE"""),44289)</f>
        <v>44289</v>
      </c>
      <c r="B400" s="56">
        <f ca="1">IFERROR(__xludf.DUMMYFUNCTION("""COMPUTED_VALUE"""),40)</f>
        <v>40</v>
      </c>
      <c r="C400" s="56">
        <f ca="1">IFERROR(__xludf.DUMMYFUNCTION("""COMPUTED_VALUE"""),17305)</f>
        <v>17305</v>
      </c>
      <c r="D400" s="56">
        <f ca="1">IFERROR(__xludf.DUMMYFUNCTION("""COMPUTED_VALUE"""),151)</f>
        <v>151</v>
      </c>
      <c r="E400" s="56">
        <f ca="1">IFERROR(__xludf.DUMMYFUNCTION("""COMPUTED_VALUE"""),63340)</f>
        <v>63340</v>
      </c>
    </row>
    <row r="401" spans="1:5" ht="12.5" x14ac:dyDescent="0.25">
      <c r="A401" s="175">
        <f ca="1">IFERROR(__xludf.DUMMYFUNCTION("""COMPUTED_VALUE"""),44290)</f>
        <v>44290</v>
      </c>
      <c r="B401" s="56">
        <f ca="1">IFERROR(__xludf.DUMMYFUNCTION("""COMPUTED_VALUE"""),38)</f>
        <v>38</v>
      </c>
      <c r="C401" s="56">
        <f ca="1">IFERROR(__xludf.DUMMYFUNCTION("""COMPUTED_VALUE"""),17343)</f>
        <v>17343</v>
      </c>
      <c r="D401" s="56">
        <f ca="1">IFERROR(__xludf.DUMMYFUNCTION("""COMPUTED_VALUE"""),137)</f>
        <v>137</v>
      </c>
      <c r="E401" s="56">
        <f ca="1">IFERROR(__xludf.DUMMYFUNCTION("""COMPUTED_VALUE"""),63477)</f>
        <v>63477</v>
      </c>
    </row>
    <row r="402" spans="1:5" ht="12.5" x14ac:dyDescent="0.25">
      <c r="A402" s="175">
        <f ca="1">IFERROR(__xludf.DUMMYFUNCTION("""COMPUTED_VALUE"""),44291)</f>
        <v>44291</v>
      </c>
      <c r="B402" s="56">
        <f ca="1">IFERROR(__xludf.DUMMYFUNCTION("""COMPUTED_VALUE"""),37)</f>
        <v>37</v>
      </c>
      <c r="C402" s="56">
        <f ca="1">IFERROR(__xludf.DUMMYFUNCTION("""COMPUTED_VALUE"""),17380)</f>
        <v>17380</v>
      </c>
      <c r="D402" s="56">
        <f ca="1">IFERROR(__xludf.DUMMYFUNCTION("""COMPUTED_VALUE"""),140)</f>
        <v>140</v>
      </c>
      <c r="E402" s="56">
        <f ca="1">IFERROR(__xludf.DUMMYFUNCTION("""COMPUTED_VALUE"""),63617)</f>
        <v>63617</v>
      </c>
    </row>
    <row r="403" spans="1:5" ht="12.5" x14ac:dyDescent="0.25">
      <c r="A403" s="175">
        <f ca="1">IFERROR(__xludf.DUMMYFUNCTION("""COMPUTED_VALUE"""),44292)</f>
        <v>44292</v>
      </c>
      <c r="B403" s="56">
        <f ca="1">IFERROR(__xludf.DUMMYFUNCTION("""COMPUTED_VALUE"""),26)</f>
        <v>26</v>
      </c>
      <c r="C403" s="56">
        <f ca="1">IFERROR(__xludf.DUMMYFUNCTION("""COMPUTED_VALUE"""),17406)</f>
        <v>17406</v>
      </c>
      <c r="D403" s="56">
        <f ca="1">IFERROR(__xludf.DUMMYFUNCTION("""COMPUTED_VALUE"""),130)</f>
        <v>130</v>
      </c>
      <c r="E403" s="56">
        <f ca="1">IFERROR(__xludf.DUMMYFUNCTION("""COMPUTED_VALUE"""),63747)</f>
        <v>63747</v>
      </c>
    </row>
    <row r="404" spans="1:5" ht="12.5" x14ac:dyDescent="0.25">
      <c r="A404" s="175">
        <f ca="1">IFERROR(__xludf.DUMMYFUNCTION("""COMPUTED_VALUE"""),44293)</f>
        <v>44293</v>
      </c>
      <c r="B404" s="56">
        <f ca="1">IFERROR(__xludf.DUMMYFUNCTION("""COMPUTED_VALUE"""),27)</f>
        <v>27</v>
      </c>
      <c r="C404" s="56">
        <f ca="1">IFERROR(__xludf.DUMMYFUNCTION("""COMPUTED_VALUE"""),17433)</f>
        <v>17433</v>
      </c>
      <c r="D404" s="56">
        <f ca="1">IFERROR(__xludf.DUMMYFUNCTION("""COMPUTED_VALUE"""),147)</f>
        <v>147</v>
      </c>
      <c r="E404" s="56">
        <f ca="1">IFERROR(__xludf.DUMMYFUNCTION("""COMPUTED_VALUE"""),63894)</f>
        <v>63894</v>
      </c>
    </row>
    <row r="405" spans="1:5" ht="12.5" x14ac:dyDescent="0.25">
      <c r="A405" s="175">
        <f ca="1">IFERROR(__xludf.DUMMYFUNCTION("""COMPUTED_VALUE"""),44294)</f>
        <v>44294</v>
      </c>
      <c r="B405" s="56">
        <f ca="1">IFERROR(__xludf.DUMMYFUNCTION("""COMPUTED_VALUE"""),22)</f>
        <v>22</v>
      </c>
      <c r="C405" s="56">
        <f ca="1">IFERROR(__xludf.DUMMYFUNCTION("""COMPUTED_VALUE"""),17455)</f>
        <v>17455</v>
      </c>
      <c r="D405" s="56">
        <f ca="1">IFERROR(__xludf.DUMMYFUNCTION("""COMPUTED_VALUE"""),139)</f>
        <v>139</v>
      </c>
      <c r="E405" s="56">
        <f ca="1">IFERROR(__xludf.DUMMYFUNCTION("""COMPUTED_VALUE"""),64033)</f>
        <v>64033</v>
      </c>
    </row>
    <row r="406" spans="1:5" ht="12.5" x14ac:dyDescent="0.25">
      <c r="A406" s="175">
        <f ca="1">IFERROR(__xludf.DUMMYFUNCTION("""COMPUTED_VALUE"""),44295)</f>
        <v>44295</v>
      </c>
      <c r="B406" s="56">
        <f ca="1">IFERROR(__xludf.DUMMYFUNCTION("""COMPUTED_VALUE"""),31)</f>
        <v>31</v>
      </c>
      <c r="C406" s="56">
        <f ca="1">IFERROR(__xludf.DUMMYFUNCTION("""COMPUTED_VALUE"""),17486)</f>
        <v>17486</v>
      </c>
      <c r="D406" s="56">
        <f ca="1">IFERROR(__xludf.DUMMYFUNCTION("""COMPUTED_VALUE"""),141)</f>
        <v>141</v>
      </c>
      <c r="E406" s="56">
        <f ca="1">IFERROR(__xludf.DUMMYFUNCTION("""COMPUTED_VALUE"""),64174)</f>
        <v>64174</v>
      </c>
    </row>
    <row r="407" spans="1:5" ht="12.5" x14ac:dyDescent="0.25">
      <c r="A407" s="175">
        <f ca="1">IFERROR(__xludf.DUMMYFUNCTION("""COMPUTED_VALUE"""),44296)</f>
        <v>44296</v>
      </c>
      <c r="B407" s="56">
        <f ca="1">IFERROR(__xludf.DUMMYFUNCTION("""COMPUTED_VALUE"""),24)</f>
        <v>24</v>
      </c>
      <c r="C407" s="56">
        <f ca="1">IFERROR(__xludf.DUMMYFUNCTION("""COMPUTED_VALUE"""),17510)</f>
        <v>17510</v>
      </c>
      <c r="D407" s="56">
        <f ca="1">IFERROR(__xludf.DUMMYFUNCTION("""COMPUTED_VALUE"""),155)</f>
        <v>155</v>
      </c>
      <c r="E407" s="56">
        <f ca="1">IFERROR(__xludf.DUMMYFUNCTION("""COMPUTED_VALUE"""),64329)</f>
        <v>64329</v>
      </c>
    </row>
    <row r="408" spans="1:5" ht="12.5" x14ac:dyDescent="0.25">
      <c r="A408" s="175">
        <f ca="1">IFERROR(__xludf.DUMMYFUNCTION("""COMPUTED_VALUE"""),44297)</f>
        <v>44297</v>
      </c>
      <c r="B408" s="56">
        <f ca="1">IFERROR(__xludf.DUMMYFUNCTION("""COMPUTED_VALUE"""),23)</f>
        <v>23</v>
      </c>
      <c r="C408" s="56">
        <f ca="1">IFERROR(__xludf.DUMMYFUNCTION("""COMPUTED_VALUE"""),17533)</f>
        <v>17533</v>
      </c>
      <c r="D408" s="56">
        <f ca="1">IFERROR(__xludf.DUMMYFUNCTION("""COMPUTED_VALUE"""),148)</f>
        <v>148</v>
      </c>
      <c r="E408" s="56">
        <f ca="1">IFERROR(__xludf.DUMMYFUNCTION("""COMPUTED_VALUE"""),64477)</f>
        <v>64477</v>
      </c>
    </row>
    <row r="409" spans="1:5" ht="12.5" x14ac:dyDescent="0.25">
      <c r="A409" s="175">
        <f ca="1">IFERROR(__xludf.DUMMYFUNCTION("""COMPUTED_VALUE"""),44298)</f>
        <v>44298</v>
      </c>
      <c r="B409" s="56">
        <f ca="1">IFERROR(__xludf.DUMMYFUNCTION("""COMPUTED_VALUE"""),27)</f>
        <v>27</v>
      </c>
      <c r="C409" s="56">
        <f ca="1">IFERROR(__xludf.DUMMYFUNCTION("""COMPUTED_VALUE"""),17560)</f>
        <v>17560</v>
      </c>
      <c r="D409" s="56">
        <f ca="1">IFERROR(__xludf.DUMMYFUNCTION("""COMPUTED_VALUE"""),151)</f>
        <v>151</v>
      </c>
      <c r="E409" s="56">
        <f ca="1">IFERROR(__xludf.DUMMYFUNCTION("""COMPUTED_VALUE"""),64628)</f>
        <v>64628</v>
      </c>
    </row>
    <row r="410" spans="1:5" ht="12.5" x14ac:dyDescent="0.25">
      <c r="A410" s="175">
        <f ca="1">IFERROR(__xludf.DUMMYFUNCTION("""COMPUTED_VALUE"""),44299)</f>
        <v>44299</v>
      </c>
      <c r="B410" s="56">
        <f ca="1">IFERROR(__xludf.DUMMYFUNCTION("""COMPUTED_VALUE"""),31)</f>
        <v>31</v>
      </c>
      <c r="C410" s="56">
        <f ca="1">IFERROR(__xludf.DUMMYFUNCTION("""COMPUTED_VALUE"""),17591)</f>
        <v>17591</v>
      </c>
      <c r="D410" s="56">
        <f ca="1">IFERROR(__xludf.DUMMYFUNCTION("""COMPUTED_VALUE"""),127)</f>
        <v>127</v>
      </c>
      <c r="E410" s="56">
        <f ca="1">IFERROR(__xludf.DUMMYFUNCTION("""COMPUTED_VALUE"""),64755)</f>
        <v>64755</v>
      </c>
    </row>
    <row r="411" spans="1:5" ht="12.5" x14ac:dyDescent="0.25">
      <c r="A411" s="175">
        <f ca="1">IFERROR(__xludf.DUMMYFUNCTION("""COMPUTED_VALUE"""),44300)</f>
        <v>44300</v>
      </c>
      <c r="B411" s="56">
        <f ca="1">IFERROR(__xludf.DUMMYFUNCTION("""COMPUTED_VALUE"""),28)</f>
        <v>28</v>
      </c>
      <c r="C411" s="56">
        <f ca="1">IFERROR(__xludf.DUMMYFUNCTION("""COMPUTED_VALUE"""),17619)</f>
        <v>17619</v>
      </c>
      <c r="D411" s="56">
        <f ca="1">IFERROR(__xludf.DUMMYFUNCTION("""COMPUTED_VALUE"""),152)</f>
        <v>152</v>
      </c>
      <c r="E411" s="56">
        <f ca="1">IFERROR(__xludf.DUMMYFUNCTION("""COMPUTED_VALUE"""),64907)</f>
        <v>64907</v>
      </c>
    </row>
    <row r="412" spans="1:5" ht="12.5" x14ac:dyDescent="0.25">
      <c r="A412" s="175">
        <f ca="1">IFERROR(__xludf.DUMMYFUNCTION("""COMPUTED_VALUE"""),44301)</f>
        <v>44301</v>
      </c>
      <c r="B412" s="56">
        <f ca="1">IFERROR(__xludf.DUMMYFUNCTION("""COMPUTED_VALUE"""),37)</f>
        <v>37</v>
      </c>
      <c r="C412" s="56">
        <f ca="1">IFERROR(__xludf.DUMMYFUNCTION("""COMPUTED_VALUE"""),17656)</f>
        <v>17656</v>
      </c>
      <c r="D412" s="56">
        <f ca="1">IFERROR(__xludf.DUMMYFUNCTION("""COMPUTED_VALUE"""),142)</f>
        <v>142</v>
      </c>
      <c r="E412" s="56">
        <f ca="1">IFERROR(__xludf.DUMMYFUNCTION("""COMPUTED_VALUE"""),65049)</f>
        <v>65049</v>
      </c>
    </row>
    <row r="413" spans="1:5" ht="12.5" x14ac:dyDescent="0.25">
      <c r="A413" s="175">
        <f ca="1">IFERROR(__xludf.DUMMYFUNCTION("""COMPUTED_VALUE"""),44302)</f>
        <v>44302</v>
      </c>
      <c r="B413" s="56">
        <f ca="1">IFERROR(__xludf.DUMMYFUNCTION("""COMPUTED_VALUE"""),32)</f>
        <v>32</v>
      </c>
      <c r="C413" s="56">
        <f ca="1">IFERROR(__xludf.DUMMYFUNCTION("""COMPUTED_VALUE"""),17688)</f>
        <v>17688</v>
      </c>
      <c r="D413" s="56">
        <f ca="1">IFERROR(__xludf.DUMMYFUNCTION("""COMPUTED_VALUE"""),131)</f>
        <v>131</v>
      </c>
      <c r="E413" s="56">
        <f ca="1">IFERROR(__xludf.DUMMYFUNCTION("""COMPUTED_VALUE"""),65180)</f>
        <v>65180</v>
      </c>
    </row>
    <row r="414" spans="1:5" ht="12.5" x14ac:dyDescent="0.25">
      <c r="A414" s="175">
        <f ca="1">IFERROR(__xludf.DUMMYFUNCTION("""COMPUTED_VALUE"""),44303)</f>
        <v>44303</v>
      </c>
      <c r="B414" s="56">
        <f ca="1">IFERROR(__xludf.DUMMYFUNCTION("""COMPUTED_VALUE"""),35)</f>
        <v>35</v>
      </c>
      <c r="C414" s="56">
        <f ca="1">IFERROR(__xludf.DUMMYFUNCTION("""COMPUTED_VALUE"""),17723)</f>
        <v>17723</v>
      </c>
      <c r="D414" s="56">
        <f ca="1">IFERROR(__xludf.DUMMYFUNCTION("""COMPUTED_VALUE"""),156)</f>
        <v>156</v>
      </c>
      <c r="E414" s="56">
        <f ca="1">IFERROR(__xludf.DUMMYFUNCTION("""COMPUTED_VALUE"""),65336)</f>
        <v>65336</v>
      </c>
    </row>
    <row r="415" spans="1:5" ht="12.5" x14ac:dyDescent="0.25">
      <c r="A415" s="175">
        <f ca="1">IFERROR(__xludf.DUMMYFUNCTION("""COMPUTED_VALUE"""),44304)</f>
        <v>44304</v>
      </c>
      <c r="B415" s="56">
        <f ca="1">IFERROR(__xludf.DUMMYFUNCTION("""COMPUTED_VALUE"""),20)</f>
        <v>20</v>
      </c>
      <c r="C415" s="56">
        <f ca="1">IFERROR(__xludf.DUMMYFUNCTION("""COMPUTED_VALUE"""),17743)</f>
        <v>17743</v>
      </c>
      <c r="D415" s="56">
        <f ca="1">IFERROR(__xludf.DUMMYFUNCTION("""COMPUTED_VALUE"""),108)</f>
        <v>108</v>
      </c>
      <c r="E415" s="56">
        <f ca="1">IFERROR(__xludf.DUMMYFUNCTION("""COMPUTED_VALUE"""),65444)</f>
        <v>65444</v>
      </c>
    </row>
    <row r="416" spans="1:5" ht="12.5" x14ac:dyDescent="0.25">
      <c r="A416" s="175">
        <f ca="1">IFERROR(__xludf.DUMMYFUNCTION("""COMPUTED_VALUE"""),44305)</f>
        <v>44305</v>
      </c>
      <c r="B416" s="56">
        <f ca="1">IFERROR(__xludf.DUMMYFUNCTION("""COMPUTED_VALUE"""),23)</f>
        <v>23</v>
      </c>
      <c r="C416" s="56">
        <f ca="1">IFERROR(__xludf.DUMMYFUNCTION("""COMPUTED_VALUE"""),17766)</f>
        <v>17766</v>
      </c>
      <c r="D416" s="56">
        <f ca="1">IFERROR(__xludf.DUMMYFUNCTION("""COMPUTED_VALUE"""),153)</f>
        <v>153</v>
      </c>
      <c r="E416" s="56">
        <f ca="1">IFERROR(__xludf.DUMMYFUNCTION("""COMPUTED_VALUE"""),65597)</f>
        <v>65597</v>
      </c>
    </row>
    <row r="417" spans="1:5" ht="12.5" x14ac:dyDescent="0.25">
      <c r="A417" s="175">
        <f ca="1">IFERROR(__xludf.DUMMYFUNCTION("""COMPUTED_VALUE"""),44306)</f>
        <v>44306</v>
      </c>
      <c r="B417" s="56">
        <f ca="1">IFERROR(__xludf.DUMMYFUNCTION("""COMPUTED_VALUE"""),29)</f>
        <v>29</v>
      </c>
      <c r="C417" s="56">
        <f ca="1">IFERROR(__xludf.DUMMYFUNCTION("""COMPUTED_VALUE"""),17795)</f>
        <v>17795</v>
      </c>
      <c r="D417" s="56">
        <f ca="1">IFERROR(__xludf.DUMMYFUNCTION("""COMPUTED_VALUE"""),142)</f>
        <v>142</v>
      </c>
      <c r="E417" s="56">
        <f ca="1">IFERROR(__xludf.DUMMYFUNCTION("""COMPUTED_VALUE"""),65739)</f>
        <v>65739</v>
      </c>
    </row>
    <row r="418" spans="1:5" ht="12.5" x14ac:dyDescent="0.25">
      <c r="A418" s="175">
        <f ca="1">IFERROR(__xludf.DUMMYFUNCTION("""COMPUTED_VALUE"""),44307)</f>
        <v>44307</v>
      </c>
      <c r="B418" s="56">
        <f ca="1">IFERROR(__xludf.DUMMYFUNCTION("""COMPUTED_VALUE"""),26)</f>
        <v>26</v>
      </c>
      <c r="C418" s="56">
        <f ca="1">IFERROR(__xludf.DUMMYFUNCTION("""COMPUTED_VALUE"""),17821)</f>
        <v>17821</v>
      </c>
      <c r="D418" s="56">
        <f ca="1">IFERROR(__xludf.DUMMYFUNCTION("""COMPUTED_VALUE"""),134)</f>
        <v>134</v>
      </c>
      <c r="E418" s="56">
        <f ca="1">IFERROR(__xludf.DUMMYFUNCTION("""COMPUTED_VALUE"""),65873)</f>
        <v>65873</v>
      </c>
    </row>
    <row r="419" spans="1:5" ht="12.5" x14ac:dyDescent="0.25">
      <c r="A419" s="175">
        <f ca="1">IFERROR(__xludf.DUMMYFUNCTION("""COMPUTED_VALUE"""),44308)</f>
        <v>44308</v>
      </c>
      <c r="B419" s="56">
        <f ca="1">IFERROR(__xludf.DUMMYFUNCTION("""COMPUTED_VALUE"""),16)</f>
        <v>16</v>
      </c>
      <c r="C419" s="56">
        <f ca="1">IFERROR(__xludf.DUMMYFUNCTION("""COMPUTED_VALUE"""),17837)</f>
        <v>17837</v>
      </c>
      <c r="D419" s="56">
        <f ca="1">IFERROR(__xludf.DUMMYFUNCTION("""COMPUTED_VALUE"""),130)</f>
        <v>130</v>
      </c>
      <c r="E419" s="56">
        <f ca="1">IFERROR(__xludf.DUMMYFUNCTION("""COMPUTED_VALUE"""),66003)</f>
        <v>66003</v>
      </c>
    </row>
    <row r="420" spans="1:5" ht="12.5" x14ac:dyDescent="0.25">
      <c r="A420" s="175">
        <f ca="1">IFERROR(__xludf.DUMMYFUNCTION("""COMPUTED_VALUE"""),44309)</f>
        <v>44309</v>
      </c>
      <c r="B420" s="56">
        <f ca="1">IFERROR(__xludf.DUMMYFUNCTION("""COMPUTED_VALUE"""),19)</f>
        <v>19</v>
      </c>
      <c r="C420" s="56">
        <f ca="1">IFERROR(__xludf.DUMMYFUNCTION("""COMPUTED_VALUE"""),17856)</f>
        <v>17856</v>
      </c>
      <c r="D420" s="56">
        <f ca="1">IFERROR(__xludf.DUMMYFUNCTION("""COMPUTED_VALUE"""),111)</f>
        <v>111</v>
      </c>
      <c r="E420" s="56">
        <f ca="1">IFERROR(__xludf.DUMMYFUNCTION("""COMPUTED_VALUE"""),66114)</f>
        <v>66114</v>
      </c>
    </row>
    <row r="421" spans="1:5" ht="12.5" x14ac:dyDescent="0.25">
      <c r="A421" s="175">
        <f ca="1">IFERROR(__xludf.DUMMYFUNCTION("""COMPUTED_VALUE"""),44310)</f>
        <v>44310</v>
      </c>
      <c r="B421" s="56">
        <f ca="1">IFERROR(__xludf.DUMMYFUNCTION("""COMPUTED_VALUE"""),15)</f>
        <v>15</v>
      </c>
      <c r="C421" s="56">
        <f ca="1">IFERROR(__xludf.DUMMYFUNCTION("""COMPUTED_VALUE"""),17871)</f>
        <v>17871</v>
      </c>
      <c r="D421" s="56">
        <f ca="1">IFERROR(__xludf.DUMMYFUNCTION("""COMPUTED_VALUE"""),135)</f>
        <v>135</v>
      </c>
      <c r="E421" s="56">
        <f ca="1">IFERROR(__xludf.DUMMYFUNCTION("""COMPUTED_VALUE"""),66249)</f>
        <v>66249</v>
      </c>
    </row>
    <row r="422" spans="1:5" ht="12.5" x14ac:dyDescent="0.25">
      <c r="A422" s="175">
        <f ca="1">IFERROR(__xludf.DUMMYFUNCTION("""COMPUTED_VALUE"""),44311)</f>
        <v>44311</v>
      </c>
      <c r="B422" s="56">
        <f ca="1">IFERROR(__xludf.DUMMYFUNCTION("""COMPUTED_VALUE"""),17)</f>
        <v>17</v>
      </c>
      <c r="C422" s="56">
        <f ca="1">IFERROR(__xludf.DUMMYFUNCTION("""COMPUTED_VALUE"""),17888)</f>
        <v>17888</v>
      </c>
      <c r="D422" s="56">
        <f ca="1">IFERROR(__xludf.DUMMYFUNCTION("""COMPUTED_VALUE"""),123)</f>
        <v>123</v>
      </c>
      <c r="E422" s="56">
        <f ca="1">IFERROR(__xludf.DUMMYFUNCTION("""COMPUTED_VALUE"""),66372)</f>
        <v>66372</v>
      </c>
    </row>
    <row r="423" spans="1:5" ht="12.5" x14ac:dyDescent="0.25">
      <c r="A423" s="175">
        <f ca="1">IFERROR(__xludf.DUMMYFUNCTION("""COMPUTED_VALUE"""),44312)</f>
        <v>44312</v>
      </c>
      <c r="B423" s="56">
        <f ca="1">IFERROR(__xludf.DUMMYFUNCTION("""COMPUTED_VALUE"""),14)</f>
        <v>14</v>
      </c>
      <c r="C423" s="56">
        <f ca="1">IFERROR(__xludf.DUMMYFUNCTION("""COMPUTED_VALUE"""),17902)</f>
        <v>17902</v>
      </c>
      <c r="D423" s="56">
        <f ca="1">IFERROR(__xludf.DUMMYFUNCTION("""COMPUTED_VALUE"""),142)</f>
        <v>142</v>
      </c>
      <c r="E423" s="56">
        <f ca="1">IFERROR(__xludf.DUMMYFUNCTION("""COMPUTED_VALUE"""),66514)</f>
        <v>66514</v>
      </c>
    </row>
    <row r="424" spans="1:5" ht="12.5" x14ac:dyDescent="0.25">
      <c r="A424" s="175">
        <f ca="1">IFERROR(__xludf.DUMMYFUNCTION("""COMPUTED_VALUE"""),44313)</f>
        <v>44313</v>
      </c>
      <c r="B424" s="56">
        <f ca="1">IFERROR(__xludf.DUMMYFUNCTION("""COMPUTED_VALUE"""),23)</f>
        <v>23</v>
      </c>
      <c r="C424" s="56">
        <f ca="1">IFERROR(__xludf.DUMMYFUNCTION("""COMPUTED_VALUE"""),17925)</f>
        <v>17925</v>
      </c>
      <c r="D424" s="56">
        <f ca="1">IFERROR(__xludf.DUMMYFUNCTION("""COMPUTED_VALUE"""),148)</f>
        <v>148</v>
      </c>
      <c r="E424" s="56">
        <f ca="1">IFERROR(__xludf.DUMMYFUNCTION("""COMPUTED_VALUE"""),66662)</f>
        <v>66662</v>
      </c>
    </row>
    <row r="425" spans="1:5" ht="12.5" x14ac:dyDescent="0.25">
      <c r="A425" s="175">
        <f ca="1">IFERROR(__xludf.DUMMYFUNCTION("""COMPUTED_VALUE"""),44314)</f>
        <v>44314</v>
      </c>
      <c r="B425" s="56">
        <f ca="1">IFERROR(__xludf.DUMMYFUNCTION("""COMPUTED_VALUE"""),27)</f>
        <v>27</v>
      </c>
      <c r="C425" s="56">
        <f ca="1">IFERROR(__xludf.DUMMYFUNCTION("""COMPUTED_VALUE"""),17952)</f>
        <v>17952</v>
      </c>
      <c r="D425" s="56">
        <f ca="1">IFERROR(__xludf.DUMMYFUNCTION("""COMPUTED_VALUE"""),147)</f>
        <v>147</v>
      </c>
      <c r="E425" s="56">
        <f ca="1">IFERROR(__xludf.DUMMYFUNCTION("""COMPUTED_VALUE"""),66809)</f>
        <v>66809</v>
      </c>
    </row>
    <row r="426" spans="1:5" ht="12.5" x14ac:dyDescent="0.25">
      <c r="A426" s="175">
        <f ca="1">IFERROR(__xludf.DUMMYFUNCTION("""COMPUTED_VALUE"""),44315)</f>
        <v>44315</v>
      </c>
      <c r="B426" s="56">
        <f ca="1">IFERROR(__xludf.DUMMYFUNCTION("""COMPUTED_VALUE"""),17)</f>
        <v>17</v>
      </c>
      <c r="C426" s="56">
        <f ca="1">IFERROR(__xludf.DUMMYFUNCTION("""COMPUTED_VALUE"""),17969)</f>
        <v>17969</v>
      </c>
      <c r="D426" s="56">
        <f ca="1">IFERROR(__xludf.DUMMYFUNCTION("""COMPUTED_VALUE"""),131)</f>
        <v>131</v>
      </c>
      <c r="E426" s="56">
        <f ca="1">IFERROR(__xludf.DUMMYFUNCTION("""COMPUTED_VALUE"""),66940)</f>
        <v>66940</v>
      </c>
    </row>
    <row r="427" spans="1:5" ht="12.5" x14ac:dyDescent="0.25">
      <c r="A427" s="175">
        <f ca="1">IFERROR(__xludf.DUMMYFUNCTION("""COMPUTED_VALUE"""),44316)</f>
        <v>44316</v>
      </c>
      <c r="B427" s="56">
        <f ca="1">IFERROR(__xludf.DUMMYFUNCTION("""COMPUTED_VALUE"""),18)</f>
        <v>18</v>
      </c>
      <c r="C427" s="56">
        <f ca="1">IFERROR(__xludf.DUMMYFUNCTION("""COMPUTED_VALUE"""),17987)</f>
        <v>17987</v>
      </c>
      <c r="D427" s="56">
        <f ca="1">IFERROR(__xludf.DUMMYFUNCTION("""COMPUTED_VALUE"""),117)</f>
        <v>117</v>
      </c>
      <c r="E427" s="56">
        <f ca="1">IFERROR(__xludf.DUMMYFUNCTION("""COMPUTED_VALUE"""),67057)</f>
        <v>67057</v>
      </c>
    </row>
    <row r="428" spans="1:5" ht="12.5" x14ac:dyDescent="0.25">
      <c r="A428" s="175">
        <f ca="1">IFERROR(__xludf.DUMMYFUNCTION("""COMPUTED_VALUE"""),44317)</f>
        <v>44317</v>
      </c>
      <c r="B428" s="56">
        <f ca="1">IFERROR(__xludf.DUMMYFUNCTION("""COMPUTED_VALUE"""),25)</f>
        <v>25</v>
      </c>
      <c r="C428" s="56">
        <f ca="1">IFERROR(__xludf.DUMMYFUNCTION("""COMPUTED_VALUE"""),18012)</f>
        <v>18012</v>
      </c>
      <c r="D428" s="56">
        <f ca="1">IFERROR(__xludf.DUMMYFUNCTION("""COMPUTED_VALUE"""),123)</f>
        <v>123</v>
      </c>
      <c r="E428" s="56">
        <f ca="1">IFERROR(__xludf.DUMMYFUNCTION("""COMPUTED_VALUE"""),67180)</f>
        <v>67180</v>
      </c>
    </row>
    <row r="429" spans="1:5" ht="12.5" x14ac:dyDescent="0.25">
      <c r="A429" s="175">
        <f ca="1">IFERROR(__xludf.DUMMYFUNCTION("""COMPUTED_VALUE"""),44318)</f>
        <v>44318</v>
      </c>
      <c r="B429" s="56">
        <f ca="1">IFERROR(__xludf.DUMMYFUNCTION("""COMPUTED_VALUE"""),26)</f>
        <v>26</v>
      </c>
      <c r="C429" s="56">
        <f ca="1">IFERROR(__xludf.DUMMYFUNCTION("""COMPUTED_VALUE"""),18038)</f>
        <v>18038</v>
      </c>
      <c r="D429" s="56">
        <f ca="1">IFERROR(__xludf.DUMMYFUNCTION("""COMPUTED_VALUE"""),165)</f>
        <v>165</v>
      </c>
      <c r="E429" s="56">
        <f ca="1">IFERROR(__xludf.DUMMYFUNCTION("""COMPUTED_VALUE"""),67345)</f>
        <v>67345</v>
      </c>
    </row>
    <row r="430" spans="1:5" ht="12.5" x14ac:dyDescent="0.25">
      <c r="A430" s="175">
        <f ca="1">IFERROR(__xludf.DUMMYFUNCTION("""COMPUTED_VALUE"""),44319)</f>
        <v>44319</v>
      </c>
      <c r="B430" s="56">
        <f ca="1">IFERROR(__xludf.DUMMYFUNCTION("""COMPUTED_VALUE"""),23)</f>
        <v>23</v>
      </c>
      <c r="C430" s="56">
        <f ca="1">IFERROR(__xludf.DUMMYFUNCTION("""COMPUTED_VALUE"""),18061)</f>
        <v>18061</v>
      </c>
      <c r="D430" s="56">
        <f ca="1">IFERROR(__xludf.DUMMYFUNCTION("""COMPUTED_VALUE"""),127)</f>
        <v>127</v>
      </c>
      <c r="E430" s="56">
        <f ca="1">IFERROR(__xludf.DUMMYFUNCTION("""COMPUTED_VALUE"""),67472)</f>
        <v>67472</v>
      </c>
    </row>
    <row r="431" spans="1:5" ht="12.5" x14ac:dyDescent="0.25">
      <c r="A431" s="175">
        <f ca="1">IFERROR(__xludf.DUMMYFUNCTION("""COMPUTED_VALUE"""),44320)</f>
        <v>44320</v>
      </c>
      <c r="B431" s="56">
        <f ca="1">IFERROR(__xludf.DUMMYFUNCTION("""COMPUTED_VALUE"""),21)</f>
        <v>21</v>
      </c>
      <c r="C431" s="56">
        <f ca="1">IFERROR(__xludf.DUMMYFUNCTION("""COMPUTED_VALUE"""),18082)</f>
        <v>18082</v>
      </c>
      <c r="D431" s="56">
        <f ca="1">IFERROR(__xludf.DUMMYFUNCTION("""COMPUTED_VALUE"""),148)</f>
        <v>148</v>
      </c>
      <c r="E431" s="56">
        <f ca="1">IFERROR(__xludf.DUMMYFUNCTION("""COMPUTED_VALUE"""),67620)</f>
        <v>67620</v>
      </c>
    </row>
    <row r="432" spans="1:5" ht="12.5" x14ac:dyDescent="0.25">
      <c r="A432" s="175">
        <f ca="1">IFERROR(__xludf.DUMMYFUNCTION("""COMPUTED_VALUE"""),44321)</f>
        <v>44321</v>
      </c>
      <c r="B432" s="56">
        <f ca="1">IFERROR(__xludf.DUMMYFUNCTION("""COMPUTED_VALUE"""),19)</f>
        <v>19</v>
      </c>
      <c r="C432" s="56">
        <f ca="1">IFERROR(__xludf.DUMMYFUNCTION("""COMPUTED_VALUE"""),18101)</f>
        <v>18101</v>
      </c>
      <c r="D432" s="56">
        <f ca="1">IFERROR(__xludf.DUMMYFUNCTION("""COMPUTED_VALUE"""),134)</f>
        <v>134</v>
      </c>
      <c r="E432" s="56">
        <f ca="1">IFERROR(__xludf.DUMMYFUNCTION("""COMPUTED_VALUE"""),67754)</f>
        <v>67754</v>
      </c>
    </row>
    <row r="433" spans="1:5" ht="12.5" x14ac:dyDescent="0.25">
      <c r="A433" s="175">
        <f ca="1">IFERROR(__xludf.DUMMYFUNCTION("""COMPUTED_VALUE"""),44322)</f>
        <v>44322</v>
      </c>
      <c r="B433" s="56">
        <f ca="1">IFERROR(__xludf.DUMMYFUNCTION("""COMPUTED_VALUE"""),17)</f>
        <v>17</v>
      </c>
      <c r="C433" s="56">
        <f ca="1">IFERROR(__xludf.DUMMYFUNCTION("""COMPUTED_VALUE"""),18118)</f>
        <v>18118</v>
      </c>
      <c r="D433" s="56">
        <f ca="1">IFERROR(__xludf.DUMMYFUNCTION("""COMPUTED_VALUE"""),122)</f>
        <v>122</v>
      </c>
      <c r="E433" s="56">
        <f ca="1">IFERROR(__xludf.DUMMYFUNCTION("""COMPUTED_VALUE"""),67876)</f>
        <v>67876</v>
      </c>
    </row>
    <row r="434" spans="1:5" ht="12.5" x14ac:dyDescent="0.25">
      <c r="A434" s="175">
        <f ca="1">IFERROR(__xludf.DUMMYFUNCTION("""COMPUTED_VALUE"""),44323)</f>
        <v>44323</v>
      </c>
      <c r="B434" s="56">
        <f ca="1">IFERROR(__xludf.DUMMYFUNCTION("""COMPUTED_VALUE"""),17)</f>
        <v>17</v>
      </c>
      <c r="C434" s="56">
        <f ca="1">IFERROR(__xludf.DUMMYFUNCTION("""COMPUTED_VALUE"""),18135)</f>
        <v>18135</v>
      </c>
      <c r="D434" s="56">
        <f ca="1">IFERROR(__xludf.DUMMYFUNCTION("""COMPUTED_VALUE"""),123)</f>
        <v>123</v>
      </c>
      <c r="E434" s="56">
        <f ca="1">IFERROR(__xludf.DUMMYFUNCTION("""COMPUTED_VALUE"""),67999)</f>
        <v>67999</v>
      </c>
    </row>
    <row r="435" spans="1:5" ht="12.5" x14ac:dyDescent="0.25">
      <c r="A435" s="175">
        <f ca="1">IFERROR(__xludf.DUMMYFUNCTION("""COMPUTED_VALUE"""),44324)</f>
        <v>44324</v>
      </c>
      <c r="B435" s="56">
        <f ca="1">IFERROR(__xludf.DUMMYFUNCTION("""COMPUTED_VALUE"""),16)</f>
        <v>16</v>
      </c>
      <c r="C435" s="56">
        <f ca="1">IFERROR(__xludf.DUMMYFUNCTION("""COMPUTED_VALUE"""),18151)</f>
        <v>18151</v>
      </c>
      <c r="D435" s="56">
        <f ca="1">IFERROR(__xludf.DUMMYFUNCTION("""COMPUTED_VALUE"""),127)</f>
        <v>127</v>
      </c>
      <c r="E435" s="56">
        <f ca="1">IFERROR(__xludf.DUMMYFUNCTION("""COMPUTED_VALUE"""),68126)</f>
        <v>68126</v>
      </c>
    </row>
    <row r="436" spans="1:5" ht="12.5" x14ac:dyDescent="0.25">
      <c r="A436" s="175">
        <f ca="1">IFERROR(__xludf.DUMMYFUNCTION("""COMPUTED_VALUE"""),44325)</f>
        <v>44325</v>
      </c>
      <c r="B436" s="56">
        <f ca="1">IFERROR(__xludf.DUMMYFUNCTION("""COMPUTED_VALUE"""),19)</f>
        <v>19</v>
      </c>
      <c r="C436" s="56">
        <f ca="1">IFERROR(__xludf.DUMMYFUNCTION("""COMPUTED_VALUE"""),18170)</f>
        <v>18170</v>
      </c>
      <c r="D436" s="56">
        <f ca="1">IFERROR(__xludf.DUMMYFUNCTION("""COMPUTED_VALUE"""),116)</f>
        <v>116</v>
      </c>
      <c r="E436" s="56">
        <f ca="1">IFERROR(__xludf.DUMMYFUNCTION("""COMPUTED_VALUE"""),68242)</f>
        <v>68242</v>
      </c>
    </row>
    <row r="437" spans="1:5" ht="12.5" x14ac:dyDescent="0.25">
      <c r="A437" s="175">
        <f ca="1">IFERROR(__xludf.DUMMYFUNCTION("""COMPUTED_VALUE"""),44326)</f>
        <v>44326</v>
      </c>
      <c r="B437" s="56">
        <f ca="1">IFERROR(__xludf.DUMMYFUNCTION("""COMPUTED_VALUE"""),23)</f>
        <v>23</v>
      </c>
      <c r="C437" s="56">
        <f ca="1">IFERROR(__xludf.DUMMYFUNCTION("""COMPUTED_VALUE"""),18193)</f>
        <v>18193</v>
      </c>
      <c r="D437" s="56">
        <f ca="1">IFERROR(__xludf.DUMMYFUNCTION("""COMPUTED_VALUE"""),127)</f>
        <v>127</v>
      </c>
      <c r="E437" s="56">
        <f ca="1">IFERROR(__xludf.DUMMYFUNCTION("""COMPUTED_VALUE"""),68369)</f>
        <v>68369</v>
      </c>
    </row>
    <row r="438" spans="1:5" ht="12.5" x14ac:dyDescent="0.25">
      <c r="A438" s="175">
        <f ca="1">IFERROR(__xludf.DUMMYFUNCTION("""COMPUTED_VALUE"""),44327)</f>
        <v>44327</v>
      </c>
      <c r="B438" s="56">
        <f ca="1">IFERROR(__xludf.DUMMYFUNCTION("""COMPUTED_VALUE"""),25)</f>
        <v>25</v>
      </c>
      <c r="C438" s="56">
        <f ca="1">IFERROR(__xludf.DUMMYFUNCTION("""COMPUTED_VALUE"""),18218)</f>
        <v>18218</v>
      </c>
      <c r="D438" s="56">
        <f ca="1">IFERROR(__xludf.DUMMYFUNCTION("""COMPUTED_VALUE"""),154)</f>
        <v>154</v>
      </c>
      <c r="E438" s="56">
        <f ca="1">IFERROR(__xludf.DUMMYFUNCTION("""COMPUTED_VALUE"""),68523)</f>
        <v>68523</v>
      </c>
    </row>
    <row r="439" spans="1:5" ht="12.5" x14ac:dyDescent="0.25">
      <c r="A439" s="175">
        <f ca="1">IFERROR(__xludf.DUMMYFUNCTION("""COMPUTED_VALUE"""),44328)</f>
        <v>44328</v>
      </c>
      <c r="B439" s="56">
        <f ca="1">IFERROR(__xludf.DUMMYFUNCTION("""COMPUTED_VALUE"""),16)</f>
        <v>16</v>
      </c>
      <c r="C439" s="56">
        <f ca="1">IFERROR(__xludf.DUMMYFUNCTION("""COMPUTED_VALUE"""),18234)</f>
        <v>18234</v>
      </c>
      <c r="D439" s="56">
        <f ca="1">IFERROR(__xludf.DUMMYFUNCTION("""COMPUTED_VALUE"""),150)</f>
        <v>150</v>
      </c>
      <c r="E439" s="56">
        <f ca="1">IFERROR(__xludf.DUMMYFUNCTION("""COMPUTED_VALUE"""),68673)</f>
        <v>68673</v>
      </c>
    </row>
    <row r="440" spans="1:5" ht="12.5" x14ac:dyDescent="0.25">
      <c r="A440" s="175">
        <f ca="1">IFERROR(__xludf.DUMMYFUNCTION("""COMPUTED_VALUE"""),44329)</f>
        <v>44329</v>
      </c>
      <c r="B440" s="56">
        <f ca="1">IFERROR(__xludf.DUMMYFUNCTION("""COMPUTED_VALUE"""),11)</f>
        <v>11</v>
      </c>
      <c r="C440" s="56">
        <f ca="1">IFERROR(__xludf.DUMMYFUNCTION("""COMPUTED_VALUE"""),18245)</f>
        <v>18245</v>
      </c>
      <c r="D440" s="56">
        <f ca="1">IFERROR(__xludf.DUMMYFUNCTION("""COMPUTED_VALUE"""),132)</f>
        <v>132</v>
      </c>
      <c r="E440" s="56">
        <f ca="1">IFERROR(__xludf.DUMMYFUNCTION("""COMPUTED_VALUE"""),68805)</f>
        <v>68805</v>
      </c>
    </row>
    <row r="441" spans="1:5" ht="12.5" x14ac:dyDescent="0.25">
      <c r="A441" s="175">
        <f ca="1">IFERROR(__xludf.DUMMYFUNCTION("""COMPUTED_VALUE"""),44330)</f>
        <v>44330</v>
      </c>
      <c r="B441" s="56">
        <f ca="1">IFERROR(__xludf.DUMMYFUNCTION("""COMPUTED_VALUE"""),16)</f>
        <v>16</v>
      </c>
      <c r="C441" s="56">
        <f ca="1">IFERROR(__xludf.DUMMYFUNCTION("""COMPUTED_VALUE"""),18261)</f>
        <v>18261</v>
      </c>
      <c r="D441" s="56">
        <f ca="1">IFERROR(__xludf.DUMMYFUNCTION("""COMPUTED_VALUE"""),149)</f>
        <v>149</v>
      </c>
      <c r="E441" s="56">
        <f ca="1">IFERROR(__xludf.DUMMYFUNCTION("""COMPUTED_VALUE"""),68954)</f>
        <v>68954</v>
      </c>
    </row>
    <row r="442" spans="1:5" ht="12.5" x14ac:dyDescent="0.25">
      <c r="A442" s="175">
        <f ca="1">IFERROR(__xludf.DUMMYFUNCTION("""COMPUTED_VALUE"""),44331)</f>
        <v>44331</v>
      </c>
      <c r="B442" s="56">
        <f ca="1">IFERROR(__xludf.DUMMYFUNCTION("""COMPUTED_VALUE"""),11)</f>
        <v>11</v>
      </c>
      <c r="C442" s="56">
        <f ca="1">IFERROR(__xludf.DUMMYFUNCTION("""COMPUTED_VALUE"""),18272)</f>
        <v>18272</v>
      </c>
      <c r="D442" s="56">
        <f ca="1">IFERROR(__xludf.DUMMYFUNCTION("""COMPUTED_VALUE"""),144)</f>
        <v>144</v>
      </c>
      <c r="E442" s="56">
        <f ca="1">IFERROR(__xludf.DUMMYFUNCTION("""COMPUTED_VALUE"""),69098)</f>
        <v>69098</v>
      </c>
    </row>
    <row r="443" spans="1:5" ht="12.5" x14ac:dyDescent="0.25">
      <c r="A443" s="175">
        <f ca="1">IFERROR(__xludf.DUMMYFUNCTION("""COMPUTED_VALUE"""),44332)</f>
        <v>44332</v>
      </c>
      <c r="B443" s="56">
        <f ca="1">IFERROR(__xludf.DUMMYFUNCTION("""COMPUTED_VALUE"""),19)</f>
        <v>19</v>
      </c>
      <c r="C443" s="56">
        <f ca="1">IFERROR(__xludf.DUMMYFUNCTION("""COMPUTED_VALUE"""),18291)</f>
        <v>18291</v>
      </c>
      <c r="D443" s="56">
        <f ca="1">IFERROR(__xludf.DUMMYFUNCTION("""COMPUTED_VALUE"""),124)</f>
        <v>124</v>
      </c>
      <c r="E443" s="56">
        <f ca="1">IFERROR(__xludf.DUMMYFUNCTION("""COMPUTED_VALUE"""),69222)</f>
        <v>69222</v>
      </c>
    </row>
    <row r="444" spans="1:5" ht="12.5" x14ac:dyDescent="0.25">
      <c r="A444" s="175">
        <f ca="1">IFERROR(__xludf.DUMMYFUNCTION("""COMPUTED_VALUE"""),44333)</f>
        <v>44333</v>
      </c>
      <c r="B444" s="56">
        <f ca="1">IFERROR(__xludf.DUMMYFUNCTION("""COMPUTED_VALUE"""),19)</f>
        <v>19</v>
      </c>
      <c r="C444" s="56">
        <f ca="1">IFERROR(__xludf.DUMMYFUNCTION("""COMPUTED_VALUE"""),18310)</f>
        <v>18310</v>
      </c>
      <c r="D444" s="56">
        <f ca="1">IFERROR(__xludf.DUMMYFUNCTION("""COMPUTED_VALUE"""),115)</f>
        <v>115</v>
      </c>
      <c r="E444" s="56">
        <f ca="1">IFERROR(__xludf.DUMMYFUNCTION("""COMPUTED_VALUE"""),69337)</f>
        <v>69337</v>
      </c>
    </row>
    <row r="445" spans="1:5" ht="12.5" x14ac:dyDescent="0.25">
      <c r="A445" s="175">
        <f ca="1">IFERROR(__xludf.DUMMYFUNCTION("""COMPUTED_VALUE"""),44334)</f>
        <v>44334</v>
      </c>
      <c r="B445" s="56">
        <f ca="1">IFERROR(__xludf.DUMMYFUNCTION("""COMPUTED_VALUE"""),10)</f>
        <v>10</v>
      </c>
      <c r="C445" s="56">
        <f ca="1">IFERROR(__xludf.DUMMYFUNCTION("""COMPUTED_VALUE"""),18320)</f>
        <v>18320</v>
      </c>
      <c r="D445" s="56">
        <f ca="1">IFERROR(__xludf.DUMMYFUNCTION("""COMPUTED_VALUE"""),110)</f>
        <v>110</v>
      </c>
      <c r="E445" s="56">
        <f ca="1">IFERROR(__xludf.DUMMYFUNCTION("""COMPUTED_VALUE"""),69447)</f>
        <v>69447</v>
      </c>
    </row>
    <row r="446" spans="1:5" ht="12.5" x14ac:dyDescent="0.25">
      <c r="A446" s="175">
        <f ca="1">IFERROR(__xludf.DUMMYFUNCTION("""COMPUTED_VALUE"""),44335)</f>
        <v>44335</v>
      </c>
      <c r="B446" s="56">
        <f ca="1">IFERROR(__xludf.DUMMYFUNCTION("""COMPUTED_VALUE"""),13)</f>
        <v>13</v>
      </c>
      <c r="C446" s="56">
        <f ca="1">IFERROR(__xludf.DUMMYFUNCTION("""COMPUTED_VALUE"""),18333)</f>
        <v>18333</v>
      </c>
      <c r="D446" s="56">
        <f ca="1">IFERROR(__xludf.DUMMYFUNCTION("""COMPUTED_VALUE"""),96)</f>
        <v>96</v>
      </c>
      <c r="E446" s="56">
        <f ca="1">IFERROR(__xludf.DUMMYFUNCTION("""COMPUTED_VALUE"""),69543)</f>
        <v>69543</v>
      </c>
    </row>
    <row r="447" spans="1:5" ht="12.5" x14ac:dyDescent="0.25">
      <c r="A447" s="175">
        <f ca="1">IFERROR(__xludf.DUMMYFUNCTION("""COMPUTED_VALUE"""),44336)</f>
        <v>44336</v>
      </c>
      <c r="B447" s="56">
        <f ca="1">IFERROR(__xludf.DUMMYFUNCTION("""COMPUTED_VALUE"""),16)</f>
        <v>16</v>
      </c>
      <c r="C447" s="56">
        <f ca="1">IFERROR(__xludf.DUMMYFUNCTION("""COMPUTED_VALUE"""),18349)</f>
        <v>18349</v>
      </c>
      <c r="D447" s="56">
        <f ca="1">IFERROR(__xludf.DUMMYFUNCTION("""COMPUTED_VALUE"""),149)</f>
        <v>149</v>
      </c>
      <c r="E447" s="56">
        <f ca="1">IFERROR(__xludf.DUMMYFUNCTION("""COMPUTED_VALUE"""),69692)</f>
        <v>69692</v>
      </c>
    </row>
    <row r="448" spans="1:5" ht="12.5" x14ac:dyDescent="0.25">
      <c r="A448" s="175">
        <f ca="1">IFERROR(__xludf.DUMMYFUNCTION("""COMPUTED_VALUE"""),44337)</f>
        <v>44337</v>
      </c>
      <c r="B448" s="56">
        <f ca="1">IFERROR(__xludf.DUMMYFUNCTION("""COMPUTED_VALUE"""),8)</f>
        <v>8</v>
      </c>
      <c r="C448" s="56">
        <f ca="1">IFERROR(__xludf.DUMMYFUNCTION("""COMPUTED_VALUE"""),18357)</f>
        <v>18357</v>
      </c>
      <c r="D448" s="56">
        <f ca="1">IFERROR(__xludf.DUMMYFUNCTION("""COMPUTED_VALUE"""),138)</f>
        <v>138</v>
      </c>
      <c r="E448" s="56">
        <f ca="1">IFERROR(__xludf.DUMMYFUNCTION("""COMPUTED_VALUE"""),69830)</f>
        <v>69830</v>
      </c>
    </row>
    <row r="449" spans="1:5" ht="12.5" x14ac:dyDescent="0.25">
      <c r="A449" s="175">
        <f ca="1">IFERROR(__xludf.DUMMYFUNCTION("""COMPUTED_VALUE"""),44338)</f>
        <v>44338</v>
      </c>
      <c r="B449" s="56">
        <f ca="1">IFERROR(__xludf.DUMMYFUNCTION("""COMPUTED_VALUE"""),7)</f>
        <v>7</v>
      </c>
      <c r="C449" s="56">
        <f ca="1">IFERROR(__xludf.DUMMYFUNCTION("""COMPUTED_VALUE"""),18364)</f>
        <v>18364</v>
      </c>
      <c r="D449" s="56">
        <f ca="1">IFERROR(__xludf.DUMMYFUNCTION("""COMPUTED_VALUE"""),118)</f>
        <v>118</v>
      </c>
      <c r="E449" s="56">
        <f ca="1">IFERROR(__xludf.DUMMYFUNCTION("""COMPUTED_VALUE"""),69948)</f>
        <v>69948</v>
      </c>
    </row>
    <row r="450" spans="1:5" ht="12.5" x14ac:dyDescent="0.25">
      <c r="A450" s="175">
        <f ca="1">IFERROR(__xludf.DUMMYFUNCTION("""COMPUTED_VALUE"""),44339)</f>
        <v>44339</v>
      </c>
      <c r="B450" s="56">
        <f ca="1">IFERROR(__xludf.DUMMYFUNCTION("""COMPUTED_VALUE"""),16)</f>
        <v>16</v>
      </c>
      <c r="C450" s="56">
        <f ca="1">IFERROR(__xludf.DUMMYFUNCTION("""COMPUTED_VALUE"""),18380)</f>
        <v>18380</v>
      </c>
      <c r="D450" s="56">
        <f ca="1">IFERROR(__xludf.DUMMYFUNCTION("""COMPUTED_VALUE"""),113)</f>
        <v>113</v>
      </c>
      <c r="E450" s="56">
        <f ca="1">IFERROR(__xludf.DUMMYFUNCTION("""COMPUTED_VALUE"""),70061)</f>
        <v>70061</v>
      </c>
    </row>
    <row r="451" spans="1:5" ht="12.5" x14ac:dyDescent="0.25">
      <c r="A451" s="175">
        <f ca="1">IFERROR(__xludf.DUMMYFUNCTION("""COMPUTED_VALUE"""),44340)</f>
        <v>44340</v>
      </c>
      <c r="B451" s="56">
        <f ca="1">IFERROR(__xludf.DUMMYFUNCTION("""COMPUTED_VALUE"""),17)</f>
        <v>17</v>
      </c>
      <c r="C451" s="56">
        <f ca="1">IFERROR(__xludf.DUMMYFUNCTION("""COMPUTED_VALUE"""),18397)</f>
        <v>18397</v>
      </c>
      <c r="D451" s="56">
        <f ca="1">IFERROR(__xludf.DUMMYFUNCTION("""COMPUTED_VALUE"""),133)</f>
        <v>133</v>
      </c>
      <c r="E451" s="56">
        <f ca="1">IFERROR(__xludf.DUMMYFUNCTION("""COMPUTED_VALUE"""),70194)</f>
        <v>70194</v>
      </c>
    </row>
    <row r="452" spans="1:5" ht="12.5" x14ac:dyDescent="0.25">
      <c r="A452" s="175">
        <f ca="1">IFERROR(__xludf.DUMMYFUNCTION("""COMPUTED_VALUE"""),44341)</f>
        <v>44341</v>
      </c>
      <c r="B452" s="56">
        <f ca="1">IFERROR(__xludf.DUMMYFUNCTION("""COMPUTED_VALUE"""),17)</f>
        <v>17</v>
      </c>
      <c r="C452" s="56">
        <f ca="1">IFERROR(__xludf.DUMMYFUNCTION("""COMPUTED_VALUE"""),18414)</f>
        <v>18414</v>
      </c>
      <c r="D452" s="56">
        <f ca="1">IFERROR(__xludf.DUMMYFUNCTION("""COMPUTED_VALUE"""),153)</f>
        <v>153</v>
      </c>
      <c r="E452" s="56">
        <f ca="1">IFERROR(__xludf.DUMMYFUNCTION("""COMPUTED_VALUE"""),70347)</f>
        <v>70347</v>
      </c>
    </row>
    <row r="453" spans="1:5" ht="12.5" x14ac:dyDescent="0.25">
      <c r="A453" s="175">
        <f ca="1">IFERROR(__xludf.DUMMYFUNCTION("""COMPUTED_VALUE"""),44342)</f>
        <v>44342</v>
      </c>
      <c r="B453" s="56">
        <f ca="1">IFERROR(__xludf.DUMMYFUNCTION("""COMPUTED_VALUE"""),12)</f>
        <v>12</v>
      </c>
      <c r="C453" s="56">
        <f ca="1">IFERROR(__xludf.DUMMYFUNCTION("""COMPUTED_VALUE"""),18426)</f>
        <v>18426</v>
      </c>
      <c r="D453" s="56">
        <f ca="1">IFERROR(__xludf.DUMMYFUNCTION("""COMPUTED_VALUE"""),117)</f>
        <v>117</v>
      </c>
      <c r="E453" s="56">
        <f ca="1">IFERROR(__xludf.DUMMYFUNCTION("""COMPUTED_VALUE"""),70464)</f>
        <v>70464</v>
      </c>
    </row>
    <row r="454" spans="1:5" ht="12.5" x14ac:dyDescent="0.25">
      <c r="A454" s="175">
        <f ca="1">IFERROR(__xludf.DUMMYFUNCTION("""COMPUTED_VALUE"""),44343)</f>
        <v>44343</v>
      </c>
      <c r="B454" s="56">
        <f ca="1">IFERROR(__xludf.DUMMYFUNCTION("""COMPUTED_VALUE"""),11)</f>
        <v>11</v>
      </c>
      <c r="C454" s="56">
        <f ca="1">IFERROR(__xludf.DUMMYFUNCTION("""COMPUTED_VALUE"""),18437)</f>
        <v>18437</v>
      </c>
      <c r="D454" s="56">
        <f ca="1">IFERROR(__xludf.DUMMYFUNCTION("""COMPUTED_VALUE"""),117)</f>
        <v>117</v>
      </c>
      <c r="E454" s="56">
        <f ca="1">IFERROR(__xludf.DUMMYFUNCTION("""COMPUTED_VALUE"""),70581)</f>
        <v>70581</v>
      </c>
    </row>
    <row r="455" spans="1:5" ht="12.5" x14ac:dyDescent="0.25">
      <c r="A455" s="175">
        <f ca="1">IFERROR(__xludf.DUMMYFUNCTION("""COMPUTED_VALUE"""),44344)</f>
        <v>44344</v>
      </c>
      <c r="B455" s="56">
        <f ca="1">IFERROR(__xludf.DUMMYFUNCTION("""COMPUTED_VALUE"""),11)</f>
        <v>11</v>
      </c>
      <c r="C455" s="56">
        <f ca="1">IFERROR(__xludf.DUMMYFUNCTION("""COMPUTED_VALUE"""),18448)</f>
        <v>18448</v>
      </c>
      <c r="D455" s="56">
        <f ca="1">IFERROR(__xludf.DUMMYFUNCTION("""COMPUTED_VALUE"""),134)</f>
        <v>134</v>
      </c>
      <c r="E455" s="56">
        <f ca="1">IFERROR(__xludf.DUMMYFUNCTION("""COMPUTED_VALUE"""),70715)</f>
        <v>70715</v>
      </c>
    </row>
    <row r="456" spans="1:5" ht="12.5" x14ac:dyDescent="0.25">
      <c r="A456" s="175">
        <f ca="1">IFERROR(__xludf.DUMMYFUNCTION("""COMPUTED_VALUE"""),44345)</f>
        <v>44345</v>
      </c>
      <c r="B456" s="56">
        <f ca="1">IFERROR(__xludf.DUMMYFUNCTION("""COMPUTED_VALUE"""),15)</f>
        <v>15</v>
      </c>
      <c r="C456" s="56">
        <f ca="1">IFERROR(__xludf.DUMMYFUNCTION("""COMPUTED_VALUE"""),18463)</f>
        <v>18463</v>
      </c>
      <c r="D456" s="56">
        <f ca="1">IFERROR(__xludf.DUMMYFUNCTION("""COMPUTED_VALUE"""),131)</f>
        <v>131</v>
      </c>
      <c r="E456" s="56">
        <f ca="1">IFERROR(__xludf.DUMMYFUNCTION("""COMPUTED_VALUE"""),70846)</f>
        <v>70846</v>
      </c>
    </row>
    <row r="457" spans="1:5" ht="12.5" x14ac:dyDescent="0.25">
      <c r="A457" s="175">
        <f ca="1">IFERROR(__xludf.DUMMYFUNCTION("""COMPUTED_VALUE"""),44346)</f>
        <v>44346</v>
      </c>
      <c r="B457" s="56">
        <f ca="1">IFERROR(__xludf.DUMMYFUNCTION("""COMPUTED_VALUE"""),32)</f>
        <v>32</v>
      </c>
      <c r="C457" s="56">
        <f ca="1">IFERROR(__xludf.DUMMYFUNCTION("""COMPUTED_VALUE"""),18495)</f>
        <v>18495</v>
      </c>
      <c r="D457" s="56">
        <f ca="1">IFERROR(__xludf.DUMMYFUNCTION("""COMPUTED_VALUE"""),129)</f>
        <v>129</v>
      </c>
      <c r="E457" s="56">
        <f ca="1">IFERROR(__xludf.DUMMYFUNCTION("""COMPUTED_VALUE"""),70975)</f>
        <v>70975</v>
      </c>
    </row>
    <row r="458" spans="1:5" ht="12.5" x14ac:dyDescent="0.25">
      <c r="A458" s="175">
        <f ca="1">IFERROR(__xludf.DUMMYFUNCTION("""COMPUTED_VALUE"""),44347)</f>
        <v>44347</v>
      </c>
      <c r="B458" s="56">
        <f ca="1">IFERROR(__xludf.DUMMYFUNCTION("""COMPUTED_VALUE"""),21)</f>
        <v>21</v>
      </c>
      <c r="C458" s="56">
        <f ca="1">IFERROR(__xludf.DUMMYFUNCTION("""COMPUTED_VALUE"""),18516)</f>
        <v>18516</v>
      </c>
      <c r="D458" s="56">
        <f ca="1">IFERROR(__xludf.DUMMYFUNCTION("""COMPUTED_VALUE"""),131)</f>
        <v>131</v>
      </c>
      <c r="E458" s="56">
        <f ca="1">IFERROR(__xludf.DUMMYFUNCTION("""COMPUTED_VALUE"""),71106)</f>
        <v>71106</v>
      </c>
    </row>
    <row r="459" spans="1:5" ht="12.5" x14ac:dyDescent="0.25">
      <c r="A459" s="175">
        <f ca="1">IFERROR(__xludf.DUMMYFUNCTION("""COMPUTED_VALUE"""),44348)</f>
        <v>44348</v>
      </c>
      <c r="B459" s="56">
        <f ca="1">IFERROR(__xludf.DUMMYFUNCTION("""COMPUTED_VALUE"""),16)</f>
        <v>16</v>
      </c>
      <c r="C459" s="56">
        <f ca="1">IFERROR(__xludf.DUMMYFUNCTION("""COMPUTED_VALUE"""),18532)</f>
        <v>18532</v>
      </c>
      <c r="D459" s="56">
        <f ca="1">IFERROR(__xludf.DUMMYFUNCTION("""COMPUTED_VALUE"""),121)</f>
        <v>121</v>
      </c>
      <c r="E459" s="56">
        <f ca="1">IFERROR(__xludf.DUMMYFUNCTION("""COMPUTED_VALUE"""),71227)</f>
        <v>71227</v>
      </c>
    </row>
    <row r="460" spans="1:5" ht="12.5" x14ac:dyDescent="0.25">
      <c r="A460" s="175">
        <f ca="1">IFERROR(__xludf.DUMMYFUNCTION("""COMPUTED_VALUE"""),44349)</f>
        <v>44349</v>
      </c>
      <c r="B460" s="56">
        <f ca="1">IFERROR(__xludf.DUMMYFUNCTION("""COMPUTED_VALUE"""),22)</f>
        <v>22</v>
      </c>
      <c r="C460" s="56">
        <f ca="1">IFERROR(__xludf.DUMMYFUNCTION("""COMPUTED_VALUE"""),18554)</f>
        <v>18554</v>
      </c>
      <c r="D460" s="56">
        <f ca="1">IFERROR(__xludf.DUMMYFUNCTION("""COMPUTED_VALUE"""),142)</f>
        <v>142</v>
      </c>
      <c r="E460" s="56">
        <f ca="1">IFERROR(__xludf.DUMMYFUNCTION("""COMPUTED_VALUE"""),71369)</f>
        <v>71369</v>
      </c>
    </row>
    <row r="461" spans="1:5" ht="12.5" x14ac:dyDescent="0.25">
      <c r="A461" s="175">
        <f ca="1">IFERROR(__xludf.DUMMYFUNCTION("""COMPUTED_VALUE"""),44350)</f>
        <v>44350</v>
      </c>
      <c r="B461" s="56">
        <f ca="1">IFERROR(__xludf.DUMMYFUNCTION("""COMPUTED_VALUE"""),18)</f>
        <v>18</v>
      </c>
      <c r="C461" s="56">
        <f ca="1">IFERROR(__xludf.DUMMYFUNCTION("""COMPUTED_VALUE"""),18572)</f>
        <v>18572</v>
      </c>
      <c r="D461" s="56">
        <f ca="1">IFERROR(__xludf.DUMMYFUNCTION("""COMPUTED_VALUE"""),138)</f>
        <v>138</v>
      </c>
      <c r="E461" s="56">
        <f ca="1">IFERROR(__xludf.DUMMYFUNCTION("""COMPUTED_VALUE"""),71507)</f>
        <v>71507</v>
      </c>
    </row>
    <row r="462" spans="1:5" ht="12.5" x14ac:dyDescent="0.25">
      <c r="A462" s="175">
        <f ca="1">IFERROR(__xludf.DUMMYFUNCTION("""COMPUTED_VALUE"""),44351)</f>
        <v>44351</v>
      </c>
      <c r="B462" s="56">
        <f ca="1">IFERROR(__xludf.DUMMYFUNCTION("""COMPUTED_VALUE"""),20)</f>
        <v>20</v>
      </c>
      <c r="C462" s="56">
        <f ca="1">IFERROR(__xludf.DUMMYFUNCTION("""COMPUTED_VALUE"""),18592)</f>
        <v>18592</v>
      </c>
      <c r="D462" s="56">
        <f ca="1">IFERROR(__xludf.DUMMYFUNCTION("""COMPUTED_VALUE"""),133)</f>
        <v>133</v>
      </c>
      <c r="E462" s="56">
        <f ca="1">IFERROR(__xludf.DUMMYFUNCTION("""COMPUTED_VALUE"""),71640)</f>
        <v>71640</v>
      </c>
    </row>
    <row r="463" spans="1:5" ht="12.5" x14ac:dyDescent="0.25">
      <c r="A463" s="175">
        <f ca="1">IFERROR(__xludf.DUMMYFUNCTION("""COMPUTED_VALUE"""),44352)</f>
        <v>44352</v>
      </c>
      <c r="B463" s="56">
        <f ca="1">IFERROR(__xludf.DUMMYFUNCTION("""COMPUTED_VALUE"""),22)</f>
        <v>22</v>
      </c>
      <c r="C463" s="56">
        <f ca="1">IFERROR(__xludf.DUMMYFUNCTION("""COMPUTED_VALUE"""),18614)</f>
        <v>18614</v>
      </c>
      <c r="D463" s="56">
        <f ca="1">IFERROR(__xludf.DUMMYFUNCTION("""COMPUTED_VALUE"""),146)</f>
        <v>146</v>
      </c>
      <c r="E463" s="56">
        <f ca="1">IFERROR(__xludf.DUMMYFUNCTION("""COMPUTED_VALUE"""),71786)</f>
        <v>71786</v>
      </c>
    </row>
    <row r="464" spans="1:5" ht="12.5" x14ac:dyDescent="0.25">
      <c r="A464" s="175">
        <f ca="1">IFERROR(__xludf.DUMMYFUNCTION("""COMPUTED_VALUE"""),44353)</f>
        <v>44353</v>
      </c>
      <c r="B464" s="56">
        <f ca="1">IFERROR(__xludf.DUMMYFUNCTION("""COMPUTED_VALUE"""),25)</f>
        <v>25</v>
      </c>
      <c r="C464" s="56">
        <f ca="1">IFERROR(__xludf.DUMMYFUNCTION("""COMPUTED_VALUE"""),18639)</f>
        <v>18639</v>
      </c>
      <c r="D464" s="56">
        <f ca="1">IFERROR(__xludf.DUMMYFUNCTION("""COMPUTED_VALUE"""),147)</f>
        <v>147</v>
      </c>
      <c r="E464" s="56">
        <f ca="1">IFERROR(__xludf.DUMMYFUNCTION("""COMPUTED_VALUE"""),71933)</f>
        <v>71933</v>
      </c>
    </row>
    <row r="465" spans="1:5" ht="12.5" x14ac:dyDescent="0.25">
      <c r="A465" s="175">
        <f ca="1">IFERROR(__xludf.DUMMYFUNCTION("""COMPUTED_VALUE"""),44354)</f>
        <v>44354</v>
      </c>
      <c r="B465" s="56">
        <f ca="1">IFERROR(__xludf.DUMMYFUNCTION("""COMPUTED_VALUE"""),21)</f>
        <v>21</v>
      </c>
      <c r="C465" s="56">
        <f ca="1">IFERROR(__xludf.DUMMYFUNCTION("""COMPUTED_VALUE"""),18660)</f>
        <v>18660</v>
      </c>
      <c r="D465" s="56">
        <f ca="1">IFERROR(__xludf.DUMMYFUNCTION("""COMPUTED_VALUE"""),150)</f>
        <v>150</v>
      </c>
      <c r="E465" s="56">
        <f ca="1">IFERROR(__xludf.DUMMYFUNCTION("""COMPUTED_VALUE"""),72083)</f>
        <v>72083</v>
      </c>
    </row>
    <row r="466" spans="1:5" ht="12.5" x14ac:dyDescent="0.25">
      <c r="A466" s="175">
        <f ca="1">IFERROR(__xludf.DUMMYFUNCTION("""COMPUTED_VALUE"""),44355)</f>
        <v>44355</v>
      </c>
      <c r="B466" s="56">
        <f ca="1">IFERROR(__xludf.DUMMYFUNCTION("""COMPUTED_VALUE"""),33)</f>
        <v>33</v>
      </c>
      <c r="C466" s="56">
        <f ca="1">IFERROR(__xludf.DUMMYFUNCTION("""COMPUTED_VALUE"""),18693)</f>
        <v>18693</v>
      </c>
      <c r="D466" s="56">
        <f ca="1">IFERROR(__xludf.DUMMYFUNCTION("""COMPUTED_VALUE"""),156)</f>
        <v>156</v>
      </c>
      <c r="E466" s="56">
        <f ca="1">IFERROR(__xludf.DUMMYFUNCTION("""COMPUTED_VALUE"""),72239)</f>
        <v>72239</v>
      </c>
    </row>
    <row r="467" spans="1:5" ht="12.5" x14ac:dyDescent="0.25">
      <c r="A467" s="175">
        <f ca="1">IFERROR(__xludf.DUMMYFUNCTION("""COMPUTED_VALUE"""),44356)</f>
        <v>44356</v>
      </c>
      <c r="B467" s="56">
        <f ca="1">IFERROR(__xludf.DUMMYFUNCTION("""COMPUTED_VALUE"""),38)</f>
        <v>38</v>
      </c>
      <c r="C467" s="56">
        <f ca="1">IFERROR(__xludf.DUMMYFUNCTION("""COMPUTED_VALUE"""),18731)</f>
        <v>18731</v>
      </c>
      <c r="D467" s="56">
        <f ca="1">IFERROR(__xludf.DUMMYFUNCTION("""COMPUTED_VALUE"""),145)</f>
        <v>145</v>
      </c>
      <c r="E467" s="56">
        <f ca="1">IFERROR(__xludf.DUMMYFUNCTION("""COMPUTED_VALUE"""),72384)</f>
        <v>72384</v>
      </c>
    </row>
    <row r="468" spans="1:5" ht="12.5" x14ac:dyDescent="0.25">
      <c r="A468" s="175">
        <f ca="1">IFERROR(__xludf.DUMMYFUNCTION("""COMPUTED_VALUE"""),44357)</f>
        <v>44357</v>
      </c>
      <c r="B468" s="56">
        <f ca="1">IFERROR(__xludf.DUMMYFUNCTION("""COMPUTED_VALUE"""),38)</f>
        <v>38</v>
      </c>
      <c r="C468" s="56">
        <f ca="1">IFERROR(__xludf.DUMMYFUNCTION("""COMPUTED_VALUE"""),18769)</f>
        <v>18769</v>
      </c>
      <c r="D468" s="56">
        <f ca="1">IFERROR(__xludf.DUMMYFUNCTION("""COMPUTED_VALUE"""),142)</f>
        <v>142</v>
      </c>
      <c r="E468" s="56">
        <f ca="1">IFERROR(__xludf.DUMMYFUNCTION("""COMPUTED_VALUE"""),72526)</f>
        <v>72526</v>
      </c>
    </row>
    <row r="469" spans="1:5" ht="12.5" x14ac:dyDescent="0.25">
      <c r="A469" s="175">
        <f ca="1">IFERROR(__xludf.DUMMYFUNCTION("""COMPUTED_VALUE"""),44358)</f>
        <v>44358</v>
      </c>
      <c r="B469" s="56">
        <f ca="1">IFERROR(__xludf.DUMMYFUNCTION("""COMPUTED_VALUE"""),47)</f>
        <v>47</v>
      </c>
      <c r="C469" s="56">
        <f ca="1">IFERROR(__xludf.DUMMYFUNCTION("""COMPUTED_VALUE"""),18816)</f>
        <v>18816</v>
      </c>
      <c r="D469" s="56">
        <f ca="1">IFERROR(__xludf.DUMMYFUNCTION("""COMPUTED_VALUE"""),154)</f>
        <v>154</v>
      </c>
      <c r="E469" s="56">
        <f ca="1">IFERROR(__xludf.DUMMYFUNCTION("""COMPUTED_VALUE"""),72680)</f>
        <v>72680</v>
      </c>
    </row>
    <row r="470" spans="1:5" ht="12.5" x14ac:dyDescent="0.25">
      <c r="A470" s="175">
        <f ca="1">IFERROR(__xludf.DUMMYFUNCTION("""COMPUTED_VALUE"""),44359)</f>
        <v>44359</v>
      </c>
      <c r="B470" s="56">
        <f ca="1">IFERROR(__xludf.DUMMYFUNCTION("""COMPUTED_VALUE"""),51)</f>
        <v>51</v>
      </c>
      <c r="C470" s="56">
        <f ca="1">IFERROR(__xludf.DUMMYFUNCTION("""COMPUTED_VALUE"""),18867)</f>
        <v>18867</v>
      </c>
      <c r="D470" s="56">
        <f ca="1">IFERROR(__xludf.DUMMYFUNCTION("""COMPUTED_VALUE"""),150)</f>
        <v>150</v>
      </c>
      <c r="E470" s="56">
        <f ca="1">IFERROR(__xludf.DUMMYFUNCTION("""COMPUTED_VALUE"""),72830)</f>
        <v>72830</v>
      </c>
    </row>
    <row r="471" spans="1:5" ht="12.5" x14ac:dyDescent="0.25">
      <c r="A471" s="175">
        <f ca="1">IFERROR(__xludf.DUMMYFUNCTION("""COMPUTED_VALUE"""),44360)</f>
        <v>44360</v>
      </c>
      <c r="B471" s="56">
        <f ca="1">IFERROR(__xludf.DUMMYFUNCTION("""COMPUTED_VALUE"""),64)</f>
        <v>64</v>
      </c>
      <c r="C471" s="56">
        <f ca="1">IFERROR(__xludf.DUMMYFUNCTION("""COMPUTED_VALUE"""),18931)</f>
        <v>18931</v>
      </c>
      <c r="D471" s="56">
        <f ca="1">IFERROR(__xludf.DUMMYFUNCTION("""COMPUTED_VALUE"""),138)</f>
        <v>138</v>
      </c>
      <c r="E471" s="56">
        <f ca="1">IFERROR(__xludf.DUMMYFUNCTION("""COMPUTED_VALUE"""),72968)</f>
        <v>72968</v>
      </c>
    </row>
    <row r="472" spans="1:5" ht="12.5" x14ac:dyDescent="0.25">
      <c r="A472" s="175">
        <f ca="1">IFERROR(__xludf.DUMMYFUNCTION("""COMPUTED_VALUE"""),44361)</f>
        <v>44361</v>
      </c>
      <c r="B472" s="56">
        <f ca="1">IFERROR(__xludf.DUMMYFUNCTION("""COMPUTED_VALUE"""),54)</f>
        <v>54</v>
      </c>
      <c r="C472" s="56">
        <f ca="1">IFERROR(__xludf.DUMMYFUNCTION("""COMPUTED_VALUE"""),18985)</f>
        <v>18985</v>
      </c>
      <c r="D472" s="56">
        <f ca="1">IFERROR(__xludf.DUMMYFUNCTION("""COMPUTED_VALUE"""),185)</f>
        <v>185</v>
      </c>
      <c r="E472" s="56">
        <f ca="1">IFERROR(__xludf.DUMMYFUNCTION("""COMPUTED_VALUE"""),73153)</f>
        <v>73153</v>
      </c>
    </row>
    <row r="473" spans="1:5" ht="12.5" x14ac:dyDescent="0.25">
      <c r="A473" s="175">
        <f ca="1">IFERROR(__xludf.DUMMYFUNCTION("""COMPUTED_VALUE"""),44362)</f>
        <v>44362</v>
      </c>
      <c r="B473" s="56">
        <f ca="1">IFERROR(__xludf.DUMMYFUNCTION("""COMPUTED_VALUE"""),88)</f>
        <v>88</v>
      </c>
      <c r="C473" s="56">
        <f ca="1">IFERROR(__xludf.DUMMYFUNCTION("""COMPUTED_VALUE"""),19073)</f>
        <v>19073</v>
      </c>
      <c r="D473" s="56">
        <f ca="1">IFERROR(__xludf.DUMMYFUNCTION("""COMPUTED_VALUE"""),197)</f>
        <v>197</v>
      </c>
      <c r="E473" s="56">
        <f ca="1">IFERROR(__xludf.DUMMYFUNCTION("""COMPUTED_VALUE"""),73350)</f>
        <v>73350</v>
      </c>
    </row>
    <row r="474" spans="1:5" ht="12.5" x14ac:dyDescent="0.25">
      <c r="A474" s="175">
        <f ca="1">IFERROR(__xludf.DUMMYFUNCTION("""COMPUTED_VALUE"""),44363)</f>
        <v>44363</v>
      </c>
      <c r="B474" s="56">
        <f ca="1">IFERROR(__xludf.DUMMYFUNCTION("""COMPUTED_VALUE"""),83)</f>
        <v>83</v>
      </c>
      <c r="C474" s="56">
        <f ca="1">IFERROR(__xludf.DUMMYFUNCTION("""COMPUTED_VALUE"""),19156)</f>
        <v>19156</v>
      </c>
      <c r="D474" s="56">
        <f ca="1">IFERROR(__xludf.DUMMYFUNCTION("""COMPUTED_VALUE"""),212)</f>
        <v>212</v>
      </c>
      <c r="E474" s="56">
        <f ca="1">IFERROR(__xludf.DUMMYFUNCTION("""COMPUTED_VALUE"""),73562)</f>
        <v>73562</v>
      </c>
    </row>
    <row r="475" spans="1:5" ht="12.5" x14ac:dyDescent="0.25">
      <c r="A475" s="175">
        <f ca="1">IFERROR(__xludf.DUMMYFUNCTION("""COMPUTED_VALUE"""),44364)</f>
        <v>44364</v>
      </c>
      <c r="B475" s="56">
        <f ca="1">IFERROR(__xludf.DUMMYFUNCTION("""COMPUTED_VALUE"""),119)</f>
        <v>119</v>
      </c>
      <c r="C475" s="56">
        <f ca="1">IFERROR(__xludf.DUMMYFUNCTION("""COMPUTED_VALUE"""),19275)</f>
        <v>19275</v>
      </c>
      <c r="D475" s="56">
        <f ca="1">IFERROR(__xludf.DUMMYFUNCTION("""COMPUTED_VALUE"""),209)</f>
        <v>209</v>
      </c>
      <c r="E475" s="56">
        <f ca="1">IFERROR(__xludf.DUMMYFUNCTION("""COMPUTED_VALUE"""),73771)</f>
        <v>73771</v>
      </c>
    </row>
    <row r="476" spans="1:5" ht="12.5" x14ac:dyDescent="0.25">
      <c r="A476" s="175">
        <f ca="1">IFERROR(__xludf.DUMMYFUNCTION("""COMPUTED_VALUE"""),44365)</f>
        <v>44365</v>
      </c>
      <c r="B476" s="56">
        <f ca="1">IFERROR(__xludf.DUMMYFUNCTION("""COMPUTED_VALUE"""),112)</f>
        <v>112</v>
      </c>
      <c r="C476" s="56">
        <f ca="1">IFERROR(__xludf.DUMMYFUNCTION("""COMPUTED_VALUE"""),19387)</f>
        <v>19387</v>
      </c>
      <c r="D476" s="56">
        <f ca="1">IFERROR(__xludf.DUMMYFUNCTION("""COMPUTED_VALUE"""),219)</f>
        <v>219</v>
      </c>
      <c r="E476" s="56">
        <f ca="1">IFERROR(__xludf.DUMMYFUNCTION("""COMPUTED_VALUE"""),73990)</f>
        <v>73990</v>
      </c>
    </row>
    <row r="477" spans="1:5" ht="12.5" x14ac:dyDescent="0.25">
      <c r="A477" s="175">
        <f ca="1">IFERROR(__xludf.DUMMYFUNCTION("""COMPUTED_VALUE"""),44366)</f>
        <v>44366</v>
      </c>
      <c r="B477" s="56">
        <f ca="1">IFERROR(__xludf.DUMMYFUNCTION("""COMPUTED_VALUE"""),127)</f>
        <v>127</v>
      </c>
      <c r="C477" s="56">
        <f ca="1">IFERROR(__xludf.DUMMYFUNCTION("""COMPUTED_VALUE"""),19514)</f>
        <v>19514</v>
      </c>
      <c r="D477" s="56">
        <f ca="1">IFERROR(__xludf.DUMMYFUNCTION("""COMPUTED_VALUE"""),205)</f>
        <v>205</v>
      </c>
      <c r="E477" s="56">
        <f ca="1">IFERROR(__xludf.DUMMYFUNCTION("""COMPUTED_VALUE"""),74195)</f>
        <v>74195</v>
      </c>
    </row>
    <row r="478" spans="1:5" ht="12.5" x14ac:dyDescent="0.25">
      <c r="A478" s="175">
        <f ca="1">IFERROR(__xludf.DUMMYFUNCTION("""COMPUTED_VALUE"""),44367)</f>
        <v>44367</v>
      </c>
      <c r="B478" s="56">
        <f ca="1">IFERROR(__xludf.DUMMYFUNCTION("""COMPUTED_VALUE"""),155)</f>
        <v>155</v>
      </c>
      <c r="C478" s="56">
        <f ca="1">IFERROR(__xludf.DUMMYFUNCTION("""COMPUTED_VALUE"""),19669)</f>
        <v>19669</v>
      </c>
      <c r="D478" s="56">
        <f ca="1">IFERROR(__xludf.DUMMYFUNCTION("""COMPUTED_VALUE"""),234)</f>
        <v>234</v>
      </c>
      <c r="E478" s="56">
        <f ca="1">IFERROR(__xludf.DUMMYFUNCTION("""COMPUTED_VALUE"""),74429)</f>
        <v>74429</v>
      </c>
    </row>
    <row r="479" spans="1:5" ht="12.5" x14ac:dyDescent="0.25">
      <c r="A479" s="175">
        <f ca="1">IFERROR(__xludf.DUMMYFUNCTION("""COMPUTED_VALUE"""),44368)</f>
        <v>44368</v>
      </c>
      <c r="B479" s="56">
        <f ca="1">IFERROR(__xludf.DUMMYFUNCTION("""COMPUTED_VALUE"""),102)</f>
        <v>102</v>
      </c>
      <c r="C479" s="56">
        <f ca="1">IFERROR(__xludf.DUMMYFUNCTION("""COMPUTED_VALUE"""),19771)</f>
        <v>19771</v>
      </c>
      <c r="D479" s="56">
        <f ca="1">IFERROR(__xludf.DUMMYFUNCTION("""COMPUTED_VALUE"""),221)</f>
        <v>221</v>
      </c>
      <c r="E479" s="56">
        <f ca="1">IFERROR(__xludf.DUMMYFUNCTION("""COMPUTED_VALUE"""),74650)</f>
        <v>74650</v>
      </c>
    </row>
    <row r="480" spans="1:5" ht="12.5" x14ac:dyDescent="0.25">
      <c r="A480" s="175">
        <f ca="1">IFERROR(__xludf.DUMMYFUNCTION("""COMPUTED_VALUE"""),44369)</f>
        <v>44369</v>
      </c>
      <c r="B480" s="56">
        <f ca="1">IFERROR(__xludf.DUMMYFUNCTION("""COMPUTED_VALUE"""),146)</f>
        <v>146</v>
      </c>
      <c r="C480" s="56">
        <f ca="1">IFERROR(__xludf.DUMMYFUNCTION("""COMPUTED_VALUE"""),19917)</f>
        <v>19917</v>
      </c>
      <c r="D480" s="56">
        <f ca="1">IFERROR(__xludf.DUMMYFUNCTION("""COMPUTED_VALUE"""),304)</f>
        <v>304</v>
      </c>
      <c r="E480" s="56">
        <f ca="1">IFERROR(__xludf.DUMMYFUNCTION("""COMPUTED_VALUE"""),74954)</f>
        <v>74954</v>
      </c>
    </row>
    <row r="481" spans="1:5" ht="12.5" x14ac:dyDescent="0.25">
      <c r="A481" s="175">
        <f ca="1">IFERROR(__xludf.DUMMYFUNCTION("""COMPUTED_VALUE"""),44370)</f>
        <v>44370</v>
      </c>
      <c r="B481" s="56">
        <f ca="1">IFERROR(__xludf.DUMMYFUNCTION("""COMPUTED_VALUE"""),178)</f>
        <v>178</v>
      </c>
      <c r="C481" s="56">
        <f ca="1">IFERROR(__xludf.DUMMYFUNCTION("""COMPUTED_VALUE"""),20095)</f>
        <v>20095</v>
      </c>
      <c r="D481" s="56">
        <f ca="1">IFERROR(__xludf.DUMMYFUNCTION("""COMPUTED_VALUE"""),271)</f>
        <v>271</v>
      </c>
      <c r="E481" s="56">
        <f ca="1">IFERROR(__xludf.DUMMYFUNCTION("""COMPUTED_VALUE"""),75225)</f>
        <v>75225</v>
      </c>
    </row>
    <row r="482" spans="1:5" ht="12.5" x14ac:dyDescent="0.25">
      <c r="A482" s="175">
        <f ca="1">IFERROR(__xludf.DUMMYFUNCTION("""COMPUTED_VALUE"""),44371)</f>
        <v>44371</v>
      </c>
      <c r="B482" s="56">
        <f ca="1">IFERROR(__xludf.DUMMYFUNCTION("""COMPUTED_VALUE"""),186)</f>
        <v>186</v>
      </c>
      <c r="C482" s="56">
        <f ca="1">IFERROR(__xludf.DUMMYFUNCTION("""COMPUTED_VALUE"""),20281)</f>
        <v>20281</v>
      </c>
      <c r="D482" s="56">
        <f ca="1">IFERROR(__xludf.DUMMYFUNCTION("""COMPUTED_VALUE"""),280)</f>
        <v>280</v>
      </c>
      <c r="E482" s="56">
        <f ca="1">IFERROR(__xludf.DUMMYFUNCTION("""COMPUTED_VALUE"""),75505)</f>
        <v>75505</v>
      </c>
    </row>
    <row r="483" spans="1:5" ht="12.5" x14ac:dyDescent="0.25">
      <c r="A483" s="175">
        <f ca="1">IFERROR(__xludf.DUMMYFUNCTION("""COMPUTED_VALUE"""),44372)</f>
        <v>44372</v>
      </c>
      <c r="B483" s="56">
        <f ca="1">IFERROR(__xludf.DUMMYFUNCTION("""COMPUTED_VALUE"""),188)</f>
        <v>188</v>
      </c>
      <c r="C483" s="56">
        <f ca="1">IFERROR(__xludf.DUMMYFUNCTION("""COMPUTED_VALUE"""),20469)</f>
        <v>20469</v>
      </c>
      <c r="D483" s="56">
        <f ca="1">IFERROR(__xludf.DUMMYFUNCTION("""COMPUTED_VALUE"""),387)</f>
        <v>387</v>
      </c>
      <c r="E483" s="56">
        <f ca="1">IFERROR(__xludf.DUMMYFUNCTION("""COMPUTED_VALUE"""),75892)</f>
        <v>75892</v>
      </c>
    </row>
    <row r="484" spans="1:5" ht="12.5" x14ac:dyDescent="0.25">
      <c r="A484" s="175">
        <f ca="1">IFERROR(__xludf.DUMMYFUNCTION("""COMPUTED_VALUE"""),44373)</f>
        <v>44373</v>
      </c>
      <c r="B484" s="56">
        <f ca="1">IFERROR(__xludf.DUMMYFUNCTION("""COMPUTED_VALUE"""),227)</f>
        <v>227</v>
      </c>
      <c r="C484" s="56">
        <f ca="1">IFERROR(__xludf.DUMMYFUNCTION("""COMPUTED_VALUE"""),20696)</f>
        <v>20696</v>
      </c>
      <c r="D484" s="56">
        <f ca="1">IFERROR(__xludf.DUMMYFUNCTION("""COMPUTED_VALUE"""),351)</f>
        <v>351</v>
      </c>
      <c r="E484" s="56">
        <f ca="1">IFERROR(__xludf.DUMMYFUNCTION("""COMPUTED_VALUE"""),76243)</f>
        <v>76243</v>
      </c>
    </row>
    <row r="485" spans="1:5" ht="12.5" x14ac:dyDescent="0.25">
      <c r="A485" s="175">
        <f ca="1">IFERROR(__xludf.DUMMYFUNCTION("""COMPUTED_VALUE"""),44374)</f>
        <v>44374</v>
      </c>
      <c r="B485" s="56">
        <f ca="1">IFERROR(__xludf.DUMMYFUNCTION("""COMPUTED_VALUE"""),212)</f>
        <v>212</v>
      </c>
      <c r="C485" s="56">
        <f ca="1">IFERROR(__xludf.DUMMYFUNCTION("""COMPUTED_VALUE"""),20908)</f>
        <v>20908</v>
      </c>
      <c r="D485" s="56">
        <f ca="1">IFERROR(__xludf.DUMMYFUNCTION("""COMPUTED_VALUE"""),457)</f>
        <v>457</v>
      </c>
      <c r="E485" s="56">
        <f ca="1">IFERROR(__xludf.DUMMYFUNCTION("""COMPUTED_VALUE"""),76700)</f>
        <v>76700</v>
      </c>
    </row>
    <row r="486" spans="1:5" ht="12.5" x14ac:dyDescent="0.25">
      <c r="A486" s="175">
        <f ca="1">IFERROR(__xludf.DUMMYFUNCTION("""COMPUTED_VALUE"""),44375)</f>
        <v>44375</v>
      </c>
      <c r="B486" s="56">
        <f ca="1">IFERROR(__xludf.DUMMYFUNCTION("""COMPUTED_VALUE"""),228)</f>
        <v>228</v>
      </c>
      <c r="C486" s="56">
        <f ca="1">IFERROR(__xludf.DUMMYFUNCTION("""COMPUTED_VALUE"""),21136)</f>
        <v>21136</v>
      </c>
      <c r="D486" s="56">
        <f ca="1">IFERROR(__xludf.DUMMYFUNCTION("""COMPUTED_VALUE"""),569)</f>
        <v>569</v>
      </c>
      <c r="E486" s="56">
        <f ca="1">IFERROR(__xludf.DUMMYFUNCTION("""COMPUTED_VALUE"""),77269)</f>
        <v>77269</v>
      </c>
    </row>
    <row r="487" spans="1:5" ht="12.5" x14ac:dyDescent="0.25">
      <c r="A487" s="175">
        <f ca="1">IFERROR(__xludf.DUMMYFUNCTION("""COMPUTED_VALUE"""),44376)</f>
        <v>44376</v>
      </c>
      <c r="B487" s="56">
        <f ca="1">IFERROR(__xludf.DUMMYFUNCTION("""COMPUTED_VALUE"""),304)</f>
        <v>304</v>
      </c>
      <c r="C487" s="56">
        <f ca="1">IFERROR(__xludf.DUMMYFUNCTION("""COMPUTED_VALUE"""),21440)</f>
        <v>21440</v>
      </c>
      <c r="D487" s="56">
        <f ca="1">IFERROR(__xludf.DUMMYFUNCTION("""COMPUTED_VALUE"""),435)</f>
        <v>435</v>
      </c>
      <c r="E487" s="56">
        <f ca="1">IFERROR(__xludf.DUMMYFUNCTION("""COMPUTED_VALUE"""),77704)</f>
        <v>77704</v>
      </c>
    </row>
    <row r="488" spans="1:5" ht="12.5" x14ac:dyDescent="0.25">
      <c r="A488" s="175">
        <f ca="1">IFERROR(__xludf.DUMMYFUNCTION("""COMPUTED_VALUE"""),44377)</f>
        <v>44377</v>
      </c>
      <c r="B488" s="56">
        <f ca="1">IFERROR(__xludf.DUMMYFUNCTION("""COMPUTED_VALUE"""),210)</f>
        <v>210</v>
      </c>
      <c r="C488" s="56">
        <f ca="1">IFERROR(__xludf.DUMMYFUNCTION("""COMPUTED_VALUE"""),21650)</f>
        <v>21650</v>
      </c>
      <c r="D488" s="56">
        <f ca="1">IFERROR(__xludf.DUMMYFUNCTION("""COMPUTED_VALUE"""),560)</f>
        <v>560</v>
      </c>
      <c r="E488" s="56">
        <f ca="1">IFERROR(__xludf.DUMMYFUNCTION("""COMPUTED_VALUE"""),78264)</f>
        <v>78264</v>
      </c>
    </row>
    <row r="489" spans="1:5" ht="12.5" x14ac:dyDescent="0.25">
      <c r="A489" s="175">
        <f ca="1">IFERROR(__xludf.DUMMYFUNCTION("""COMPUTED_VALUE"""),44378)</f>
        <v>44378</v>
      </c>
      <c r="B489" s="56">
        <f ca="1">IFERROR(__xludf.DUMMYFUNCTION("""COMPUTED_VALUE"""),294)</f>
        <v>294</v>
      </c>
      <c r="C489" s="56">
        <f ca="1">IFERROR(__xludf.DUMMYFUNCTION("""COMPUTED_VALUE"""),21944)</f>
        <v>21944</v>
      </c>
      <c r="D489" s="56">
        <f ca="1">IFERROR(__xludf.DUMMYFUNCTION("""COMPUTED_VALUE"""),480)</f>
        <v>480</v>
      </c>
      <c r="E489" s="56">
        <f ca="1">IFERROR(__xludf.DUMMYFUNCTION("""COMPUTED_VALUE"""),78744)</f>
        <v>78744</v>
      </c>
    </row>
    <row r="490" spans="1:5" ht="12.5" x14ac:dyDescent="0.25">
      <c r="A490" s="175">
        <f ca="1">IFERROR(__xludf.DUMMYFUNCTION("""COMPUTED_VALUE"""),44379)</f>
        <v>44379</v>
      </c>
      <c r="B490" s="56">
        <f ca="1">IFERROR(__xludf.DUMMYFUNCTION("""COMPUTED_VALUE"""),362)</f>
        <v>362</v>
      </c>
      <c r="C490" s="56">
        <f ca="1">IFERROR(__xludf.DUMMYFUNCTION("""COMPUTED_VALUE"""),22306)</f>
        <v>22306</v>
      </c>
      <c r="D490" s="56">
        <f ca="1">IFERROR(__xludf.DUMMYFUNCTION("""COMPUTED_VALUE"""),650)</f>
        <v>650</v>
      </c>
      <c r="E490" s="56">
        <f ca="1">IFERROR(__xludf.DUMMYFUNCTION("""COMPUTED_VALUE"""),79394)</f>
        <v>79394</v>
      </c>
    </row>
    <row r="491" spans="1:5" ht="12.5" x14ac:dyDescent="0.25">
      <c r="A491" s="175">
        <f ca="1">IFERROR(__xludf.DUMMYFUNCTION("""COMPUTED_VALUE"""),44380)</f>
        <v>44380</v>
      </c>
      <c r="B491" s="56">
        <f ca="1">IFERROR(__xludf.DUMMYFUNCTION("""COMPUTED_VALUE"""),392)</f>
        <v>392</v>
      </c>
      <c r="C491" s="56">
        <f ca="1">IFERROR(__xludf.DUMMYFUNCTION("""COMPUTED_VALUE"""),22698)</f>
        <v>22698</v>
      </c>
      <c r="D491" s="56">
        <f ca="1">IFERROR(__xludf.DUMMYFUNCTION("""COMPUTED_VALUE"""),464)</f>
        <v>464</v>
      </c>
      <c r="E491" s="56">
        <f ca="1">IFERROR(__xludf.DUMMYFUNCTION("""COMPUTED_VALUE"""),79858)</f>
        <v>79858</v>
      </c>
    </row>
    <row r="492" spans="1:5" ht="12.5" x14ac:dyDescent="0.25">
      <c r="A492" s="175">
        <f ca="1">IFERROR(__xludf.DUMMYFUNCTION("""COMPUTED_VALUE"""),44381)</f>
        <v>44381</v>
      </c>
      <c r="B492" s="56">
        <f ca="1">IFERROR(__xludf.DUMMYFUNCTION("""COMPUTED_VALUE"""),394)</f>
        <v>394</v>
      </c>
      <c r="C492" s="56">
        <f ca="1">IFERROR(__xludf.DUMMYFUNCTION("""COMPUTED_VALUE"""),23092)</f>
        <v>23092</v>
      </c>
      <c r="D492" s="56">
        <f ca="1">IFERROR(__xludf.DUMMYFUNCTION("""COMPUTED_VALUE"""),530)</f>
        <v>530</v>
      </c>
      <c r="E492" s="56">
        <f ca="1">IFERROR(__xludf.DUMMYFUNCTION("""COMPUTED_VALUE"""),80388)</f>
        <v>80388</v>
      </c>
    </row>
    <row r="493" spans="1:5" ht="12.5" x14ac:dyDescent="0.25">
      <c r="A493" s="175">
        <f ca="1">IFERROR(__xludf.DUMMYFUNCTION("""COMPUTED_VALUE"""),44382)</f>
        <v>44382</v>
      </c>
      <c r="B493" s="56">
        <f ca="1">IFERROR(__xludf.DUMMYFUNCTION("""COMPUTED_VALUE"""),386)</f>
        <v>386</v>
      </c>
      <c r="C493" s="56">
        <f ca="1">IFERROR(__xludf.DUMMYFUNCTION("""COMPUTED_VALUE"""),23478)</f>
        <v>23478</v>
      </c>
      <c r="D493" s="56">
        <f ca="1">IFERROR(__xludf.DUMMYFUNCTION("""COMPUTED_VALUE"""),656)</f>
        <v>656</v>
      </c>
      <c r="E493" s="56">
        <f ca="1">IFERROR(__xludf.DUMMYFUNCTION("""COMPUTED_VALUE"""),81044)</f>
        <v>81044</v>
      </c>
    </row>
    <row r="494" spans="1:5" ht="12.5" x14ac:dyDescent="0.25">
      <c r="A494" s="175">
        <f ca="1">IFERROR(__xludf.DUMMYFUNCTION("""COMPUTED_VALUE"""),44383)</f>
        <v>44383</v>
      </c>
      <c r="B494" s="56">
        <f ca="1">IFERROR(__xludf.DUMMYFUNCTION("""COMPUTED_VALUE"""),363)</f>
        <v>363</v>
      </c>
      <c r="C494" s="56">
        <f ca="1">IFERROR(__xludf.DUMMYFUNCTION("""COMPUTED_VALUE"""),23841)</f>
        <v>23841</v>
      </c>
      <c r="D494" s="56">
        <f ca="1">IFERROR(__xludf.DUMMYFUNCTION("""COMPUTED_VALUE"""),539)</f>
        <v>539</v>
      </c>
      <c r="E494" s="56">
        <f ca="1">IFERROR(__xludf.DUMMYFUNCTION("""COMPUTED_VALUE"""),81583)</f>
        <v>81583</v>
      </c>
    </row>
    <row r="495" spans="1:5" ht="12.5" x14ac:dyDescent="0.25">
      <c r="A495" s="175">
        <f ca="1">IFERROR(__xludf.DUMMYFUNCTION("""COMPUTED_VALUE"""),44384)</f>
        <v>44384</v>
      </c>
      <c r="B495" s="56">
        <f ca="1">IFERROR(__xludf.DUMMYFUNCTION("""COMPUTED_VALUE"""),343)</f>
        <v>343</v>
      </c>
      <c r="C495" s="56">
        <f ca="1">IFERROR(__xludf.DUMMYFUNCTION("""COMPUTED_VALUE"""),24184)</f>
        <v>24184</v>
      </c>
      <c r="D495" s="56">
        <f ca="1">IFERROR(__xludf.DUMMYFUNCTION("""COMPUTED_VALUE"""),475)</f>
        <v>475</v>
      </c>
      <c r="E495" s="56">
        <f ca="1">IFERROR(__xludf.DUMMYFUNCTION("""COMPUTED_VALUE"""),82058)</f>
        <v>82058</v>
      </c>
    </row>
    <row r="496" spans="1:5" ht="12.5" x14ac:dyDescent="0.25">
      <c r="A496" s="175">
        <f ca="1">IFERROR(__xludf.DUMMYFUNCTION("""COMPUTED_VALUE"""),44385)</f>
        <v>44385</v>
      </c>
      <c r="B496" s="56">
        <f ca="1">IFERROR(__xludf.DUMMYFUNCTION("""COMPUTED_VALUE"""),401)</f>
        <v>401</v>
      </c>
      <c r="C496" s="56">
        <f ca="1">IFERROR(__xludf.DUMMYFUNCTION("""COMPUTED_VALUE"""),24585)</f>
        <v>24585</v>
      </c>
      <c r="D496" s="56">
        <f ca="1">IFERROR(__xludf.DUMMYFUNCTION("""COMPUTED_VALUE"""),474)</f>
        <v>474</v>
      </c>
      <c r="E496" s="56">
        <f ca="1">IFERROR(__xludf.DUMMYFUNCTION("""COMPUTED_VALUE"""),82532)</f>
        <v>82532</v>
      </c>
    </row>
    <row r="497" spans="1:5" ht="12.5" x14ac:dyDescent="0.25">
      <c r="A497" s="175">
        <f ca="1">IFERROR(__xludf.DUMMYFUNCTION("""COMPUTED_VALUE"""),44386)</f>
        <v>44386</v>
      </c>
      <c r="B497" s="56">
        <f ca="1">IFERROR(__xludf.DUMMYFUNCTION("""COMPUTED_VALUE"""),369)</f>
        <v>369</v>
      </c>
      <c r="C497" s="56">
        <f ca="1">IFERROR(__xludf.DUMMYFUNCTION("""COMPUTED_VALUE"""),24954)</f>
        <v>24954</v>
      </c>
      <c r="D497" s="56">
        <f ca="1">IFERROR(__xludf.DUMMYFUNCTION("""COMPUTED_VALUE"""),504)</f>
        <v>504</v>
      </c>
      <c r="E497" s="56">
        <f ca="1">IFERROR(__xludf.DUMMYFUNCTION("""COMPUTED_VALUE"""),83036)</f>
        <v>83036</v>
      </c>
    </row>
    <row r="498" spans="1:5" ht="12.5" x14ac:dyDescent="0.25">
      <c r="A498" s="175">
        <f ca="1">IFERROR(__xludf.DUMMYFUNCTION("""COMPUTED_VALUE"""),44387)</f>
        <v>44387</v>
      </c>
      <c r="B498" s="56">
        <f ca="1">IFERROR(__xludf.DUMMYFUNCTION("""COMPUTED_VALUE"""),407)</f>
        <v>407</v>
      </c>
      <c r="C498" s="56">
        <f ca="1">IFERROR(__xludf.DUMMYFUNCTION("""COMPUTED_VALUE"""),25361)</f>
        <v>25361</v>
      </c>
      <c r="D498" s="56">
        <f ca="1">IFERROR(__xludf.DUMMYFUNCTION("""COMPUTED_VALUE"""),540)</f>
        <v>540</v>
      </c>
      <c r="E498" s="56">
        <f ca="1">IFERROR(__xludf.DUMMYFUNCTION("""COMPUTED_VALUE"""),83576)</f>
        <v>83576</v>
      </c>
    </row>
    <row r="499" spans="1:5" ht="12.5" x14ac:dyDescent="0.25">
      <c r="A499" s="175">
        <f ca="1">IFERROR(__xludf.DUMMYFUNCTION("""COMPUTED_VALUE"""),44388)</f>
        <v>44388</v>
      </c>
      <c r="B499" s="56">
        <f ca="1">IFERROR(__xludf.DUMMYFUNCTION("""COMPUTED_VALUE"""),305)</f>
        <v>305</v>
      </c>
      <c r="C499" s="56">
        <f ca="1">IFERROR(__xludf.DUMMYFUNCTION("""COMPUTED_VALUE"""),25666)</f>
        <v>25666</v>
      </c>
      <c r="D499" s="56">
        <f ca="1">IFERROR(__xludf.DUMMYFUNCTION("""COMPUTED_VALUE"""),398)</f>
        <v>398</v>
      </c>
      <c r="E499" s="56">
        <f ca="1">IFERROR(__xludf.DUMMYFUNCTION("""COMPUTED_VALUE"""),83974)</f>
        <v>83974</v>
      </c>
    </row>
    <row r="500" spans="1:5" ht="12.5" x14ac:dyDescent="0.25">
      <c r="A500" s="175">
        <f ca="1">IFERROR(__xludf.DUMMYFUNCTION("""COMPUTED_VALUE"""),44389)</f>
        <v>44389</v>
      </c>
      <c r="B500" s="56">
        <f ca="1">IFERROR(__xludf.DUMMYFUNCTION("""COMPUTED_VALUE"""),364)</f>
        <v>364</v>
      </c>
      <c r="C500" s="56">
        <f ca="1">IFERROR(__xludf.DUMMYFUNCTION("""COMPUTED_VALUE"""),26030)</f>
        <v>26030</v>
      </c>
      <c r="D500" s="56">
        <f ca="1">IFERROR(__xludf.DUMMYFUNCTION("""COMPUTED_VALUE"""),418)</f>
        <v>418</v>
      </c>
      <c r="E500" s="56">
        <f ca="1">IFERROR(__xludf.DUMMYFUNCTION("""COMPUTED_VALUE"""),84392)</f>
        <v>84392</v>
      </c>
    </row>
    <row r="501" spans="1:5" ht="12.5" x14ac:dyDescent="0.25">
      <c r="A501" s="175">
        <f ca="1">IFERROR(__xludf.DUMMYFUNCTION("""COMPUTED_VALUE"""),44390)</f>
        <v>44390</v>
      </c>
      <c r="B501" s="56">
        <f ca="1">IFERROR(__xludf.DUMMYFUNCTION("""COMPUTED_VALUE"""),301)</f>
        <v>301</v>
      </c>
      <c r="C501" s="56">
        <f ca="1">IFERROR(__xludf.DUMMYFUNCTION("""COMPUTED_VALUE"""),26331)</f>
        <v>26331</v>
      </c>
      <c r="D501" s="56">
        <f ca="1">IFERROR(__xludf.DUMMYFUNCTION("""COMPUTED_VALUE"""),374)</f>
        <v>374</v>
      </c>
      <c r="E501" s="56">
        <f ca="1">IFERROR(__xludf.DUMMYFUNCTION("""COMPUTED_VALUE"""),84766)</f>
        <v>84766</v>
      </c>
    </row>
    <row r="502" spans="1:5" ht="12.5" x14ac:dyDescent="0.25">
      <c r="A502" s="175">
        <f ca="1">IFERROR(__xludf.DUMMYFUNCTION("""COMPUTED_VALUE"""),44391)</f>
        <v>44391</v>
      </c>
      <c r="B502" s="56">
        <f ca="1">IFERROR(__xludf.DUMMYFUNCTION("""COMPUTED_VALUE"""),315)</f>
        <v>315</v>
      </c>
      <c r="C502" s="56">
        <f ca="1">IFERROR(__xludf.DUMMYFUNCTION("""COMPUTED_VALUE"""),26646)</f>
        <v>26646</v>
      </c>
      <c r="D502" s="56">
        <f ca="1">IFERROR(__xludf.DUMMYFUNCTION("""COMPUTED_VALUE"""),303)</f>
        <v>303</v>
      </c>
      <c r="E502" s="56">
        <f ca="1">IFERROR(__xludf.DUMMYFUNCTION("""COMPUTED_VALUE"""),85069)</f>
        <v>85069</v>
      </c>
    </row>
    <row r="503" spans="1:5" ht="12.5" x14ac:dyDescent="0.25">
      <c r="A503" s="175">
        <f ca="1">IFERROR(__xludf.DUMMYFUNCTION("""COMPUTED_VALUE"""),44392)</f>
        <v>44392</v>
      </c>
      <c r="B503" s="56">
        <f ca="1">IFERROR(__xludf.DUMMYFUNCTION("""COMPUTED_VALUE"""),314)</f>
        <v>314</v>
      </c>
      <c r="C503" s="56">
        <f ca="1">IFERROR(__xludf.DUMMYFUNCTION("""COMPUTED_VALUE"""),26960)</f>
        <v>26960</v>
      </c>
      <c r="D503" s="56">
        <f ca="1">IFERROR(__xludf.DUMMYFUNCTION("""COMPUTED_VALUE"""),345)</f>
        <v>345</v>
      </c>
      <c r="E503" s="56">
        <f ca="1">IFERROR(__xludf.DUMMYFUNCTION("""COMPUTED_VALUE"""),85414)</f>
        <v>85414</v>
      </c>
    </row>
    <row r="504" spans="1:5" ht="12.5" x14ac:dyDescent="0.25">
      <c r="A504" s="175">
        <f ca="1">IFERROR(__xludf.DUMMYFUNCTION("""COMPUTED_VALUE"""),44393)</f>
        <v>44393</v>
      </c>
      <c r="B504" s="56">
        <f ca="1">IFERROR(__xludf.DUMMYFUNCTION("""COMPUTED_VALUE"""),295)</f>
        <v>295</v>
      </c>
      <c r="C504" s="56">
        <f ca="1">IFERROR(__xludf.DUMMYFUNCTION("""COMPUTED_VALUE"""),27255)</f>
        <v>27255</v>
      </c>
      <c r="D504" s="56">
        <f ca="1">IFERROR(__xludf.DUMMYFUNCTION("""COMPUTED_VALUE"""),186)</f>
        <v>186</v>
      </c>
      <c r="E504" s="56">
        <f ca="1">IFERROR(__xludf.DUMMYFUNCTION("""COMPUTED_VALUE"""),85600)</f>
        <v>85600</v>
      </c>
    </row>
    <row r="505" spans="1:5" ht="12.5" x14ac:dyDescent="0.25">
      <c r="A505" s="56"/>
      <c r="B505" s="56"/>
      <c r="C505" s="56"/>
      <c r="D505" s="56"/>
      <c r="E505" s="56"/>
    </row>
    <row r="506" spans="1:5" ht="12.5" x14ac:dyDescent="0.25">
      <c r="A506" s="56"/>
      <c r="B506" s="56"/>
      <c r="C506" s="56"/>
      <c r="D506" s="56"/>
      <c r="E506" s="56"/>
    </row>
    <row r="507" spans="1:5" ht="12.5" x14ac:dyDescent="0.25">
      <c r="A507" s="56"/>
      <c r="B507" s="56"/>
      <c r="C507" s="56"/>
      <c r="D507" s="56"/>
      <c r="E507" s="56"/>
    </row>
    <row r="508" spans="1:5" ht="12.5" x14ac:dyDescent="0.25">
      <c r="A508" s="56"/>
      <c r="B508" s="56"/>
      <c r="C508" s="56"/>
      <c r="D508" s="56"/>
      <c r="E508" s="56"/>
    </row>
    <row r="509" spans="1:5" ht="12.5" x14ac:dyDescent="0.25">
      <c r="A509" s="56"/>
      <c r="B509" s="56"/>
      <c r="C509" s="56"/>
      <c r="D509" s="56"/>
      <c r="E509" s="56"/>
    </row>
    <row r="510" spans="1:5" ht="12.5" x14ac:dyDescent="0.25">
      <c r="A510" s="56"/>
      <c r="B510" s="56"/>
      <c r="C510" s="56"/>
      <c r="D510" s="56"/>
      <c r="E510" s="56"/>
    </row>
    <row r="511" spans="1:5" ht="12.5" x14ac:dyDescent="0.25">
      <c r="A511" s="56"/>
      <c r="B511" s="56"/>
      <c r="C511" s="56"/>
      <c r="D511" s="56"/>
      <c r="E511" s="56"/>
    </row>
    <row r="512" spans="1:5" ht="12.5" x14ac:dyDescent="0.25">
      <c r="A512" s="56"/>
      <c r="B512" s="56"/>
      <c r="C512" s="56"/>
      <c r="D512" s="56"/>
      <c r="E512" s="56"/>
    </row>
    <row r="513" spans="1:5" ht="12.5" x14ac:dyDescent="0.25">
      <c r="A513" s="56"/>
      <c r="B513" s="56"/>
      <c r="C513" s="56"/>
      <c r="D513" s="56"/>
      <c r="E513" s="56"/>
    </row>
    <row r="514" spans="1:5" ht="12.5" x14ac:dyDescent="0.25">
      <c r="A514" s="56"/>
      <c r="B514" s="56"/>
      <c r="C514" s="56"/>
      <c r="D514" s="56"/>
      <c r="E514" s="56"/>
    </row>
    <row r="515" spans="1:5" ht="12.5" x14ac:dyDescent="0.25">
      <c r="A515" s="56"/>
      <c r="B515" s="56"/>
      <c r="C515" s="56"/>
      <c r="D515" s="56"/>
      <c r="E515" s="56"/>
    </row>
    <row r="516" spans="1:5" ht="12.5" x14ac:dyDescent="0.25">
      <c r="A516" s="56"/>
      <c r="B516" s="56"/>
      <c r="C516" s="56"/>
      <c r="D516" s="56"/>
      <c r="E516" s="56"/>
    </row>
    <row r="517" spans="1:5" ht="12.5" x14ac:dyDescent="0.25">
      <c r="A517" s="56"/>
      <c r="B517" s="56"/>
      <c r="C517" s="56"/>
      <c r="D517" s="56"/>
      <c r="E517" s="56"/>
    </row>
    <row r="518" spans="1:5" ht="12.5" x14ac:dyDescent="0.25">
      <c r="A518" s="56"/>
      <c r="B518" s="56"/>
      <c r="C518" s="56"/>
      <c r="D518" s="56"/>
      <c r="E518" s="56"/>
    </row>
    <row r="519" spans="1:5" ht="12.5" x14ac:dyDescent="0.25">
      <c r="A519" s="56"/>
      <c r="B519" s="56"/>
      <c r="C519" s="56"/>
      <c r="D519" s="56"/>
      <c r="E519" s="56"/>
    </row>
    <row r="520" spans="1:5" ht="12.5" x14ac:dyDescent="0.25">
      <c r="A520" s="56"/>
      <c r="B520" s="56"/>
      <c r="C520" s="56"/>
      <c r="D520" s="56"/>
      <c r="E520" s="56"/>
    </row>
    <row r="521" spans="1:5" ht="12.5" x14ac:dyDescent="0.25">
      <c r="A521" s="56"/>
      <c r="B521" s="56"/>
      <c r="C521" s="56"/>
      <c r="D521" s="56"/>
      <c r="E521" s="56"/>
    </row>
    <row r="522" spans="1:5" ht="12.5" x14ac:dyDescent="0.25">
      <c r="A522" s="56"/>
      <c r="B522" s="56"/>
      <c r="C522" s="56"/>
      <c r="D522" s="56"/>
      <c r="E522" s="56"/>
    </row>
    <row r="523" spans="1:5" ht="12.5" x14ac:dyDescent="0.25">
      <c r="A523" s="56"/>
      <c r="B523" s="56"/>
      <c r="C523" s="56"/>
      <c r="D523" s="56"/>
      <c r="E523" s="56"/>
    </row>
    <row r="524" spans="1:5" ht="12.5" x14ac:dyDescent="0.25">
      <c r="A524" s="56"/>
      <c r="B524" s="56"/>
      <c r="C524" s="56"/>
      <c r="D524" s="56"/>
      <c r="E524" s="56"/>
    </row>
    <row r="525" spans="1:5" ht="12.5" x14ac:dyDescent="0.25">
      <c r="A525" s="56"/>
      <c r="B525" s="56"/>
      <c r="C525" s="56"/>
      <c r="D525" s="56"/>
      <c r="E525" s="56"/>
    </row>
    <row r="526" spans="1:5" ht="12.5" x14ac:dyDescent="0.25">
      <c r="A526" s="56"/>
      <c r="B526" s="56"/>
      <c r="C526" s="56"/>
      <c r="D526" s="56"/>
      <c r="E526" s="56"/>
    </row>
    <row r="527" spans="1:5" ht="12.5" x14ac:dyDescent="0.25">
      <c r="A527" s="56"/>
      <c r="B527" s="56"/>
      <c r="C527" s="56"/>
      <c r="D527" s="56"/>
      <c r="E527" s="56"/>
    </row>
    <row r="528" spans="1:5" ht="12.5" x14ac:dyDescent="0.25">
      <c r="A528" s="56"/>
      <c r="B528" s="56"/>
      <c r="C528" s="56"/>
      <c r="D528" s="56"/>
      <c r="E528" s="56"/>
    </row>
    <row r="529" spans="1:5" ht="12.5" x14ac:dyDescent="0.25">
      <c r="A529" s="56"/>
      <c r="B529" s="56"/>
      <c r="C529" s="56"/>
      <c r="D529" s="56"/>
      <c r="E529" s="56"/>
    </row>
    <row r="530" spans="1:5" ht="12.5" x14ac:dyDescent="0.25">
      <c r="A530" s="56"/>
      <c r="B530" s="56"/>
      <c r="C530" s="56"/>
      <c r="D530" s="56"/>
      <c r="E530" s="56"/>
    </row>
    <row r="531" spans="1:5" ht="12.5" x14ac:dyDescent="0.25">
      <c r="A531" s="56"/>
      <c r="B531" s="56"/>
      <c r="C531" s="56"/>
      <c r="D531" s="56"/>
      <c r="E531" s="56"/>
    </row>
    <row r="532" spans="1:5" ht="12.5" x14ac:dyDescent="0.25">
      <c r="A532" s="56"/>
      <c r="B532" s="56"/>
      <c r="C532" s="56"/>
      <c r="D532" s="56"/>
      <c r="E532" s="56"/>
    </row>
    <row r="533" spans="1:5" ht="12.5" x14ac:dyDescent="0.25">
      <c r="A533" s="56"/>
      <c r="B533" s="56"/>
      <c r="C533" s="56"/>
      <c r="D533" s="56"/>
      <c r="E533" s="56"/>
    </row>
    <row r="534" spans="1:5" ht="12.5" x14ac:dyDescent="0.25">
      <c r="A534" s="56"/>
      <c r="B534" s="56"/>
      <c r="C534" s="56"/>
      <c r="D534" s="56"/>
      <c r="E534" s="56"/>
    </row>
    <row r="535" spans="1:5" ht="12.5" x14ac:dyDescent="0.25">
      <c r="A535" s="56"/>
      <c r="B535" s="56"/>
      <c r="C535" s="56"/>
      <c r="D535" s="56"/>
      <c r="E535" s="56"/>
    </row>
    <row r="536" spans="1:5" ht="12.5" x14ac:dyDescent="0.25">
      <c r="A536" s="56"/>
      <c r="B536" s="56"/>
      <c r="C536" s="56"/>
      <c r="D536" s="56"/>
      <c r="E536" s="56"/>
    </row>
    <row r="537" spans="1:5" ht="12.5" x14ac:dyDescent="0.25">
      <c r="A537" s="56"/>
      <c r="B537" s="56"/>
      <c r="C537" s="56"/>
      <c r="D537" s="56"/>
      <c r="E537" s="56"/>
    </row>
    <row r="538" spans="1:5" ht="12.5" x14ac:dyDescent="0.25">
      <c r="A538" s="56"/>
      <c r="B538" s="56"/>
      <c r="C538" s="56"/>
      <c r="D538" s="56"/>
      <c r="E538" s="56"/>
    </row>
    <row r="539" spans="1:5" ht="12.5" x14ac:dyDescent="0.25">
      <c r="A539" s="56"/>
      <c r="B539" s="56"/>
      <c r="C539" s="56"/>
      <c r="D539" s="56"/>
      <c r="E539" s="56"/>
    </row>
    <row r="540" spans="1:5" ht="12.5" x14ac:dyDescent="0.25">
      <c r="A540" s="56"/>
      <c r="B540" s="56"/>
      <c r="C540" s="56"/>
      <c r="D540" s="56"/>
      <c r="E540" s="56"/>
    </row>
    <row r="541" spans="1:5" ht="12.5" x14ac:dyDescent="0.25">
      <c r="A541" s="56"/>
      <c r="B541" s="56"/>
      <c r="C541" s="56"/>
      <c r="D541" s="56"/>
      <c r="E541" s="56"/>
    </row>
    <row r="542" spans="1:5" ht="12.5" x14ac:dyDescent="0.25">
      <c r="A542" s="56"/>
      <c r="B542" s="56"/>
      <c r="C542" s="56"/>
      <c r="D542" s="56"/>
      <c r="E542" s="56"/>
    </row>
    <row r="543" spans="1:5" ht="12.5" x14ac:dyDescent="0.25">
      <c r="A543" s="56"/>
      <c r="B543" s="56"/>
      <c r="C543" s="56"/>
      <c r="D543" s="56"/>
      <c r="E543" s="56"/>
    </row>
    <row r="544" spans="1:5" ht="12.5" x14ac:dyDescent="0.25">
      <c r="A544" s="56"/>
      <c r="B544" s="56"/>
      <c r="C544" s="56"/>
      <c r="D544" s="56"/>
      <c r="E544" s="56"/>
    </row>
    <row r="545" spans="1:5" ht="12.5" x14ac:dyDescent="0.25">
      <c r="A545" s="56"/>
      <c r="B545" s="56"/>
      <c r="C545" s="56"/>
      <c r="D545" s="56"/>
      <c r="E545" s="56"/>
    </row>
    <row r="546" spans="1:5" ht="12.5" x14ac:dyDescent="0.25">
      <c r="A546" s="56"/>
      <c r="B546" s="56"/>
      <c r="C546" s="56"/>
      <c r="D546" s="56"/>
      <c r="E546" s="56"/>
    </row>
    <row r="547" spans="1:5" ht="12.5" x14ac:dyDescent="0.25">
      <c r="A547" s="56"/>
      <c r="B547" s="56"/>
      <c r="C547" s="56"/>
      <c r="D547" s="56"/>
      <c r="E547" s="56"/>
    </row>
    <row r="548" spans="1:5" ht="12.5" x14ac:dyDescent="0.25">
      <c r="A548" s="56"/>
      <c r="B548" s="56"/>
      <c r="C548" s="56"/>
      <c r="D548" s="56"/>
      <c r="E548" s="56"/>
    </row>
    <row r="549" spans="1:5" ht="12.5" x14ac:dyDescent="0.25">
      <c r="A549" s="56"/>
      <c r="B549" s="56"/>
      <c r="C549" s="56"/>
      <c r="D549" s="56"/>
      <c r="E549" s="56"/>
    </row>
    <row r="550" spans="1:5" ht="12.5" x14ac:dyDescent="0.25">
      <c r="A550" s="56"/>
      <c r="B550" s="56"/>
      <c r="C550" s="56"/>
      <c r="D550" s="56"/>
      <c r="E550" s="56"/>
    </row>
    <row r="551" spans="1:5" ht="12.5" x14ac:dyDescent="0.25">
      <c r="A551" s="56"/>
      <c r="B551" s="56"/>
      <c r="C551" s="56"/>
      <c r="D551" s="56"/>
      <c r="E551" s="56"/>
    </row>
    <row r="552" spans="1:5" ht="12.5" x14ac:dyDescent="0.25">
      <c r="A552" s="56"/>
      <c r="B552" s="56"/>
      <c r="C552" s="56"/>
      <c r="D552" s="56"/>
      <c r="E552" s="56"/>
    </row>
    <row r="553" spans="1:5" ht="12.5" x14ac:dyDescent="0.25">
      <c r="A553" s="56"/>
      <c r="B553" s="56"/>
      <c r="C553" s="56"/>
      <c r="D553" s="56"/>
      <c r="E553" s="56"/>
    </row>
    <row r="554" spans="1:5" ht="12.5" x14ac:dyDescent="0.25">
      <c r="A554" s="56"/>
      <c r="B554" s="56"/>
      <c r="C554" s="56"/>
      <c r="D554" s="56"/>
      <c r="E554" s="56"/>
    </row>
    <row r="555" spans="1:5" ht="12.5" x14ac:dyDescent="0.25">
      <c r="A555" s="56"/>
      <c r="B555" s="56"/>
      <c r="C555" s="56"/>
      <c r="D555" s="56"/>
      <c r="E555" s="56"/>
    </row>
    <row r="556" spans="1:5" ht="12.5" x14ac:dyDescent="0.25">
      <c r="A556" s="56"/>
      <c r="B556" s="56"/>
      <c r="C556" s="56"/>
      <c r="D556" s="56"/>
      <c r="E556" s="56"/>
    </row>
    <row r="557" spans="1:5" ht="12.5" x14ac:dyDescent="0.25">
      <c r="A557" s="56"/>
      <c r="B557" s="56"/>
      <c r="C557" s="56"/>
      <c r="D557" s="56"/>
      <c r="E557" s="56"/>
    </row>
    <row r="558" spans="1:5" ht="12.5" x14ac:dyDescent="0.25">
      <c r="A558" s="56"/>
      <c r="B558" s="56"/>
      <c r="C558" s="56"/>
      <c r="D558" s="56"/>
      <c r="E558" s="56"/>
    </row>
    <row r="559" spans="1:5" ht="12.5" x14ac:dyDescent="0.25">
      <c r="A559" s="56"/>
      <c r="B559" s="56"/>
      <c r="C559" s="56"/>
      <c r="D559" s="56"/>
      <c r="E559" s="56"/>
    </row>
    <row r="560" spans="1:5" ht="12.5" x14ac:dyDescent="0.25">
      <c r="A560" s="56"/>
      <c r="B560" s="56"/>
      <c r="C560" s="56"/>
      <c r="D560" s="56"/>
      <c r="E560" s="56"/>
    </row>
    <row r="561" spans="1:5" ht="12.5" x14ac:dyDescent="0.25">
      <c r="A561" s="56"/>
      <c r="B561" s="56"/>
      <c r="C561" s="56"/>
      <c r="D561" s="56"/>
      <c r="E561" s="56"/>
    </row>
    <row r="562" spans="1:5" ht="12.5" x14ac:dyDescent="0.25">
      <c r="A562" s="56"/>
      <c r="B562" s="56"/>
      <c r="C562" s="56"/>
      <c r="D562" s="56"/>
      <c r="E562" s="56"/>
    </row>
    <row r="563" spans="1:5" ht="12.5" x14ac:dyDescent="0.25">
      <c r="A563" s="56"/>
      <c r="B563" s="56"/>
      <c r="C563" s="56"/>
      <c r="D563" s="56"/>
      <c r="E563" s="56"/>
    </row>
    <row r="564" spans="1:5" ht="12.5" x14ac:dyDescent="0.25">
      <c r="A564" s="56"/>
      <c r="B564" s="56"/>
      <c r="C564" s="56"/>
      <c r="D564" s="56"/>
      <c r="E564" s="56"/>
    </row>
    <row r="565" spans="1:5" ht="12.5" x14ac:dyDescent="0.25">
      <c r="A565" s="56"/>
      <c r="B565" s="56"/>
      <c r="C565" s="56"/>
      <c r="D565" s="56"/>
      <c r="E565" s="56"/>
    </row>
    <row r="566" spans="1:5" ht="12.5" x14ac:dyDescent="0.25">
      <c r="A566" s="56"/>
      <c r="B566" s="56"/>
      <c r="C566" s="56"/>
      <c r="D566" s="56"/>
      <c r="E566" s="56"/>
    </row>
    <row r="567" spans="1:5" ht="12.5" x14ac:dyDescent="0.25">
      <c r="A567" s="56"/>
      <c r="B567" s="56"/>
      <c r="C567" s="56"/>
      <c r="D567" s="56"/>
      <c r="E567" s="56"/>
    </row>
    <row r="568" spans="1:5" ht="12.5" x14ac:dyDescent="0.25">
      <c r="A568" s="56"/>
      <c r="B568" s="56"/>
      <c r="C568" s="56"/>
      <c r="D568" s="56"/>
      <c r="E568" s="56"/>
    </row>
    <row r="569" spans="1:5" ht="12.5" x14ac:dyDescent="0.25">
      <c r="A569" s="56"/>
      <c r="B569" s="56"/>
      <c r="C569" s="56"/>
      <c r="D569" s="56"/>
      <c r="E569" s="56"/>
    </row>
    <row r="570" spans="1:5" ht="12.5" x14ac:dyDescent="0.25">
      <c r="A570" s="56"/>
      <c r="B570" s="56"/>
      <c r="C570" s="56"/>
      <c r="D570" s="56"/>
      <c r="E570" s="56"/>
    </row>
    <row r="571" spans="1:5" ht="12.5" x14ac:dyDescent="0.25">
      <c r="A571" s="56"/>
      <c r="B571" s="56"/>
      <c r="C571" s="56"/>
      <c r="D571" s="56"/>
      <c r="E571" s="56"/>
    </row>
    <row r="572" spans="1:5" ht="12.5" x14ac:dyDescent="0.25">
      <c r="A572" s="56"/>
      <c r="B572" s="56"/>
      <c r="C572" s="56"/>
      <c r="D572" s="56"/>
      <c r="E572" s="56"/>
    </row>
    <row r="573" spans="1:5" ht="12.5" x14ac:dyDescent="0.25">
      <c r="A573" s="56"/>
      <c r="B573" s="56"/>
      <c r="C573" s="56"/>
      <c r="D573" s="56"/>
      <c r="E573" s="56"/>
    </row>
    <row r="574" spans="1:5" ht="12.5" x14ac:dyDescent="0.25">
      <c r="A574" s="56"/>
      <c r="B574" s="56"/>
      <c r="C574" s="56"/>
      <c r="D574" s="56"/>
      <c r="E574" s="56"/>
    </row>
    <row r="575" spans="1:5" ht="12.5" x14ac:dyDescent="0.25">
      <c r="A575" s="56"/>
      <c r="B575" s="56"/>
      <c r="C575" s="56"/>
      <c r="D575" s="56"/>
      <c r="E575" s="56"/>
    </row>
    <row r="576" spans="1:5" ht="12.5" x14ac:dyDescent="0.25">
      <c r="A576" s="56"/>
      <c r="B576" s="56"/>
      <c r="C576" s="56"/>
      <c r="D576" s="56"/>
      <c r="E576" s="56"/>
    </row>
    <row r="577" spans="1:5" ht="12.5" x14ac:dyDescent="0.25">
      <c r="A577" s="56"/>
      <c r="B577" s="56"/>
      <c r="C577" s="56"/>
      <c r="D577" s="56"/>
      <c r="E577" s="56"/>
    </row>
    <row r="578" spans="1:5" ht="12.5" x14ac:dyDescent="0.25">
      <c r="A578" s="56"/>
      <c r="B578" s="56"/>
      <c r="C578" s="56"/>
      <c r="D578" s="56"/>
      <c r="E578" s="56"/>
    </row>
    <row r="579" spans="1:5" ht="12.5" x14ac:dyDescent="0.25">
      <c r="A579" s="56"/>
      <c r="B579" s="56"/>
      <c r="C579" s="56"/>
      <c r="D579" s="56"/>
      <c r="E579" s="56"/>
    </row>
    <row r="580" spans="1:5" ht="12.5" x14ac:dyDescent="0.25">
      <c r="A580" s="56"/>
      <c r="B580" s="56"/>
      <c r="C580" s="56"/>
      <c r="D580" s="56"/>
      <c r="E580" s="56"/>
    </row>
    <row r="581" spans="1:5" ht="12.5" x14ac:dyDescent="0.25">
      <c r="A581" s="56"/>
      <c r="B581" s="56"/>
      <c r="C581" s="56"/>
      <c r="D581" s="56"/>
      <c r="E581" s="56"/>
    </row>
    <row r="582" spans="1:5" ht="12.5" x14ac:dyDescent="0.25">
      <c r="A582" s="56"/>
      <c r="B582" s="56"/>
      <c r="C582" s="56"/>
      <c r="D582" s="56"/>
      <c r="E582" s="56"/>
    </row>
    <row r="583" spans="1:5" ht="12.5" x14ac:dyDescent="0.25">
      <c r="A583" s="56"/>
      <c r="B583" s="56"/>
      <c r="C583" s="56"/>
      <c r="D583" s="56"/>
      <c r="E583" s="56"/>
    </row>
    <row r="584" spans="1:5" ht="12.5" x14ac:dyDescent="0.25">
      <c r="A584" s="56"/>
      <c r="B584" s="56"/>
      <c r="C584" s="56"/>
      <c r="D584" s="56"/>
      <c r="E584" s="56"/>
    </row>
    <row r="585" spans="1:5" ht="12.5" x14ac:dyDescent="0.25">
      <c r="A585" s="56"/>
      <c r="B585" s="56"/>
      <c r="C585" s="56"/>
      <c r="D585" s="56"/>
      <c r="E585" s="56"/>
    </row>
    <row r="586" spans="1:5" ht="12.5" x14ac:dyDescent="0.25">
      <c r="A586" s="56"/>
      <c r="B586" s="56"/>
      <c r="C586" s="56"/>
      <c r="D586" s="56"/>
      <c r="E586" s="56"/>
    </row>
    <row r="587" spans="1:5" ht="12.5" x14ac:dyDescent="0.25">
      <c r="A587" s="56"/>
      <c r="B587" s="56"/>
      <c r="C587" s="56"/>
      <c r="D587" s="56"/>
      <c r="E587" s="56"/>
    </row>
    <row r="588" spans="1:5" ht="12.5" x14ac:dyDescent="0.25">
      <c r="A588" s="56"/>
      <c r="B588" s="56"/>
      <c r="C588" s="56"/>
      <c r="D588" s="56"/>
      <c r="E588" s="56"/>
    </row>
    <row r="589" spans="1:5" ht="12.5" x14ac:dyDescent="0.25">
      <c r="A589" s="56"/>
      <c r="B589" s="56"/>
      <c r="C589" s="56"/>
      <c r="D589" s="56"/>
      <c r="E589" s="56"/>
    </row>
    <row r="590" spans="1:5" ht="12.5" x14ac:dyDescent="0.25">
      <c r="A590" s="56"/>
      <c r="B590" s="56"/>
      <c r="C590" s="56"/>
      <c r="D590" s="56"/>
      <c r="E590" s="56"/>
    </row>
    <row r="591" spans="1:5" ht="12.5" x14ac:dyDescent="0.25">
      <c r="A591" s="56"/>
      <c r="B591" s="56"/>
      <c r="C591" s="56"/>
      <c r="D591" s="56"/>
      <c r="E591" s="56"/>
    </row>
    <row r="592" spans="1:5" ht="12.5" x14ac:dyDescent="0.25">
      <c r="A592" s="56"/>
      <c r="B592" s="56"/>
      <c r="C592" s="56"/>
      <c r="D592" s="56"/>
      <c r="E592" s="56"/>
    </row>
    <row r="593" spans="1:5" ht="12.5" x14ac:dyDescent="0.25">
      <c r="A593" s="56"/>
      <c r="B593" s="56"/>
      <c r="C593" s="56"/>
      <c r="D593" s="56"/>
      <c r="E593" s="56"/>
    </row>
    <row r="594" spans="1:5" ht="12.5" x14ac:dyDescent="0.25">
      <c r="A594" s="56"/>
      <c r="B594" s="56"/>
      <c r="C594" s="56"/>
      <c r="D594" s="56"/>
      <c r="E594" s="56"/>
    </row>
    <row r="595" spans="1:5" ht="12.5" x14ac:dyDescent="0.25">
      <c r="A595" s="56"/>
      <c r="B595" s="56"/>
      <c r="C595" s="56"/>
      <c r="D595" s="56"/>
      <c r="E595" s="56"/>
    </row>
    <row r="596" spans="1:5" ht="12.5" x14ac:dyDescent="0.25">
      <c r="A596" s="56"/>
      <c r="B596" s="56"/>
      <c r="C596" s="56"/>
      <c r="D596" s="56"/>
      <c r="E596" s="56"/>
    </row>
    <row r="597" spans="1:5" ht="12.5" x14ac:dyDescent="0.25">
      <c r="A597" s="56"/>
      <c r="B597" s="56"/>
      <c r="C597" s="56"/>
      <c r="D597" s="56"/>
      <c r="E597" s="56"/>
    </row>
    <row r="598" spans="1:5" ht="12.5" x14ac:dyDescent="0.25">
      <c r="A598" s="56"/>
      <c r="B598" s="56"/>
      <c r="C598" s="56"/>
      <c r="D598" s="56"/>
      <c r="E598" s="56"/>
    </row>
    <row r="599" spans="1:5" ht="12.5" x14ac:dyDescent="0.25">
      <c r="A599" s="56"/>
      <c r="B599" s="56"/>
      <c r="C599" s="56"/>
      <c r="D599" s="56"/>
      <c r="E599" s="56"/>
    </row>
    <row r="600" spans="1:5" ht="12.5" x14ac:dyDescent="0.25">
      <c r="A600" s="56"/>
      <c r="B600" s="56"/>
      <c r="C600" s="56"/>
      <c r="D600" s="56"/>
      <c r="E600" s="56"/>
    </row>
    <row r="601" spans="1:5" ht="12.5" x14ac:dyDescent="0.25">
      <c r="A601" s="56"/>
      <c r="B601" s="56"/>
      <c r="C601" s="56"/>
      <c r="D601" s="56"/>
      <c r="E601" s="56"/>
    </row>
    <row r="602" spans="1:5" ht="12.5" x14ac:dyDescent="0.25">
      <c r="A602" s="56"/>
      <c r="B602" s="56"/>
      <c r="C602" s="56"/>
      <c r="D602" s="56"/>
      <c r="E602" s="56"/>
    </row>
    <row r="603" spans="1:5" ht="12.5" x14ac:dyDescent="0.25">
      <c r="A603" s="56"/>
      <c r="B603" s="56"/>
      <c r="C603" s="56"/>
      <c r="D603" s="56"/>
      <c r="E603" s="56"/>
    </row>
    <row r="604" spans="1:5" ht="12.5" x14ac:dyDescent="0.25">
      <c r="A604" s="56"/>
      <c r="B604" s="56"/>
      <c r="C604" s="56"/>
      <c r="D604" s="56"/>
      <c r="E604" s="56"/>
    </row>
    <row r="605" spans="1:5" ht="12.5" x14ac:dyDescent="0.25">
      <c r="A605" s="56"/>
      <c r="B605" s="56"/>
      <c r="C605" s="56"/>
      <c r="D605" s="56"/>
      <c r="E605" s="56"/>
    </row>
    <row r="606" spans="1:5" ht="12.5" x14ac:dyDescent="0.25">
      <c r="A606" s="56"/>
      <c r="B606" s="56"/>
      <c r="C606" s="56"/>
      <c r="D606" s="56"/>
      <c r="E606" s="56"/>
    </row>
    <row r="607" spans="1:5" ht="12.5" x14ac:dyDescent="0.25">
      <c r="A607" s="56"/>
      <c r="B607" s="56"/>
      <c r="C607" s="56"/>
      <c r="D607" s="56"/>
      <c r="E607" s="56"/>
    </row>
    <row r="608" spans="1:5" ht="12.5" x14ac:dyDescent="0.25">
      <c r="A608" s="56"/>
      <c r="B608" s="56"/>
      <c r="C608" s="56"/>
      <c r="D608" s="56"/>
      <c r="E608" s="56"/>
    </row>
    <row r="609" spans="1:5" ht="12.5" x14ac:dyDescent="0.25">
      <c r="A609" s="56"/>
      <c r="B609" s="56"/>
      <c r="C609" s="56"/>
      <c r="D609" s="56"/>
      <c r="E609" s="56"/>
    </row>
    <row r="610" spans="1:5" ht="12.5" x14ac:dyDescent="0.25">
      <c r="A610" s="56"/>
      <c r="B610" s="56"/>
      <c r="C610" s="56"/>
      <c r="D610" s="56"/>
      <c r="E610" s="56"/>
    </row>
    <row r="611" spans="1:5" ht="12.5" x14ac:dyDescent="0.25">
      <c r="A611" s="56"/>
      <c r="B611" s="56"/>
      <c r="C611" s="56"/>
      <c r="D611" s="56"/>
      <c r="E611" s="56"/>
    </row>
    <row r="612" spans="1:5" ht="12.5" x14ac:dyDescent="0.25">
      <c r="A612" s="56"/>
      <c r="B612" s="56"/>
      <c r="C612" s="56"/>
      <c r="D612" s="56"/>
      <c r="E612" s="56"/>
    </row>
    <row r="613" spans="1:5" ht="12.5" x14ac:dyDescent="0.25">
      <c r="A613" s="56"/>
      <c r="B613" s="56"/>
      <c r="C613" s="56"/>
      <c r="D613" s="56"/>
      <c r="E613" s="56"/>
    </row>
    <row r="614" spans="1:5" ht="12.5" x14ac:dyDescent="0.25">
      <c r="A614" s="56"/>
      <c r="B614" s="56"/>
      <c r="C614" s="56"/>
      <c r="D614" s="56"/>
      <c r="E614" s="56"/>
    </row>
    <row r="615" spans="1:5" ht="12.5" x14ac:dyDescent="0.25">
      <c r="A615" s="56"/>
      <c r="B615" s="56"/>
      <c r="C615" s="56"/>
      <c r="D615" s="56"/>
      <c r="E615" s="56"/>
    </row>
    <row r="616" spans="1:5" ht="12.5" x14ac:dyDescent="0.25">
      <c r="A616" s="56"/>
      <c r="B616" s="56"/>
      <c r="C616" s="56"/>
      <c r="D616" s="56"/>
      <c r="E616" s="56"/>
    </row>
    <row r="617" spans="1:5" ht="12.5" x14ac:dyDescent="0.25">
      <c r="A617" s="56"/>
      <c r="B617" s="56"/>
      <c r="C617" s="56"/>
      <c r="D617" s="56"/>
      <c r="E617" s="56"/>
    </row>
    <row r="618" spans="1:5" ht="12.5" x14ac:dyDescent="0.25">
      <c r="A618" s="56"/>
      <c r="B618" s="56"/>
      <c r="C618" s="56"/>
      <c r="D618" s="56"/>
      <c r="E618" s="56"/>
    </row>
    <row r="619" spans="1:5" ht="12.5" x14ac:dyDescent="0.25">
      <c r="A619" s="56"/>
      <c r="B619" s="56"/>
      <c r="C619" s="56"/>
      <c r="D619" s="56"/>
      <c r="E619" s="56"/>
    </row>
    <row r="620" spans="1:5" ht="12.5" x14ac:dyDescent="0.25">
      <c r="A620" s="56"/>
      <c r="B620" s="56"/>
      <c r="C620" s="56"/>
      <c r="D620" s="56"/>
      <c r="E620" s="56"/>
    </row>
    <row r="621" spans="1:5" ht="12.5" x14ac:dyDescent="0.25">
      <c r="A621" s="56"/>
      <c r="B621" s="56"/>
      <c r="C621" s="56"/>
      <c r="D621" s="56"/>
      <c r="E621" s="56"/>
    </row>
    <row r="622" spans="1:5" ht="12.5" x14ac:dyDescent="0.25">
      <c r="A622" s="56"/>
      <c r="B622" s="56"/>
      <c r="C622" s="56"/>
      <c r="D622" s="56"/>
      <c r="E622" s="56"/>
    </row>
    <row r="623" spans="1:5" ht="12.5" x14ac:dyDescent="0.25">
      <c r="A623" s="56"/>
      <c r="B623" s="56"/>
      <c r="C623" s="56"/>
      <c r="D623" s="56"/>
      <c r="E623" s="56"/>
    </row>
    <row r="624" spans="1:5" ht="12.5" x14ac:dyDescent="0.25">
      <c r="A624" s="56"/>
      <c r="B624" s="56"/>
      <c r="C624" s="56"/>
      <c r="D624" s="56"/>
      <c r="E624" s="56"/>
    </row>
    <row r="625" spans="1:5" ht="12.5" x14ac:dyDescent="0.25">
      <c r="A625" s="56"/>
      <c r="B625" s="56"/>
      <c r="C625" s="56"/>
      <c r="D625" s="56"/>
      <c r="E625" s="56"/>
    </row>
    <row r="626" spans="1:5" ht="12.5" x14ac:dyDescent="0.25">
      <c r="A626" s="56"/>
      <c r="B626" s="56"/>
      <c r="C626" s="56"/>
      <c r="D626" s="56"/>
      <c r="E626" s="56"/>
    </row>
    <row r="627" spans="1:5" ht="12.5" x14ac:dyDescent="0.25">
      <c r="A627" s="56"/>
      <c r="B627" s="56"/>
      <c r="C627" s="56"/>
      <c r="D627" s="56"/>
      <c r="E627" s="56"/>
    </row>
    <row r="628" spans="1:5" ht="12.5" x14ac:dyDescent="0.25">
      <c r="A628" s="56"/>
      <c r="B628" s="56"/>
      <c r="C628" s="56"/>
      <c r="D628" s="56"/>
      <c r="E628" s="56"/>
    </row>
    <row r="629" spans="1:5" ht="12.5" x14ac:dyDescent="0.25">
      <c r="A629" s="56"/>
      <c r="B629" s="56"/>
      <c r="C629" s="56"/>
      <c r="D629" s="56"/>
      <c r="E629" s="56"/>
    </row>
    <row r="630" spans="1:5" ht="12.5" x14ac:dyDescent="0.25">
      <c r="A630" s="56"/>
      <c r="B630" s="56"/>
      <c r="C630" s="56"/>
      <c r="D630" s="56"/>
      <c r="E630" s="56"/>
    </row>
    <row r="631" spans="1:5" ht="12.5" x14ac:dyDescent="0.25">
      <c r="A631" s="56"/>
      <c r="B631" s="56"/>
      <c r="C631" s="56"/>
      <c r="D631" s="56"/>
      <c r="E631" s="56"/>
    </row>
    <row r="632" spans="1:5" ht="12.5" x14ac:dyDescent="0.25">
      <c r="A632" s="56"/>
      <c r="B632" s="56"/>
      <c r="C632" s="56"/>
      <c r="D632" s="56"/>
      <c r="E632" s="56"/>
    </row>
    <row r="633" spans="1:5" ht="12.5" x14ac:dyDescent="0.25">
      <c r="A633" s="56"/>
      <c r="B633" s="56"/>
      <c r="C633" s="56"/>
      <c r="D633" s="56"/>
      <c r="E633" s="56"/>
    </row>
    <row r="634" spans="1:5" ht="12.5" x14ac:dyDescent="0.25">
      <c r="A634" s="56"/>
      <c r="B634" s="56"/>
      <c r="C634" s="56"/>
      <c r="D634" s="56"/>
      <c r="E634" s="56"/>
    </row>
    <row r="635" spans="1:5" ht="12.5" x14ac:dyDescent="0.25">
      <c r="A635" s="56"/>
      <c r="B635" s="56"/>
      <c r="C635" s="56"/>
      <c r="D635" s="56"/>
      <c r="E635" s="56"/>
    </row>
    <row r="636" spans="1:5" ht="12.5" x14ac:dyDescent="0.25">
      <c r="A636" s="56"/>
      <c r="B636" s="56"/>
      <c r="C636" s="56"/>
      <c r="D636" s="56"/>
      <c r="E636" s="56"/>
    </row>
    <row r="637" spans="1:5" ht="12.5" x14ac:dyDescent="0.25">
      <c r="A637" s="56"/>
      <c r="B637" s="56"/>
      <c r="C637" s="56"/>
      <c r="D637" s="56"/>
      <c r="E637" s="56"/>
    </row>
    <row r="638" spans="1:5" ht="12.5" x14ac:dyDescent="0.25">
      <c r="A638" s="56"/>
      <c r="B638" s="56"/>
      <c r="C638" s="56"/>
      <c r="D638" s="56"/>
      <c r="E638" s="56"/>
    </row>
    <row r="639" spans="1:5" ht="12.5" x14ac:dyDescent="0.25">
      <c r="A639" s="56"/>
      <c r="B639" s="56"/>
      <c r="C639" s="56"/>
      <c r="D639" s="56"/>
      <c r="E639" s="56"/>
    </row>
    <row r="640" spans="1:5" ht="12.5" x14ac:dyDescent="0.25">
      <c r="A640" s="56"/>
      <c r="B640" s="56"/>
      <c r="C640" s="56"/>
      <c r="D640" s="56"/>
      <c r="E640" s="56"/>
    </row>
    <row r="641" spans="1:5" ht="12.5" x14ac:dyDescent="0.25">
      <c r="A641" s="56"/>
      <c r="B641" s="56"/>
      <c r="C641" s="56"/>
      <c r="D641" s="56"/>
      <c r="E641" s="56"/>
    </row>
    <row r="642" spans="1:5" ht="12.5" x14ac:dyDescent="0.25">
      <c r="A642" s="56"/>
      <c r="B642" s="56"/>
      <c r="C642" s="56"/>
      <c r="D642" s="56"/>
      <c r="E642" s="56"/>
    </row>
    <row r="643" spans="1:5" ht="12.5" x14ac:dyDescent="0.25">
      <c r="A643" s="56"/>
      <c r="B643" s="56"/>
      <c r="C643" s="56"/>
      <c r="D643" s="56"/>
      <c r="E643" s="56"/>
    </row>
    <row r="644" spans="1:5" ht="12.5" x14ac:dyDescent="0.25">
      <c r="A644" s="56"/>
      <c r="B644" s="56"/>
      <c r="C644" s="56"/>
      <c r="D644" s="56"/>
      <c r="E644" s="56"/>
    </row>
    <row r="645" spans="1:5" ht="12.5" x14ac:dyDescent="0.25">
      <c r="A645" s="56"/>
      <c r="B645" s="56"/>
      <c r="C645" s="56"/>
      <c r="D645" s="56"/>
      <c r="E645" s="56"/>
    </row>
    <row r="646" spans="1:5" ht="12.5" x14ac:dyDescent="0.25">
      <c r="A646" s="56"/>
      <c r="B646" s="56"/>
      <c r="C646" s="56"/>
      <c r="D646" s="56"/>
      <c r="E646" s="56"/>
    </row>
    <row r="647" spans="1:5" ht="12.5" x14ac:dyDescent="0.25">
      <c r="A647" s="56"/>
      <c r="B647" s="56"/>
      <c r="C647" s="56"/>
      <c r="D647" s="56"/>
      <c r="E647" s="56"/>
    </row>
    <row r="648" spans="1:5" ht="12.5" x14ac:dyDescent="0.25">
      <c r="A648" s="56"/>
      <c r="B648" s="56"/>
      <c r="C648" s="56"/>
      <c r="D648" s="56"/>
      <c r="E648" s="56"/>
    </row>
    <row r="649" spans="1:5" ht="12.5" x14ac:dyDescent="0.25">
      <c r="A649" s="56"/>
      <c r="B649" s="56"/>
      <c r="C649" s="56"/>
      <c r="D649" s="56"/>
      <c r="E649" s="56"/>
    </row>
    <row r="650" spans="1:5" ht="12.5" x14ac:dyDescent="0.25">
      <c r="A650" s="56"/>
      <c r="B650" s="56"/>
      <c r="C650" s="56"/>
      <c r="D650" s="56"/>
      <c r="E650" s="56"/>
    </row>
    <row r="651" spans="1:5" ht="12.5" x14ac:dyDescent="0.25">
      <c r="A651" s="56"/>
      <c r="B651" s="56"/>
      <c r="C651" s="56"/>
      <c r="D651" s="56"/>
      <c r="E651" s="56"/>
    </row>
    <row r="652" spans="1:5" ht="12.5" x14ac:dyDescent="0.25">
      <c r="A652" s="56"/>
      <c r="B652" s="56"/>
      <c r="C652" s="56"/>
      <c r="D652" s="56"/>
      <c r="E652" s="56"/>
    </row>
    <row r="653" spans="1:5" ht="12.5" x14ac:dyDescent="0.25">
      <c r="A653" s="56"/>
      <c r="B653" s="56"/>
      <c r="C653" s="56"/>
      <c r="D653" s="56"/>
      <c r="E653" s="56"/>
    </row>
    <row r="654" spans="1:5" ht="12.5" x14ac:dyDescent="0.25">
      <c r="A654" s="56"/>
      <c r="B654" s="56"/>
      <c r="C654" s="56"/>
      <c r="D654" s="56"/>
      <c r="E654" s="56"/>
    </row>
    <row r="655" spans="1:5" ht="12.5" x14ac:dyDescent="0.25">
      <c r="A655" s="56"/>
      <c r="B655" s="56"/>
      <c r="C655" s="56"/>
      <c r="D655" s="56"/>
      <c r="E655" s="56"/>
    </row>
    <row r="656" spans="1:5" ht="12.5" x14ac:dyDescent="0.25">
      <c r="A656" s="56"/>
      <c r="B656" s="56"/>
      <c r="C656" s="56"/>
      <c r="D656" s="56"/>
      <c r="E656" s="56"/>
    </row>
    <row r="657" spans="1:5" ht="12.5" x14ac:dyDescent="0.25">
      <c r="A657" s="56"/>
      <c r="B657" s="56"/>
      <c r="C657" s="56"/>
      <c r="D657" s="56"/>
      <c r="E657" s="56"/>
    </row>
    <row r="658" spans="1:5" ht="12.5" x14ac:dyDescent="0.25">
      <c r="A658" s="56"/>
      <c r="B658" s="56"/>
      <c r="C658" s="56"/>
      <c r="D658" s="56"/>
      <c r="E658" s="56"/>
    </row>
    <row r="659" spans="1:5" ht="12.5" x14ac:dyDescent="0.25">
      <c r="A659" s="56"/>
      <c r="B659" s="56"/>
      <c r="C659" s="56"/>
      <c r="D659" s="56"/>
      <c r="E659" s="56"/>
    </row>
    <row r="660" spans="1:5" ht="12.5" x14ac:dyDescent="0.25">
      <c r="A660" s="56"/>
      <c r="B660" s="56"/>
      <c r="C660" s="56"/>
      <c r="D660" s="56"/>
      <c r="E660" s="56"/>
    </row>
    <row r="661" spans="1:5" ht="12.5" x14ac:dyDescent="0.25">
      <c r="A661" s="56"/>
      <c r="B661" s="56"/>
      <c r="C661" s="56"/>
      <c r="D661" s="56"/>
      <c r="E661" s="56"/>
    </row>
    <row r="662" spans="1:5" ht="12.5" x14ac:dyDescent="0.25">
      <c r="A662" s="56"/>
      <c r="B662" s="56"/>
      <c r="C662" s="56"/>
      <c r="D662" s="56"/>
      <c r="E662" s="56"/>
    </row>
    <row r="663" spans="1:5" ht="12.5" x14ac:dyDescent="0.25">
      <c r="A663" s="56"/>
      <c r="B663" s="56"/>
      <c r="C663" s="56"/>
      <c r="D663" s="56"/>
      <c r="E663" s="56"/>
    </row>
    <row r="664" spans="1:5" ht="12.5" x14ac:dyDescent="0.25">
      <c r="A664" s="56"/>
      <c r="B664" s="56"/>
      <c r="C664" s="56"/>
      <c r="D664" s="56"/>
      <c r="E664" s="56"/>
    </row>
    <row r="665" spans="1:5" ht="12.5" x14ac:dyDescent="0.25">
      <c r="A665" s="56"/>
      <c r="B665" s="56"/>
      <c r="C665" s="56"/>
      <c r="D665" s="56"/>
      <c r="E665" s="56"/>
    </row>
    <row r="666" spans="1:5" ht="12.5" x14ac:dyDescent="0.25">
      <c r="A666" s="56"/>
      <c r="B666" s="56"/>
      <c r="C666" s="56"/>
      <c r="D666" s="56"/>
      <c r="E666" s="56"/>
    </row>
    <row r="667" spans="1:5" ht="12.5" x14ac:dyDescent="0.25">
      <c r="A667" s="56"/>
      <c r="B667" s="56"/>
      <c r="C667" s="56"/>
      <c r="D667" s="56"/>
      <c r="E667" s="56"/>
    </row>
    <row r="668" spans="1:5" ht="12.5" x14ac:dyDescent="0.25">
      <c r="A668" s="56"/>
      <c r="B668" s="56"/>
      <c r="C668" s="56"/>
      <c r="D668" s="56"/>
      <c r="E668" s="56"/>
    </row>
    <row r="669" spans="1:5" ht="12.5" x14ac:dyDescent="0.25">
      <c r="A669" s="56"/>
      <c r="B669" s="56"/>
      <c r="C669" s="56"/>
      <c r="D669" s="56"/>
      <c r="E669" s="56"/>
    </row>
    <row r="670" spans="1:5" ht="12.5" x14ac:dyDescent="0.25">
      <c r="A670" s="56"/>
      <c r="B670" s="56"/>
      <c r="C670" s="56"/>
      <c r="D670" s="56"/>
      <c r="E670" s="56"/>
    </row>
    <row r="671" spans="1:5" ht="12.5" x14ac:dyDescent="0.25">
      <c r="A671" s="56"/>
      <c r="B671" s="56"/>
      <c r="C671" s="56"/>
      <c r="D671" s="56"/>
      <c r="E671" s="56"/>
    </row>
    <row r="672" spans="1:5" ht="12.5" x14ac:dyDescent="0.25">
      <c r="A672" s="56"/>
      <c r="B672" s="56"/>
      <c r="C672" s="56"/>
      <c r="D672" s="56"/>
      <c r="E672" s="56"/>
    </row>
    <row r="673" spans="1:5" ht="12.5" x14ac:dyDescent="0.25">
      <c r="A673" s="56"/>
      <c r="B673" s="56"/>
      <c r="C673" s="56"/>
      <c r="D673" s="56"/>
      <c r="E673" s="56"/>
    </row>
    <row r="674" spans="1:5" ht="12.5" x14ac:dyDescent="0.25">
      <c r="A674" s="56"/>
      <c r="B674" s="56"/>
      <c r="C674" s="56"/>
      <c r="D674" s="56"/>
      <c r="E674" s="56"/>
    </row>
    <row r="675" spans="1:5" ht="12.5" x14ac:dyDescent="0.25">
      <c r="A675" s="56"/>
      <c r="B675" s="56"/>
      <c r="C675" s="56"/>
      <c r="D675" s="56"/>
      <c r="E675" s="56"/>
    </row>
    <row r="676" spans="1:5" ht="12.5" x14ac:dyDescent="0.25">
      <c r="A676" s="56"/>
      <c r="B676" s="56"/>
      <c r="C676" s="56"/>
      <c r="D676" s="56"/>
      <c r="E676" s="56"/>
    </row>
    <row r="677" spans="1:5" ht="12.5" x14ac:dyDescent="0.25">
      <c r="A677" s="56"/>
      <c r="B677" s="56"/>
      <c r="C677" s="56"/>
      <c r="D677" s="56"/>
      <c r="E677" s="56"/>
    </row>
    <row r="678" spans="1:5" ht="12.5" x14ac:dyDescent="0.25">
      <c r="A678" s="56"/>
      <c r="B678" s="56"/>
      <c r="C678" s="56"/>
      <c r="D678" s="56"/>
      <c r="E678" s="56"/>
    </row>
    <row r="679" spans="1:5" ht="12.5" x14ac:dyDescent="0.25">
      <c r="A679" s="56"/>
      <c r="B679" s="56"/>
      <c r="C679" s="56"/>
      <c r="D679" s="56"/>
      <c r="E679" s="56"/>
    </row>
    <row r="680" spans="1:5" ht="12.5" x14ac:dyDescent="0.25">
      <c r="A680" s="56"/>
      <c r="B680" s="56"/>
      <c r="C680" s="56"/>
      <c r="D680" s="56"/>
      <c r="E680" s="56"/>
    </row>
    <row r="681" spans="1:5" ht="12.5" x14ac:dyDescent="0.25">
      <c r="A681" s="56"/>
      <c r="B681" s="56"/>
      <c r="C681" s="56"/>
      <c r="D681" s="56"/>
      <c r="E681" s="56"/>
    </row>
    <row r="682" spans="1:5" ht="12.5" x14ac:dyDescent="0.25">
      <c r="A682" s="56"/>
      <c r="B682" s="56"/>
      <c r="C682" s="56"/>
      <c r="D682" s="56"/>
      <c r="E682" s="56"/>
    </row>
    <row r="683" spans="1:5" ht="12.5" x14ac:dyDescent="0.25">
      <c r="A683" s="56"/>
      <c r="B683" s="56"/>
      <c r="C683" s="56"/>
      <c r="D683" s="56"/>
      <c r="E683" s="56"/>
    </row>
    <row r="684" spans="1:5" ht="12.5" x14ac:dyDescent="0.25">
      <c r="A684" s="56"/>
      <c r="B684" s="56"/>
      <c r="C684" s="56"/>
      <c r="D684" s="56"/>
      <c r="E684" s="56"/>
    </row>
    <row r="685" spans="1:5" ht="12.5" x14ac:dyDescent="0.25">
      <c r="A685" s="56"/>
      <c r="B685" s="56"/>
      <c r="C685" s="56"/>
      <c r="D685" s="56"/>
      <c r="E685" s="56"/>
    </row>
    <row r="686" spans="1:5" ht="12.5" x14ac:dyDescent="0.25">
      <c r="A686" s="56"/>
      <c r="B686" s="56"/>
      <c r="C686" s="56"/>
      <c r="D686" s="56"/>
      <c r="E686" s="56"/>
    </row>
    <row r="687" spans="1:5" ht="12.5" x14ac:dyDescent="0.25">
      <c r="A687" s="56"/>
      <c r="B687" s="56"/>
      <c r="C687" s="56"/>
      <c r="D687" s="56"/>
      <c r="E687" s="56"/>
    </row>
    <row r="688" spans="1:5" ht="12.5" x14ac:dyDescent="0.25">
      <c r="A688" s="56"/>
      <c r="B688" s="56"/>
      <c r="C688" s="56"/>
      <c r="D688" s="56"/>
      <c r="E688" s="56"/>
    </row>
    <row r="689" spans="1:5" ht="12.5" x14ac:dyDescent="0.25">
      <c r="A689" s="56"/>
      <c r="B689" s="56"/>
      <c r="C689" s="56"/>
      <c r="D689" s="56"/>
      <c r="E689" s="56"/>
    </row>
    <row r="690" spans="1:5" ht="12.5" x14ac:dyDescent="0.25">
      <c r="A690" s="56"/>
      <c r="B690" s="56"/>
      <c r="C690" s="56"/>
      <c r="D690" s="56"/>
      <c r="E690" s="56"/>
    </row>
    <row r="691" spans="1:5" ht="12.5" x14ac:dyDescent="0.25">
      <c r="A691" s="56"/>
      <c r="B691" s="56"/>
      <c r="C691" s="56"/>
      <c r="D691" s="56"/>
      <c r="E691" s="56"/>
    </row>
    <row r="692" spans="1:5" ht="12.5" x14ac:dyDescent="0.25">
      <c r="A692" s="56"/>
      <c r="B692" s="56"/>
      <c r="C692" s="56"/>
      <c r="D692" s="56"/>
      <c r="E692" s="56"/>
    </row>
    <row r="693" spans="1:5" ht="12.5" x14ac:dyDescent="0.25">
      <c r="A693" s="56"/>
      <c r="B693" s="56"/>
      <c r="C693" s="56"/>
      <c r="D693" s="56"/>
      <c r="E693" s="56"/>
    </row>
    <row r="694" spans="1:5" ht="12.5" x14ac:dyDescent="0.25">
      <c r="A694" s="56"/>
      <c r="B694" s="56"/>
      <c r="C694" s="56"/>
      <c r="D694" s="56"/>
      <c r="E694" s="56"/>
    </row>
    <row r="695" spans="1:5" ht="12.5" x14ac:dyDescent="0.25">
      <c r="A695" s="56"/>
      <c r="B695" s="56"/>
      <c r="C695" s="56"/>
      <c r="D695" s="56"/>
      <c r="E695" s="56"/>
    </row>
    <row r="696" spans="1:5" ht="12.5" x14ac:dyDescent="0.25">
      <c r="A696" s="56"/>
      <c r="B696" s="56"/>
      <c r="C696" s="56"/>
      <c r="D696" s="56"/>
      <c r="E696" s="56"/>
    </row>
    <row r="697" spans="1:5" ht="12.5" x14ac:dyDescent="0.25">
      <c r="A697" s="56"/>
      <c r="B697" s="56"/>
      <c r="C697" s="56"/>
      <c r="D697" s="56"/>
      <c r="E697" s="56"/>
    </row>
    <row r="698" spans="1:5" ht="12.5" x14ac:dyDescent="0.25">
      <c r="A698" s="56"/>
      <c r="B698" s="56"/>
      <c r="C698" s="56"/>
      <c r="D698" s="56"/>
      <c r="E698" s="56"/>
    </row>
    <row r="699" spans="1:5" ht="12.5" x14ac:dyDescent="0.25">
      <c r="A699" s="56"/>
      <c r="B699" s="56"/>
      <c r="C699" s="56"/>
      <c r="D699" s="56"/>
      <c r="E699" s="56"/>
    </row>
    <row r="700" spans="1:5" ht="12.5" x14ac:dyDescent="0.25">
      <c r="A700" s="56"/>
      <c r="B700" s="56"/>
      <c r="C700" s="56"/>
      <c r="D700" s="56"/>
      <c r="E700" s="56"/>
    </row>
    <row r="701" spans="1:5" ht="12.5" x14ac:dyDescent="0.25">
      <c r="A701" s="56"/>
      <c r="B701" s="56"/>
      <c r="C701" s="56"/>
      <c r="D701" s="56"/>
      <c r="E701" s="56"/>
    </row>
    <row r="702" spans="1:5" ht="12.5" x14ac:dyDescent="0.25">
      <c r="A702" s="56"/>
      <c r="B702" s="56"/>
      <c r="C702" s="56"/>
      <c r="D702" s="56"/>
      <c r="E702" s="56"/>
    </row>
    <row r="703" spans="1:5" ht="12.5" x14ac:dyDescent="0.25">
      <c r="A703" s="56"/>
      <c r="B703" s="56"/>
      <c r="C703" s="56"/>
      <c r="D703" s="56"/>
      <c r="E703" s="56"/>
    </row>
    <row r="704" spans="1:5" ht="12.5" x14ac:dyDescent="0.25">
      <c r="A704" s="56"/>
      <c r="B704" s="56"/>
      <c r="C704" s="56"/>
      <c r="D704" s="56"/>
      <c r="E704" s="56"/>
    </row>
    <row r="705" spans="1:5" ht="12.5" x14ac:dyDescent="0.25">
      <c r="A705" s="56"/>
      <c r="B705" s="56"/>
      <c r="C705" s="56"/>
      <c r="D705" s="56"/>
      <c r="E705" s="56"/>
    </row>
    <row r="706" spans="1:5" ht="12.5" x14ac:dyDescent="0.25">
      <c r="A706" s="56"/>
      <c r="B706" s="56"/>
      <c r="C706" s="56"/>
      <c r="D706" s="56"/>
      <c r="E706" s="56"/>
    </row>
    <row r="707" spans="1:5" ht="12.5" x14ac:dyDescent="0.25">
      <c r="A707" s="56"/>
      <c r="B707" s="56"/>
      <c r="C707" s="56"/>
      <c r="D707" s="56"/>
      <c r="E707" s="56"/>
    </row>
    <row r="708" spans="1:5" ht="12.5" x14ac:dyDescent="0.25">
      <c r="A708" s="56"/>
      <c r="B708" s="56"/>
      <c r="C708" s="56"/>
      <c r="D708" s="56"/>
      <c r="E708" s="56"/>
    </row>
    <row r="709" spans="1:5" ht="12.5" x14ac:dyDescent="0.25">
      <c r="A709" s="56"/>
      <c r="B709" s="56"/>
      <c r="C709" s="56"/>
      <c r="D709" s="56"/>
      <c r="E709" s="56"/>
    </row>
    <row r="710" spans="1:5" ht="12.5" x14ac:dyDescent="0.25">
      <c r="A710" s="56"/>
      <c r="B710" s="56"/>
      <c r="C710" s="56"/>
      <c r="D710" s="56"/>
      <c r="E710" s="56"/>
    </row>
    <row r="711" spans="1:5" ht="12.5" x14ac:dyDescent="0.25">
      <c r="A711" s="56"/>
      <c r="B711" s="56"/>
      <c r="C711" s="56"/>
      <c r="D711" s="56"/>
      <c r="E711" s="56"/>
    </row>
    <row r="712" spans="1:5" ht="12.5" x14ac:dyDescent="0.25">
      <c r="A712" s="56"/>
      <c r="B712" s="56"/>
      <c r="C712" s="56"/>
      <c r="D712" s="56"/>
      <c r="E712" s="56"/>
    </row>
    <row r="713" spans="1:5" ht="12.5" x14ac:dyDescent="0.25">
      <c r="A713" s="56"/>
      <c r="B713" s="56"/>
      <c r="C713" s="56"/>
      <c r="D713" s="56"/>
      <c r="E713" s="56"/>
    </row>
    <row r="714" spans="1:5" ht="12.5" x14ac:dyDescent="0.25">
      <c r="A714" s="56"/>
      <c r="B714" s="56"/>
      <c r="C714" s="56"/>
      <c r="D714" s="56"/>
      <c r="E714" s="56"/>
    </row>
    <row r="715" spans="1:5" ht="12.5" x14ac:dyDescent="0.25">
      <c r="A715" s="56"/>
      <c r="B715" s="56"/>
      <c r="C715" s="56"/>
      <c r="D715" s="56"/>
      <c r="E715" s="56"/>
    </row>
    <row r="716" spans="1:5" ht="12.5" x14ac:dyDescent="0.25">
      <c r="A716" s="56"/>
      <c r="B716" s="56"/>
      <c r="C716" s="56"/>
      <c r="D716" s="56"/>
      <c r="E716" s="56"/>
    </row>
    <row r="717" spans="1:5" ht="12.5" x14ac:dyDescent="0.25">
      <c r="A717" s="56"/>
      <c r="B717" s="56"/>
      <c r="C717" s="56"/>
      <c r="D717" s="56"/>
      <c r="E717" s="56"/>
    </row>
    <row r="718" spans="1:5" ht="12.5" x14ac:dyDescent="0.25">
      <c r="A718" s="56"/>
      <c r="B718" s="56"/>
      <c r="C718" s="56"/>
      <c r="D718" s="56"/>
      <c r="E718" s="56"/>
    </row>
    <row r="719" spans="1:5" ht="12.5" x14ac:dyDescent="0.25">
      <c r="A719" s="56"/>
      <c r="B719" s="56"/>
      <c r="C719" s="56"/>
      <c r="D719" s="56"/>
      <c r="E719" s="56"/>
    </row>
    <row r="720" spans="1:5" ht="12.5" x14ac:dyDescent="0.25">
      <c r="A720" s="56"/>
      <c r="B720" s="56"/>
      <c r="C720" s="56"/>
      <c r="D720" s="56"/>
      <c r="E720" s="56"/>
    </row>
    <row r="721" spans="1:5" ht="12.5" x14ac:dyDescent="0.25">
      <c r="A721" s="56"/>
      <c r="B721" s="56"/>
      <c r="C721" s="56"/>
      <c r="D721" s="56"/>
      <c r="E721" s="56"/>
    </row>
    <row r="722" spans="1:5" ht="12.5" x14ac:dyDescent="0.25">
      <c r="A722" s="56"/>
      <c r="B722" s="56"/>
      <c r="C722" s="56"/>
      <c r="D722" s="56"/>
      <c r="E722" s="56"/>
    </row>
    <row r="723" spans="1:5" ht="12.5" x14ac:dyDescent="0.25">
      <c r="A723" s="56"/>
      <c r="B723" s="56"/>
      <c r="C723" s="56"/>
      <c r="D723" s="56"/>
      <c r="E723" s="56"/>
    </row>
    <row r="724" spans="1:5" ht="12.5" x14ac:dyDescent="0.25">
      <c r="A724" s="56"/>
      <c r="B724" s="56"/>
      <c r="C724" s="56"/>
      <c r="D724" s="56"/>
      <c r="E724" s="56"/>
    </row>
    <row r="725" spans="1:5" ht="12.5" x14ac:dyDescent="0.25">
      <c r="A725" s="56"/>
      <c r="B725" s="56"/>
      <c r="C725" s="56"/>
      <c r="D725" s="56"/>
      <c r="E725" s="56"/>
    </row>
    <row r="726" spans="1:5" ht="12.5" x14ac:dyDescent="0.25">
      <c r="A726" s="56"/>
      <c r="B726" s="56"/>
      <c r="C726" s="56"/>
      <c r="D726" s="56"/>
      <c r="E726" s="56"/>
    </row>
    <row r="727" spans="1:5" ht="12.5" x14ac:dyDescent="0.25">
      <c r="A727" s="56"/>
      <c r="B727" s="56"/>
      <c r="C727" s="56"/>
      <c r="D727" s="56"/>
      <c r="E727" s="56"/>
    </row>
    <row r="728" spans="1:5" ht="12.5" x14ac:dyDescent="0.25">
      <c r="A728" s="56"/>
      <c r="B728" s="56"/>
      <c r="C728" s="56"/>
      <c r="D728" s="56"/>
      <c r="E728" s="56"/>
    </row>
    <row r="729" spans="1:5" ht="12.5" x14ac:dyDescent="0.25">
      <c r="A729" s="56"/>
      <c r="B729" s="56"/>
      <c r="C729" s="56"/>
      <c r="D729" s="56"/>
      <c r="E729" s="56"/>
    </row>
    <row r="730" spans="1:5" ht="12.5" x14ac:dyDescent="0.25">
      <c r="A730" s="56"/>
      <c r="B730" s="56"/>
      <c r="C730" s="56"/>
      <c r="D730" s="56"/>
      <c r="E730" s="56"/>
    </row>
    <row r="731" spans="1:5" ht="12.5" x14ac:dyDescent="0.25">
      <c r="A731" s="56"/>
      <c r="B731" s="56"/>
      <c r="C731" s="56"/>
      <c r="D731" s="56"/>
      <c r="E731" s="56"/>
    </row>
    <row r="732" spans="1:5" ht="12.5" x14ac:dyDescent="0.25">
      <c r="A732" s="56"/>
      <c r="B732" s="56"/>
      <c r="C732" s="56"/>
      <c r="D732" s="56"/>
      <c r="E732" s="56"/>
    </row>
    <row r="733" spans="1:5" ht="12.5" x14ac:dyDescent="0.25">
      <c r="A733" s="56"/>
      <c r="B733" s="56"/>
      <c r="C733" s="56"/>
      <c r="D733" s="56"/>
      <c r="E733" s="56"/>
    </row>
    <row r="734" spans="1:5" ht="12.5" x14ac:dyDescent="0.25">
      <c r="A734" s="56"/>
      <c r="B734" s="56"/>
      <c r="C734" s="56"/>
      <c r="D734" s="56"/>
      <c r="E734" s="56"/>
    </row>
    <row r="735" spans="1:5" ht="12.5" x14ac:dyDescent="0.25">
      <c r="A735" s="56"/>
      <c r="B735" s="56"/>
      <c r="C735" s="56"/>
      <c r="D735" s="56"/>
      <c r="E735" s="56"/>
    </row>
    <row r="736" spans="1:5" ht="12.5" x14ac:dyDescent="0.25">
      <c r="A736" s="56"/>
      <c r="B736" s="56"/>
      <c r="C736" s="56"/>
      <c r="D736" s="56"/>
      <c r="E736" s="56"/>
    </row>
    <row r="737" spans="1:5" ht="12.5" x14ac:dyDescent="0.25">
      <c r="A737" s="56"/>
      <c r="B737" s="56"/>
      <c r="C737" s="56"/>
      <c r="D737" s="56"/>
      <c r="E737" s="56"/>
    </row>
    <row r="738" spans="1:5" ht="12.5" x14ac:dyDescent="0.25">
      <c r="A738" s="56"/>
      <c r="B738" s="56"/>
      <c r="C738" s="56"/>
      <c r="D738" s="56"/>
      <c r="E738" s="56"/>
    </row>
    <row r="739" spans="1:5" ht="12.5" x14ac:dyDescent="0.25">
      <c r="A739" s="56"/>
      <c r="B739" s="56"/>
      <c r="C739" s="56"/>
      <c r="D739" s="56"/>
      <c r="E739" s="56"/>
    </row>
    <row r="740" spans="1:5" ht="12.5" x14ac:dyDescent="0.25">
      <c r="A740" s="56"/>
      <c r="B740" s="56"/>
      <c r="C740" s="56"/>
      <c r="D740" s="56"/>
      <c r="E740" s="56"/>
    </row>
    <row r="741" spans="1:5" ht="12.5" x14ac:dyDescent="0.25">
      <c r="A741" s="56"/>
      <c r="B741" s="56"/>
      <c r="C741" s="56"/>
      <c r="D741" s="56"/>
      <c r="E741" s="56"/>
    </row>
    <row r="742" spans="1:5" ht="12.5" x14ac:dyDescent="0.25">
      <c r="A742" s="56"/>
      <c r="B742" s="56"/>
      <c r="C742" s="56"/>
      <c r="D742" s="56"/>
      <c r="E742" s="56"/>
    </row>
    <row r="743" spans="1:5" ht="12.5" x14ac:dyDescent="0.25">
      <c r="A743" s="56"/>
      <c r="B743" s="56"/>
      <c r="C743" s="56"/>
      <c r="D743" s="56"/>
      <c r="E743" s="56"/>
    </row>
    <row r="744" spans="1:5" ht="12.5" x14ac:dyDescent="0.25">
      <c r="A744" s="56"/>
      <c r="B744" s="56"/>
      <c r="C744" s="56"/>
      <c r="D744" s="56"/>
      <c r="E744" s="56"/>
    </row>
    <row r="745" spans="1:5" ht="12.5" x14ac:dyDescent="0.25">
      <c r="A745" s="56"/>
      <c r="B745" s="56"/>
      <c r="C745" s="56"/>
      <c r="D745" s="56"/>
      <c r="E745" s="56"/>
    </row>
    <row r="746" spans="1:5" ht="12.5" x14ac:dyDescent="0.25">
      <c r="A746" s="56"/>
      <c r="B746" s="56"/>
      <c r="C746" s="56"/>
      <c r="D746" s="56"/>
      <c r="E746" s="56"/>
    </row>
    <row r="747" spans="1:5" ht="12.5" x14ac:dyDescent="0.25">
      <c r="A747" s="56"/>
      <c r="B747" s="56"/>
      <c r="C747" s="56"/>
      <c r="D747" s="56"/>
      <c r="E747" s="56"/>
    </row>
    <row r="748" spans="1:5" ht="12.5" x14ac:dyDescent="0.25">
      <c r="A748" s="56"/>
      <c r="B748" s="56"/>
      <c r="C748" s="56"/>
      <c r="D748" s="56"/>
      <c r="E748" s="56"/>
    </row>
    <row r="749" spans="1:5" ht="12.5" x14ac:dyDescent="0.25">
      <c r="A749" s="56"/>
      <c r="B749" s="56"/>
      <c r="C749" s="56"/>
      <c r="D749" s="56"/>
      <c r="E749" s="56"/>
    </row>
    <row r="750" spans="1:5" ht="12.5" x14ac:dyDescent="0.25">
      <c r="A750" s="56"/>
      <c r="B750" s="56"/>
      <c r="C750" s="56"/>
      <c r="D750" s="56"/>
      <c r="E750" s="56"/>
    </row>
    <row r="751" spans="1:5" ht="12.5" x14ac:dyDescent="0.25">
      <c r="A751" s="56"/>
      <c r="B751" s="56"/>
      <c r="C751" s="56"/>
      <c r="D751" s="56"/>
      <c r="E751" s="56"/>
    </row>
    <row r="752" spans="1:5" ht="12.5" x14ac:dyDescent="0.25">
      <c r="A752" s="56"/>
      <c r="B752" s="56"/>
      <c r="C752" s="56"/>
      <c r="D752" s="56"/>
      <c r="E752" s="56"/>
    </row>
    <row r="753" spans="1:5" ht="12.5" x14ac:dyDescent="0.25">
      <c r="A753" s="56"/>
      <c r="B753" s="56"/>
      <c r="C753" s="56"/>
      <c r="D753" s="56"/>
      <c r="E753" s="56"/>
    </row>
    <row r="754" spans="1:5" ht="12.5" x14ac:dyDescent="0.25">
      <c r="A754" s="56"/>
      <c r="B754" s="56"/>
      <c r="C754" s="56"/>
      <c r="D754" s="56"/>
      <c r="E754" s="56"/>
    </row>
    <row r="755" spans="1:5" ht="12.5" x14ac:dyDescent="0.25">
      <c r="A755" s="56"/>
      <c r="B755" s="56"/>
      <c r="C755" s="56"/>
      <c r="D755" s="56"/>
      <c r="E755" s="56"/>
    </row>
    <row r="756" spans="1:5" ht="12.5" x14ac:dyDescent="0.25">
      <c r="A756" s="56"/>
      <c r="B756" s="56"/>
      <c r="C756" s="56"/>
      <c r="D756" s="56"/>
      <c r="E756" s="56"/>
    </row>
    <row r="757" spans="1:5" ht="12.5" x14ac:dyDescent="0.25">
      <c r="A757" s="56"/>
      <c r="B757" s="56"/>
      <c r="C757" s="56"/>
      <c r="D757" s="56"/>
      <c r="E757" s="56"/>
    </row>
    <row r="758" spans="1:5" ht="12.5" x14ac:dyDescent="0.25">
      <c r="A758" s="56"/>
      <c r="B758" s="56"/>
      <c r="C758" s="56"/>
      <c r="D758" s="56"/>
      <c r="E758" s="56"/>
    </row>
    <row r="759" spans="1:5" ht="12.5" x14ac:dyDescent="0.25">
      <c r="A759" s="56"/>
      <c r="B759" s="56"/>
      <c r="C759" s="56"/>
      <c r="D759" s="56"/>
      <c r="E759" s="56"/>
    </row>
    <row r="760" spans="1:5" ht="12.5" x14ac:dyDescent="0.25">
      <c r="A760" s="56"/>
      <c r="B760" s="56"/>
      <c r="C760" s="56"/>
      <c r="D760" s="56"/>
      <c r="E760" s="56"/>
    </row>
    <row r="761" spans="1:5" ht="12.5" x14ac:dyDescent="0.25">
      <c r="A761" s="56"/>
      <c r="B761" s="56"/>
      <c r="C761" s="56"/>
      <c r="D761" s="56"/>
      <c r="E761" s="56"/>
    </row>
    <row r="762" spans="1:5" ht="12.5" x14ac:dyDescent="0.25">
      <c r="A762" s="56"/>
      <c r="B762" s="56"/>
      <c r="C762" s="56"/>
      <c r="D762" s="56"/>
      <c r="E762" s="56"/>
    </row>
    <row r="763" spans="1:5" ht="12.5" x14ac:dyDescent="0.25">
      <c r="A763" s="56"/>
      <c r="B763" s="56"/>
      <c r="C763" s="56"/>
      <c r="D763" s="56"/>
      <c r="E763" s="56"/>
    </row>
    <row r="764" spans="1:5" ht="12.5" x14ac:dyDescent="0.25">
      <c r="A764" s="56"/>
      <c r="B764" s="56"/>
      <c r="C764" s="56"/>
      <c r="D764" s="56"/>
      <c r="E764" s="56"/>
    </row>
    <row r="765" spans="1:5" ht="12.5" x14ac:dyDescent="0.25">
      <c r="A765" s="56"/>
      <c r="B765" s="56"/>
      <c r="C765" s="56"/>
      <c r="D765" s="56"/>
      <c r="E765" s="56"/>
    </row>
    <row r="766" spans="1:5" ht="12.5" x14ac:dyDescent="0.25">
      <c r="A766" s="56"/>
      <c r="B766" s="56"/>
      <c r="C766" s="56"/>
      <c r="D766" s="56"/>
      <c r="E766" s="56"/>
    </row>
    <row r="767" spans="1:5" ht="12.5" x14ac:dyDescent="0.25">
      <c r="A767" s="56"/>
      <c r="B767" s="56"/>
      <c r="C767" s="56"/>
      <c r="D767" s="56"/>
      <c r="E767" s="56"/>
    </row>
    <row r="768" spans="1:5" ht="12.5" x14ac:dyDescent="0.25">
      <c r="A768" s="56"/>
      <c r="B768" s="56"/>
      <c r="C768" s="56"/>
      <c r="D768" s="56"/>
      <c r="E768" s="56"/>
    </row>
    <row r="769" spans="1:5" ht="12.5" x14ac:dyDescent="0.25">
      <c r="A769" s="56"/>
      <c r="B769" s="56"/>
      <c r="C769" s="56"/>
      <c r="D769" s="56"/>
      <c r="E769" s="56"/>
    </row>
    <row r="770" spans="1:5" ht="12.5" x14ac:dyDescent="0.25">
      <c r="A770" s="56"/>
      <c r="B770" s="56"/>
      <c r="C770" s="56"/>
      <c r="D770" s="56"/>
      <c r="E770" s="56"/>
    </row>
    <row r="771" spans="1:5" ht="12.5" x14ac:dyDescent="0.25">
      <c r="A771" s="56"/>
      <c r="B771" s="56"/>
      <c r="C771" s="56"/>
      <c r="D771" s="56"/>
      <c r="E771" s="56"/>
    </row>
    <row r="772" spans="1:5" ht="12.5" x14ac:dyDescent="0.25">
      <c r="A772" s="56"/>
      <c r="B772" s="56"/>
      <c r="C772" s="56"/>
      <c r="D772" s="56"/>
      <c r="E772" s="56"/>
    </row>
    <row r="773" spans="1:5" ht="12.5" x14ac:dyDescent="0.25">
      <c r="A773" s="56"/>
      <c r="B773" s="56"/>
      <c r="C773" s="56"/>
      <c r="D773" s="56"/>
      <c r="E773" s="56"/>
    </row>
    <row r="774" spans="1:5" ht="12.5" x14ac:dyDescent="0.25">
      <c r="A774" s="56"/>
      <c r="B774" s="56"/>
      <c r="C774" s="56"/>
      <c r="D774" s="56"/>
      <c r="E774" s="56"/>
    </row>
    <row r="775" spans="1:5" ht="12.5" x14ac:dyDescent="0.25">
      <c r="A775" s="56"/>
      <c r="B775" s="56"/>
      <c r="C775" s="56"/>
      <c r="D775" s="56"/>
      <c r="E775" s="56"/>
    </row>
    <row r="776" spans="1:5" ht="12.5" x14ac:dyDescent="0.25">
      <c r="A776" s="56"/>
      <c r="B776" s="56"/>
      <c r="C776" s="56"/>
      <c r="D776" s="56"/>
      <c r="E776" s="56"/>
    </row>
    <row r="777" spans="1:5" ht="12.5" x14ac:dyDescent="0.25">
      <c r="A777" s="56"/>
      <c r="B777" s="56"/>
      <c r="C777" s="56"/>
      <c r="D777" s="56"/>
      <c r="E777" s="56"/>
    </row>
    <row r="778" spans="1:5" ht="12.5" x14ac:dyDescent="0.25">
      <c r="A778" s="56"/>
      <c r="B778" s="56"/>
      <c r="C778" s="56"/>
      <c r="D778" s="56"/>
      <c r="E778" s="56"/>
    </row>
    <row r="779" spans="1:5" ht="12.5" x14ac:dyDescent="0.25">
      <c r="A779" s="56"/>
      <c r="B779" s="56"/>
      <c r="C779" s="56"/>
      <c r="D779" s="56"/>
      <c r="E779" s="56"/>
    </row>
    <row r="780" spans="1:5" ht="12.5" x14ac:dyDescent="0.25">
      <c r="A780" s="56"/>
      <c r="B780" s="56"/>
      <c r="C780" s="56"/>
      <c r="D780" s="56"/>
      <c r="E780" s="56"/>
    </row>
    <row r="781" spans="1:5" ht="12.5" x14ac:dyDescent="0.25">
      <c r="A781" s="56"/>
      <c r="B781" s="56"/>
      <c r="C781" s="56"/>
      <c r="D781" s="56"/>
      <c r="E781" s="56"/>
    </row>
    <row r="782" spans="1:5" ht="12.5" x14ac:dyDescent="0.25">
      <c r="A782" s="56"/>
      <c r="B782" s="56"/>
      <c r="C782" s="56"/>
      <c r="D782" s="56"/>
      <c r="E782" s="56"/>
    </row>
    <row r="783" spans="1:5" ht="12.5" x14ac:dyDescent="0.25">
      <c r="A783" s="56"/>
      <c r="B783" s="56"/>
      <c r="C783" s="56"/>
      <c r="D783" s="56"/>
      <c r="E783" s="56"/>
    </row>
    <row r="784" spans="1:5" ht="12.5" x14ac:dyDescent="0.25">
      <c r="A784" s="56"/>
      <c r="B784" s="56"/>
      <c r="C784" s="56"/>
      <c r="D784" s="56"/>
      <c r="E784" s="56"/>
    </row>
    <row r="785" spans="1:5" ht="12.5" x14ac:dyDescent="0.25">
      <c r="A785" s="56"/>
      <c r="B785" s="56"/>
      <c r="C785" s="56"/>
      <c r="D785" s="56"/>
      <c r="E785" s="56"/>
    </row>
    <row r="786" spans="1:5" ht="12.5" x14ac:dyDescent="0.25">
      <c r="A786" s="56"/>
      <c r="B786" s="56"/>
      <c r="C786" s="56"/>
      <c r="D786" s="56"/>
      <c r="E786" s="56"/>
    </row>
    <row r="787" spans="1:5" ht="12.5" x14ac:dyDescent="0.25">
      <c r="A787" s="56"/>
      <c r="B787" s="56"/>
      <c r="C787" s="56"/>
      <c r="D787" s="56"/>
      <c r="E787" s="56"/>
    </row>
    <row r="788" spans="1:5" ht="12.5" x14ac:dyDescent="0.25">
      <c r="A788" s="56"/>
      <c r="B788" s="56"/>
      <c r="C788" s="56"/>
      <c r="D788" s="56"/>
      <c r="E788" s="56"/>
    </row>
    <row r="789" spans="1:5" ht="12.5" x14ac:dyDescent="0.25">
      <c r="A789" s="56"/>
      <c r="B789" s="56"/>
      <c r="C789" s="56"/>
      <c r="D789" s="56"/>
      <c r="E789" s="56"/>
    </row>
    <row r="790" spans="1:5" ht="12.5" x14ac:dyDescent="0.25">
      <c r="A790" s="56"/>
      <c r="B790" s="56"/>
      <c r="C790" s="56"/>
      <c r="D790" s="56"/>
      <c r="E790" s="56"/>
    </row>
    <row r="791" spans="1:5" ht="12.5" x14ac:dyDescent="0.25">
      <c r="A791" s="56"/>
      <c r="B791" s="56"/>
      <c r="C791" s="56"/>
      <c r="D791" s="56"/>
      <c r="E791" s="56"/>
    </row>
    <row r="792" spans="1:5" ht="12.5" x14ac:dyDescent="0.25">
      <c r="A792" s="56"/>
      <c r="B792" s="56"/>
      <c r="C792" s="56"/>
      <c r="D792" s="56"/>
      <c r="E792" s="56"/>
    </row>
    <row r="793" spans="1:5" ht="12.5" x14ac:dyDescent="0.25">
      <c r="A793" s="56"/>
      <c r="B793" s="56"/>
      <c r="C793" s="56"/>
      <c r="D793" s="56"/>
      <c r="E793" s="56"/>
    </row>
    <row r="794" spans="1:5" ht="12.5" x14ac:dyDescent="0.25">
      <c r="A794" s="56"/>
      <c r="B794" s="56"/>
      <c r="C794" s="56"/>
      <c r="D794" s="56"/>
      <c r="E794" s="56"/>
    </row>
    <row r="795" spans="1:5" ht="12.5" x14ac:dyDescent="0.25">
      <c r="A795" s="56"/>
      <c r="B795" s="56"/>
      <c r="C795" s="56"/>
      <c r="D795" s="56"/>
      <c r="E795" s="56"/>
    </row>
    <row r="796" spans="1:5" ht="12.5" x14ac:dyDescent="0.25">
      <c r="A796" s="56"/>
      <c r="B796" s="56"/>
      <c r="C796" s="56"/>
      <c r="D796" s="56"/>
      <c r="E796" s="56"/>
    </row>
    <row r="797" spans="1:5" ht="12.5" x14ac:dyDescent="0.25">
      <c r="A797" s="56"/>
      <c r="B797" s="56"/>
      <c r="C797" s="56"/>
      <c r="D797" s="56"/>
      <c r="E797" s="56"/>
    </row>
    <row r="798" spans="1:5" ht="12.5" x14ac:dyDescent="0.25">
      <c r="A798" s="56"/>
      <c r="B798" s="56"/>
      <c r="C798" s="56"/>
      <c r="D798" s="56"/>
      <c r="E798" s="56"/>
    </row>
    <row r="799" spans="1:5" ht="12.5" x14ac:dyDescent="0.25">
      <c r="A799" s="56"/>
      <c r="B799" s="56"/>
      <c r="C799" s="56"/>
      <c r="D799" s="56"/>
      <c r="E799" s="56"/>
    </row>
    <row r="800" spans="1:5" ht="12.5" x14ac:dyDescent="0.25">
      <c r="A800" s="56"/>
      <c r="B800" s="56"/>
      <c r="C800" s="56"/>
      <c r="D800" s="56"/>
      <c r="E800" s="56"/>
    </row>
    <row r="801" spans="1:5" ht="12.5" x14ac:dyDescent="0.25">
      <c r="A801" s="56"/>
      <c r="B801" s="56"/>
      <c r="C801" s="56"/>
      <c r="D801" s="56"/>
      <c r="E801" s="56"/>
    </row>
    <row r="802" spans="1:5" ht="12.5" x14ac:dyDescent="0.25">
      <c r="A802" s="56"/>
      <c r="B802" s="56"/>
      <c r="C802" s="56"/>
      <c r="D802" s="56"/>
      <c r="E802" s="56"/>
    </row>
    <row r="803" spans="1:5" ht="12.5" x14ac:dyDescent="0.25">
      <c r="A803" s="56"/>
      <c r="B803" s="56"/>
      <c r="C803" s="56"/>
      <c r="D803" s="56"/>
      <c r="E803" s="56"/>
    </row>
    <row r="804" spans="1:5" ht="12.5" x14ac:dyDescent="0.25">
      <c r="A804" s="56"/>
      <c r="B804" s="56"/>
      <c r="C804" s="56"/>
      <c r="D804" s="56"/>
      <c r="E804" s="56"/>
    </row>
    <row r="805" spans="1:5" ht="12.5" x14ac:dyDescent="0.25">
      <c r="A805" s="56"/>
      <c r="B805" s="56"/>
      <c r="C805" s="56"/>
      <c r="D805" s="56"/>
      <c r="E805" s="56"/>
    </row>
    <row r="806" spans="1:5" ht="12.5" x14ac:dyDescent="0.25">
      <c r="A806" s="56"/>
      <c r="B806" s="56"/>
      <c r="C806" s="56"/>
      <c r="D806" s="56"/>
      <c r="E806" s="56"/>
    </row>
    <row r="807" spans="1:5" ht="12.5" x14ac:dyDescent="0.25">
      <c r="A807" s="56"/>
      <c r="B807" s="56"/>
      <c r="C807" s="56"/>
      <c r="D807" s="56"/>
      <c r="E807" s="56"/>
    </row>
    <row r="808" spans="1:5" ht="12.5" x14ac:dyDescent="0.25">
      <c r="A808" s="56"/>
      <c r="B808" s="56"/>
      <c r="C808" s="56"/>
      <c r="D808" s="56"/>
      <c r="E808" s="56"/>
    </row>
    <row r="809" spans="1:5" ht="12.5" x14ac:dyDescent="0.25">
      <c r="A809" s="56"/>
      <c r="B809" s="56"/>
      <c r="C809" s="56"/>
      <c r="D809" s="56"/>
      <c r="E809" s="56"/>
    </row>
    <row r="810" spans="1:5" ht="12.5" x14ac:dyDescent="0.25">
      <c r="A810" s="56"/>
      <c r="B810" s="56"/>
      <c r="C810" s="56"/>
      <c r="D810" s="56"/>
      <c r="E810" s="56"/>
    </row>
    <row r="811" spans="1:5" ht="12.5" x14ac:dyDescent="0.25">
      <c r="A811" s="56"/>
      <c r="B811" s="56"/>
      <c r="C811" s="56"/>
      <c r="D811" s="56"/>
      <c r="E811" s="56"/>
    </row>
    <row r="812" spans="1:5" ht="12.5" x14ac:dyDescent="0.25">
      <c r="A812" s="56"/>
      <c r="B812" s="56"/>
      <c r="C812" s="56"/>
      <c r="D812" s="56"/>
      <c r="E812" s="56"/>
    </row>
    <row r="813" spans="1:5" ht="12.5" x14ac:dyDescent="0.25">
      <c r="A813" s="56"/>
      <c r="B813" s="56"/>
      <c r="C813" s="56"/>
      <c r="D813" s="56"/>
      <c r="E813" s="56"/>
    </row>
    <row r="814" spans="1:5" ht="12.5" x14ac:dyDescent="0.25">
      <c r="A814" s="56"/>
      <c r="B814" s="56"/>
      <c r="C814" s="56"/>
      <c r="D814" s="56"/>
      <c r="E814" s="56"/>
    </row>
    <row r="815" spans="1:5" ht="12.5" x14ac:dyDescent="0.25">
      <c r="A815" s="56"/>
      <c r="B815" s="56"/>
      <c r="C815" s="56"/>
      <c r="D815" s="56"/>
      <c r="E815" s="56"/>
    </row>
    <row r="816" spans="1:5" ht="12.5" x14ac:dyDescent="0.25">
      <c r="A816" s="56"/>
      <c r="B816" s="56"/>
      <c r="C816" s="56"/>
      <c r="D816" s="56"/>
      <c r="E816" s="56"/>
    </row>
    <row r="817" spans="1:5" ht="12.5" x14ac:dyDescent="0.25">
      <c r="A817" s="56"/>
      <c r="B817" s="56"/>
      <c r="C817" s="56"/>
      <c r="D817" s="56"/>
      <c r="E817" s="56"/>
    </row>
    <row r="818" spans="1:5" ht="12.5" x14ac:dyDescent="0.25">
      <c r="A818" s="56"/>
      <c r="B818" s="56"/>
      <c r="C818" s="56"/>
      <c r="D818" s="56"/>
      <c r="E818" s="56"/>
    </row>
    <row r="819" spans="1:5" ht="12.5" x14ac:dyDescent="0.25">
      <c r="A819" s="56"/>
      <c r="B819" s="56"/>
      <c r="C819" s="56"/>
      <c r="D819" s="56"/>
      <c r="E819" s="56"/>
    </row>
    <row r="820" spans="1:5" ht="12.5" x14ac:dyDescent="0.25">
      <c r="A820" s="56"/>
      <c r="B820" s="56"/>
      <c r="C820" s="56"/>
      <c r="D820" s="56"/>
      <c r="E820" s="56"/>
    </row>
    <row r="821" spans="1:5" ht="12.5" x14ac:dyDescent="0.25">
      <c r="A821" s="56"/>
      <c r="B821" s="56"/>
      <c r="C821" s="56"/>
      <c r="D821" s="56"/>
      <c r="E821" s="56"/>
    </row>
    <row r="822" spans="1:5" ht="12.5" x14ac:dyDescent="0.25">
      <c r="A822" s="56"/>
      <c r="B822" s="56"/>
      <c r="C822" s="56"/>
      <c r="D822" s="56"/>
      <c r="E822" s="56"/>
    </row>
    <row r="823" spans="1:5" ht="12.5" x14ac:dyDescent="0.25">
      <c r="A823" s="56"/>
      <c r="B823" s="56"/>
      <c r="C823" s="56"/>
      <c r="D823" s="56"/>
      <c r="E823" s="56"/>
    </row>
    <row r="824" spans="1:5" ht="12.5" x14ac:dyDescent="0.25">
      <c r="A824" s="56"/>
      <c r="B824" s="56"/>
      <c r="C824" s="56"/>
      <c r="D824" s="56"/>
      <c r="E824" s="56"/>
    </row>
    <row r="825" spans="1:5" ht="12.5" x14ac:dyDescent="0.25">
      <c r="A825" s="56"/>
      <c r="B825" s="56"/>
      <c r="C825" s="56"/>
      <c r="D825" s="56"/>
      <c r="E825" s="56"/>
    </row>
    <row r="826" spans="1:5" ht="12.5" x14ac:dyDescent="0.25">
      <c r="A826" s="56"/>
      <c r="B826" s="56"/>
      <c r="C826" s="56"/>
      <c r="D826" s="56"/>
      <c r="E826" s="56"/>
    </row>
    <row r="827" spans="1:5" ht="12.5" x14ac:dyDescent="0.25">
      <c r="A827" s="56"/>
      <c r="B827" s="56"/>
      <c r="C827" s="56"/>
      <c r="D827" s="56"/>
      <c r="E827" s="56"/>
    </row>
    <row r="828" spans="1:5" ht="12.5" x14ac:dyDescent="0.25">
      <c r="A828" s="56"/>
      <c r="B828" s="56"/>
      <c r="C828" s="56"/>
      <c r="D828" s="56"/>
      <c r="E828" s="56"/>
    </row>
    <row r="829" spans="1:5" ht="12.5" x14ac:dyDescent="0.25">
      <c r="A829" s="56"/>
      <c r="B829" s="56"/>
      <c r="C829" s="56"/>
      <c r="D829" s="56"/>
      <c r="E829" s="56"/>
    </row>
    <row r="830" spans="1:5" ht="12.5" x14ac:dyDescent="0.25">
      <c r="A830" s="56"/>
      <c r="B830" s="56"/>
      <c r="C830" s="56"/>
      <c r="D830" s="56"/>
      <c r="E830" s="56"/>
    </row>
    <row r="831" spans="1:5" ht="12.5" x14ac:dyDescent="0.25">
      <c r="A831" s="56"/>
      <c r="B831" s="56"/>
      <c r="C831" s="56"/>
      <c r="D831" s="56"/>
      <c r="E831" s="56"/>
    </row>
    <row r="832" spans="1:5" ht="12.5" x14ac:dyDescent="0.25">
      <c r="A832" s="56"/>
      <c r="B832" s="56"/>
      <c r="C832" s="56"/>
      <c r="D832" s="56"/>
      <c r="E832" s="56"/>
    </row>
    <row r="833" spans="1:5" ht="12.5" x14ac:dyDescent="0.25">
      <c r="A833" s="56"/>
      <c r="B833" s="56"/>
      <c r="C833" s="56"/>
      <c r="D833" s="56"/>
      <c r="E833" s="56"/>
    </row>
    <row r="834" spans="1:5" ht="12.5" x14ac:dyDescent="0.25">
      <c r="A834" s="56"/>
      <c r="B834" s="56"/>
      <c r="C834" s="56"/>
      <c r="D834" s="56"/>
      <c r="E834" s="56"/>
    </row>
    <row r="835" spans="1:5" ht="12.5" x14ac:dyDescent="0.25">
      <c r="A835" s="56"/>
      <c r="B835" s="56"/>
      <c r="C835" s="56"/>
      <c r="D835" s="56"/>
      <c r="E835" s="56"/>
    </row>
    <row r="836" spans="1:5" ht="12.5" x14ac:dyDescent="0.25">
      <c r="A836" s="56"/>
      <c r="B836" s="56"/>
      <c r="C836" s="56"/>
      <c r="D836" s="56"/>
      <c r="E836" s="56"/>
    </row>
    <row r="837" spans="1:5" ht="12.5" x14ac:dyDescent="0.25">
      <c r="A837" s="56"/>
      <c r="B837" s="56"/>
      <c r="C837" s="56"/>
      <c r="D837" s="56"/>
      <c r="E837" s="56"/>
    </row>
    <row r="838" spans="1:5" ht="12.5" x14ac:dyDescent="0.25">
      <c r="A838" s="56"/>
      <c r="B838" s="56"/>
      <c r="C838" s="56"/>
      <c r="D838" s="56"/>
      <c r="E838" s="56"/>
    </row>
    <row r="839" spans="1:5" ht="12.5" x14ac:dyDescent="0.25">
      <c r="A839" s="56"/>
      <c r="B839" s="56"/>
      <c r="C839" s="56"/>
      <c r="D839" s="56"/>
      <c r="E839" s="56"/>
    </row>
    <row r="840" spans="1:5" ht="12.5" x14ac:dyDescent="0.25">
      <c r="A840" s="56"/>
      <c r="B840" s="56"/>
      <c r="C840" s="56"/>
      <c r="D840" s="56"/>
      <c r="E840" s="56"/>
    </row>
    <row r="841" spans="1:5" ht="12.5" x14ac:dyDescent="0.25">
      <c r="A841" s="56"/>
      <c r="B841" s="56"/>
      <c r="C841" s="56"/>
      <c r="D841" s="56"/>
      <c r="E841" s="56"/>
    </row>
    <row r="842" spans="1:5" ht="12.5" x14ac:dyDescent="0.25">
      <c r="A842" s="56"/>
      <c r="B842" s="56"/>
      <c r="C842" s="56"/>
      <c r="D842" s="56"/>
      <c r="E842" s="56"/>
    </row>
    <row r="843" spans="1:5" ht="12.5" x14ac:dyDescent="0.25">
      <c r="A843" s="56"/>
      <c r="B843" s="56"/>
      <c r="C843" s="56"/>
      <c r="D843" s="56"/>
      <c r="E843" s="56"/>
    </row>
    <row r="844" spans="1:5" ht="12.5" x14ac:dyDescent="0.25">
      <c r="A844" s="56"/>
      <c r="B844" s="56"/>
      <c r="C844" s="56"/>
      <c r="D844" s="56"/>
      <c r="E844" s="56"/>
    </row>
    <row r="845" spans="1:5" ht="12.5" x14ac:dyDescent="0.25">
      <c r="A845" s="56"/>
      <c r="B845" s="56"/>
      <c r="C845" s="56"/>
      <c r="D845" s="56"/>
      <c r="E845" s="56"/>
    </row>
    <row r="846" spans="1:5" ht="12.5" x14ac:dyDescent="0.25">
      <c r="A846" s="56"/>
      <c r="B846" s="56"/>
      <c r="C846" s="56"/>
      <c r="D846" s="56"/>
      <c r="E846" s="56"/>
    </row>
    <row r="847" spans="1:5" ht="12.5" x14ac:dyDescent="0.25">
      <c r="A847" s="56"/>
      <c r="B847" s="56"/>
      <c r="C847" s="56"/>
      <c r="D847" s="56"/>
      <c r="E847" s="56"/>
    </row>
    <row r="848" spans="1:5" ht="12.5" x14ac:dyDescent="0.25">
      <c r="A848" s="56"/>
      <c r="B848" s="56"/>
      <c r="C848" s="56"/>
      <c r="D848" s="56"/>
      <c r="E848" s="56"/>
    </row>
    <row r="849" spans="1:5" ht="12.5" x14ac:dyDescent="0.25">
      <c r="A849" s="56"/>
      <c r="B849" s="56"/>
      <c r="C849" s="56"/>
      <c r="D849" s="56"/>
      <c r="E849" s="56"/>
    </row>
    <row r="850" spans="1:5" ht="12.5" x14ac:dyDescent="0.25">
      <c r="A850" s="56"/>
      <c r="B850" s="56"/>
      <c r="C850" s="56"/>
      <c r="D850" s="56"/>
      <c r="E850" s="56"/>
    </row>
    <row r="851" spans="1:5" ht="12.5" x14ac:dyDescent="0.25">
      <c r="A851" s="56"/>
      <c r="B851" s="56"/>
      <c r="C851" s="56"/>
      <c r="D851" s="56"/>
      <c r="E851" s="56"/>
    </row>
    <row r="852" spans="1:5" ht="12.5" x14ac:dyDescent="0.25">
      <c r="A852" s="56"/>
      <c r="B852" s="56"/>
      <c r="C852" s="56"/>
      <c r="D852" s="56"/>
      <c r="E852" s="56"/>
    </row>
    <row r="853" spans="1:5" ht="12.5" x14ac:dyDescent="0.25">
      <c r="A853" s="56"/>
      <c r="B853" s="56"/>
      <c r="C853" s="56"/>
      <c r="D853" s="56"/>
      <c r="E853" s="56"/>
    </row>
    <row r="854" spans="1:5" ht="12.5" x14ac:dyDescent="0.25">
      <c r="A854" s="56"/>
      <c r="B854" s="56"/>
      <c r="C854" s="56"/>
      <c r="D854" s="56"/>
      <c r="E854" s="56"/>
    </row>
    <row r="855" spans="1:5" ht="12.5" x14ac:dyDescent="0.25">
      <c r="A855" s="56"/>
      <c r="B855" s="56"/>
      <c r="C855" s="56"/>
      <c r="D855" s="56"/>
      <c r="E855" s="56"/>
    </row>
    <row r="856" spans="1:5" ht="12.5" x14ac:dyDescent="0.25">
      <c r="A856" s="56"/>
      <c r="B856" s="56"/>
      <c r="C856" s="56"/>
      <c r="D856" s="56"/>
      <c r="E856" s="56"/>
    </row>
    <row r="857" spans="1:5" ht="12.5" x14ac:dyDescent="0.25">
      <c r="A857" s="56"/>
      <c r="B857" s="56"/>
      <c r="C857" s="56"/>
      <c r="D857" s="56"/>
      <c r="E857" s="56"/>
    </row>
    <row r="858" spans="1:5" ht="12.5" x14ac:dyDescent="0.25">
      <c r="A858" s="56"/>
      <c r="B858" s="56"/>
      <c r="C858" s="56"/>
      <c r="D858" s="56"/>
      <c r="E858" s="56"/>
    </row>
    <row r="859" spans="1:5" ht="12.5" x14ac:dyDescent="0.25">
      <c r="A859" s="56"/>
      <c r="B859" s="56"/>
      <c r="C859" s="56"/>
      <c r="D859" s="56"/>
      <c r="E859" s="56"/>
    </row>
    <row r="860" spans="1:5" ht="12.5" x14ac:dyDescent="0.25">
      <c r="A860" s="56"/>
      <c r="B860" s="56"/>
      <c r="C860" s="56"/>
      <c r="D860" s="56"/>
      <c r="E860" s="56"/>
    </row>
    <row r="861" spans="1:5" ht="12.5" x14ac:dyDescent="0.25">
      <c r="A861" s="56"/>
      <c r="B861" s="56"/>
      <c r="C861" s="56"/>
      <c r="D861" s="56"/>
      <c r="E861" s="56"/>
    </row>
    <row r="862" spans="1:5" ht="12.5" x14ac:dyDescent="0.25">
      <c r="A862" s="56"/>
      <c r="B862" s="56"/>
      <c r="C862" s="56"/>
      <c r="D862" s="56"/>
      <c r="E862" s="56"/>
    </row>
    <row r="863" spans="1:5" ht="12.5" x14ac:dyDescent="0.25">
      <c r="A863" s="56"/>
      <c r="B863" s="56"/>
      <c r="C863" s="56"/>
      <c r="D863" s="56"/>
      <c r="E863" s="56"/>
    </row>
    <row r="864" spans="1:5" ht="12.5" x14ac:dyDescent="0.25">
      <c r="A864" s="56"/>
      <c r="B864" s="56"/>
      <c r="C864" s="56"/>
      <c r="D864" s="56"/>
      <c r="E864" s="56"/>
    </row>
    <row r="865" spans="1:5" ht="12.5" x14ac:dyDescent="0.25">
      <c r="A865" s="56"/>
      <c r="B865" s="56"/>
      <c r="C865" s="56"/>
      <c r="D865" s="56"/>
      <c r="E865" s="56"/>
    </row>
    <row r="866" spans="1:5" ht="12.5" x14ac:dyDescent="0.25">
      <c r="A866" s="56"/>
      <c r="B866" s="56"/>
      <c r="C866" s="56"/>
      <c r="D866" s="56"/>
      <c r="E866" s="56"/>
    </row>
    <row r="867" spans="1:5" ht="12.5" x14ac:dyDescent="0.25">
      <c r="A867" s="56"/>
      <c r="B867" s="56"/>
      <c r="C867" s="56"/>
      <c r="D867" s="56"/>
      <c r="E867" s="56"/>
    </row>
    <row r="868" spans="1:5" ht="12.5" x14ac:dyDescent="0.25">
      <c r="A868" s="56"/>
      <c r="B868" s="56"/>
      <c r="C868" s="56"/>
      <c r="D868" s="56"/>
      <c r="E868" s="56"/>
    </row>
    <row r="869" spans="1:5" ht="12.5" x14ac:dyDescent="0.25">
      <c r="A869" s="56"/>
      <c r="B869" s="56"/>
      <c r="C869" s="56"/>
      <c r="D869" s="56"/>
      <c r="E869" s="56"/>
    </row>
    <row r="870" spans="1:5" ht="12.5" x14ac:dyDescent="0.25">
      <c r="A870" s="56"/>
      <c r="B870" s="56"/>
      <c r="C870" s="56"/>
      <c r="D870" s="56"/>
      <c r="E870" s="56"/>
    </row>
    <row r="871" spans="1:5" ht="12.5" x14ac:dyDescent="0.25">
      <c r="A871" s="56"/>
      <c r="B871" s="56"/>
      <c r="C871" s="56"/>
      <c r="D871" s="56"/>
      <c r="E871" s="56"/>
    </row>
    <row r="872" spans="1:5" ht="12.5" x14ac:dyDescent="0.25">
      <c r="A872" s="56"/>
      <c r="B872" s="56"/>
      <c r="C872" s="56"/>
      <c r="D872" s="56"/>
      <c r="E872" s="56"/>
    </row>
    <row r="873" spans="1:5" ht="12.5" x14ac:dyDescent="0.25">
      <c r="A873" s="56"/>
      <c r="B873" s="56"/>
      <c r="C873" s="56"/>
      <c r="D873" s="56"/>
      <c r="E873" s="56"/>
    </row>
    <row r="874" spans="1:5" ht="12.5" x14ac:dyDescent="0.25">
      <c r="A874" s="56"/>
      <c r="B874" s="56"/>
      <c r="C874" s="56"/>
      <c r="D874" s="56"/>
      <c r="E874" s="56"/>
    </row>
    <row r="875" spans="1:5" ht="12.5" x14ac:dyDescent="0.25">
      <c r="A875" s="56"/>
      <c r="B875" s="56"/>
      <c r="C875" s="56"/>
      <c r="D875" s="56"/>
      <c r="E875" s="56"/>
    </row>
    <row r="876" spans="1:5" ht="12.5" x14ac:dyDescent="0.25">
      <c r="A876" s="56"/>
      <c r="B876" s="56"/>
      <c r="C876" s="56"/>
      <c r="D876" s="56"/>
      <c r="E876" s="56"/>
    </row>
    <row r="877" spans="1:5" ht="12.5" x14ac:dyDescent="0.25">
      <c r="A877" s="56"/>
      <c r="B877" s="56"/>
      <c r="C877" s="56"/>
      <c r="D877" s="56"/>
      <c r="E877" s="56"/>
    </row>
    <row r="878" spans="1:5" ht="12.5" x14ac:dyDescent="0.25">
      <c r="A878" s="56"/>
      <c r="B878" s="56"/>
      <c r="C878" s="56"/>
      <c r="D878" s="56"/>
      <c r="E878" s="56"/>
    </row>
    <row r="879" spans="1:5" ht="12.5" x14ac:dyDescent="0.25">
      <c r="A879" s="56"/>
      <c r="B879" s="56"/>
      <c r="C879" s="56"/>
      <c r="D879" s="56"/>
      <c r="E879" s="56"/>
    </row>
    <row r="880" spans="1:5" ht="12.5" x14ac:dyDescent="0.25">
      <c r="A880" s="56"/>
      <c r="B880" s="56"/>
      <c r="C880" s="56"/>
      <c r="D880" s="56"/>
      <c r="E880" s="56"/>
    </row>
    <row r="881" spans="1:5" ht="12.5" x14ac:dyDescent="0.25">
      <c r="A881" s="56"/>
      <c r="B881" s="56"/>
      <c r="C881" s="56"/>
      <c r="D881" s="56"/>
      <c r="E881" s="56"/>
    </row>
    <row r="882" spans="1:5" ht="12.5" x14ac:dyDescent="0.25">
      <c r="A882" s="56"/>
      <c r="B882" s="56"/>
      <c r="C882" s="56"/>
      <c r="D882" s="56"/>
      <c r="E882" s="56"/>
    </row>
    <row r="883" spans="1:5" ht="12.5" x14ac:dyDescent="0.25">
      <c r="A883" s="56"/>
      <c r="B883" s="56"/>
      <c r="C883" s="56"/>
      <c r="D883" s="56"/>
      <c r="E883" s="56"/>
    </row>
    <row r="884" spans="1:5" ht="12.5" x14ac:dyDescent="0.25">
      <c r="A884" s="56"/>
      <c r="B884" s="56"/>
      <c r="C884" s="56"/>
      <c r="D884" s="56"/>
      <c r="E884" s="56"/>
    </row>
    <row r="885" spans="1:5" ht="12.5" x14ac:dyDescent="0.25">
      <c r="A885" s="56"/>
      <c r="B885" s="56"/>
      <c r="C885" s="56"/>
      <c r="D885" s="56"/>
      <c r="E885" s="56"/>
    </row>
    <row r="886" spans="1:5" ht="12.5" x14ac:dyDescent="0.25">
      <c r="A886" s="56"/>
      <c r="B886" s="56"/>
      <c r="C886" s="56"/>
      <c r="D886" s="56"/>
      <c r="E886" s="56"/>
    </row>
    <row r="887" spans="1:5" ht="12.5" x14ac:dyDescent="0.25">
      <c r="A887" s="56"/>
      <c r="B887" s="56"/>
      <c r="C887" s="56"/>
      <c r="D887" s="56"/>
      <c r="E887" s="56"/>
    </row>
    <row r="888" spans="1:5" ht="12.5" x14ac:dyDescent="0.25">
      <c r="A888" s="56"/>
      <c r="B888" s="56"/>
      <c r="C888" s="56"/>
      <c r="D888" s="56"/>
      <c r="E888" s="56"/>
    </row>
    <row r="889" spans="1:5" ht="12.5" x14ac:dyDescent="0.25">
      <c r="A889" s="56"/>
      <c r="B889" s="56"/>
      <c r="C889" s="56"/>
      <c r="D889" s="56"/>
      <c r="E889" s="56"/>
    </row>
    <row r="890" spans="1:5" ht="12.5" x14ac:dyDescent="0.25">
      <c r="A890" s="56"/>
      <c r="B890" s="56"/>
      <c r="C890" s="56"/>
      <c r="D890" s="56"/>
      <c r="E890" s="56"/>
    </row>
    <row r="891" spans="1:5" ht="12.5" x14ac:dyDescent="0.25">
      <c r="A891" s="56"/>
      <c r="B891" s="56"/>
      <c r="C891" s="56"/>
      <c r="D891" s="56"/>
      <c r="E891" s="56"/>
    </row>
    <row r="892" spans="1:5" ht="12.5" x14ac:dyDescent="0.25">
      <c r="A892" s="56"/>
      <c r="B892" s="56"/>
      <c r="C892" s="56"/>
      <c r="D892" s="56"/>
      <c r="E892" s="56"/>
    </row>
    <row r="893" spans="1:5" ht="12.5" x14ac:dyDescent="0.25">
      <c r="A893" s="56"/>
      <c r="B893" s="56"/>
      <c r="C893" s="56"/>
      <c r="D893" s="56"/>
      <c r="E893" s="56"/>
    </row>
    <row r="894" spans="1:5" ht="12.5" x14ac:dyDescent="0.25">
      <c r="A894" s="56"/>
      <c r="B894" s="56"/>
      <c r="C894" s="56"/>
      <c r="D894" s="56"/>
      <c r="E894" s="56"/>
    </row>
    <row r="895" spans="1:5" ht="12.5" x14ac:dyDescent="0.25">
      <c r="A895" s="56"/>
      <c r="B895" s="56"/>
      <c r="C895" s="56"/>
      <c r="D895" s="56"/>
      <c r="E895" s="56"/>
    </row>
    <row r="896" spans="1:5" ht="12.5" x14ac:dyDescent="0.25">
      <c r="A896" s="56"/>
      <c r="B896" s="56"/>
      <c r="C896" s="56"/>
      <c r="D896" s="56"/>
      <c r="E896" s="56"/>
    </row>
    <row r="897" spans="1:5" ht="12.5" x14ac:dyDescent="0.25">
      <c r="A897" s="56"/>
      <c r="B897" s="56"/>
      <c r="C897" s="56"/>
      <c r="D897" s="56"/>
      <c r="E897" s="56"/>
    </row>
    <row r="898" spans="1:5" ht="12.5" x14ac:dyDescent="0.25">
      <c r="A898" s="56"/>
      <c r="B898" s="56"/>
      <c r="C898" s="56"/>
      <c r="D898" s="56"/>
      <c r="E898" s="56"/>
    </row>
    <row r="899" spans="1:5" ht="12.5" x14ac:dyDescent="0.25">
      <c r="A899" s="56"/>
      <c r="B899" s="56"/>
      <c r="C899" s="56"/>
      <c r="D899" s="56"/>
      <c r="E899" s="56"/>
    </row>
    <row r="900" spans="1:5" ht="12.5" x14ac:dyDescent="0.25">
      <c r="A900" s="56"/>
      <c r="B900" s="56"/>
      <c r="C900" s="56"/>
      <c r="D900" s="56"/>
      <c r="E900" s="56"/>
    </row>
    <row r="901" spans="1:5" ht="12.5" x14ac:dyDescent="0.25">
      <c r="A901" s="56"/>
      <c r="B901" s="56"/>
      <c r="C901" s="56"/>
      <c r="D901" s="56"/>
      <c r="E901" s="56"/>
    </row>
    <row r="902" spans="1:5" ht="12.5" x14ac:dyDescent="0.25">
      <c r="A902" s="56"/>
      <c r="B902" s="56"/>
      <c r="C902" s="56"/>
      <c r="D902" s="56"/>
      <c r="E902" s="56"/>
    </row>
    <row r="903" spans="1:5" ht="12.5" x14ac:dyDescent="0.25">
      <c r="A903" s="56"/>
      <c r="B903" s="56"/>
      <c r="C903" s="56"/>
      <c r="D903" s="56"/>
      <c r="E903" s="56"/>
    </row>
    <row r="904" spans="1:5" ht="12.5" x14ac:dyDescent="0.25">
      <c r="A904" s="56"/>
      <c r="B904" s="56"/>
      <c r="C904" s="56"/>
      <c r="D904" s="56"/>
      <c r="E904" s="56"/>
    </row>
    <row r="905" spans="1:5" ht="12.5" x14ac:dyDescent="0.25">
      <c r="A905" s="56"/>
      <c r="B905" s="56"/>
      <c r="C905" s="56"/>
      <c r="D905" s="56"/>
      <c r="E905" s="56"/>
    </row>
    <row r="906" spans="1:5" ht="12.5" x14ac:dyDescent="0.25">
      <c r="A906" s="56"/>
      <c r="B906" s="56"/>
      <c r="C906" s="56"/>
      <c r="D906" s="56"/>
      <c r="E906" s="56"/>
    </row>
    <row r="907" spans="1:5" ht="12.5" x14ac:dyDescent="0.25">
      <c r="A907" s="56"/>
      <c r="B907" s="56"/>
      <c r="C907" s="56"/>
      <c r="D907" s="56"/>
      <c r="E907" s="56"/>
    </row>
    <row r="908" spans="1:5" ht="12.5" x14ac:dyDescent="0.25">
      <c r="A908" s="56"/>
      <c r="B908" s="56"/>
      <c r="C908" s="56"/>
      <c r="D908" s="56"/>
      <c r="E908" s="56"/>
    </row>
    <row r="909" spans="1:5" ht="12.5" x14ac:dyDescent="0.25">
      <c r="A909" s="56"/>
      <c r="B909" s="56"/>
      <c r="C909" s="56"/>
      <c r="D909" s="56"/>
      <c r="E909" s="56"/>
    </row>
    <row r="910" spans="1:5" ht="12.5" x14ac:dyDescent="0.25">
      <c r="A910" s="56"/>
      <c r="B910" s="56"/>
      <c r="C910" s="56"/>
      <c r="D910" s="56"/>
      <c r="E910" s="56"/>
    </row>
    <row r="911" spans="1:5" ht="12.5" x14ac:dyDescent="0.25">
      <c r="A911" s="56"/>
      <c r="B911" s="56"/>
      <c r="C911" s="56"/>
      <c r="D911" s="56"/>
      <c r="E911" s="56"/>
    </row>
    <row r="912" spans="1:5" ht="12.5" x14ac:dyDescent="0.25">
      <c r="A912" s="56"/>
      <c r="B912" s="56"/>
      <c r="C912" s="56"/>
      <c r="D912" s="56"/>
      <c r="E912" s="56"/>
    </row>
    <row r="913" spans="1:5" ht="12.5" x14ac:dyDescent="0.25">
      <c r="A913" s="56"/>
      <c r="B913" s="56"/>
      <c r="C913" s="56"/>
      <c r="D913" s="56"/>
      <c r="E913" s="56"/>
    </row>
    <row r="914" spans="1:5" ht="12.5" x14ac:dyDescent="0.25">
      <c r="A914" s="56"/>
      <c r="B914" s="56"/>
      <c r="C914" s="56"/>
      <c r="D914" s="56"/>
      <c r="E914" s="56"/>
    </row>
    <row r="915" spans="1:5" ht="12.5" x14ac:dyDescent="0.25">
      <c r="A915" s="56"/>
      <c r="B915" s="56"/>
      <c r="C915" s="56"/>
      <c r="D915" s="56"/>
      <c r="E915" s="56"/>
    </row>
    <row r="916" spans="1:5" ht="12.5" x14ac:dyDescent="0.25">
      <c r="A916" s="56"/>
      <c r="B916" s="56"/>
      <c r="C916" s="56"/>
      <c r="D916" s="56"/>
      <c r="E916" s="56"/>
    </row>
    <row r="917" spans="1:5" ht="12.5" x14ac:dyDescent="0.25">
      <c r="A917" s="56"/>
      <c r="B917" s="56"/>
      <c r="C917" s="56"/>
      <c r="D917" s="56"/>
      <c r="E917" s="56"/>
    </row>
    <row r="918" spans="1:5" ht="12.5" x14ac:dyDescent="0.25">
      <c r="A918" s="56"/>
      <c r="B918" s="56"/>
      <c r="C918" s="56"/>
      <c r="D918" s="56"/>
      <c r="E918" s="56"/>
    </row>
    <row r="919" spans="1:5" ht="12.5" x14ac:dyDescent="0.25">
      <c r="A919" s="56"/>
      <c r="B919" s="56"/>
      <c r="C919" s="56"/>
      <c r="D919" s="56"/>
      <c r="E919" s="56"/>
    </row>
    <row r="920" spans="1:5" ht="12.5" x14ac:dyDescent="0.25">
      <c r="A920" s="56"/>
      <c r="B920" s="56"/>
      <c r="C920" s="56"/>
      <c r="D920" s="56"/>
      <c r="E920" s="56"/>
    </row>
    <row r="921" spans="1:5" ht="12.5" x14ac:dyDescent="0.25">
      <c r="A921" s="56"/>
      <c r="B921" s="56"/>
      <c r="C921" s="56"/>
      <c r="D921" s="56"/>
      <c r="E921" s="56"/>
    </row>
    <row r="922" spans="1:5" ht="12.5" x14ac:dyDescent="0.25">
      <c r="A922" s="56"/>
      <c r="B922" s="56"/>
      <c r="C922" s="56"/>
      <c r="D922" s="56"/>
      <c r="E922" s="56"/>
    </row>
    <row r="923" spans="1:5" ht="12.5" x14ac:dyDescent="0.25">
      <c r="A923" s="56"/>
      <c r="B923" s="56"/>
      <c r="C923" s="56"/>
      <c r="D923" s="56"/>
      <c r="E923" s="56"/>
    </row>
    <row r="924" spans="1:5" ht="12.5" x14ac:dyDescent="0.25">
      <c r="A924" s="56"/>
      <c r="B924" s="56"/>
      <c r="C924" s="56"/>
      <c r="D924" s="56"/>
      <c r="E924" s="56"/>
    </row>
    <row r="925" spans="1:5" ht="12.5" x14ac:dyDescent="0.25">
      <c r="A925" s="56"/>
      <c r="B925" s="56"/>
      <c r="C925" s="56"/>
      <c r="D925" s="56"/>
      <c r="E925" s="56"/>
    </row>
    <row r="926" spans="1:5" ht="12.5" x14ac:dyDescent="0.25">
      <c r="A926" s="56"/>
      <c r="B926" s="56"/>
      <c r="C926" s="56"/>
      <c r="D926" s="56"/>
      <c r="E926" s="56"/>
    </row>
    <row r="927" spans="1:5" ht="12.5" x14ac:dyDescent="0.25">
      <c r="A927" s="56"/>
      <c r="B927" s="56"/>
      <c r="C927" s="56"/>
      <c r="D927" s="56"/>
      <c r="E927" s="56"/>
    </row>
    <row r="928" spans="1:5" ht="12.5" x14ac:dyDescent="0.25">
      <c r="A928" s="56"/>
      <c r="B928" s="56"/>
      <c r="C928" s="56"/>
      <c r="D928" s="56"/>
      <c r="E928" s="56"/>
    </row>
    <row r="929" spans="1:5" ht="12.5" x14ac:dyDescent="0.25">
      <c r="A929" s="56"/>
      <c r="B929" s="56"/>
      <c r="C929" s="56"/>
      <c r="D929" s="56"/>
      <c r="E929" s="56"/>
    </row>
    <row r="930" spans="1:5" ht="12.5" x14ac:dyDescent="0.25">
      <c r="A930" s="56"/>
      <c r="B930" s="56"/>
      <c r="C930" s="56"/>
      <c r="D930" s="56"/>
      <c r="E930" s="56"/>
    </row>
    <row r="931" spans="1:5" ht="12.5" x14ac:dyDescent="0.25">
      <c r="A931" s="56"/>
      <c r="B931" s="56"/>
      <c r="C931" s="56"/>
      <c r="D931" s="56"/>
      <c r="E931" s="56"/>
    </row>
    <row r="932" spans="1:5" ht="12.5" x14ac:dyDescent="0.25">
      <c r="A932" s="56"/>
      <c r="B932" s="56"/>
      <c r="C932" s="56"/>
      <c r="D932" s="56"/>
      <c r="E932" s="56"/>
    </row>
    <row r="933" spans="1:5" ht="12.5" x14ac:dyDescent="0.25">
      <c r="A933" s="56"/>
      <c r="B933" s="56"/>
      <c r="C933" s="56"/>
      <c r="D933" s="56"/>
      <c r="E933" s="56"/>
    </row>
    <row r="934" spans="1:5" ht="12.5" x14ac:dyDescent="0.25">
      <c r="A934" s="56"/>
      <c r="B934" s="56"/>
      <c r="C934" s="56"/>
      <c r="D934" s="56"/>
      <c r="E934" s="56"/>
    </row>
    <row r="935" spans="1:5" ht="12.5" x14ac:dyDescent="0.25">
      <c r="A935" s="56"/>
      <c r="B935" s="56"/>
      <c r="C935" s="56"/>
      <c r="D935" s="56"/>
      <c r="E935" s="56"/>
    </row>
    <row r="936" spans="1:5" ht="12.5" x14ac:dyDescent="0.25">
      <c r="A936" s="56"/>
      <c r="B936" s="56"/>
      <c r="C936" s="56"/>
      <c r="D936" s="56"/>
      <c r="E936" s="56"/>
    </row>
    <row r="937" spans="1:5" ht="12.5" x14ac:dyDescent="0.25">
      <c r="A937" s="56"/>
      <c r="B937" s="56"/>
      <c r="C937" s="56"/>
      <c r="D937" s="56"/>
      <c r="E937" s="56"/>
    </row>
    <row r="938" spans="1:5" ht="12.5" x14ac:dyDescent="0.25">
      <c r="A938" s="56"/>
      <c r="B938" s="56"/>
      <c r="C938" s="56"/>
      <c r="D938" s="56"/>
      <c r="E938" s="56"/>
    </row>
    <row r="939" spans="1:5" ht="12.5" x14ac:dyDescent="0.25">
      <c r="A939" s="56"/>
      <c r="B939" s="56"/>
      <c r="C939" s="56"/>
      <c r="D939" s="56"/>
      <c r="E939" s="56"/>
    </row>
    <row r="940" spans="1:5" ht="12.5" x14ac:dyDescent="0.25">
      <c r="A940" s="56"/>
      <c r="B940" s="56"/>
      <c r="C940" s="56"/>
      <c r="D940" s="56"/>
      <c r="E940" s="56"/>
    </row>
    <row r="941" spans="1:5" ht="12.5" x14ac:dyDescent="0.25">
      <c r="A941" s="56"/>
      <c r="B941" s="56"/>
      <c r="C941" s="56"/>
      <c r="D941" s="56"/>
      <c r="E941" s="56"/>
    </row>
    <row r="942" spans="1:5" ht="12.5" x14ac:dyDescent="0.25">
      <c r="A942" s="56"/>
      <c r="B942" s="56"/>
      <c r="C942" s="56"/>
      <c r="D942" s="56"/>
      <c r="E942" s="56"/>
    </row>
    <row r="943" spans="1:5" ht="12.5" x14ac:dyDescent="0.25">
      <c r="A943" s="56"/>
      <c r="B943" s="56"/>
      <c r="C943" s="56"/>
      <c r="D943" s="56"/>
      <c r="E943" s="56"/>
    </row>
    <row r="944" spans="1:5" ht="12.5" x14ac:dyDescent="0.25">
      <c r="A944" s="56"/>
      <c r="B944" s="56"/>
      <c r="C944" s="56"/>
      <c r="D944" s="56"/>
      <c r="E944" s="56"/>
    </row>
    <row r="945" spans="1:5" ht="12.5" x14ac:dyDescent="0.25">
      <c r="A945" s="56"/>
      <c r="B945" s="56"/>
      <c r="C945" s="56"/>
      <c r="D945" s="56"/>
      <c r="E945" s="56"/>
    </row>
    <row r="946" spans="1:5" ht="12.5" x14ac:dyDescent="0.25">
      <c r="A946" s="56"/>
      <c r="B946" s="56"/>
      <c r="C946" s="56"/>
      <c r="D946" s="56"/>
      <c r="E946" s="56"/>
    </row>
    <row r="947" spans="1:5" ht="12.5" x14ac:dyDescent="0.25">
      <c r="A947" s="56"/>
      <c r="B947" s="56"/>
      <c r="C947" s="56"/>
      <c r="D947" s="56"/>
      <c r="E947" s="56"/>
    </row>
    <row r="948" spans="1:5" ht="12.5" x14ac:dyDescent="0.25">
      <c r="A948" s="56"/>
      <c r="B948" s="56"/>
      <c r="C948" s="56"/>
      <c r="D948" s="56"/>
      <c r="E948" s="56"/>
    </row>
    <row r="949" spans="1:5" ht="12.5" x14ac:dyDescent="0.25">
      <c r="A949" s="56"/>
      <c r="B949" s="56"/>
      <c r="C949" s="56"/>
      <c r="D949" s="56"/>
      <c r="E949" s="56"/>
    </row>
    <row r="950" spans="1:5" ht="12.5" x14ac:dyDescent="0.25">
      <c r="A950" s="56"/>
      <c r="B950" s="56"/>
      <c r="C950" s="56"/>
      <c r="D950" s="56"/>
      <c r="E950" s="56"/>
    </row>
    <row r="951" spans="1:5" ht="12.5" x14ac:dyDescent="0.25">
      <c r="A951" s="56"/>
      <c r="B951" s="56"/>
      <c r="C951" s="56"/>
      <c r="D951" s="56"/>
      <c r="E951" s="56"/>
    </row>
    <row r="952" spans="1:5" ht="12.5" x14ac:dyDescent="0.25">
      <c r="A952" s="56"/>
      <c r="B952" s="56"/>
      <c r="C952" s="56"/>
      <c r="D952" s="56"/>
      <c r="E952" s="56"/>
    </row>
    <row r="953" spans="1:5" ht="12.5" x14ac:dyDescent="0.25">
      <c r="A953" s="56"/>
      <c r="B953" s="56"/>
      <c r="C953" s="56"/>
      <c r="D953" s="56"/>
      <c r="E953" s="56"/>
    </row>
    <row r="954" spans="1:5" ht="12.5" x14ac:dyDescent="0.25">
      <c r="A954" s="56"/>
      <c r="B954" s="56"/>
      <c r="C954" s="56"/>
      <c r="D954" s="56"/>
      <c r="E954" s="56"/>
    </row>
    <row r="955" spans="1:5" ht="12.5" x14ac:dyDescent="0.25">
      <c r="A955" s="56"/>
      <c r="B955" s="56"/>
      <c r="C955" s="56"/>
      <c r="D955" s="56"/>
      <c r="E955" s="56"/>
    </row>
    <row r="956" spans="1:5" ht="12.5" x14ac:dyDescent="0.25">
      <c r="A956" s="56"/>
      <c r="B956" s="56"/>
      <c r="C956" s="56"/>
      <c r="D956" s="56"/>
      <c r="E956" s="56"/>
    </row>
    <row r="957" spans="1:5" ht="12.5" x14ac:dyDescent="0.25">
      <c r="A957" s="56"/>
      <c r="B957" s="56"/>
      <c r="C957" s="56"/>
      <c r="D957" s="56"/>
      <c r="E957" s="56"/>
    </row>
    <row r="958" spans="1:5" ht="12.5" x14ac:dyDescent="0.25">
      <c r="A958" s="56"/>
      <c r="B958" s="56"/>
      <c r="C958" s="56"/>
      <c r="D958" s="56"/>
      <c r="E958" s="56"/>
    </row>
    <row r="959" spans="1:5" ht="12.5" x14ac:dyDescent="0.25">
      <c r="A959" s="56"/>
      <c r="B959" s="56"/>
      <c r="C959" s="56"/>
      <c r="D959" s="56"/>
      <c r="E959" s="56"/>
    </row>
    <row r="960" spans="1:5" ht="12.5" x14ac:dyDescent="0.25">
      <c r="A960" s="56"/>
      <c r="B960" s="56"/>
      <c r="C960" s="56"/>
      <c r="D960" s="56"/>
      <c r="E960" s="56"/>
    </row>
    <row r="961" spans="1:5" ht="12.5" x14ac:dyDescent="0.25">
      <c r="A961" s="56"/>
      <c r="B961" s="56"/>
      <c r="C961" s="56"/>
      <c r="D961" s="56"/>
      <c r="E961" s="56"/>
    </row>
    <row r="962" spans="1:5" ht="12.5" x14ac:dyDescent="0.25">
      <c r="A962" s="56"/>
      <c r="B962" s="56"/>
      <c r="C962" s="56"/>
      <c r="D962" s="56"/>
      <c r="E962" s="56"/>
    </row>
    <row r="963" spans="1:5" ht="12.5" x14ac:dyDescent="0.25">
      <c r="A963" s="56"/>
      <c r="B963" s="56"/>
      <c r="C963" s="56"/>
      <c r="D963" s="56"/>
      <c r="E963" s="56"/>
    </row>
    <row r="964" spans="1:5" ht="12.5" x14ac:dyDescent="0.25">
      <c r="A964" s="56"/>
      <c r="B964" s="56"/>
      <c r="C964" s="56"/>
      <c r="D964" s="56"/>
      <c r="E964" s="56"/>
    </row>
    <row r="965" spans="1:5" ht="12.5" x14ac:dyDescent="0.25">
      <c r="A965" s="56"/>
      <c r="B965" s="56"/>
      <c r="C965" s="56"/>
      <c r="D965" s="56"/>
      <c r="E965" s="56"/>
    </row>
    <row r="966" spans="1:5" ht="12.5" x14ac:dyDescent="0.25">
      <c r="A966" s="56"/>
      <c r="B966" s="56"/>
      <c r="C966" s="56"/>
      <c r="D966" s="56"/>
      <c r="E966" s="56"/>
    </row>
    <row r="967" spans="1:5" ht="12.5" x14ac:dyDescent="0.25">
      <c r="A967" s="56"/>
      <c r="B967" s="56"/>
      <c r="C967" s="56"/>
      <c r="D967" s="56"/>
      <c r="E967" s="56"/>
    </row>
    <row r="968" spans="1:5" ht="12.5" x14ac:dyDescent="0.25">
      <c r="A968" s="56"/>
      <c r="B968" s="56"/>
      <c r="C968" s="56"/>
      <c r="D968" s="56"/>
      <c r="E968" s="56"/>
    </row>
    <row r="969" spans="1:5" ht="12.5" x14ac:dyDescent="0.25">
      <c r="A969" s="56"/>
      <c r="B969" s="56"/>
      <c r="C969" s="56"/>
      <c r="D969" s="56"/>
      <c r="E969" s="56"/>
    </row>
    <row r="970" spans="1:5" ht="12.5" x14ac:dyDescent="0.25">
      <c r="A970" s="56"/>
      <c r="B970" s="56"/>
      <c r="C970" s="56"/>
      <c r="D970" s="56"/>
      <c r="E970" s="56"/>
    </row>
    <row r="971" spans="1:5" ht="12.5" x14ac:dyDescent="0.25">
      <c r="A971" s="56"/>
      <c r="B971" s="56"/>
      <c r="C971" s="56"/>
      <c r="D971" s="56"/>
      <c r="E971" s="56"/>
    </row>
    <row r="972" spans="1:5" ht="12.5" x14ac:dyDescent="0.25">
      <c r="A972" s="56"/>
      <c r="B972" s="56"/>
      <c r="C972" s="56"/>
      <c r="D972" s="56"/>
      <c r="E972" s="56"/>
    </row>
    <row r="973" spans="1:5" ht="12.5" x14ac:dyDescent="0.25">
      <c r="A973" s="56"/>
      <c r="B973" s="56"/>
      <c r="C973" s="56"/>
      <c r="D973" s="56"/>
      <c r="E973" s="56"/>
    </row>
    <row r="974" spans="1:5" ht="12.5" x14ac:dyDescent="0.25">
      <c r="A974" s="56"/>
      <c r="B974" s="56"/>
      <c r="C974" s="56"/>
      <c r="D974" s="56"/>
      <c r="E974" s="56"/>
    </row>
    <row r="975" spans="1:5" ht="12.5" x14ac:dyDescent="0.25">
      <c r="A975" s="56"/>
      <c r="B975" s="56"/>
      <c r="C975" s="56"/>
      <c r="D975" s="56"/>
      <c r="E975" s="56"/>
    </row>
    <row r="976" spans="1:5" ht="12.5" x14ac:dyDescent="0.25">
      <c r="A976" s="56"/>
      <c r="B976" s="56"/>
      <c r="C976" s="56"/>
      <c r="D976" s="56"/>
      <c r="E976" s="56"/>
    </row>
    <row r="977" spans="1:5" ht="12.5" x14ac:dyDescent="0.25">
      <c r="A977" s="56"/>
      <c r="B977" s="56"/>
      <c r="C977" s="56"/>
      <c r="D977" s="56"/>
      <c r="E977" s="56"/>
    </row>
    <row r="978" spans="1:5" ht="12.5" x14ac:dyDescent="0.25">
      <c r="A978" s="56"/>
      <c r="B978" s="56"/>
      <c r="C978" s="56"/>
      <c r="D978" s="56"/>
      <c r="E978" s="56"/>
    </row>
    <row r="979" spans="1:5" ht="12.5" x14ac:dyDescent="0.25">
      <c r="A979" s="56"/>
      <c r="B979" s="56"/>
      <c r="C979" s="56"/>
      <c r="D979" s="56"/>
      <c r="E979" s="56"/>
    </row>
    <row r="980" spans="1:5" ht="12.5" x14ac:dyDescent="0.25">
      <c r="A980" s="56"/>
      <c r="B980" s="56"/>
      <c r="C980" s="56"/>
      <c r="D980" s="56"/>
      <c r="E980" s="56"/>
    </row>
    <row r="981" spans="1:5" ht="12.5" x14ac:dyDescent="0.25">
      <c r="A981" s="56"/>
      <c r="B981" s="56"/>
      <c r="C981" s="56"/>
      <c r="D981" s="56"/>
      <c r="E981" s="56"/>
    </row>
    <row r="982" spans="1:5" ht="12.5" x14ac:dyDescent="0.25">
      <c r="A982" s="56"/>
      <c r="B982" s="56"/>
      <c r="C982" s="56"/>
      <c r="D982" s="56"/>
      <c r="E982" s="56"/>
    </row>
    <row r="983" spans="1:5" ht="12.5" x14ac:dyDescent="0.25">
      <c r="A983" s="56"/>
      <c r="B983" s="56"/>
      <c r="C983" s="56"/>
      <c r="D983" s="56"/>
      <c r="E983" s="56"/>
    </row>
    <row r="984" spans="1:5" ht="12.5" x14ac:dyDescent="0.25">
      <c r="A984" s="56"/>
      <c r="B984" s="56"/>
      <c r="C984" s="56"/>
      <c r="D984" s="56"/>
      <c r="E984" s="56"/>
    </row>
    <row r="985" spans="1:5" ht="12.5" x14ac:dyDescent="0.25">
      <c r="A985" s="56"/>
      <c r="B985" s="56"/>
      <c r="C985" s="56"/>
      <c r="D985" s="56"/>
      <c r="E985" s="56"/>
    </row>
    <row r="986" spans="1:5" ht="12.5" x14ac:dyDescent="0.25">
      <c r="A986" s="56"/>
      <c r="B986" s="56"/>
      <c r="C986" s="56"/>
      <c r="D986" s="56"/>
      <c r="E986" s="56"/>
    </row>
    <row r="987" spans="1:5" ht="12.5" x14ac:dyDescent="0.25">
      <c r="A987" s="56"/>
      <c r="B987" s="56"/>
      <c r="C987" s="56"/>
      <c r="D987" s="56"/>
      <c r="E987" s="56"/>
    </row>
    <row r="988" spans="1:5" ht="12.5" x14ac:dyDescent="0.25">
      <c r="A988" s="56"/>
      <c r="B988" s="56"/>
      <c r="C988" s="56"/>
      <c r="D988" s="56"/>
      <c r="E988" s="56"/>
    </row>
    <row r="989" spans="1:5" ht="12.5" x14ac:dyDescent="0.25">
      <c r="A989" s="56"/>
      <c r="B989" s="56"/>
      <c r="C989" s="56"/>
      <c r="D989" s="56"/>
      <c r="E989" s="56"/>
    </row>
    <row r="990" spans="1:5" ht="12.5" x14ac:dyDescent="0.25">
      <c r="A990" s="56"/>
      <c r="B990" s="56"/>
      <c r="C990" s="56"/>
      <c r="D990" s="56"/>
      <c r="E990" s="56"/>
    </row>
    <row r="991" spans="1:5" ht="12.5" x14ac:dyDescent="0.25">
      <c r="A991" s="56"/>
      <c r="B991" s="56"/>
      <c r="C991" s="56"/>
      <c r="D991" s="56"/>
      <c r="E991" s="56"/>
    </row>
    <row r="992" spans="1:5" ht="12.5" x14ac:dyDescent="0.25">
      <c r="A992" s="56"/>
      <c r="B992" s="56"/>
      <c r="C992" s="56"/>
      <c r="D992" s="56"/>
      <c r="E992" s="56"/>
    </row>
    <row r="993" spans="1:5" ht="12.5" x14ac:dyDescent="0.25">
      <c r="A993" s="56"/>
      <c r="B993" s="56"/>
      <c r="C993" s="56"/>
      <c r="D993" s="56"/>
      <c r="E993" s="56"/>
    </row>
    <row r="994" spans="1:5" ht="12.5" x14ac:dyDescent="0.25">
      <c r="A994" s="56"/>
      <c r="B994" s="56"/>
      <c r="C994" s="56"/>
      <c r="D994" s="56"/>
      <c r="E994" s="56"/>
    </row>
    <row r="995" spans="1:5" ht="12.5" x14ac:dyDescent="0.25">
      <c r="A995" s="56"/>
      <c r="B995" s="56"/>
      <c r="C995" s="56"/>
      <c r="D995" s="56"/>
      <c r="E995" s="56"/>
    </row>
    <row r="996" spans="1:5" ht="12.5" x14ac:dyDescent="0.25">
      <c r="A996" s="56"/>
      <c r="B996" s="56"/>
      <c r="C996" s="56"/>
      <c r="D996" s="56"/>
      <c r="E996" s="56"/>
    </row>
    <row r="997" spans="1:5" ht="12.5" x14ac:dyDescent="0.25">
      <c r="A997" s="56"/>
      <c r="B997" s="56"/>
      <c r="C997" s="56"/>
      <c r="D997" s="56"/>
      <c r="E997" s="56"/>
    </row>
    <row r="998" spans="1:5" ht="12.5" x14ac:dyDescent="0.25">
      <c r="A998" s="56"/>
      <c r="B998" s="56"/>
      <c r="C998" s="56"/>
      <c r="D998" s="56"/>
      <c r="E998" s="5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L909"/>
  <sheetViews>
    <sheetView workbookViewId="0"/>
  </sheetViews>
  <sheetFormatPr defaultColWidth="14.453125" defaultRowHeight="15.75" customHeight="1" x14ac:dyDescent="0.25"/>
  <cols>
    <col min="1" max="1" width="4" customWidth="1"/>
    <col min="2" max="2" width="20.54296875" customWidth="1"/>
    <col min="3" max="3" width="19.26953125" customWidth="1"/>
    <col min="4" max="4" width="15.26953125" customWidth="1"/>
    <col min="6" max="15" width="21.08984375" customWidth="1"/>
    <col min="17" max="17" width="22.54296875" customWidth="1"/>
    <col min="18" max="18" width="23.54296875" customWidth="1"/>
    <col min="20" max="20" width="17.54296875" customWidth="1"/>
    <col min="21" max="21" width="17.453125" customWidth="1"/>
    <col min="22" max="22" width="18.453125" customWidth="1"/>
    <col min="23" max="23" width="18.26953125" customWidth="1"/>
    <col min="24" max="24" width="22.08984375" customWidth="1"/>
    <col min="25" max="26" width="18.26953125" customWidth="1"/>
    <col min="28" max="28" width="16.453125" customWidth="1"/>
    <col min="29" max="29" width="18.54296875" customWidth="1"/>
    <col min="32" max="32" width="19" customWidth="1"/>
    <col min="35" max="35" width="18.81640625" customWidth="1"/>
    <col min="38" max="38" width="18.54296875" customWidth="1"/>
    <col min="41" max="41" width="20.08984375" customWidth="1"/>
    <col min="44" max="44" width="19.08984375" customWidth="1"/>
    <col min="47" max="47" width="19" customWidth="1"/>
    <col min="50" max="50" width="17.26953125" customWidth="1"/>
    <col min="53" max="53" width="17" customWidth="1"/>
    <col min="56" max="56" width="17.54296875" customWidth="1"/>
    <col min="59" max="59" width="20.81640625" customWidth="1"/>
    <col min="62" max="62" width="20.453125" customWidth="1"/>
    <col min="65" max="65" width="21.54296875" customWidth="1"/>
    <col min="68" max="68" width="19.81640625" customWidth="1"/>
    <col min="71" max="71" width="17.7265625" customWidth="1"/>
    <col min="74" max="74" width="19.453125" customWidth="1"/>
    <col min="77" max="77" width="17.81640625" customWidth="1"/>
    <col min="80" max="80" width="18.453125" customWidth="1"/>
    <col min="83" max="83" width="20" customWidth="1"/>
    <col min="84" max="84" width="19.26953125" customWidth="1"/>
    <col min="86" max="86" width="21.08984375" customWidth="1"/>
    <col min="89" max="89" width="20.08984375" customWidth="1"/>
    <col min="92" max="92" width="17.7265625" customWidth="1"/>
    <col min="95" max="95" width="19.08984375" customWidth="1"/>
    <col min="98" max="98" width="18.08984375" customWidth="1"/>
    <col min="101" max="101" width="19.7265625" customWidth="1"/>
    <col min="104" max="104" width="20.08984375" customWidth="1"/>
    <col min="107" max="107" width="19.26953125" customWidth="1"/>
    <col min="110" max="110" width="19" customWidth="1"/>
  </cols>
  <sheetData>
    <row r="1" spans="1:116" ht="29" x14ac:dyDescent="0.35">
      <c r="A1" s="176" t="s">
        <v>63</v>
      </c>
      <c r="B1" s="176" t="s">
        <v>476</v>
      </c>
      <c r="C1" s="176" t="s">
        <v>477</v>
      </c>
      <c r="D1" s="176" t="s">
        <v>478</v>
      </c>
      <c r="E1" s="177" t="s">
        <v>479</v>
      </c>
      <c r="F1" s="228" t="s">
        <v>480</v>
      </c>
      <c r="G1" s="217"/>
      <c r="H1" s="218"/>
      <c r="I1" s="228" t="s">
        <v>481</v>
      </c>
      <c r="J1" s="217"/>
      <c r="K1" s="218"/>
      <c r="L1" s="228" t="s">
        <v>482</v>
      </c>
      <c r="M1" s="217"/>
      <c r="N1" s="218"/>
      <c r="O1" s="228" t="s">
        <v>483</v>
      </c>
      <c r="P1" s="217"/>
      <c r="Q1" s="218"/>
      <c r="R1" s="228" t="s">
        <v>484</v>
      </c>
      <c r="S1" s="217"/>
      <c r="T1" s="218"/>
      <c r="U1" s="228" t="s">
        <v>485</v>
      </c>
      <c r="V1" s="217"/>
      <c r="W1" s="218"/>
      <c r="X1" s="228" t="s">
        <v>486</v>
      </c>
      <c r="Y1" s="217"/>
      <c r="Z1" s="218"/>
      <c r="AA1" s="228" t="s">
        <v>487</v>
      </c>
      <c r="AB1" s="217"/>
      <c r="AC1" s="218"/>
      <c r="AD1" s="228" t="s">
        <v>488</v>
      </c>
      <c r="AE1" s="217"/>
      <c r="AF1" s="218"/>
      <c r="AG1" s="228" t="s">
        <v>489</v>
      </c>
      <c r="AH1" s="217"/>
      <c r="AI1" s="218"/>
      <c r="AJ1" s="228" t="s">
        <v>490</v>
      </c>
      <c r="AK1" s="217"/>
      <c r="AL1" s="218"/>
      <c r="AM1" s="228" t="s">
        <v>491</v>
      </c>
      <c r="AN1" s="217"/>
      <c r="AO1" s="218"/>
      <c r="AP1" s="228" t="s">
        <v>492</v>
      </c>
      <c r="AQ1" s="217"/>
      <c r="AR1" s="218"/>
      <c r="AS1" s="228" t="s">
        <v>493</v>
      </c>
      <c r="AT1" s="217"/>
      <c r="AU1" s="218"/>
      <c r="AV1" s="228" t="s">
        <v>494</v>
      </c>
      <c r="AW1" s="217"/>
      <c r="AX1" s="218"/>
      <c r="AY1" s="228" t="s">
        <v>495</v>
      </c>
      <c r="AZ1" s="217"/>
      <c r="BA1" s="218"/>
      <c r="BB1" s="228" t="s">
        <v>496</v>
      </c>
      <c r="BC1" s="217"/>
      <c r="BD1" s="218"/>
      <c r="BE1" s="228" t="s">
        <v>497</v>
      </c>
      <c r="BF1" s="217"/>
      <c r="BG1" s="218"/>
      <c r="BH1" s="228" t="s">
        <v>498</v>
      </c>
      <c r="BI1" s="217"/>
      <c r="BJ1" s="218"/>
      <c r="BK1" s="228" t="s">
        <v>499</v>
      </c>
      <c r="BL1" s="217"/>
      <c r="BM1" s="218"/>
      <c r="BN1" s="228" t="s">
        <v>500</v>
      </c>
      <c r="BO1" s="217"/>
      <c r="BP1" s="218"/>
      <c r="BQ1" s="228" t="s">
        <v>501</v>
      </c>
      <c r="BR1" s="217"/>
      <c r="BS1" s="218"/>
      <c r="BT1" s="228" t="s">
        <v>502</v>
      </c>
      <c r="BU1" s="217"/>
      <c r="BV1" s="218"/>
      <c r="BW1" s="228" t="s">
        <v>503</v>
      </c>
      <c r="BX1" s="217"/>
      <c r="BY1" s="218"/>
      <c r="BZ1" s="228" t="s">
        <v>504</v>
      </c>
      <c r="CA1" s="217"/>
      <c r="CB1" s="218"/>
      <c r="CC1" s="228" t="s">
        <v>505</v>
      </c>
      <c r="CD1" s="217"/>
      <c r="CE1" s="218"/>
      <c r="CF1" s="228" t="s">
        <v>506</v>
      </c>
      <c r="CG1" s="217"/>
      <c r="CH1" s="218"/>
      <c r="CI1" s="228" t="s">
        <v>507</v>
      </c>
      <c r="CJ1" s="217"/>
      <c r="CK1" s="218"/>
      <c r="CL1" s="228" t="s">
        <v>508</v>
      </c>
      <c r="CM1" s="217"/>
      <c r="CN1" s="218"/>
      <c r="CO1" s="228" t="s">
        <v>509</v>
      </c>
      <c r="CP1" s="217"/>
      <c r="CQ1" s="218"/>
      <c r="CR1" s="228" t="s">
        <v>510</v>
      </c>
      <c r="CS1" s="217"/>
      <c r="CT1" s="218"/>
      <c r="CU1" s="228" t="s">
        <v>511</v>
      </c>
      <c r="CV1" s="217"/>
      <c r="CW1" s="218"/>
      <c r="CX1" s="228" t="s">
        <v>512</v>
      </c>
      <c r="CY1" s="217"/>
      <c r="CZ1" s="218"/>
      <c r="DA1" s="228" t="s">
        <v>513</v>
      </c>
      <c r="DB1" s="217"/>
      <c r="DC1" s="218"/>
      <c r="DD1" s="228" t="s">
        <v>514</v>
      </c>
      <c r="DE1" s="217"/>
      <c r="DF1" s="218"/>
      <c r="DG1" s="178"/>
      <c r="DH1" s="178"/>
      <c r="DI1" s="178"/>
      <c r="DJ1" s="178"/>
      <c r="DK1" s="178"/>
      <c r="DL1" s="178"/>
    </row>
    <row r="2" spans="1:116" ht="50.25" customHeight="1" x14ac:dyDescent="0.35">
      <c r="A2" s="176" t="s">
        <v>63</v>
      </c>
      <c r="B2" s="176" t="s">
        <v>476</v>
      </c>
      <c r="C2" s="176" t="s">
        <v>477</v>
      </c>
      <c r="D2" s="176" t="s">
        <v>478</v>
      </c>
      <c r="E2" s="177" t="s">
        <v>479</v>
      </c>
      <c r="F2" s="179" t="s">
        <v>515</v>
      </c>
      <c r="G2" s="179" t="s">
        <v>516</v>
      </c>
      <c r="H2" s="179" t="s">
        <v>517</v>
      </c>
      <c r="I2" s="179" t="s">
        <v>515</v>
      </c>
      <c r="J2" s="179" t="s">
        <v>516</v>
      </c>
      <c r="K2" s="179" t="s">
        <v>517</v>
      </c>
      <c r="L2" s="179" t="s">
        <v>515</v>
      </c>
      <c r="M2" s="179" t="s">
        <v>516</v>
      </c>
      <c r="N2" s="179" t="s">
        <v>517</v>
      </c>
      <c r="O2" s="179" t="s">
        <v>515</v>
      </c>
      <c r="P2" s="179" t="s">
        <v>516</v>
      </c>
      <c r="Q2" s="179" t="s">
        <v>517</v>
      </c>
      <c r="R2" s="179" t="s">
        <v>515</v>
      </c>
      <c r="S2" s="179" t="s">
        <v>516</v>
      </c>
      <c r="T2" s="179" t="s">
        <v>517</v>
      </c>
      <c r="U2" s="179" t="s">
        <v>515</v>
      </c>
      <c r="V2" s="179" t="s">
        <v>516</v>
      </c>
      <c r="W2" s="179" t="s">
        <v>517</v>
      </c>
      <c r="X2" s="179" t="s">
        <v>515</v>
      </c>
      <c r="Y2" s="180" t="s">
        <v>516</v>
      </c>
      <c r="Z2" s="180" t="s">
        <v>517</v>
      </c>
      <c r="AA2" s="179" t="s">
        <v>515</v>
      </c>
      <c r="AB2" s="180" t="s">
        <v>516</v>
      </c>
      <c r="AC2" s="180" t="s">
        <v>517</v>
      </c>
      <c r="AD2" s="179" t="s">
        <v>515</v>
      </c>
      <c r="AE2" s="180" t="s">
        <v>516</v>
      </c>
      <c r="AF2" s="180" t="s">
        <v>517</v>
      </c>
      <c r="AG2" s="179" t="s">
        <v>515</v>
      </c>
      <c r="AH2" s="180" t="s">
        <v>516</v>
      </c>
      <c r="AI2" s="180" t="s">
        <v>517</v>
      </c>
      <c r="AJ2" s="179" t="s">
        <v>515</v>
      </c>
      <c r="AK2" s="180" t="s">
        <v>516</v>
      </c>
      <c r="AL2" s="180" t="s">
        <v>517</v>
      </c>
      <c r="AM2" s="179" t="s">
        <v>515</v>
      </c>
      <c r="AN2" s="180" t="s">
        <v>516</v>
      </c>
      <c r="AO2" s="180" t="s">
        <v>517</v>
      </c>
      <c r="AP2" s="179" t="s">
        <v>515</v>
      </c>
      <c r="AQ2" s="180" t="s">
        <v>516</v>
      </c>
      <c r="AR2" s="180" t="s">
        <v>517</v>
      </c>
      <c r="AS2" s="179" t="s">
        <v>515</v>
      </c>
      <c r="AT2" s="180" t="s">
        <v>516</v>
      </c>
      <c r="AU2" s="180" t="s">
        <v>517</v>
      </c>
      <c r="AV2" s="179" t="s">
        <v>515</v>
      </c>
      <c r="AW2" s="180" t="s">
        <v>516</v>
      </c>
      <c r="AX2" s="180" t="s">
        <v>517</v>
      </c>
      <c r="AY2" s="179" t="s">
        <v>515</v>
      </c>
      <c r="AZ2" s="180" t="s">
        <v>516</v>
      </c>
      <c r="BA2" s="180" t="s">
        <v>517</v>
      </c>
      <c r="BB2" s="179" t="s">
        <v>515</v>
      </c>
      <c r="BC2" s="180" t="s">
        <v>516</v>
      </c>
      <c r="BD2" s="180" t="s">
        <v>517</v>
      </c>
      <c r="BE2" s="179" t="s">
        <v>515</v>
      </c>
      <c r="BF2" s="180" t="s">
        <v>516</v>
      </c>
      <c r="BG2" s="180" t="s">
        <v>517</v>
      </c>
      <c r="BH2" s="179" t="s">
        <v>515</v>
      </c>
      <c r="BI2" s="180" t="s">
        <v>516</v>
      </c>
      <c r="BJ2" s="180" t="s">
        <v>517</v>
      </c>
      <c r="BK2" s="179" t="s">
        <v>515</v>
      </c>
      <c r="BL2" s="180" t="s">
        <v>516</v>
      </c>
      <c r="BM2" s="180" t="s">
        <v>517</v>
      </c>
      <c r="BN2" s="179" t="s">
        <v>515</v>
      </c>
      <c r="BO2" s="180" t="s">
        <v>516</v>
      </c>
      <c r="BP2" s="180" t="s">
        <v>517</v>
      </c>
      <c r="BQ2" s="179" t="s">
        <v>515</v>
      </c>
      <c r="BR2" s="180" t="s">
        <v>516</v>
      </c>
      <c r="BS2" s="180" t="s">
        <v>517</v>
      </c>
      <c r="BT2" s="179" t="s">
        <v>515</v>
      </c>
      <c r="BU2" s="180" t="s">
        <v>516</v>
      </c>
      <c r="BV2" s="180" t="s">
        <v>517</v>
      </c>
      <c r="BW2" s="179" t="s">
        <v>515</v>
      </c>
      <c r="BX2" s="180" t="s">
        <v>516</v>
      </c>
      <c r="BY2" s="180" t="s">
        <v>517</v>
      </c>
      <c r="BZ2" s="179" t="s">
        <v>515</v>
      </c>
      <c r="CA2" s="180" t="s">
        <v>516</v>
      </c>
      <c r="CB2" s="180" t="s">
        <v>517</v>
      </c>
      <c r="CC2" s="179" t="s">
        <v>515</v>
      </c>
      <c r="CD2" s="180" t="s">
        <v>516</v>
      </c>
      <c r="CE2" s="180" t="s">
        <v>517</v>
      </c>
      <c r="CF2" s="179" t="s">
        <v>515</v>
      </c>
      <c r="CG2" s="180" t="s">
        <v>516</v>
      </c>
      <c r="CH2" s="180" t="s">
        <v>517</v>
      </c>
      <c r="CI2" s="179" t="s">
        <v>515</v>
      </c>
      <c r="CJ2" s="180" t="s">
        <v>516</v>
      </c>
      <c r="CK2" s="180" t="s">
        <v>517</v>
      </c>
      <c r="CL2" s="179" t="s">
        <v>515</v>
      </c>
      <c r="CM2" s="180" t="s">
        <v>516</v>
      </c>
      <c r="CN2" s="180" t="s">
        <v>517</v>
      </c>
      <c r="CO2" s="179" t="s">
        <v>515</v>
      </c>
      <c r="CP2" s="180" t="s">
        <v>516</v>
      </c>
      <c r="CQ2" s="180" t="s">
        <v>517</v>
      </c>
      <c r="CR2" s="179" t="s">
        <v>515</v>
      </c>
      <c r="CS2" s="180" t="s">
        <v>516</v>
      </c>
      <c r="CT2" s="180" t="s">
        <v>517</v>
      </c>
      <c r="CU2" s="179" t="s">
        <v>515</v>
      </c>
      <c r="CV2" s="180" t="s">
        <v>516</v>
      </c>
      <c r="CW2" s="180" t="s">
        <v>517</v>
      </c>
      <c r="CX2" s="179" t="s">
        <v>515</v>
      </c>
      <c r="CY2" s="180" t="s">
        <v>516</v>
      </c>
      <c r="CZ2" s="180" t="s">
        <v>517</v>
      </c>
      <c r="DA2" s="179" t="s">
        <v>515</v>
      </c>
      <c r="DB2" s="180" t="s">
        <v>516</v>
      </c>
      <c r="DC2" s="180" t="s">
        <v>517</v>
      </c>
      <c r="DD2" s="179" t="s">
        <v>515</v>
      </c>
      <c r="DE2" s="180" t="s">
        <v>516</v>
      </c>
      <c r="DF2" s="180" t="s">
        <v>517</v>
      </c>
      <c r="DG2" s="69"/>
      <c r="DH2" s="69"/>
      <c r="DI2" s="69"/>
      <c r="DJ2" s="69"/>
      <c r="DK2" s="69"/>
      <c r="DL2" s="69"/>
    </row>
    <row r="3" spans="1:116" ht="15.5" x14ac:dyDescent="0.35">
      <c r="A3" s="181">
        <v>1</v>
      </c>
      <c r="B3" s="182" t="s">
        <v>518</v>
      </c>
      <c r="C3" s="181" t="s">
        <v>519</v>
      </c>
      <c r="D3" s="181">
        <v>393257</v>
      </c>
      <c r="E3" s="181">
        <v>5333</v>
      </c>
      <c r="F3" s="183">
        <v>74966</v>
      </c>
      <c r="G3" s="184" t="s">
        <v>520</v>
      </c>
      <c r="H3" s="183">
        <v>37590</v>
      </c>
      <c r="I3" s="183">
        <v>897</v>
      </c>
      <c r="J3" s="184" t="str">
        <f t="shared" ref="J3:J46" si="0">IF(I3&gt;=E3,"Tercapai","Tidak Tercapai")</f>
        <v>Tidak Tercapai</v>
      </c>
      <c r="K3" s="183">
        <v>0</v>
      </c>
      <c r="L3" s="183">
        <v>0</v>
      </c>
      <c r="M3" s="184" t="str">
        <f t="shared" ref="M3:M46" si="1">IF(L3&gt;=E3,"Tercapai","Tidak Tercapai")</f>
        <v>Tidak Tercapai</v>
      </c>
      <c r="N3" s="183">
        <v>0</v>
      </c>
      <c r="O3" s="181">
        <v>2258</v>
      </c>
      <c r="P3" s="184" t="str">
        <f t="shared" ref="P3:P46" si="2">IF(O3&gt;=E3,"Tercapai","Tidak Tercapai")</f>
        <v>Tidak Tercapai</v>
      </c>
      <c r="Q3" s="185">
        <v>36</v>
      </c>
      <c r="R3" s="181">
        <v>1958</v>
      </c>
      <c r="S3" s="186" t="str">
        <f t="shared" ref="S3:S46" si="3">IF(R3&gt;=E3,"Tercapai","Tidak Tercapai")</f>
        <v>Tidak Tercapai</v>
      </c>
      <c r="T3" s="185">
        <v>37</v>
      </c>
      <c r="U3" s="187">
        <v>2296</v>
      </c>
      <c r="V3" s="186" t="str">
        <f t="shared" ref="V3:V46" si="4">IF(U3&gt;=R3,"Tercapai","Tidak Tercapai")</f>
        <v>Tercapai</v>
      </c>
      <c r="W3" s="188">
        <v>32</v>
      </c>
      <c r="X3" s="188">
        <v>2331</v>
      </c>
      <c r="Y3" s="189" t="str">
        <f t="shared" ref="Y3:Y46" si="5">IF(X3&gt;=E3,"Tercapai","Tidak Tercapai")</f>
        <v>Tidak Tercapai</v>
      </c>
      <c r="Z3" s="190">
        <v>9</v>
      </c>
      <c r="AA3" s="191">
        <v>2961</v>
      </c>
      <c r="AB3" s="192" t="str">
        <f t="shared" ref="AB3:AB46" si="6">IF(AA3&gt;=E3,"Tercapai","Tidak Tercapai")</f>
        <v>Tidak Tercapai</v>
      </c>
      <c r="AC3" s="191">
        <v>52</v>
      </c>
      <c r="AD3" s="191">
        <v>351</v>
      </c>
      <c r="AE3" s="192" t="str">
        <f t="shared" ref="AE3:AE46" si="7">IF(AD3&gt;=E3,"Tercapai","Tidak Tercapai")</f>
        <v>Tidak Tercapai</v>
      </c>
      <c r="AF3" s="191">
        <v>0</v>
      </c>
      <c r="AG3" s="191">
        <v>137</v>
      </c>
      <c r="AH3" s="192" t="str">
        <f t="shared" ref="AH3:AH46" si="8">IF(AG3&gt;=E3,"Tercapai","Tidak Tercapai")</f>
        <v>Tidak Tercapai</v>
      </c>
      <c r="AI3" s="191">
        <v>1</v>
      </c>
      <c r="AJ3" s="191">
        <v>4002</v>
      </c>
      <c r="AK3" s="192" t="str">
        <f t="shared" ref="AK3:AK46" si="9">IF(AJ3&gt;=E3,"Tercapai","Tidak Tercapai")</f>
        <v>Tidak Tercapai</v>
      </c>
      <c r="AL3" s="191">
        <v>15</v>
      </c>
      <c r="AM3" s="191">
        <v>1011</v>
      </c>
      <c r="AN3" s="192" t="str">
        <f t="shared" ref="AN3:AN46" si="10">IF(AM3&gt;=E3,"Tercapai","Tidak Tercapai")</f>
        <v>Tidak Tercapai</v>
      </c>
      <c r="AO3" s="191">
        <v>74</v>
      </c>
      <c r="AP3" s="191">
        <v>3461</v>
      </c>
      <c r="AQ3" s="192" t="str">
        <f t="shared" ref="AQ3:AQ46" si="11">IF(AP3&gt;=E3,"Tercapai","Tidak Tercapai")</f>
        <v>Tidak Tercapai</v>
      </c>
      <c r="AR3" s="191">
        <v>28</v>
      </c>
      <c r="AS3" s="191">
        <v>2517</v>
      </c>
      <c r="AT3" s="192" t="str">
        <f t="shared" ref="AT3:AT46" si="12">IF(AS3&gt;=E3,"Tercapai","Tidak Tercapai")</f>
        <v>Tidak Tercapai</v>
      </c>
      <c r="AU3" s="191">
        <v>19</v>
      </c>
      <c r="AV3" s="183">
        <v>3113</v>
      </c>
      <c r="AW3" s="192" t="str">
        <f t="shared" ref="AW3:AW46" si="13">IF(AV3&gt;=E3,"Tercapai","Tidak Tercapai")</f>
        <v>Tidak Tercapai</v>
      </c>
      <c r="AX3" s="191">
        <v>53</v>
      </c>
      <c r="AY3" s="191">
        <v>565</v>
      </c>
      <c r="AZ3" s="192" t="str">
        <f t="shared" ref="AZ3:AZ46" si="14">IF(AY3&gt;=E3,"Tercapai","Tidak Tercapai")</f>
        <v>Tidak Tercapai</v>
      </c>
      <c r="BA3" s="191">
        <v>1</v>
      </c>
      <c r="BB3" s="193">
        <v>1439</v>
      </c>
      <c r="BC3" s="192" t="str">
        <f t="shared" ref="BC3:BC46" si="15">IF(BB3&gt;=E3,"Tercapai","Tidak Tercapai")</f>
        <v>Tidak Tercapai</v>
      </c>
      <c r="BD3" s="191">
        <v>0</v>
      </c>
      <c r="BE3" s="191">
        <v>2267</v>
      </c>
      <c r="BF3" s="192" t="str">
        <f t="shared" ref="BF3:BF46" si="16">IF(BE3&gt;=E3,"Tercapai","Tidak Tercapai")</f>
        <v>Tidak Tercapai</v>
      </c>
      <c r="BG3" s="183">
        <v>38</v>
      </c>
      <c r="BH3" s="191">
        <v>2014</v>
      </c>
      <c r="BI3" s="192" t="str">
        <f t="shared" ref="BI3:BI46" si="17">IF(BH3&gt;=E3,"Tercapai","Tidak Tercapai")</f>
        <v>Tidak Tercapai</v>
      </c>
      <c r="BJ3" s="191">
        <v>23</v>
      </c>
      <c r="BK3" s="191">
        <v>1960</v>
      </c>
      <c r="BL3" s="192" t="str">
        <f t="shared" ref="BL3:BL46" si="18">IF(BK3&gt;=E3,"Tercapai","Tidak Tercapai")</f>
        <v>Tidak Tercapai</v>
      </c>
      <c r="BM3" s="191">
        <v>27</v>
      </c>
      <c r="BN3" s="191">
        <v>973</v>
      </c>
      <c r="BO3" s="192" t="str">
        <f t="shared" ref="BO3:BO46" si="19">IF(BN3&gt;=E3,"Tercapai","Tidak Tercapai")</f>
        <v>Tidak Tercapai</v>
      </c>
      <c r="BP3" s="191">
        <v>18</v>
      </c>
      <c r="BQ3" s="191">
        <v>891</v>
      </c>
      <c r="BR3" s="192" t="str">
        <f t="shared" ref="BR3:BR46" si="20">IF(BQ3&gt;=E3,"Tercapai","Tidak Tercapai")</f>
        <v>Tidak Tercapai</v>
      </c>
      <c r="BS3" s="191">
        <v>33</v>
      </c>
      <c r="BT3" s="191">
        <v>1133</v>
      </c>
      <c r="BU3" s="192" t="str">
        <f t="shared" ref="BU3:BU46" si="21">IF(BT3&gt;=E3,"Tercapai","Tidak Tercapai")</f>
        <v>Tidak Tercapai</v>
      </c>
      <c r="BV3" s="194">
        <v>38.124000000000002</v>
      </c>
      <c r="BW3" s="191">
        <v>2</v>
      </c>
      <c r="BX3" s="192" t="str">
        <f t="shared" ref="BX3:BX46" si="22">IF(BW3&gt;=E3,"Tercapai","Tidak Tercapai")</f>
        <v>Tidak Tercapai</v>
      </c>
      <c r="BY3" s="191">
        <v>1</v>
      </c>
      <c r="BZ3" s="191">
        <v>1895</v>
      </c>
      <c r="CA3" s="192" t="str">
        <f t="shared" ref="CA3:CA46" si="23">IF(BZ3&gt;=E3,"Tercapai","Tidak Tercapai")</f>
        <v>Tidak Tercapai</v>
      </c>
      <c r="CB3" s="191">
        <v>703</v>
      </c>
      <c r="CC3" s="191">
        <v>3366</v>
      </c>
      <c r="CD3" s="192" t="str">
        <f t="shared" ref="CD3:CD46" si="24">IF(CC3&gt;=E3,"Tercapai","Tidak Tercapai")</f>
        <v>Tidak Tercapai</v>
      </c>
      <c r="CE3" s="191">
        <v>18</v>
      </c>
      <c r="CF3" s="191">
        <v>1359</v>
      </c>
      <c r="CG3" s="192" t="str">
        <f t="shared" ref="CG3:CG46" si="25">IF(CF3&gt;=E3,"Tercapai","Tidak Tercapai")</f>
        <v>Tidak Tercapai</v>
      </c>
      <c r="CH3" s="191">
        <v>22</v>
      </c>
      <c r="CI3" s="191">
        <v>1837</v>
      </c>
      <c r="CJ3" s="192" t="str">
        <f t="shared" ref="CJ3:CJ46" si="26">IF(CI3&gt;=E3,"Tercapai","Tidak Tercapai")</f>
        <v>Tidak Tercapai</v>
      </c>
      <c r="CK3" s="191">
        <v>52</v>
      </c>
      <c r="CL3" s="191">
        <v>498</v>
      </c>
      <c r="CM3" s="192" t="str">
        <f t="shared" ref="CM3:CM46" si="27">IF(CL3&gt;=E3,"Tercapai","Tidak Tercapai")</f>
        <v>Tidak Tercapai</v>
      </c>
      <c r="CN3" s="191">
        <v>12</v>
      </c>
      <c r="CO3" s="191">
        <v>6</v>
      </c>
      <c r="CP3" s="192" t="str">
        <f t="shared" ref="CP3:CP46" si="28">IF(CO3&gt;=E3,"Tercapai","Tidak Tercapai")</f>
        <v>Tidak Tercapai</v>
      </c>
      <c r="CQ3" s="191">
        <v>0</v>
      </c>
      <c r="CR3" s="191">
        <v>1</v>
      </c>
      <c r="CS3" s="192" t="str">
        <f t="shared" ref="CS3:CS46" si="29">IF(CR3&gt;=E3,"Tercapai","Tidak Tercapai")</f>
        <v>Tidak Tercapai</v>
      </c>
      <c r="CT3" s="191">
        <v>1</v>
      </c>
      <c r="CU3" s="191">
        <v>1154</v>
      </c>
      <c r="CV3" s="192" t="str">
        <f t="shared" ref="CV3:CV46" si="30">IF(CU3&gt;=E3,"Tercapai","Tidak Tercapai")</f>
        <v>Tidak Tercapai</v>
      </c>
      <c r="CW3" s="191">
        <v>18</v>
      </c>
      <c r="CX3" s="191">
        <v>6591</v>
      </c>
      <c r="CY3" s="192" t="str">
        <f t="shared" ref="CY3:CY46" si="31">IF(CX3&gt;=E3,"Tercapai","Tidak Tercapai")</f>
        <v>Tercapai</v>
      </c>
      <c r="CZ3" s="191">
        <v>64</v>
      </c>
      <c r="DA3" s="191">
        <v>2851</v>
      </c>
      <c r="DB3" s="192" t="str">
        <f t="shared" ref="DB3:DB46" si="32">IF(DA3&gt;=E3,"Tercapai","Tidak Tercapai")</f>
        <v>Tidak Tercapai</v>
      </c>
      <c r="DC3" s="191">
        <v>32</v>
      </c>
      <c r="DD3" s="191">
        <v>3315</v>
      </c>
      <c r="DE3" s="192" t="str">
        <f t="shared" ref="DE3:DE46" si="33">IF(DD3&gt;=E3,"Tercapai","Tidak Tercapai")</f>
        <v>Tidak Tercapai</v>
      </c>
      <c r="DF3" s="191">
        <v>55</v>
      </c>
      <c r="DG3" s="69"/>
      <c r="DH3" s="69"/>
      <c r="DI3" s="69"/>
      <c r="DJ3" s="69"/>
      <c r="DK3" s="69"/>
      <c r="DL3" s="69"/>
    </row>
    <row r="4" spans="1:116" ht="15.5" x14ac:dyDescent="0.35">
      <c r="A4" s="181">
        <v>2</v>
      </c>
      <c r="B4" s="182" t="s">
        <v>521</v>
      </c>
      <c r="C4" s="181" t="s">
        <v>522</v>
      </c>
      <c r="D4" s="181">
        <v>400577</v>
      </c>
      <c r="E4" s="181">
        <v>5041</v>
      </c>
      <c r="F4" s="183">
        <v>85668</v>
      </c>
      <c r="G4" s="184" t="s">
        <v>520</v>
      </c>
      <c r="H4" s="183">
        <v>47581</v>
      </c>
      <c r="I4" s="183">
        <v>429</v>
      </c>
      <c r="J4" s="184" t="str">
        <f t="shared" si="0"/>
        <v>Tidak Tercapai</v>
      </c>
      <c r="K4" s="183">
        <v>1</v>
      </c>
      <c r="L4" s="183">
        <v>0</v>
      </c>
      <c r="M4" s="184" t="str">
        <f t="shared" si="1"/>
        <v>Tidak Tercapai</v>
      </c>
      <c r="N4" s="183">
        <v>0</v>
      </c>
      <c r="O4" s="181">
        <v>3144</v>
      </c>
      <c r="P4" s="184" t="str">
        <f t="shared" si="2"/>
        <v>Tidak Tercapai</v>
      </c>
      <c r="Q4" s="185">
        <v>0</v>
      </c>
      <c r="R4" s="181">
        <v>3480</v>
      </c>
      <c r="S4" s="186" t="str">
        <f t="shared" si="3"/>
        <v>Tidak Tercapai</v>
      </c>
      <c r="T4" s="185">
        <v>21</v>
      </c>
      <c r="U4" s="187">
        <v>3275</v>
      </c>
      <c r="V4" s="186" t="str">
        <f t="shared" si="4"/>
        <v>Tidak Tercapai</v>
      </c>
      <c r="W4" s="188">
        <v>2</v>
      </c>
      <c r="X4" s="188">
        <v>3965</v>
      </c>
      <c r="Y4" s="189" t="str">
        <f t="shared" si="5"/>
        <v>Tidak Tercapai</v>
      </c>
      <c r="Z4" s="190">
        <v>15</v>
      </c>
      <c r="AA4" s="191">
        <v>3884</v>
      </c>
      <c r="AB4" s="192" t="str">
        <f t="shared" si="6"/>
        <v>Tidak Tercapai</v>
      </c>
      <c r="AC4" s="191">
        <v>0</v>
      </c>
      <c r="AD4" s="191">
        <v>2405</v>
      </c>
      <c r="AE4" s="192" t="str">
        <f t="shared" si="7"/>
        <v>Tidak Tercapai</v>
      </c>
      <c r="AF4" s="191">
        <v>0</v>
      </c>
      <c r="AG4" s="191">
        <v>2318</v>
      </c>
      <c r="AH4" s="192" t="str">
        <f t="shared" si="8"/>
        <v>Tidak Tercapai</v>
      </c>
      <c r="AI4" s="191">
        <v>0</v>
      </c>
      <c r="AJ4" s="191">
        <v>3075</v>
      </c>
      <c r="AK4" s="192" t="str">
        <f t="shared" si="9"/>
        <v>Tidak Tercapai</v>
      </c>
      <c r="AL4" s="191">
        <v>0</v>
      </c>
      <c r="AM4" s="191">
        <v>1814</v>
      </c>
      <c r="AN4" s="192" t="str">
        <f t="shared" si="10"/>
        <v>Tidak Tercapai</v>
      </c>
      <c r="AO4" s="191">
        <v>24</v>
      </c>
      <c r="AP4" s="191">
        <v>5686</v>
      </c>
      <c r="AQ4" s="192" t="str">
        <f t="shared" si="11"/>
        <v>Tercapai</v>
      </c>
      <c r="AR4" s="191">
        <v>9</v>
      </c>
      <c r="AS4" s="191">
        <v>3770</v>
      </c>
      <c r="AT4" s="192" t="str">
        <f t="shared" si="12"/>
        <v>Tidak Tercapai</v>
      </c>
      <c r="AU4" s="191">
        <v>19</v>
      </c>
      <c r="AV4" s="183">
        <v>3055</v>
      </c>
      <c r="AW4" s="192" t="str">
        <f t="shared" si="13"/>
        <v>Tidak Tercapai</v>
      </c>
      <c r="AX4" s="191">
        <v>9</v>
      </c>
      <c r="AY4" s="191">
        <v>2051</v>
      </c>
      <c r="AZ4" s="192" t="str">
        <f t="shared" si="14"/>
        <v>Tidak Tercapai</v>
      </c>
      <c r="BA4" s="191">
        <v>4</v>
      </c>
      <c r="BB4" s="195">
        <v>786</v>
      </c>
      <c r="BC4" s="192" t="str">
        <f t="shared" si="15"/>
        <v>Tidak Tercapai</v>
      </c>
      <c r="BD4" s="191">
        <v>2</v>
      </c>
      <c r="BE4" s="196">
        <v>3272</v>
      </c>
      <c r="BF4" s="192" t="str">
        <f t="shared" si="16"/>
        <v>Tidak Tercapai</v>
      </c>
      <c r="BG4" s="183">
        <v>8</v>
      </c>
      <c r="BH4" s="196">
        <v>3669</v>
      </c>
      <c r="BI4" s="192" t="str">
        <f t="shared" si="17"/>
        <v>Tidak Tercapai</v>
      </c>
      <c r="BJ4" s="196">
        <v>7</v>
      </c>
      <c r="BK4" s="196">
        <v>3262</v>
      </c>
      <c r="BL4" s="192" t="str">
        <f t="shared" si="18"/>
        <v>Tidak Tercapai</v>
      </c>
      <c r="BM4" s="196">
        <v>16</v>
      </c>
      <c r="BN4" s="196">
        <v>2892</v>
      </c>
      <c r="BO4" s="192" t="str">
        <f t="shared" si="19"/>
        <v>Tidak Tercapai</v>
      </c>
      <c r="BP4" s="196">
        <v>13</v>
      </c>
      <c r="BQ4" s="196">
        <v>2233</v>
      </c>
      <c r="BR4" s="192" t="str">
        <f t="shared" si="20"/>
        <v>Tidak Tercapai</v>
      </c>
      <c r="BS4" s="196">
        <v>15</v>
      </c>
      <c r="BT4" s="196">
        <v>2513</v>
      </c>
      <c r="BU4" s="192" t="str">
        <f t="shared" si="21"/>
        <v>Tidak Tercapai</v>
      </c>
      <c r="BV4" s="197">
        <v>47.759</v>
      </c>
      <c r="BW4" s="196">
        <v>0</v>
      </c>
      <c r="BX4" s="192" t="str">
        <f t="shared" si="22"/>
        <v>Tidak Tercapai</v>
      </c>
      <c r="BY4" s="196">
        <v>0</v>
      </c>
      <c r="BZ4" s="196">
        <v>2413</v>
      </c>
      <c r="CA4" s="192" t="str">
        <f t="shared" si="23"/>
        <v>Tidak Tercapai</v>
      </c>
      <c r="CB4" s="196">
        <v>1523</v>
      </c>
      <c r="CC4" s="196">
        <v>4049</v>
      </c>
      <c r="CD4" s="192" t="str">
        <f t="shared" si="24"/>
        <v>Tidak Tercapai</v>
      </c>
      <c r="CE4" s="196">
        <v>8</v>
      </c>
      <c r="CF4" s="196">
        <v>1780</v>
      </c>
      <c r="CG4" s="192" t="str">
        <f t="shared" si="25"/>
        <v>Tidak Tercapai</v>
      </c>
      <c r="CH4" s="196">
        <v>2</v>
      </c>
      <c r="CI4" s="196">
        <v>3128</v>
      </c>
      <c r="CJ4" s="192" t="str">
        <f t="shared" si="26"/>
        <v>Tidak Tercapai</v>
      </c>
      <c r="CK4" s="196">
        <v>12</v>
      </c>
      <c r="CL4" s="196">
        <v>634</v>
      </c>
      <c r="CM4" s="192" t="str">
        <f t="shared" si="27"/>
        <v>Tidak Tercapai</v>
      </c>
      <c r="CN4" s="196">
        <v>2</v>
      </c>
      <c r="CO4" s="196">
        <v>2</v>
      </c>
      <c r="CP4" s="192" t="str">
        <f t="shared" si="28"/>
        <v>Tidak Tercapai</v>
      </c>
      <c r="CQ4" s="196">
        <v>1</v>
      </c>
      <c r="CR4" s="196">
        <v>0</v>
      </c>
      <c r="CS4" s="192" t="str">
        <f t="shared" si="29"/>
        <v>Tidak Tercapai</v>
      </c>
      <c r="CT4" s="196">
        <v>0</v>
      </c>
      <c r="CU4" s="196">
        <v>789</v>
      </c>
      <c r="CV4" s="192" t="str">
        <f t="shared" si="30"/>
        <v>Tidak Tercapai</v>
      </c>
      <c r="CW4" s="196">
        <v>11</v>
      </c>
      <c r="CX4" s="196">
        <v>7150</v>
      </c>
      <c r="CY4" s="192" t="str">
        <f t="shared" si="31"/>
        <v>Tercapai</v>
      </c>
      <c r="CZ4" s="196">
        <v>24</v>
      </c>
      <c r="DA4" s="196">
        <v>2175</v>
      </c>
      <c r="DB4" s="192" t="str">
        <f t="shared" si="32"/>
        <v>Tidak Tercapai</v>
      </c>
      <c r="DC4" s="196">
        <v>8</v>
      </c>
      <c r="DD4" s="196">
        <v>3156</v>
      </c>
      <c r="DE4" s="192" t="str">
        <f t="shared" si="33"/>
        <v>Tidak Tercapai</v>
      </c>
      <c r="DF4" s="196">
        <v>15</v>
      </c>
      <c r="DG4" s="69"/>
      <c r="DH4" s="69"/>
      <c r="DI4" s="69"/>
      <c r="DJ4" s="69"/>
      <c r="DK4" s="69"/>
      <c r="DL4" s="69"/>
    </row>
    <row r="5" spans="1:116" ht="15.5" x14ac:dyDescent="0.35">
      <c r="A5" s="181">
        <v>3</v>
      </c>
      <c r="B5" s="182" t="s">
        <v>523</v>
      </c>
      <c r="C5" s="181" t="s">
        <v>522</v>
      </c>
      <c r="D5" s="181">
        <v>310580</v>
      </c>
      <c r="E5" s="181">
        <v>4295</v>
      </c>
      <c r="F5" s="198">
        <v>42991</v>
      </c>
      <c r="G5" s="184" t="s">
        <v>520</v>
      </c>
      <c r="H5" s="198">
        <v>23222</v>
      </c>
      <c r="I5" s="198">
        <v>162</v>
      </c>
      <c r="J5" s="184" t="str">
        <f t="shared" si="0"/>
        <v>Tidak Tercapai</v>
      </c>
      <c r="K5" s="198">
        <v>24</v>
      </c>
      <c r="L5" s="198">
        <v>0</v>
      </c>
      <c r="M5" s="184" t="str">
        <f t="shared" si="1"/>
        <v>Tidak Tercapai</v>
      </c>
      <c r="N5" s="198">
        <v>0</v>
      </c>
      <c r="O5" s="181">
        <v>1680</v>
      </c>
      <c r="P5" s="184" t="str">
        <f t="shared" si="2"/>
        <v>Tidak Tercapai</v>
      </c>
      <c r="Q5" s="185">
        <v>26</v>
      </c>
      <c r="R5" s="181">
        <v>2107</v>
      </c>
      <c r="S5" s="186" t="str">
        <f t="shared" si="3"/>
        <v>Tidak Tercapai</v>
      </c>
      <c r="T5" s="185">
        <v>8</v>
      </c>
      <c r="U5" s="187">
        <v>2347</v>
      </c>
      <c r="V5" s="186" t="str">
        <f t="shared" si="4"/>
        <v>Tercapai</v>
      </c>
      <c r="W5" s="188">
        <v>21</v>
      </c>
      <c r="X5" s="199">
        <v>2880</v>
      </c>
      <c r="Y5" s="189" t="str">
        <f t="shared" si="5"/>
        <v>Tidak Tercapai</v>
      </c>
      <c r="Z5" s="190">
        <v>23</v>
      </c>
      <c r="AA5" s="191">
        <v>3405</v>
      </c>
      <c r="AB5" s="192" t="str">
        <f t="shared" si="6"/>
        <v>Tidak Tercapai</v>
      </c>
      <c r="AC5" s="191">
        <v>39</v>
      </c>
      <c r="AD5" s="196">
        <v>1192</v>
      </c>
      <c r="AE5" s="192" t="str">
        <f t="shared" si="7"/>
        <v>Tidak Tercapai</v>
      </c>
      <c r="AF5" s="191">
        <v>0</v>
      </c>
      <c r="AG5" s="191">
        <v>801</v>
      </c>
      <c r="AH5" s="192" t="str">
        <f t="shared" si="8"/>
        <v>Tidak Tercapai</v>
      </c>
      <c r="AI5" s="191">
        <v>0</v>
      </c>
      <c r="AJ5" s="196">
        <v>3112</v>
      </c>
      <c r="AK5" s="192" t="str">
        <f t="shared" si="9"/>
        <v>Tidak Tercapai</v>
      </c>
      <c r="AL5" s="196">
        <v>4</v>
      </c>
      <c r="AM5" s="196">
        <v>2946</v>
      </c>
      <c r="AN5" s="192" t="str">
        <f t="shared" si="10"/>
        <v>Tidak Tercapai</v>
      </c>
      <c r="AO5" s="196">
        <v>3</v>
      </c>
      <c r="AP5" s="191">
        <v>3616</v>
      </c>
      <c r="AQ5" s="192" t="str">
        <f t="shared" si="11"/>
        <v>Tidak Tercapai</v>
      </c>
      <c r="AR5" s="191">
        <v>4</v>
      </c>
      <c r="AS5" s="191">
        <v>3972</v>
      </c>
      <c r="AT5" s="192" t="str">
        <f t="shared" si="12"/>
        <v>Tidak Tercapai</v>
      </c>
      <c r="AU5" s="191">
        <v>26</v>
      </c>
      <c r="AV5" s="183">
        <v>4526</v>
      </c>
      <c r="AW5" s="192" t="str">
        <f t="shared" si="13"/>
        <v>Tercapai</v>
      </c>
      <c r="AX5" s="191">
        <v>14</v>
      </c>
      <c r="AY5" s="191">
        <v>1331</v>
      </c>
      <c r="AZ5" s="192" t="str">
        <f t="shared" si="14"/>
        <v>Tidak Tercapai</v>
      </c>
      <c r="BA5" s="191">
        <v>9</v>
      </c>
      <c r="BB5" s="195">
        <v>1590</v>
      </c>
      <c r="BC5" s="192" t="str">
        <f t="shared" si="15"/>
        <v>Tidak Tercapai</v>
      </c>
      <c r="BD5" s="191">
        <v>1</v>
      </c>
      <c r="BE5" s="196">
        <v>4314</v>
      </c>
      <c r="BF5" s="192" t="str">
        <f t="shared" si="16"/>
        <v>Tercapai</v>
      </c>
      <c r="BG5" s="183">
        <v>23</v>
      </c>
      <c r="BH5" s="196">
        <v>4678</v>
      </c>
      <c r="BI5" s="192" t="str">
        <f t="shared" si="17"/>
        <v>Tercapai</v>
      </c>
      <c r="BJ5" s="196">
        <v>16</v>
      </c>
      <c r="BK5" s="196">
        <v>4371</v>
      </c>
      <c r="BL5" s="192" t="str">
        <f t="shared" si="18"/>
        <v>Tercapai</v>
      </c>
      <c r="BM5" s="196">
        <v>25</v>
      </c>
      <c r="BN5" s="196">
        <v>2264</v>
      </c>
      <c r="BO5" s="192" t="str">
        <f t="shared" si="19"/>
        <v>Tidak Tercapai</v>
      </c>
      <c r="BP5" s="196">
        <v>12</v>
      </c>
      <c r="BQ5" s="196">
        <v>1919</v>
      </c>
      <c r="BR5" s="192" t="str">
        <f t="shared" si="20"/>
        <v>Tidak Tercapai</v>
      </c>
      <c r="BS5" s="196">
        <v>8</v>
      </c>
      <c r="BT5" s="196">
        <v>1511</v>
      </c>
      <c r="BU5" s="192" t="str">
        <f t="shared" si="21"/>
        <v>Tidak Tercapai</v>
      </c>
      <c r="BV5" s="197">
        <v>23.576000000000001</v>
      </c>
      <c r="BW5" s="196">
        <v>80</v>
      </c>
      <c r="BX5" s="192" t="str">
        <f t="shared" si="22"/>
        <v>Tidak Tercapai</v>
      </c>
      <c r="BY5" s="196">
        <v>0</v>
      </c>
      <c r="BZ5" s="196">
        <v>2308</v>
      </c>
      <c r="CA5" s="192" t="str">
        <f t="shared" si="23"/>
        <v>Tidak Tercapai</v>
      </c>
      <c r="CB5" s="196">
        <v>528</v>
      </c>
      <c r="CC5" s="196">
        <v>4389</v>
      </c>
      <c r="CD5" s="192" t="str">
        <f t="shared" si="24"/>
        <v>Tercapai</v>
      </c>
      <c r="CE5" s="196">
        <v>27</v>
      </c>
      <c r="CF5" s="196">
        <v>1841</v>
      </c>
      <c r="CG5" s="192" t="str">
        <f t="shared" si="25"/>
        <v>Tidak Tercapai</v>
      </c>
      <c r="CH5" s="196">
        <v>7</v>
      </c>
      <c r="CI5" s="196">
        <v>4346</v>
      </c>
      <c r="CJ5" s="192" t="str">
        <f t="shared" si="26"/>
        <v>Tercapai</v>
      </c>
      <c r="CK5" s="196">
        <v>21</v>
      </c>
      <c r="CL5" s="196">
        <v>2392</v>
      </c>
      <c r="CM5" s="192" t="str">
        <f t="shared" si="27"/>
        <v>Tidak Tercapai</v>
      </c>
      <c r="CN5" s="196">
        <v>7</v>
      </c>
      <c r="CO5" s="196">
        <v>392</v>
      </c>
      <c r="CP5" s="192" t="str">
        <f t="shared" si="28"/>
        <v>Tidak Tercapai</v>
      </c>
      <c r="CQ5" s="196">
        <v>0</v>
      </c>
      <c r="CR5" s="196">
        <v>11</v>
      </c>
      <c r="CS5" s="192" t="str">
        <f t="shared" si="29"/>
        <v>Tidak Tercapai</v>
      </c>
      <c r="CT5" s="196">
        <v>0</v>
      </c>
      <c r="CU5" s="196">
        <v>1184</v>
      </c>
      <c r="CV5" s="192" t="str">
        <f t="shared" si="30"/>
        <v>Tidak Tercapai</v>
      </c>
      <c r="CW5" s="196">
        <v>2</v>
      </c>
      <c r="CX5" s="196">
        <v>5913</v>
      </c>
      <c r="CY5" s="192" t="str">
        <f t="shared" si="31"/>
        <v>Tercapai</v>
      </c>
      <c r="CZ5" s="196">
        <v>40</v>
      </c>
      <c r="DA5" s="196">
        <v>2373</v>
      </c>
      <c r="DB5" s="192" t="str">
        <f t="shared" si="32"/>
        <v>Tidak Tercapai</v>
      </c>
      <c r="DC5" s="196">
        <v>15</v>
      </c>
      <c r="DD5" s="196">
        <v>3200</v>
      </c>
      <c r="DE5" s="192" t="str">
        <f t="shared" si="33"/>
        <v>Tidak Tercapai</v>
      </c>
      <c r="DF5" s="196">
        <v>18</v>
      </c>
      <c r="DG5" s="69"/>
      <c r="DH5" s="69"/>
      <c r="DI5" s="69"/>
      <c r="DJ5" s="69"/>
      <c r="DK5" s="69"/>
      <c r="DL5" s="69"/>
    </row>
    <row r="6" spans="1:116" ht="15.5" x14ac:dyDescent="0.35">
      <c r="A6" s="181">
        <v>4</v>
      </c>
      <c r="B6" s="182" t="s">
        <v>524</v>
      </c>
      <c r="C6" s="181" t="s">
        <v>525</v>
      </c>
      <c r="D6" s="181">
        <v>297146</v>
      </c>
      <c r="E6" s="181">
        <v>4073</v>
      </c>
      <c r="F6" s="183">
        <v>41494</v>
      </c>
      <c r="G6" s="184" t="s">
        <v>520</v>
      </c>
      <c r="H6" s="183">
        <v>22305</v>
      </c>
      <c r="I6" s="183">
        <v>17</v>
      </c>
      <c r="J6" s="184" t="str">
        <f t="shared" si="0"/>
        <v>Tidak Tercapai</v>
      </c>
      <c r="K6" s="183">
        <v>1</v>
      </c>
      <c r="L6" s="183">
        <v>0</v>
      </c>
      <c r="M6" s="184" t="str">
        <f t="shared" si="1"/>
        <v>Tidak Tercapai</v>
      </c>
      <c r="N6" s="183">
        <v>0</v>
      </c>
      <c r="O6" s="181">
        <v>2239</v>
      </c>
      <c r="P6" s="184" t="str">
        <f t="shared" si="2"/>
        <v>Tidak Tercapai</v>
      </c>
      <c r="Q6" s="185">
        <v>26</v>
      </c>
      <c r="R6" s="181">
        <v>3023</v>
      </c>
      <c r="S6" s="186" t="str">
        <f t="shared" si="3"/>
        <v>Tidak Tercapai</v>
      </c>
      <c r="T6" s="185">
        <v>4</v>
      </c>
      <c r="U6" s="187">
        <v>2995</v>
      </c>
      <c r="V6" s="186" t="str">
        <f t="shared" si="4"/>
        <v>Tidak Tercapai</v>
      </c>
      <c r="W6" s="188">
        <v>8</v>
      </c>
      <c r="X6" s="188">
        <v>2335</v>
      </c>
      <c r="Y6" s="189" t="str">
        <f t="shared" si="5"/>
        <v>Tidak Tercapai</v>
      </c>
      <c r="Z6" s="190">
        <v>3</v>
      </c>
      <c r="AA6" s="191">
        <v>3876</v>
      </c>
      <c r="AB6" s="192" t="str">
        <f t="shared" si="6"/>
        <v>Tidak Tercapai</v>
      </c>
      <c r="AC6" s="191">
        <v>23</v>
      </c>
      <c r="AD6" s="191">
        <v>402</v>
      </c>
      <c r="AE6" s="192" t="str">
        <f t="shared" si="7"/>
        <v>Tidak Tercapai</v>
      </c>
      <c r="AF6" s="191">
        <v>1</v>
      </c>
      <c r="AG6" s="191">
        <v>528</v>
      </c>
      <c r="AH6" s="192" t="str">
        <f t="shared" si="8"/>
        <v>Tidak Tercapai</v>
      </c>
      <c r="AI6" s="191">
        <v>0</v>
      </c>
      <c r="AJ6" s="191">
        <v>2464</v>
      </c>
      <c r="AK6" s="192" t="str">
        <f t="shared" si="9"/>
        <v>Tidak Tercapai</v>
      </c>
      <c r="AL6" s="191">
        <v>1</v>
      </c>
      <c r="AM6" s="191">
        <v>851</v>
      </c>
      <c r="AN6" s="192" t="str">
        <f t="shared" si="10"/>
        <v>Tidak Tercapai</v>
      </c>
      <c r="AO6" s="191">
        <v>20</v>
      </c>
      <c r="AP6" s="191">
        <v>5691</v>
      </c>
      <c r="AQ6" s="192" t="str">
        <f t="shared" si="11"/>
        <v>Tercapai</v>
      </c>
      <c r="AR6" s="191">
        <v>2</v>
      </c>
      <c r="AS6" s="191">
        <v>3020</v>
      </c>
      <c r="AT6" s="192" t="str">
        <f t="shared" si="12"/>
        <v>Tidak Tercapai</v>
      </c>
      <c r="AU6" s="191">
        <v>15</v>
      </c>
      <c r="AV6" s="183">
        <v>3520</v>
      </c>
      <c r="AW6" s="192" t="str">
        <f t="shared" si="13"/>
        <v>Tidak Tercapai</v>
      </c>
      <c r="AX6" s="191">
        <v>43</v>
      </c>
      <c r="AY6" s="191">
        <v>1159</v>
      </c>
      <c r="AZ6" s="192" t="str">
        <f t="shared" si="14"/>
        <v>Tidak Tercapai</v>
      </c>
      <c r="BA6" s="191">
        <v>5</v>
      </c>
      <c r="BB6" s="195">
        <v>710</v>
      </c>
      <c r="BC6" s="192" t="str">
        <f t="shared" si="15"/>
        <v>Tidak Tercapai</v>
      </c>
      <c r="BD6" s="191">
        <v>0</v>
      </c>
      <c r="BE6" s="196">
        <v>3648</v>
      </c>
      <c r="BF6" s="192" t="str">
        <f t="shared" si="16"/>
        <v>Tidak Tercapai</v>
      </c>
      <c r="BG6" s="183">
        <v>27</v>
      </c>
      <c r="BH6" s="196">
        <v>3777</v>
      </c>
      <c r="BI6" s="192" t="str">
        <f t="shared" si="17"/>
        <v>Tidak Tercapai</v>
      </c>
      <c r="BJ6" s="196">
        <v>21</v>
      </c>
      <c r="BK6" s="196">
        <v>4126</v>
      </c>
      <c r="BL6" s="192" t="str">
        <f t="shared" si="18"/>
        <v>Tercapai</v>
      </c>
      <c r="BM6" s="196">
        <v>24</v>
      </c>
      <c r="BN6" s="196">
        <v>1277</v>
      </c>
      <c r="BO6" s="192" t="str">
        <f t="shared" si="19"/>
        <v>Tidak Tercapai</v>
      </c>
      <c r="BP6" s="196">
        <v>5</v>
      </c>
      <c r="BQ6" s="196">
        <v>2107</v>
      </c>
      <c r="BR6" s="192" t="str">
        <f t="shared" si="20"/>
        <v>Tidak Tercapai</v>
      </c>
      <c r="BS6" s="196">
        <v>9</v>
      </c>
      <c r="BT6" s="196">
        <v>4729</v>
      </c>
      <c r="BU6" s="192" t="str">
        <f t="shared" si="21"/>
        <v>Tercapai</v>
      </c>
      <c r="BV6" s="197">
        <v>22.56</v>
      </c>
      <c r="BW6" s="196">
        <v>639</v>
      </c>
      <c r="BX6" s="192" t="str">
        <f t="shared" si="22"/>
        <v>Tidak Tercapai</v>
      </c>
      <c r="BY6" s="196">
        <v>3</v>
      </c>
      <c r="BZ6" s="196">
        <v>1949</v>
      </c>
      <c r="CA6" s="192" t="str">
        <f t="shared" si="23"/>
        <v>Tidak Tercapai</v>
      </c>
      <c r="CB6" s="196">
        <v>834</v>
      </c>
      <c r="CC6" s="196">
        <v>5196</v>
      </c>
      <c r="CD6" s="192" t="str">
        <f t="shared" si="24"/>
        <v>Tercapai</v>
      </c>
      <c r="CE6" s="196">
        <v>24</v>
      </c>
      <c r="CF6" s="196">
        <v>2161</v>
      </c>
      <c r="CG6" s="192" t="str">
        <f t="shared" si="25"/>
        <v>Tidak Tercapai</v>
      </c>
      <c r="CH6" s="196">
        <v>5</v>
      </c>
      <c r="CI6" s="196">
        <v>0</v>
      </c>
      <c r="CJ6" s="192" t="str">
        <f t="shared" si="26"/>
        <v>Tidak Tercapai</v>
      </c>
      <c r="CK6" s="196">
        <v>21</v>
      </c>
      <c r="CL6" s="196">
        <v>664</v>
      </c>
      <c r="CM6" s="192" t="str">
        <f t="shared" si="27"/>
        <v>Tidak Tercapai</v>
      </c>
      <c r="CN6" s="196">
        <v>1</v>
      </c>
      <c r="CO6" s="196">
        <v>6</v>
      </c>
      <c r="CP6" s="192" t="str">
        <f t="shared" si="28"/>
        <v>Tidak Tercapai</v>
      </c>
      <c r="CQ6" s="196">
        <v>0</v>
      </c>
      <c r="CR6" s="196">
        <v>99</v>
      </c>
      <c r="CS6" s="192" t="str">
        <f t="shared" si="29"/>
        <v>Tidak Tercapai</v>
      </c>
      <c r="CT6" s="196">
        <v>1</v>
      </c>
      <c r="CU6" s="196">
        <v>106</v>
      </c>
      <c r="CV6" s="192" t="str">
        <f t="shared" si="30"/>
        <v>Tidak Tercapai</v>
      </c>
      <c r="CW6" s="196">
        <v>0</v>
      </c>
      <c r="CX6" s="196">
        <v>13909</v>
      </c>
      <c r="CY6" s="192" t="str">
        <f t="shared" si="31"/>
        <v>Tercapai</v>
      </c>
      <c r="CZ6" s="196">
        <v>103</v>
      </c>
      <c r="DA6" s="196">
        <v>3351</v>
      </c>
      <c r="DB6" s="192" t="str">
        <f t="shared" si="32"/>
        <v>Tidak Tercapai</v>
      </c>
      <c r="DC6" s="196">
        <v>23</v>
      </c>
      <c r="DD6" s="196">
        <v>3558</v>
      </c>
      <c r="DE6" s="192" t="str">
        <f t="shared" si="33"/>
        <v>Tidak Tercapai</v>
      </c>
      <c r="DF6" s="196">
        <v>44</v>
      </c>
      <c r="DG6" s="69"/>
      <c r="DH6" s="69"/>
      <c r="DI6" s="69"/>
      <c r="DJ6" s="69"/>
      <c r="DK6" s="69"/>
      <c r="DL6" s="69"/>
    </row>
    <row r="7" spans="1:116" ht="15.5" x14ac:dyDescent="0.35">
      <c r="A7" s="181">
        <v>5</v>
      </c>
      <c r="B7" s="182" t="s">
        <v>526</v>
      </c>
      <c r="C7" s="181" t="s">
        <v>519</v>
      </c>
      <c r="D7" s="181">
        <v>316352</v>
      </c>
      <c r="E7" s="181">
        <v>4006</v>
      </c>
      <c r="F7" s="198">
        <v>41413</v>
      </c>
      <c r="G7" s="184" t="s">
        <v>520</v>
      </c>
      <c r="H7" s="198">
        <v>28993</v>
      </c>
      <c r="I7" s="198">
        <v>7</v>
      </c>
      <c r="J7" s="184" t="str">
        <f t="shared" si="0"/>
        <v>Tidak Tercapai</v>
      </c>
      <c r="K7" s="198">
        <v>4</v>
      </c>
      <c r="L7" s="198">
        <v>0</v>
      </c>
      <c r="M7" s="184" t="str">
        <f t="shared" si="1"/>
        <v>Tidak Tercapai</v>
      </c>
      <c r="N7" s="198">
        <v>1</v>
      </c>
      <c r="O7" s="181">
        <v>1688</v>
      </c>
      <c r="P7" s="184" t="str">
        <f t="shared" si="2"/>
        <v>Tidak Tercapai</v>
      </c>
      <c r="Q7" s="185">
        <v>49</v>
      </c>
      <c r="R7" s="181">
        <v>1662</v>
      </c>
      <c r="S7" s="186" t="str">
        <f t="shared" si="3"/>
        <v>Tidak Tercapai</v>
      </c>
      <c r="T7" s="185">
        <v>42</v>
      </c>
      <c r="U7" s="187">
        <v>1518</v>
      </c>
      <c r="V7" s="186" t="str">
        <f t="shared" si="4"/>
        <v>Tidak Tercapai</v>
      </c>
      <c r="W7" s="188">
        <v>46</v>
      </c>
      <c r="X7" s="199">
        <v>1650</v>
      </c>
      <c r="Y7" s="189" t="str">
        <f t="shared" si="5"/>
        <v>Tidak Tercapai</v>
      </c>
      <c r="Z7" s="190">
        <v>38</v>
      </c>
      <c r="AA7" s="191">
        <v>1927</v>
      </c>
      <c r="AB7" s="192" t="str">
        <f t="shared" si="6"/>
        <v>Tidak Tercapai</v>
      </c>
      <c r="AC7" s="191">
        <v>92</v>
      </c>
      <c r="AD7" s="196">
        <v>1049</v>
      </c>
      <c r="AE7" s="192" t="str">
        <f t="shared" si="7"/>
        <v>Tidak Tercapai</v>
      </c>
      <c r="AF7" s="191">
        <v>2</v>
      </c>
      <c r="AG7" s="191">
        <v>363</v>
      </c>
      <c r="AH7" s="192" t="str">
        <f t="shared" si="8"/>
        <v>Tidak Tercapai</v>
      </c>
      <c r="AI7" s="191">
        <v>0</v>
      </c>
      <c r="AJ7" s="196">
        <v>2311</v>
      </c>
      <c r="AK7" s="192" t="str">
        <f t="shared" si="9"/>
        <v>Tidak Tercapai</v>
      </c>
      <c r="AL7" s="196">
        <v>67</v>
      </c>
      <c r="AM7" s="196">
        <v>934</v>
      </c>
      <c r="AN7" s="192" t="str">
        <f t="shared" si="10"/>
        <v>Tidak Tercapai</v>
      </c>
      <c r="AO7" s="196">
        <v>34</v>
      </c>
      <c r="AP7" s="191">
        <v>4618</v>
      </c>
      <c r="AQ7" s="192" t="str">
        <f t="shared" si="11"/>
        <v>Tercapai</v>
      </c>
      <c r="AR7" s="191">
        <v>20</v>
      </c>
      <c r="AS7" s="191">
        <v>3169</v>
      </c>
      <c r="AT7" s="192" t="str">
        <f t="shared" si="12"/>
        <v>Tidak Tercapai</v>
      </c>
      <c r="AU7" s="191">
        <v>582</v>
      </c>
      <c r="AV7" s="183">
        <v>2310</v>
      </c>
      <c r="AW7" s="192" t="str">
        <f t="shared" si="13"/>
        <v>Tidak Tercapai</v>
      </c>
      <c r="AX7" s="191">
        <v>49</v>
      </c>
      <c r="AY7" s="191">
        <v>1091</v>
      </c>
      <c r="AZ7" s="192" t="str">
        <f t="shared" si="14"/>
        <v>Tidak Tercapai</v>
      </c>
      <c r="BA7" s="191">
        <v>11</v>
      </c>
      <c r="BB7" s="195">
        <v>1</v>
      </c>
      <c r="BC7" s="192" t="str">
        <f t="shared" si="15"/>
        <v>Tidak Tercapai</v>
      </c>
      <c r="BD7" s="191">
        <v>0</v>
      </c>
      <c r="BE7" s="196">
        <v>2863</v>
      </c>
      <c r="BF7" s="192" t="str">
        <f t="shared" si="16"/>
        <v>Tidak Tercapai</v>
      </c>
      <c r="BG7" s="183">
        <v>49</v>
      </c>
      <c r="BH7" s="196">
        <v>2954</v>
      </c>
      <c r="BI7" s="192" t="str">
        <f t="shared" si="17"/>
        <v>Tidak Tercapai</v>
      </c>
      <c r="BJ7" s="196">
        <v>27</v>
      </c>
      <c r="BK7" s="196">
        <v>2495</v>
      </c>
      <c r="BL7" s="192" t="str">
        <f t="shared" si="18"/>
        <v>Tidak Tercapai</v>
      </c>
      <c r="BM7" s="196">
        <v>61</v>
      </c>
      <c r="BN7" s="196">
        <v>2928</v>
      </c>
      <c r="BO7" s="192" t="str">
        <f t="shared" si="19"/>
        <v>Tidak Tercapai</v>
      </c>
      <c r="BP7" s="196">
        <v>33</v>
      </c>
      <c r="BQ7" s="196">
        <v>2088</v>
      </c>
      <c r="BR7" s="192" t="str">
        <f t="shared" si="20"/>
        <v>Tidak Tercapai</v>
      </c>
      <c r="BS7" s="196">
        <v>54</v>
      </c>
      <c r="BT7" s="196">
        <v>1636</v>
      </c>
      <c r="BU7" s="192" t="str">
        <f t="shared" si="21"/>
        <v>Tidak Tercapai</v>
      </c>
      <c r="BV7" s="197">
        <v>29.739000000000001</v>
      </c>
      <c r="BW7" s="196">
        <v>251</v>
      </c>
      <c r="BX7" s="192" t="str">
        <f t="shared" si="22"/>
        <v>Tidak Tercapai</v>
      </c>
      <c r="BY7" s="196">
        <v>0</v>
      </c>
      <c r="BZ7" s="196">
        <v>1500</v>
      </c>
      <c r="CA7" s="192" t="str">
        <f t="shared" si="23"/>
        <v>Tidak Tercapai</v>
      </c>
      <c r="CB7" s="196">
        <v>1455</v>
      </c>
      <c r="CC7" s="196">
        <v>2830</v>
      </c>
      <c r="CD7" s="192" t="str">
        <f t="shared" si="24"/>
        <v>Tidak Tercapai</v>
      </c>
      <c r="CE7" s="196">
        <v>62</v>
      </c>
      <c r="CF7" s="196">
        <v>1480</v>
      </c>
      <c r="CG7" s="192" t="str">
        <f t="shared" si="25"/>
        <v>Tidak Tercapai</v>
      </c>
      <c r="CH7" s="196">
        <v>14</v>
      </c>
      <c r="CI7" s="196">
        <v>2742</v>
      </c>
      <c r="CJ7" s="192" t="str">
        <f t="shared" si="26"/>
        <v>Tidak Tercapai</v>
      </c>
      <c r="CK7" s="196">
        <v>106</v>
      </c>
      <c r="CL7" s="196">
        <v>233</v>
      </c>
      <c r="CM7" s="192" t="str">
        <f t="shared" si="27"/>
        <v>Tidak Tercapai</v>
      </c>
      <c r="CN7" s="196">
        <v>9</v>
      </c>
      <c r="CO7" s="196">
        <v>1</v>
      </c>
      <c r="CP7" s="192" t="str">
        <f t="shared" si="28"/>
        <v>Tidak Tercapai</v>
      </c>
      <c r="CQ7" s="196">
        <v>0</v>
      </c>
      <c r="CR7" s="196">
        <v>0</v>
      </c>
      <c r="CS7" s="192" t="str">
        <f t="shared" si="29"/>
        <v>Tidak Tercapai</v>
      </c>
      <c r="CT7" s="196">
        <v>0</v>
      </c>
      <c r="CU7" s="196">
        <v>1076</v>
      </c>
      <c r="CV7" s="192" t="str">
        <f t="shared" si="30"/>
        <v>Tidak Tercapai</v>
      </c>
      <c r="CW7" s="196">
        <v>51</v>
      </c>
      <c r="CX7" s="196">
        <v>4143</v>
      </c>
      <c r="CY7" s="192" t="str">
        <f t="shared" si="31"/>
        <v>Tercapai</v>
      </c>
      <c r="CZ7" s="196">
        <v>166</v>
      </c>
      <c r="DA7" s="196">
        <v>1522</v>
      </c>
      <c r="DB7" s="192" t="str">
        <f t="shared" si="32"/>
        <v>Tidak Tercapai</v>
      </c>
      <c r="DC7" s="196">
        <v>96</v>
      </c>
      <c r="DD7" s="196">
        <v>1851</v>
      </c>
      <c r="DE7" s="192" t="str">
        <f t="shared" si="33"/>
        <v>Tidak Tercapai</v>
      </c>
      <c r="DF7" s="196">
        <v>88</v>
      </c>
      <c r="DG7" s="69"/>
      <c r="DH7" s="69"/>
      <c r="DI7" s="69"/>
      <c r="DJ7" s="69"/>
      <c r="DK7" s="69"/>
      <c r="DL7" s="69"/>
    </row>
    <row r="8" spans="1:116" ht="15.5" x14ac:dyDescent="0.35">
      <c r="A8" s="181">
        <v>6</v>
      </c>
      <c r="B8" s="182" t="s">
        <v>527</v>
      </c>
      <c r="C8" s="181" t="s">
        <v>525</v>
      </c>
      <c r="D8" s="181">
        <v>298459</v>
      </c>
      <c r="E8" s="181">
        <v>3728</v>
      </c>
      <c r="F8" s="198">
        <v>81521</v>
      </c>
      <c r="G8" s="184" t="s">
        <v>520</v>
      </c>
      <c r="H8" s="198">
        <v>51856</v>
      </c>
      <c r="I8" s="198">
        <v>1031</v>
      </c>
      <c r="J8" s="184" t="str">
        <f t="shared" si="0"/>
        <v>Tidak Tercapai</v>
      </c>
      <c r="K8" s="198">
        <v>32</v>
      </c>
      <c r="L8" s="198">
        <v>59</v>
      </c>
      <c r="M8" s="184" t="str">
        <f t="shared" si="1"/>
        <v>Tidak Tercapai</v>
      </c>
      <c r="N8" s="198">
        <v>0</v>
      </c>
      <c r="O8" s="181">
        <v>4074</v>
      </c>
      <c r="P8" s="184" t="str">
        <f t="shared" si="2"/>
        <v>Tercapai</v>
      </c>
      <c r="Q8" s="185">
        <v>133</v>
      </c>
      <c r="R8" s="181">
        <v>3138</v>
      </c>
      <c r="S8" s="186" t="str">
        <f t="shared" si="3"/>
        <v>Tidak Tercapai</v>
      </c>
      <c r="T8" s="185">
        <v>51</v>
      </c>
      <c r="U8" s="187">
        <v>3270</v>
      </c>
      <c r="V8" s="186" t="str">
        <f t="shared" si="4"/>
        <v>Tercapai</v>
      </c>
      <c r="W8" s="188">
        <v>30</v>
      </c>
      <c r="X8" s="199">
        <v>5302</v>
      </c>
      <c r="Y8" s="189" t="str">
        <f t="shared" si="5"/>
        <v>Tercapai</v>
      </c>
      <c r="Z8" s="190">
        <v>50</v>
      </c>
      <c r="AA8" s="191">
        <v>5123</v>
      </c>
      <c r="AB8" s="192" t="str">
        <f t="shared" si="6"/>
        <v>Tercapai</v>
      </c>
      <c r="AC8" s="191">
        <v>72</v>
      </c>
      <c r="AD8" s="196">
        <v>1919</v>
      </c>
      <c r="AE8" s="192" t="str">
        <f t="shared" si="7"/>
        <v>Tidak Tercapai</v>
      </c>
      <c r="AF8" s="191">
        <v>2</v>
      </c>
      <c r="AG8" s="191">
        <v>22</v>
      </c>
      <c r="AH8" s="192" t="str">
        <f t="shared" si="8"/>
        <v>Tidak Tercapai</v>
      </c>
      <c r="AI8" s="191">
        <v>4</v>
      </c>
      <c r="AJ8" s="196">
        <v>5031</v>
      </c>
      <c r="AK8" s="192" t="str">
        <f t="shared" si="9"/>
        <v>Tercapai</v>
      </c>
      <c r="AL8" s="196">
        <v>108</v>
      </c>
      <c r="AM8" s="196">
        <v>3245</v>
      </c>
      <c r="AN8" s="192" t="str">
        <f t="shared" si="10"/>
        <v>Tidak Tercapai</v>
      </c>
      <c r="AO8" s="196">
        <v>43</v>
      </c>
      <c r="AP8" s="191">
        <v>7475</v>
      </c>
      <c r="AQ8" s="192" t="str">
        <f t="shared" si="11"/>
        <v>Tercapai</v>
      </c>
      <c r="AR8" s="191">
        <v>64</v>
      </c>
      <c r="AS8" s="191">
        <v>4713</v>
      </c>
      <c r="AT8" s="192" t="str">
        <f t="shared" si="12"/>
        <v>Tercapai</v>
      </c>
      <c r="AU8" s="191">
        <v>22</v>
      </c>
      <c r="AV8" s="183">
        <v>5283</v>
      </c>
      <c r="AW8" s="192" t="str">
        <f t="shared" si="13"/>
        <v>Tercapai</v>
      </c>
      <c r="AX8" s="191">
        <v>54</v>
      </c>
      <c r="AY8" s="191">
        <v>1511</v>
      </c>
      <c r="AZ8" s="192" t="str">
        <f t="shared" si="14"/>
        <v>Tidak Tercapai</v>
      </c>
      <c r="BA8" s="191">
        <v>32</v>
      </c>
      <c r="BB8" s="195">
        <v>0</v>
      </c>
      <c r="BC8" s="192" t="str">
        <f t="shared" si="15"/>
        <v>Tidak Tercapai</v>
      </c>
      <c r="BD8" s="191">
        <v>12</v>
      </c>
      <c r="BE8" s="196">
        <v>5628</v>
      </c>
      <c r="BF8" s="192" t="str">
        <f t="shared" si="16"/>
        <v>Tercapai</v>
      </c>
      <c r="BG8" s="183">
        <v>43</v>
      </c>
      <c r="BH8" s="196">
        <v>6199</v>
      </c>
      <c r="BI8" s="192" t="str">
        <f t="shared" si="17"/>
        <v>Tercapai</v>
      </c>
      <c r="BJ8" s="196">
        <v>44</v>
      </c>
      <c r="BK8" s="196">
        <v>5199</v>
      </c>
      <c r="BL8" s="192" t="str">
        <f t="shared" si="18"/>
        <v>Tercapai</v>
      </c>
      <c r="BM8" s="196">
        <v>76</v>
      </c>
      <c r="BN8" s="196">
        <v>5564</v>
      </c>
      <c r="BO8" s="192" t="str">
        <f t="shared" si="19"/>
        <v>Tercapai</v>
      </c>
      <c r="BP8" s="196">
        <v>88</v>
      </c>
      <c r="BQ8" s="196">
        <v>3557</v>
      </c>
      <c r="BR8" s="192" t="str">
        <f t="shared" si="20"/>
        <v>Tidak Tercapai</v>
      </c>
      <c r="BS8" s="196">
        <v>18</v>
      </c>
      <c r="BT8" s="196">
        <v>7027</v>
      </c>
      <c r="BU8" s="192" t="str">
        <f t="shared" si="21"/>
        <v>Tercapai</v>
      </c>
      <c r="BV8" s="197">
        <v>52.911999999999999</v>
      </c>
      <c r="BW8" s="196">
        <v>335</v>
      </c>
      <c r="BX8" s="192" t="str">
        <f t="shared" si="22"/>
        <v>Tidak Tercapai</v>
      </c>
      <c r="BY8" s="196">
        <v>2</v>
      </c>
      <c r="BZ8" s="196">
        <v>4594</v>
      </c>
      <c r="CA8" s="192" t="str">
        <f t="shared" si="23"/>
        <v>Tercapai</v>
      </c>
      <c r="CB8" s="196">
        <v>4785</v>
      </c>
      <c r="CC8" s="196">
        <v>9078</v>
      </c>
      <c r="CD8" s="192" t="str">
        <f t="shared" si="24"/>
        <v>Tercapai</v>
      </c>
      <c r="CE8" s="196">
        <v>352</v>
      </c>
      <c r="CF8" s="196">
        <v>4828</v>
      </c>
      <c r="CG8" s="192" t="str">
        <f t="shared" si="25"/>
        <v>Tercapai</v>
      </c>
      <c r="CH8" s="196">
        <v>66</v>
      </c>
      <c r="CI8" s="196">
        <v>5352</v>
      </c>
      <c r="CJ8" s="192" t="str">
        <f t="shared" si="26"/>
        <v>Tercapai</v>
      </c>
      <c r="CK8" s="196">
        <v>258</v>
      </c>
      <c r="CL8" s="196">
        <v>4006</v>
      </c>
      <c r="CM8" s="192" t="str">
        <f t="shared" si="27"/>
        <v>Tercapai</v>
      </c>
      <c r="CN8" s="196">
        <v>36</v>
      </c>
      <c r="CO8" s="196">
        <v>97</v>
      </c>
      <c r="CP8" s="192" t="str">
        <f t="shared" si="28"/>
        <v>Tidak Tercapai</v>
      </c>
      <c r="CQ8" s="196">
        <v>1</v>
      </c>
      <c r="CR8" s="196">
        <v>779</v>
      </c>
      <c r="CS8" s="192" t="str">
        <f t="shared" si="29"/>
        <v>Tidak Tercapai</v>
      </c>
      <c r="CT8" s="196">
        <v>0</v>
      </c>
      <c r="CU8" s="196">
        <v>4344</v>
      </c>
      <c r="CV8" s="192" t="str">
        <f t="shared" si="30"/>
        <v>Tercapai</v>
      </c>
      <c r="CW8" s="196">
        <v>62</v>
      </c>
      <c r="CX8" s="196">
        <v>16418</v>
      </c>
      <c r="CY8" s="192" t="str">
        <f t="shared" si="31"/>
        <v>Tercapai</v>
      </c>
      <c r="CZ8" s="196">
        <v>492</v>
      </c>
      <c r="DA8" s="196">
        <v>5244</v>
      </c>
      <c r="DB8" s="192" t="str">
        <f t="shared" si="32"/>
        <v>Tercapai</v>
      </c>
      <c r="DC8" s="196">
        <v>303</v>
      </c>
      <c r="DD8" s="196">
        <v>5447</v>
      </c>
      <c r="DE8" s="192" t="str">
        <f t="shared" si="33"/>
        <v>Tercapai</v>
      </c>
      <c r="DF8" s="196">
        <v>179</v>
      </c>
      <c r="DG8" s="69"/>
      <c r="DH8" s="69"/>
      <c r="DI8" s="69"/>
      <c r="DJ8" s="69"/>
      <c r="DK8" s="69"/>
      <c r="DL8" s="69"/>
    </row>
    <row r="9" spans="1:116" ht="15.5" x14ac:dyDescent="0.35">
      <c r="A9" s="181">
        <v>7</v>
      </c>
      <c r="B9" s="182" t="s">
        <v>528</v>
      </c>
      <c r="C9" s="181" t="s">
        <v>529</v>
      </c>
      <c r="D9" s="181">
        <v>251984</v>
      </c>
      <c r="E9" s="181">
        <v>3291</v>
      </c>
      <c r="F9" s="198">
        <v>33493</v>
      </c>
      <c r="G9" s="184" t="s">
        <v>520</v>
      </c>
      <c r="H9" s="198">
        <v>21193</v>
      </c>
      <c r="I9" s="198">
        <v>39</v>
      </c>
      <c r="J9" s="184" t="str">
        <f t="shared" si="0"/>
        <v>Tidak Tercapai</v>
      </c>
      <c r="K9" s="198">
        <v>2</v>
      </c>
      <c r="L9" s="198">
        <v>0</v>
      </c>
      <c r="M9" s="184" t="str">
        <f t="shared" si="1"/>
        <v>Tidak Tercapai</v>
      </c>
      <c r="N9" s="198">
        <v>1</v>
      </c>
      <c r="O9" s="181">
        <v>1415</v>
      </c>
      <c r="P9" s="184" t="str">
        <f t="shared" si="2"/>
        <v>Tidak Tercapai</v>
      </c>
      <c r="Q9" s="185">
        <v>31</v>
      </c>
      <c r="R9" s="181">
        <v>1703</v>
      </c>
      <c r="S9" s="186" t="str">
        <f t="shared" si="3"/>
        <v>Tidak Tercapai</v>
      </c>
      <c r="T9" s="185">
        <v>11</v>
      </c>
      <c r="U9" s="187">
        <v>1888</v>
      </c>
      <c r="V9" s="186" t="str">
        <f t="shared" si="4"/>
        <v>Tercapai</v>
      </c>
      <c r="W9" s="188">
        <v>11</v>
      </c>
      <c r="X9" s="199">
        <v>1565</v>
      </c>
      <c r="Y9" s="189" t="str">
        <f t="shared" si="5"/>
        <v>Tidak Tercapai</v>
      </c>
      <c r="Z9" s="190">
        <v>5</v>
      </c>
      <c r="AA9" s="191">
        <v>2339</v>
      </c>
      <c r="AB9" s="192" t="str">
        <f t="shared" si="6"/>
        <v>Tidak Tercapai</v>
      </c>
      <c r="AC9" s="191">
        <v>44</v>
      </c>
      <c r="AD9" s="196">
        <v>100</v>
      </c>
      <c r="AE9" s="192" t="str">
        <f t="shared" si="7"/>
        <v>Tidak Tercapai</v>
      </c>
      <c r="AF9" s="191">
        <v>8</v>
      </c>
      <c r="AG9" s="191">
        <v>25</v>
      </c>
      <c r="AH9" s="192" t="str">
        <f t="shared" si="8"/>
        <v>Tidak Tercapai</v>
      </c>
      <c r="AI9" s="191">
        <v>1</v>
      </c>
      <c r="AJ9" s="196">
        <v>2436</v>
      </c>
      <c r="AK9" s="192" t="str">
        <f t="shared" si="9"/>
        <v>Tidak Tercapai</v>
      </c>
      <c r="AL9" s="196">
        <v>22</v>
      </c>
      <c r="AM9" s="196">
        <v>1516</v>
      </c>
      <c r="AN9" s="192" t="str">
        <f t="shared" si="10"/>
        <v>Tidak Tercapai</v>
      </c>
      <c r="AO9" s="196">
        <v>32</v>
      </c>
      <c r="AP9" s="191">
        <v>4073</v>
      </c>
      <c r="AQ9" s="192" t="str">
        <f t="shared" si="11"/>
        <v>Tercapai</v>
      </c>
      <c r="AR9" s="191">
        <v>26</v>
      </c>
      <c r="AS9" s="191">
        <v>3082</v>
      </c>
      <c r="AT9" s="192" t="str">
        <f t="shared" si="12"/>
        <v>Tidak Tercapai</v>
      </c>
      <c r="AU9" s="191">
        <v>105</v>
      </c>
      <c r="AV9" s="183">
        <v>2824</v>
      </c>
      <c r="AW9" s="192" t="str">
        <f t="shared" si="13"/>
        <v>Tidak Tercapai</v>
      </c>
      <c r="AX9" s="191">
        <v>46</v>
      </c>
      <c r="AY9" s="191">
        <v>481</v>
      </c>
      <c r="AZ9" s="192" t="str">
        <f t="shared" si="14"/>
        <v>Tidak Tercapai</v>
      </c>
      <c r="BA9" s="191">
        <v>12</v>
      </c>
      <c r="BB9" s="195">
        <v>0</v>
      </c>
      <c r="BC9" s="192" t="str">
        <f t="shared" si="15"/>
        <v>Tidak Tercapai</v>
      </c>
      <c r="BD9" s="191">
        <v>0</v>
      </c>
      <c r="BE9" s="196">
        <v>3458</v>
      </c>
      <c r="BF9" s="192" t="str">
        <f t="shared" si="16"/>
        <v>Tercapai</v>
      </c>
      <c r="BG9" s="183">
        <v>34</v>
      </c>
      <c r="BH9" s="196">
        <v>3116</v>
      </c>
      <c r="BI9" s="192" t="str">
        <f t="shared" si="17"/>
        <v>Tidak Tercapai</v>
      </c>
      <c r="BJ9" s="196">
        <v>17</v>
      </c>
      <c r="BK9" s="196">
        <v>3331</v>
      </c>
      <c r="BL9" s="192" t="str">
        <f t="shared" si="18"/>
        <v>Tercapai</v>
      </c>
      <c r="BM9" s="196">
        <v>24</v>
      </c>
      <c r="BN9" s="196">
        <v>2849</v>
      </c>
      <c r="BO9" s="192" t="str">
        <f t="shared" si="19"/>
        <v>Tidak Tercapai</v>
      </c>
      <c r="BP9" s="196">
        <v>26</v>
      </c>
      <c r="BQ9" s="196">
        <v>1764</v>
      </c>
      <c r="BR9" s="192" t="str">
        <f t="shared" si="20"/>
        <v>Tidak Tercapai</v>
      </c>
      <c r="BS9" s="196">
        <v>17</v>
      </c>
      <c r="BT9" s="196">
        <v>2518</v>
      </c>
      <c r="BU9" s="192" t="str">
        <f t="shared" si="21"/>
        <v>Tidak Tercapai</v>
      </c>
      <c r="BV9" s="197">
        <v>21.600999999999999</v>
      </c>
      <c r="BW9" s="196">
        <v>205</v>
      </c>
      <c r="BX9" s="192" t="str">
        <f t="shared" si="22"/>
        <v>Tidak Tercapai</v>
      </c>
      <c r="BY9" s="196">
        <v>0</v>
      </c>
      <c r="BZ9" s="196">
        <v>2844</v>
      </c>
      <c r="CA9" s="192" t="str">
        <f t="shared" si="23"/>
        <v>Tidak Tercapai</v>
      </c>
      <c r="CB9" s="196">
        <v>810</v>
      </c>
      <c r="CC9" s="196">
        <v>4960</v>
      </c>
      <c r="CD9" s="192" t="str">
        <f t="shared" si="24"/>
        <v>Tercapai</v>
      </c>
      <c r="CE9" s="196">
        <v>30</v>
      </c>
      <c r="CF9" s="196">
        <v>2727</v>
      </c>
      <c r="CG9" s="192" t="str">
        <f t="shared" si="25"/>
        <v>Tidak Tercapai</v>
      </c>
      <c r="CH9" s="196">
        <v>16</v>
      </c>
      <c r="CI9" s="196">
        <v>2906</v>
      </c>
      <c r="CJ9" s="192" t="str">
        <f t="shared" si="26"/>
        <v>Tidak Tercapai</v>
      </c>
      <c r="CK9" s="196">
        <v>33</v>
      </c>
      <c r="CL9" s="196">
        <v>618</v>
      </c>
      <c r="CM9" s="192" t="str">
        <f t="shared" si="27"/>
        <v>Tidak Tercapai</v>
      </c>
      <c r="CN9" s="196">
        <v>6</v>
      </c>
      <c r="CO9" s="196">
        <v>11</v>
      </c>
      <c r="CP9" s="192" t="str">
        <f t="shared" si="28"/>
        <v>Tidak Tercapai</v>
      </c>
      <c r="CQ9" s="196">
        <v>0</v>
      </c>
      <c r="CR9" s="196">
        <v>0</v>
      </c>
      <c r="CS9" s="192" t="str">
        <f t="shared" si="29"/>
        <v>Tidak Tercapai</v>
      </c>
      <c r="CT9" s="196">
        <v>0</v>
      </c>
      <c r="CU9" s="196">
        <v>1255</v>
      </c>
      <c r="CV9" s="192" t="str">
        <f t="shared" si="30"/>
        <v>Tidak Tercapai</v>
      </c>
      <c r="CW9" s="196">
        <v>18</v>
      </c>
      <c r="CX9" s="196">
        <v>4609</v>
      </c>
      <c r="CY9" s="192" t="str">
        <f t="shared" si="31"/>
        <v>Tercapai</v>
      </c>
      <c r="CZ9" s="196">
        <v>88</v>
      </c>
      <c r="DA9" s="196">
        <v>2064</v>
      </c>
      <c r="DB9" s="192" t="str">
        <f t="shared" si="32"/>
        <v>Tidak Tercapai</v>
      </c>
      <c r="DC9" s="196">
        <v>94</v>
      </c>
      <c r="DD9" s="196">
        <v>2373</v>
      </c>
      <c r="DE9" s="192" t="str">
        <f t="shared" si="33"/>
        <v>Tidak Tercapai</v>
      </c>
      <c r="DF9" s="196">
        <v>25</v>
      </c>
      <c r="DG9" s="69"/>
      <c r="DH9" s="69"/>
      <c r="DI9" s="69"/>
      <c r="DJ9" s="69"/>
      <c r="DK9" s="69"/>
      <c r="DL9" s="69"/>
    </row>
    <row r="10" spans="1:116" ht="15.5" x14ac:dyDescent="0.35">
      <c r="A10" s="181">
        <v>8</v>
      </c>
      <c r="B10" s="182" t="s">
        <v>530</v>
      </c>
      <c r="C10" s="181" t="s">
        <v>522</v>
      </c>
      <c r="D10" s="181">
        <v>257954</v>
      </c>
      <c r="E10" s="181">
        <v>3285</v>
      </c>
      <c r="F10" s="198">
        <v>53785</v>
      </c>
      <c r="G10" s="184" t="s">
        <v>520</v>
      </c>
      <c r="H10" s="198">
        <v>38086</v>
      </c>
      <c r="I10" s="198">
        <v>366</v>
      </c>
      <c r="J10" s="184" t="str">
        <f t="shared" si="0"/>
        <v>Tidak Tercapai</v>
      </c>
      <c r="K10" s="198">
        <v>0</v>
      </c>
      <c r="L10" s="198">
        <v>0</v>
      </c>
      <c r="M10" s="184" t="str">
        <f t="shared" si="1"/>
        <v>Tidak Tercapai</v>
      </c>
      <c r="N10" s="198">
        <v>0</v>
      </c>
      <c r="O10" s="181">
        <v>2900</v>
      </c>
      <c r="P10" s="184" t="str">
        <f t="shared" si="2"/>
        <v>Tidak Tercapai</v>
      </c>
      <c r="Q10" s="185">
        <v>22</v>
      </c>
      <c r="R10" s="181">
        <v>3436</v>
      </c>
      <c r="S10" s="186" t="str">
        <f t="shared" si="3"/>
        <v>Tercapai</v>
      </c>
      <c r="T10" s="185">
        <v>60</v>
      </c>
      <c r="U10" s="187">
        <v>3346</v>
      </c>
      <c r="V10" s="186" t="str">
        <f t="shared" si="4"/>
        <v>Tidak Tercapai</v>
      </c>
      <c r="W10" s="188">
        <v>36</v>
      </c>
      <c r="X10" s="199">
        <v>3312</v>
      </c>
      <c r="Y10" s="189" t="str">
        <f t="shared" si="5"/>
        <v>Tercapai</v>
      </c>
      <c r="Z10" s="190">
        <v>32</v>
      </c>
      <c r="AA10" s="191">
        <v>3949</v>
      </c>
      <c r="AB10" s="192" t="str">
        <f t="shared" si="6"/>
        <v>Tercapai</v>
      </c>
      <c r="AC10" s="191">
        <v>22</v>
      </c>
      <c r="AD10" s="196">
        <v>564</v>
      </c>
      <c r="AE10" s="192" t="str">
        <f t="shared" si="7"/>
        <v>Tidak Tercapai</v>
      </c>
      <c r="AF10" s="191">
        <v>1</v>
      </c>
      <c r="AG10" s="191">
        <v>0</v>
      </c>
      <c r="AH10" s="192" t="str">
        <f t="shared" si="8"/>
        <v>Tidak Tercapai</v>
      </c>
      <c r="AI10" s="191">
        <v>1</v>
      </c>
      <c r="AJ10" s="196">
        <v>3341</v>
      </c>
      <c r="AK10" s="192" t="str">
        <f t="shared" si="9"/>
        <v>Tercapai</v>
      </c>
      <c r="AL10" s="196">
        <v>62</v>
      </c>
      <c r="AM10" s="196">
        <v>1937</v>
      </c>
      <c r="AN10" s="192" t="str">
        <f t="shared" si="10"/>
        <v>Tidak Tercapai</v>
      </c>
      <c r="AO10" s="196">
        <v>59</v>
      </c>
      <c r="AP10" s="191">
        <v>4794</v>
      </c>
      <c r="AQ10" s="192" t="str">
        <f t="shared" si="11"/>
        <v>Tercapai</v>
      </c>
      <c r="AR10" s="191">
        <v>21</v>
      </c>
      <c r="AS10" s="191">
        <v>4170</v>
      </c>
      <c r="AT10" s="192" t="str">
        <f t="shared" si="12"/>
        <v>Tercapai</v>
      </c>
      <c r="AU10" s="191">
        <v>86</v>
      </c>
      <c r="AV10" s="183">
        <v>4598</v>
      </c>
      <c r="AW10" s="192" t="str">
        <f t="shared" si="13"/>
        <v>Tercapai</v>
      </c>
      <c r="AX10" s="191">
        <v>29</v>
      </c>
      <c r="AY10" s="191">
        <v>1054</v>
      </c>
      <c r="AZ10" s="192" t="str">
        <f t="shared" si="14"/>
        <v>Tidak Tercapai</v>
      </c>
      <c r="BA10" s="191">
        <v>1</v>
      </c>
      <c r="BB10" s="195">
        <v>0</v>
      </c>
      <c r="BC10" s="192" t="str">
        <f t="shared" si="15"/>
        <v>Tidak Tercapai</v>
      </c>
      <c r="BD10" s="191">
        <v>0</v>
      </c>
      <c r="BE10" s="196">
        <v>3815</v>
      </c>
      <c r="BF10" s="192" t="str">
        <f t="shared" si="16"/>
        <v>Tercapai</v>
      </c>
      <c r="BG10" s="183">
        <v>11</v>
      </c>
      <c r="BH10" s="196">
        <v>3646</v>
      </c>
      <c r="BI10" s="192" t="str">
        <f t="shared" si="17"/>
        <v>Tercapai</v>
      </c>
      <c r="BJ10" s="196">
        <v>8</v>
      </c>
      <c r="BK10" s="196">
        <v>3732</v>
      </c>
      <c r="BL10" s="192" t="str">
        <f t="shared" si="18"/>
        <v>Tercapai</v>
      </c>
      <c r="BM10" s="196">
        <v>15</v>
      </c>
      <c r="BN10" s="196">
        <v>2591</v>
      </c>
      <c r="BO10" s="192" t="str">
        <f t="shared" si="19"/>
        <v>Tidak Tercapai</v>
      </c>
      <c r="BP10" s="196">
        <v>19</v>
      </c>
      <c r="BQ10" s="196">
        <v>1730</v>
      </c>
      <c r="BR10" s="192" t="str">
        <f t="shared" si="20"/>
        <v>Tidak Tercapai</v>
      </c>
      <c r="BS10" s="196">
        <v>22</v>
      </c>
      <c r="BT10" s="196">
        <v>1288</v>
      </c>
      <c r="BU10" s="192" t="str">
        <f t="shared" si="21"/>
        <v>Tidak Tercapai</v>
      </c>
      <c r="BV10" s="197">
        <v>38.564</v>
      </c>
      <c r="BW10" s="196">
        <v>3</v>
      </c>
      <c r="BX10" s="192" t="str">
        <f t="shared" si="22"/>
        <v>Tidak Tercapai</v>
      </c>
      <c r="BY10" s="196">
        <v>0</v>
      </c>
      <c r="BZ10" s="196">
        <v>1339</v>
      </c>
      <c r="CA10" s="192" t="str">
        <f t="shared" si="23"/>
        <v>Tidak Tercapai</v>
      </c>
      <c r="CB10" s="196">
        <v>614</v>
      </c>
      <c r="CC10" s="196">
        <v>2425</v>
      </c>
      <c r="CD10" s="192" t="str">
        <f t="shared" si="24"/>
        <v>Tidak Tercapai</v>
      </c>
      <c r="CE10" s="196">
        <v>69</v>
      </c>
      <c r="CF10" s="196">
        <v>2067</v>
      </c>
      <c r="CG10" s="192" t="str">
        <f t="shared" si="25"/>
        <v>Tidak Tercapai</v>
      </c>
      <c r="CH10" s="196">
        <v>51</v>
      </c>
      <c r="CI10" s="196">
        <v>804</v>
      </c>
      <c r="CJ10" s="192" t="str">
        <f t="shared" si="26"/>
        <v>Tidak Tercapai</v>
      </c>
      <c r="CK10" s="196">
        <v>0</v>
      </c>
      <c r="CL10" s="196">
        <v>859</v>
      </c>
      <c r="CM10" s="192" t="str">
        <f t="shared" si="27"/>
        <v>Tidak Tercapai</v>
      </c>
      <c r="CN10" s="196">
        <v>5</v>
      </c>
      <c r="CO10" s="196">
        <v>0</v>
      </c>
      <c r="CP10" s="192" t="str">
        <f t="shared" si="28"/>
        <v>Tidak Tercapai</v>
      </c>
      <c r="CQ10" s="196">
        <v>0</v>
      </c>
      <c r="CR10" s="196">
        <v>0</v>
      </c>
      <c r="CS10" s="192" t="str">
        <f t="shared" si="29"/>
        <v>Tidak Tercapai</v>
      </c>
      <c r="CT10" s="196">
        <v>0</v>
      </c>
      <c r="CU10" s="196">
        <v>264</v>
      </c>
      <c r="CV10" s="192" t="str">
        <f t="shared" si="30"/>
        <v>Tidak Tercapai</v>
      </c>
      <c r="CW10" s="196">
        <v>15</v>
      </c>
      <c r="CX10" s="196">
        <v>7309</v>
      </c>
      <c r="CY10" s="192" t="str">
        <f t="shared" si="31"/>
        <v>Tercapai</v>
      </c>
      <c r="CZ10" s="196">
        <v>178</v>
      </c>
      <c r="DA10" s="196">
        <v>1909</v>
      </c>
      <c r="DB10" s="192" t="str">
        <f t="shared" si="32"/>
        <v>Tidak Tercapai</v>
      </c>
      <c r="DC10" s="196">
        <v>46</v>
      </c>
      <c r="DD10" s="196">
        <v>2505</v>
      </c>
      <c r="DE10" s="192" t="str">
        <f t="shared" si="33"/>
        <v>Tidak Tercapai</v>
      </c>
      <c r="DF10" s="196">
        <v>35</v>
      </c>
      <c r="DG10" s="69"/>
      <c r="DH10" s="69"/>
      <c r="DI10" s="69"/>
      <c r="DJ10" s="69"/>
      <c r="DK10" s="69"/>
      <c r="DL10" s="69"/>
    </row>
    <row r="11" spans="1:116" ht="15.5" x14ac:dyDescent="0.35">
      <c r="A11" s="181">
        <v>9</v>
      </c>
      <c r="B11" s="182" t="s">
        <v>531</v>
      </c>
      <c r="C11" s="181" t="s">
        <v>525</v>
      </c>
      <c r="D11" s="181">
        <v>239255</v>
      </c>
      <c r="E11" s="181">
        <v>3253</v>
      </c>
      <c r="F11" s="198">
        <v>40095</v>
      </c>
      <c r="G11" s="184" t="s">
        <v>520</v>
      </c>
      <c r="H11" s="198">
        <v>23217</v>
      </c>
      <c r="I11" s="198">
        <v>188</v>
      </c>
      <c r="J11" s="184" t="str">
        <f t="shared" si="0"/>
        <v>Tidak Tercapai</v>
      </c>
      <c r="K11" s="198">
        <v>5</v>
      </c>
      <c r="L11" s="198">
        <v>0</v>
      </c>
      <c r="M11" s="184" t="str">
        <f t="shared" si="1"/>
        <v>Tidak Tercapai</v>
      </c>
      <c r="N11" s="198">
        <v>0</v>
      </c>
      <c r="O11" s="181">
        <v>1201</v>
      </c>
      <c r="P11" s="184" t="str">
        <f t="shared" si="2"/>
        <v>Tidak Tercapai</v>
      </c>
      <c r="Q11" s="185">
        <v>8</v>
      </c>
      <c r="R11" s="181">
        <v>1485</v>
      </c>
      <c r="S11" s="186" t="str">
        <f t="shared" si="3"/>
        <v>Tidak Tercapai</v>
      </c>
      <c r="T11" s="185">
        <v>26</v>
      </c>
      <c r="U11" s="187">
        <v>2589</v>
      </c>
      <c r="V11" s="186" t="str">
        <f t="shared" si="4"/>
        <v>Tercapai</v>
      </c>
      <c r="W11" s="188">
        <v>2</v>
      </c>
      <c r="X11" s="199">
        <v>1432</v>
      </c>
      <c r="Y11" s="189" t="str">
        <f t="shared" si="5"/>
        <v>Tidak Tercapai</v>
      </c>
      <c r="Z11" s="190">
        <v>11</v>
      </c>
      <c r="AA11" s="191">
        <v>1661</v>
      </c>
      <c r="AB11" s="192" t="str">
        <f t="shared" si="6"/>
        <v>Tidak Tercapai</v>
      </c>
      <c r="AC11" s="191">
        <v>7</v>
      </c>
      <c r="AD11" s="196">
        <v>909</v>
      </c>
      <c r="AE11" s="192" t="str">
        <f t="shared" si="7"/>
        <v>Tidak Tercapai</v>
      </c>
      <c r="AF11" s="191">
        <v>13</v>
      </c>
      <c r="AG11" s="191">
        <v>2</v>
      </c>
      <c r="AH11" s="192" t="str">
        <f t="shared" si="8"/>
        <v>Tidak Tercapai</v>
      </c>
      <c r="AI11" s="191">
        <v>0</v>
      </c>
      <c r="AJ11" s="196">
        <v>2514</v>
      </c>
      <c r="AK11" s="192" t="str">
        <f t="shared" si="9"/>
        <v>Tidak Tercapai</v>
      </c>
      <c r="AL11" s="196">
        <v>12</v>
      </c>
      <c r="AM11" s="196">
        <v>1111</v>
      </c>
      <c r="AN11" s="192" t="str">
        <f t="shared" si="10"/>
        <v>Tidak Tercapai</v>
      </c>
      <c r="AO11" s="196">
        <v>25</v>
      </c>
      <c r="AP11" s="191">
        <v>3307</v>
      </c>
      <c r="AQ11" s="192" t="str">
        <f t="shared" si="11"/>
        <v>Tercapai</v>
      </c>
      <c r="AR11" s="191">
        <v>10</v>
      </c>
      <c r="AS11" s="191">
        <v>1549</v>
      </c>
      <c r="AT11" s="192" t="str">
        <f t="shared" si="12"/>
        <v>Tidak Tercapai</v>
      </c>
      <c r="AU11" s="191">
        <v>42</v>
      </c>
      <c r="AV11" s="183">
        <v>2722</v>
      </c>
      <c r="AW11" s="192" t="str">
        <f t="shared" si="13"/>
        <v>Tidak Tercapai</v>
      </c>
      <c r="AX11" s="191">
        <v>56</v>
      </c>
      <c r="AY11" s="191">
        <v>2586</v>
      </c>
      <c r="AZ11" s="192" t="str">
        <f t="shared" si="14"/>
        <v>Tidak Tercapai</v>
      </c>
      <c r="BA11" s="191">
        <v>17</v>
      </c>
      <c r="BB11" s="195">
        <v>146</v>
      </c>
      <c r="BC11" s="192" t="str">
        <f t="shared" si="15"/>
        <v>Tidak Tercapai</v>
      </c>
      <c r="BD11" s="191">
        <v>0</v>
      </c>
      <c r="BE11" s="196">
        <v>2993</v>
      </c>
      <c r="BF11" s="192" t="str">
        <f t="shared" si="16"/>
        <v>Tidak Tercapai</v>
      </c>
      <c r="BG11" s="183">
        <v>37</v>
      </c>
      <c r="BH11" s="196">
        <v>3356</v>
      </c>
      <c r="BI11" s="192" t="str">
        <f t="shared" si="17"/>
        <v>Tercapai</v>
      </c>
      <c r="BJ11" s="196">
        <v>40</v>
      </c>
      <c r="BK11" s="196">
        <v>3448</v>
      </c>
      <c r="BL11" s="192" t="str">
        <f t="shared" si="18"/>
        <v>Tercapai</v>
      </c>
      <c r="BM11" s="196">
        <v>21</v>
      </c>
      <c r="BN11" s="196">
        <v>2066</v>
      </c>
      <c r="BO11" s="192" t="str">
        <f t="shared" si="19"/>
        <v>Tidak Tercapai</v>
      </c>
      <c r="BP11" s="196">
        <v>15</v>
      </c>
      <c r="BQ11" s="196">
        <v>1534</v>
      </c>
      <c r="BR11" s="192" t="str">
        <f t="shared" si="20"/>
        <v>Tidak Tercapai</v>
      </c>
      <c r="BS11" s="196">
        <v>22</v>
      </c>
      <c r="BT11" s="196">
        <v>4182</v>
      </c>
      <c r="BU11" s="192" t="str">
        <f t="shared" si="21"/>
        <v>Tercapai</v>
      </c>
      <c r="BV11" s="197">
        <v>23.6</v>
      </c>
      <c r="BW11" s="196">
        <v>1133</v>
      </c>
      <c r="BX11" s="192" t="str">
        <f t="shared" si="22"/>
        <v>Tidak Tercapai</v>
      </c>
      <c r="BY11" s="196">
        <v>3</v>
      </c>
      <c r="BZ11" s="196">
        <v>2125</v>
      </c>
      <c r="CA11" s="192" t="str">
        <f t="shared" si="23"/>
        <v>Tidak Tercapai</v>
      </c>
      <c r="CB11" s="196">
        <v>1235</v>
      </c>
      <c r="CC11" s="196">
        <v>5992</v>
      </c>
      <c r="CD11" s="192" t="str">
        <f t="shared" si="24"/>
        <v>Tercapai</v>
      </c>
      <c r="CE11" s="196">
        <v>37</v>
      </c>
      <c r="CF11" s="196">
        <v>3495</v>
      </c>
      <c r="CG11" s="192" t="str">
        <f t="shared" si="25"/>
        <v>Tercapai</v>
      </c>
      <c r="CH11" s="196">
        <v>14</v>
      </c>
      <c r="CI11" s="196">
        <v>3974</v>
      </c>
      <c r="CJ11" s="192" t="str">
        <f t="shared" si="26"/>
        <v>Tercapai</v>
      </c>
      <c r="CK11" s="196">
        <v>43</v>
      </c>
      <c r="CL11" s="196">
        <v>2659</v>
      </c>
      <c r="CM11" s="192" t="str">
        <f t="shared" si="27"/>
        <v>Tidak Tercapai</v>
      </c>
      <c r="CN11" s="196">
        <v>15</v>
      </c>
      <c r="CO11" s="196">
        <v>181</v>
      </c>
      <c r="CP11" s="192" t="str">
        <f t="shared" si="28"/>
        <v>Tidak Tercapai</v>
      </c>
      <c r="CQ11" s="196">
        <v>4</v>
      </c>
      <c r="CR11" s="196">
        <v>214</v>
      </c>
      <c r="CS11" s="192" t="str">
        <f t="shared" si="29"/>
        <v>Tidak Tercapai</v>
      </c>
      <c r="CT11" s="196">
        <v>0</v>
      </c>
      <c r="CU11" s="196">
        <v>3186</v>
      </c>
      <c r="CV11" s="192" t="str">
        <f t="shared" si="30"/>
        <v>Tidak Tercapai</v>
      </c>
      <c r="CW11" s="196">
        <v>5</v>
      </c>
      <c r="CX11" s="196">
        <v>14235</v>
      </c>
      <c r="CY11" s="192" t="str">
        <f t="shared" si="31"/>
        <v>Tercapai</v>
      </c>
      <c r="CZ11" s="196">
        <v>83</v>
      </c>
      <c r="DA11" s="196">
        <v>3637</v>
      </c>
      <c r="DB11" s="192" t="str">
        <f t="shared" si="32"/>
        <v>Tercapai</v>
      </c>
      <c r="DC11" s="196">
        <v>28</v>
      </c>
      <c r="DD11" s="196">
        <v>4467</v>
      </c>
      <c r="DE11" s="192" t="str">
        <f t="shared" si="33"/>
        <v>Tercapai</v>
      </c>
      <c r="DF11" s="196">
        <v>47</v>
      </c>
      <c r="DG11" s="69"/>
      <c r="DH11" s="69"/>
      <c r="DI11" s="69"/>
      <c r="DJ11" s="69"/>
      <c r="DK11" s="69"/>
      <c r="DL11" s="69"/>
    </row>
    <row r="12" spans="1:116" ht="15.5" x14ac:dyDescent="0.35">
      <c r="A12" s="181">
        <v>10</v>
      </c>
      <c r="B12" s="182" t="s">
        <v>532</v>
      </c>
      <c r="C12" s="181" t="s">
        <v>529</v>
      </c>
      <c r="D12" s="181">
        <v>236795</v>
      </c>
      <c r="E12" s="181">
        <v>3018</v>
      </c>
      <c r="F12" s="198">
        <v>50278</v>
      </c>
      <c r="G12" s="184" t="s">
        <v>520</v>
      </c>
      <c r="H12" s="198">
        <v>39551</v>
      </c>
      <c r="I12" s="198">
        <v>150</v>
      </c>
      <c r="J12" s="184" t="str">
        <f t="shared" si="0"/>
        <v>Tidak Tercapai</v>
      </c>
      <c r="K12" s="198">
        <v>0</v>
      </c>
      <c r="L12" s="198">
        <v>1</v>
      </c>
      <c r="M12" s="184" t="str">
        <f t="shared" si="1"/>
        <v>Tidak Tercapai</v>
      </c>
      <c r="N12" s="198">
        <v>2</v>
      </c>
      <c r="O12" s="181">
        <v>1004</v>
      </c>
      <c r="P12" s="184" t="str">
        <f t="shared" si="2"/>
        <v>Tidak Tercapai</v>
      </c>
      <c r="Q12" s="185">
        <v>24</v>
      </c>
      <c r="R12" s="181">
        <v>1243</v>
      </c>
      <c r="S12" s="186" t="str">
        <f t="shared" si="3"/>
        <v>Tidak Tercapai</v>
      </c>
      <c r="T12" s="185">
        <v>54</v>
      </c>
      <c r="U12" s="187">
        <v>1602</v>
      </c>
      <c r="V12" s="186" t="str">
        <f t="shared" si="4"/>
        <v>Tercapai</v>
      </c>
      <c r="W12" s="188">
        <v>44</v>
      </c>
      <c r="X12" s="199">
        <v>1454</v>
      </c>
      <c r="Y12" s="189" t="str">
        <f t="shared" si="5"/>
        <v>Tidak Tercapai</v>
      </c>
      <c r="Z12" s="190">
        <v>55</v>
      </c>
      <c r="AA12" s="191">
        <v>2013</v>
      </c>
      <c r="AB12" s="192" t="str">
        <f t="shared" si="6"/>
        <v>Tidak Tercapai</v>
      </c>
      <c r="AC12" s="191">
        <v>110</v>
      </c>
      <c r="AD12" s="196">
        <v>306</v>
      </c>
      <c r="AE12" s="192" t="str">
        <f t="shared" si="7"/>
        <v>Tidak Tercapai</v>
      </c>
      <c r="AF12" s="191">
        <v>2</v>
      </c>
      <c r="AG12" s="191">
        <v>204</v>
      </c>
      <c r="AH12" s="192" t="str">
        <f t="shared" si="8"/>
        <v>Tidak Tercapai</v>
      </c>
      <c r="AI12" s="191">
        <v>0</v>
      </c>
      <c r="AJ12" s="196">
        <v>1800</v>
      </c>
      <c r="AK12" s="192" t="str">
        <f t="shared" si="9"/>
        <v>Tidak Tercapai</v>
      </c>
      <c r="AL12" s="196">
        <v>40</v>
      </c>
      <c r="AM12" s="196">
        <v>2263</v>
      </c>
      <c r="AN12" s="192" t="str">
        <f t="shared" si="10"/>
        <v>Tidak Tercapai</v>
      </c>
      <c r="AO12" s="196">
        <v>145</v>
      </c>
      <c r="AP12" s="191">
        <v>1810</v>
      </c>
      <c r="AQ12" s="192" t="str">
        <f t="shared" si="11"/>
        <v>Tidak Tercapai</v>
      </c>
      <c r="AR12" s="191">
        <v>33</v>
      </c>
      <c r="AS12" s="191">
        <v>1992</v>
      </c>
      <c r="AT12" s="192" t="str">
        <f t="shared" si="12"/>
        <v>Tidak Tercapai</v>
      </c>
      <c r="AU12" s="191">
        <v>18</v>
      </c>
      <c r="AV12" s="183">
        <v>2037</v>
      </c>
      <c r="AW12" s="192" t="str">
        <f t="shared" si="13"/>
        <v>Tidak Tercapai</v>
      </c>
      <c r="AX12" s="191">
        <v>27</v>
      </c>
      <c r="AY12" s="191">
        <v>1201</v>
      </c>
      <c r="AZ12" s="192" t="str">
        <f t="shared" si="14"/>
        <v>Tidak Tercapai</v>
      </c>
      <c r="BA12" s="191">
        <v>1</v>
      </c>
      <c r="BB12" s="195">
        <v>869</v>
      </c>
      <c r="BC12" s="192" t="str">
        <f t="shared" si="15"/>
        <v>Tidak Tercapai</v>
      </c>
      <c r="BD12" s="191">
        <v>2</v>
      </c>
      <c r="BE12" s="196">
        <v>4949</v>
      </c>
      <c r="BF12" s="192" t="str">
        <f t="shared" si="16"/>
        <v>Tercapai</v>
      </c>
      <c r="BG12" s="183">
        <v>51</v>
      </c>
      <c r="BH12" s="196">
        <v>2526</v>
      </c>
      <c r="BI12" s="192" t="str">
        <f t="shared" si="17"/>
        <v>Tidak Tercapai</v>
      </c>
      <c r="BJ12" s="196">
        <v>33</v>
      </c>
      <c r="BK12" s="196">
        <v>1673</v>
      </c>
      <c r="BL12" s="192" t="str">
        <f t="shared" si="18"/>
        <v>Tidak Tercapai</v>
      </c>
      <c r="BM12" s="196">
        <v>36</v>
      </c>
      <c r="BN12" s="196">
        <v>1402</v>
      </c>
      <c r="BO12" s="192" t="str">
        <f t="shared" si="19"/>
        <v>Tidak Tercapai</v>
      </c>
      <c r="BP12" s="196">
        <v>284</v>
      </c>
      <c r="BQ12" s="196">
        <v>879</v>
      </c>
      <c r="BR12" s="192" t="str">
        <f t="shared" si="20"/>
        <v>Tidak Tercapai</v>
      </c>
      <c r="BS12" s="196">
        <v>55</v>
      </c>
      <c r="BT12" s="196">
        <v>2045</v>
      </c>
      <c r="BU12" s="192" t="str">
        <f t="shared" si="21"/>
        <v>Tidak Tercapai</v>
      </c>
      <c r="BV12" s="197">
        <v>42.106999999999999</v>
      </c>
      <c r="BW12" s="196">
        <v>664</v>
      </c>
      <c r="BX12" s="192" t="str">
        <f t="shared" si="22"/>
        <v>Tidak Tercapai</v>
      </c>
      <c r="BY12" s="196">
        <v>2</v>
      </c>
      <c r="BZ12" s="196">
        <v>882</v>
      </c>
      <c r="CA12" s="192" t="str">
        <f t="shared" si="23"/>
        <v>Tidak Tercapai</v>
      </c>
      <c r="CB12" s="196">
        <v>1235</v>
      </c>
      <c r="CC12" s="196">
        <v>2419</v>
      </c>
      <c r="CD12" s="192" t="str">
        <f t="shared" si="24"/>
        <v>Tidak Tercapai</v>
      </c>
      <c r="CE12" s="196">
        <v>498</v>
      </c>
      <c r="CF12" s="196">
        <v>1125</v>
      </c>
      <c r="CG12" s="192" t="str">
        <f t="shared" si="25"/>
        <v>Tidak Tercapai</v>
      </c>
      <c r="CH12" s="196">
        <v>58</v>
      </c>
      <c r="CI12" s="196">
        <v>2030</v>
      </c>
      <c r="CJ12" s="192" t="str">
        <f t="shared" si="26"/>
        <v>Tidak Tercapai</v>
      </c>
      <c r="CK12" s="196">
        <v>536</v>
      </c>
      <c r="CL12" s="196">
        <v>664</v>
      </c>
      <c r="CM12" s="192" t="str">
        <f t="shared" si="27"/>
        <v>Tidak Tercapai</v>
      </c>
      <c r="CN12" s="196">
        <v>6</v>
      </c>
      <c r="CO12" s="196">
        <v>31</v>
      </c>
      <c r="CP12" s="192" t="str">
        <f t="shared" si="28"/>
        <v>Tidak Tercapai</v>
      </c>
      <c r="CQ12" s="196">
        <v>0</v>
      </c>
      <c r="CR12" s="196">
        <v>0</v>
      </c>
      <c r="CS12" s="192" t="str">
        <f t="shared" si="29"/>
        <v>Tidak Tercapai</v>
      </c>
      <c r="CT12" s="196">
        <v>0</v>
      </c>
      <c r="CU12" s="196">
        <v>761</v>
      </c>
      <c r="CV12" s="192" t="str">
        <f t="shared" si="30"/>
        <v>Tidak Tercapai</v>
      </c>
      <c r="CW12" s="196">
        <v>40</v>
      </c>
      <c r="CX12" s="196">
        <v>5965</v>
      </c>
      <c r="CY12" s="192" t="str">
        <f t="shared" si="31"/>
        <v>Tercapai</v>
      </c>
      <c r="CZ12" s="196">
        <v>83</v>
      </c>
      <c r="DA12" s="196">
        <v>2082</v>
      </c>
      <c r="DB12" s="192" t="str">
        <f t="shared" si="32"/>
        <v>Tidak Tercapai</v>
      </c>
      <c r="DC12" s="196">
        <v>34</v>
      </c>
      <c r="DD12" s="196">
        <v>2708</v>
      </c>
      <c r="DE12" s="192" t="str">
        <f t="shared" si="33"/>
        <v>Tidak Tercapai</v>
      </c>
      <c r="DF12" s="196">
        <v>71</v>
      </c>
      <c r="DG12" s="69"/>
      <c r="DH12" s="69"/>
      <c r="DI12" s="69"/>
      <c r="DJ12" s="69"/>
      <c r="DK12" s="69"/>
      <c r="DL12" s="69"/>
    </row>
    <row r="13" spans="1:116" ht="15.5" x14ac:dyDescent="0.35">
      <c r="A13" s="181">
        <v>11</v>
      </c>
      <c r="B13" s="182" t="s">
        <v>533</v>
      </c>
      <c r="C13" s="181" t="s">
        <v>519</v>
      </c>
      <c r="D13" s="181">
        <v>235252</v>
      </c>
      <c r="E13" s="181">
        <v>3010</v>
      </c>
      <c r="F13" s="198">
        <v>63222</v>
      </c>
      <c r="G13" s="184" t="s">
        <v>520</v>
      </c>
      <c r="H13" s="198">
        <v>37131</v>
      </c>
      <c r="I13" s="198">
        <v>1053</v>
      </c>
      <c r="J13" s="184" t="str">
        <f t="shared" si="0"/>
        <v>Tidak Tercapai</v>
      </c>
      <c r="K13" s="198">
        <v>66</v>
      </c>
      <c r="L13" s="198">
        <v>2</v>
      </c>
      <c r="M13" s="184" t="str">
        <f t="shared" si="1"/>
        <v>Tidak Tercapai</v>
      </c>
      <c r="N13" s="198">
        <v>0</v>
      </c>
      <c r="O13" s="181">
        <v>3105</v>
      </c>
      <c r="P13" s="184" t="str">
        <f t="shared" si="2"/>
        <v>Tercapai</v>
      </c>
      <c r="Q13" s="185">
        <v>49</v>
      </c>
      <c r="R13" s="181">
        <v>2698</v>
      </c>
      <c r="S13" s="186" t="str">
        <f t="shared" si="3"/>
        <v>Tidak Tercapai</v>
      </c>
      <c r="T13" s="185">
        <v>16</v>
      </c>
      <c r="U13" s="187">
        <v>3304</v>
      </c>
      <c r="V13" s="186" t="str">
        <f t="shared" si="4"/>
        <v>Tercapai</v>
      </c>
      <c r="W13" s="188">
        <v>44</v>
      </c>
      <c r="X13" s="199">
        <v>2073</v>
      </c>
      <c r="Y13" s="189" t="str">
        <f t="shared" si="5"/>
        <v>Tidak Tercapai</v>
      </c>
      <c r="Z13" s="190">
        <v>21</v>
      </c>
      <c r="AA13" s="191">
        <v>1946</v>
      </c>
      <c r="AB13" s="192" t="str">
        <f t="shared" si="6"/>
        <v>Tidak Tercapai</v>
      </c>
      <c r="AC13" s="191">
        <v>33</v>
      </c>
      <c r="AD13" s="196">
        <v>1259</v>
      </c>
      <c r="AE13" s="192" t="str">
        <f t="shared" si="7"/>
        <v>Tidak Tercapai</v>
      </c>
      <c r="AF13" s="191">
        <v>24</v>
      </c>
      <c r="AG13" s="191">
        <v>330</v>
      </c>
      <c r="AH13" s="192" t="str">
        <f t="shared" si="8"/>
        <v>Tidak Tercapai</v>
      </c>
      <c r="AI13" s="191">
        <v>0</v>
      </c>
      <c r="AJ13" s="196">
        <v>2107</v>
      </c>
      <c r="AK13" s="192" t="str">
        <f t="shared" si="9"/>
        <v>Tidak Tercapai</v>
      </c>
      <c r="AL13" s="196">
        <v>25</v>
      </c>
      <c r="AM13" s="196">
        <v>1070</v>
      </c>
      <c r="AN13" s="192" t="str">
        <f t="shared" si="10"/>
        <v>Tidak Tercapai</v>
      </c>
      <c r="AO13" s="196">
        <v>55</v>
      </c>
      <c r="AP13" s="191">
        <v>3034</v>
      </c>
      <c r="AQ13" s="192" t="str">
        <f t="shared" si="11"/>
        <v>Tercapai</v>
      </c>
      <c r="AR13" s="191">
        <v>16</v>
      </c>
      <c r="AS13" s="191">
        <v>2292</v>
      </c>
      <c r="AT13" s="192" t="str">
        <f t="shared" si="12"/>
        <v>Tidak Tercapai</v>
      </c>
      <c r="AU13" s="191">
        <v>37</v>
      </c>
      <c r="AV13" s="183">
        <v>2143</v>
      </c>
      <c r="AW13" s="192" t="str">
        <f t="shared" si="13"/>
        <v>Tidak Tercapai</v>
      </c>
      <c r="AX13" s="191">
        <v>45</v>
      </c>
      <c r="AY13" s="191">
        <v>1374</v>
      </c>
      <c r="AZ13" s="192" t="str">
        <f t="shared" si="14"/>
        <v>Tidak Tercapai</v>
      </c>
      <c r="BA13" s="191">
        <v>7</v>
      </c>
      <c r="BB13" s="195">
        <v>27</v>
      </c>
      <c r="BC13" s="192" t="str">
        <f t="shared" si="15"/>
        <v>Tidak Tercapai</v>
      </c>
      <c r="BD13" s="191">
        <v>1</v>
      </c>
      <c r="BE13" s="196">
        <v>3320</v>
      </c>
      <c r="BF13" s="192" t="str">
        <f t="shared" si="16"/>
        <v>Tercapai</v>
      </c>
      <c r="BG13" s="183">
        <v>45</v>
      </c>
      <c r="BH13" s="196">
        <v>2686</v>
      </c>
      <c r="BI13" s="192" t="str">
        <f t="shared" si="17"/>
        <v>Tidak Tercapai</v>
      </c>
      <c r="BJ13" s="196">
        <v>28</v>
      </c>
      <c r="BK13" s="196">
        <v>3445</v>
      </c>
      <c r="BL13" s="192" t="str">
        <f t="shared" si="18"/>
        <v>Tercapai</v>
      </c>
      <c r="BM13" s="196">
        <v>58</v>
      </c>
      <c r="BN13" s="196">
        <v>2099</v>
      </c>
      <c r="BO13" s="192" t="str">
        <f t="shared" si="19"/>
        <v>Tidak Tercapai</v>
      </c>
      <c r="BP13" s="196">
        <v>30</v>
      </c>
      <c r="BQ13" s="196">
        <v>1762</v>
      </c>
      <c r="BR13" s="192" t="str">
        <f t="shared" si="20"/>
        <v>Tidak Tercapai</v>
      </c>
      <c r="BS13" s="196">
        <v>29</v>
      </c>
      <c r="BT13" s="196">
        <v>1955</v>
      </c>
      <c r="BU13" s="192" t="str">
        <f t="shared" si="21"/>
        <v>Tidak Tercapai</v>
      </c>
      <c r="BV13" s="197">
        <v>37.808</v>
      </c>
      <c r="BW13" s="196">
        <v>1217</v>
      </c>
      <c r="BX13" s="192" t="str">
        <f t="shared" si="22"/>
        <v>Tidak Tercapai</v>
      </c>
      <c r="BY13" s="196">
        <v>1</v>
      </c>
      <c r="BZ13" s="196">
        <v>1823</v>
      </c>
      <c r="CA13" s="192" t="str">
        <f t="shared" si="23"/>
        <v>Tidak Tercapai</v>
      </c>
      <c r="CB13" s="196">
        <v>1604</v>
      </c>
      <c r="CC13" s="196">
        <v>3337</v>
      </c>
      <c r="CD13" s="192" t="str">
        <f t="shared" si="24"/>
        <v>Tercapai</v>
      </c>
      <c r="CE13" s="196">
        <v>43</v>
      </c>
      <c r="CF13" s="196">
        <v>2347</v>
      </c>
      <c r="CG13" s="192" t="str">
        <f t="shared" si="25"/>
        <v>Tidak Tercapai</v>
      </c>
      <c r="CH13" s="196">
        <v>10</v>
      </c>
      <c r="CI13" s="196">
        <v>4014</v>
      </c>
      <c r="CJ13" s="192" t="str">
        <f t="shared" si="26"/>
        <v>Tercapai</v>
      </c>
      <c r="CK13" s="196">
        <v>44</v>
      </c>
      <c r="CL13" s="196">
        <v>762</v>
      </c>
      <c r="CM13" s="192" t="str">
        <f t="shared" si="27"/>
        <v>Tidak Tercapai</v>
      </c>
      <c r="CN13" s="196">
        <v>8</v>
      </c>
      <c r="CO13" s="196">
        <v>139</v>
      </c>
      <c r="CP13" s="192" t="str">
        <f t="shared" si="28"/>
        <v>Tidak Tercapai</v>
      </c>
      <c r="CQ13" s="196">
        <v>0</v>
      </c>
      <c r="CR13" s="196">
        <v>67</v>
      </c>
      <c r="CS13" s="192" t="str">
        <f t="shared" si="29"/>
        <v>Tidak Tercapai</v>
      </c>
      <c r="CT13" s="196">
        <v>0</v>
      </c>
      <c r="CU13" s="196">
        <v>2754</v>
      </c>
      <c r="CV13" s="192" t="str">
        <f t="shared" si="30"/>
        <v>Tidak Tercapai</v>
      </c>
      <c r="CW13" s="196">
        <v>21</v>
      </c>
      <c r="CX13" s="196">
        <v>6350</v>
      </c>
      <c r="CY13" s="192" t="str">
        <f t="shared" si="31"/>
        <v>Tercapai</v>
      </c>
      <c r="CZ13" s="196">
        <v>141</v>
      </c>
      <c r="DA13" s="196">
        <v>2215</v>
      </c>
      <c r="DB13" s="192" t="str">
        <f t="shared" si="32"/>
        <v>Tidak Tercapai</v>
      </c>
      <c r="DC13" s="196">
        <v>30</v>
      </c>
      <c r="DD13" s="196">
        <v>2493</v>
      </c>
      <c r="DE13" s="192" t="str">
        <f t="shared" si="33"/>
        <v>Tidak Tercapai</v>
      </c>
      <c r="DF13" s="196">
        <v>30</v>
      </c>
      <c r="DG13" s="69"/>
      <c r="DH13" s="69"/>
      <c r="DI13" s="69"/>
      <c r="DJ13" s="69"/>
      <c r="DK13" s="69"/>
      <c r="DL13" s="69"/>
    </row>
    <row r="14" spans="1:116" ht="15.5" x14ac:dyDescent="0.35">
      <c r="A14" s="181">
        <v>12</v>
      </c>
      <c r="B14" s="182" t="s">
        <v>534</v>
      </c>
      <c r="C14" s="181" t="s">
        <v>519</v>
      </c>
      <c r="D14" s="181">
        <v>222733</v>
      </c>
      <c r="E14" s="181">
        <v>2939</v>
      </c>
      <c r="F14" s="198">
        <v>52251</v>
      </c>
      <c r="G14" s="184" t="s">
        <v>520</v>
      </c>
      <c r="H14" s="198">
        <v>36077</v>
      </c>
      <c r="I14" s="198">
        <v>271</v>
      </c>
      <c r="J14" s="184" t="str">
        <f t="shared" si="0"/>
        <v>Tidak Tercapai</v>
      </c>
      <c r="K14" s="198">
        <v>0</v>
      </c>
      <c r="L14" s="198">
        <v>0</v>
      </c>
      <c r="M14" s="184" t="str">
        <f t="shared" si="1"/>
        <v>Tidak Tercapai</v>
      </c>
      <c r="N14" s="198">
        <v>0</v>
      </c>
      <c r="O14" s="181">
        <v>1175</v>
      </c>
      <c r="P14" s="184" t="str">
        <f t="shared" si="2"/>
        <v>Tidak Tercapai</v>
      </c>
      <c r="Q14" s="185">
        <v>115</v>
      </c>
      <c r="R14" s="181">
        <v>876</v>
      </c>
      <c r="S14" s="186" t="str">
        <f t="shared" si="3"/>
        <v>Tidak Tercapai</v>
      </c>
      <c r="T14" s="185">
        <v>88</v>
      </c>
      <c r="U14" s="187">
        <v>1091</v>
      </c>
      <c r="V14" s="186" t="str">
        <f t="shared" si="4"/>
        <v>Tercapai</v>
      </c>
      <c r="W14" s="188">
        <v>136</v>
      </c>
      <c r="X14" s="199">
        <v>1106</v>
      </c>
      <c r="Y14" s="189" t="str">
        <f t="shared" si="5"/>
        <v>Tidak Tercapai</v>
      </c>
      <c r="Z14" s="190">
        <v>188</v>
      </c>
      <c r="AA14" s="191">
        <v>1157</v>
      </c>
      <c r="AB14" s="192" t="str">
        <f t="shared" si="6"/>
        <v>Tidak Tercapai</v>
      </c>
      <c r="AC14" s="191">
        <v>253</v>
      </c>
      <c r="AD14" s="196">
        <v>138</v>
      </c>
      <c r="AE14" s="192" t="str">
        <f t="shared" si="7"/>
        <v>Tidak Tercapai</v>
      </c>
      <c r="AF14" s="191">
        <v>0</v>
      </c>
      <c r="AG14" s="191">
        <v>33</v>
      </c>
      <c r="AH14" s="192" t="str">
        <f t="shared" si="8"/>
        <v>Tidak Tercapai</v>
      </c>
      <c r="AI14" s="191">
        <v>0</v>
      </c>
      <c r="AJ14" s="196">
        <v>2333</v>
      </c>
      <c r="AK14" s="192" t="str">
        <f t="shared" si="9"/>
        <v>Tidak Tercapai</v>
      </c>
      <c r="AL14" s="196">
        <v>222</v>
      </c>
      <c r="AM14" s="196">
        <v>737</v>
      </c>
      <c r="AN14" s="192" t="str">
        <f t="shared" si="10"/>
        <v>Tidak Tercapai</v>
      </c>
      <c r="AO14" s="196">
        <v>215</v>
      </c>
      <c r="AP14" s="191">
        <v>2557</v>
      </c>
      <c r="AQ14" s="192" t="str">
        <f t="shared" si="11"/>
        <v>Tidak Tercapai</v>
      </c>
      <c r="AR14" s="191">
        <v>53</v>
      </c>
      <c r="AS14" s="191">
        <v>1676</v>
      </c>
      <c r="AT14" s="192" t="str">
        <f t="shared" si="12"/>
        <v>Tidak Tercapai</v>
      </c>
      <c r="AU14" s="191">
        <v>46</v>
      </c>
      <c r="AV14" s="183">
        <v>2030</v>
      </c>
      <c r="AW14" s="192" t="str">
        <f t="shared" si="13"/>
        <v>Tidak Tercapai</v>
      </c>
      <c r="AX14" s="191">
        <v>124</v>
      </c>
      <c r="AY14" s="191">
        <v>898</v>
      </c>
      <c r="AZ14" s="192" t="str">
        <f t="shared" si="14"/>
        <v>Tidak Tercapai</v>
      </c>
      <c r="BA14" s="191">
        <v>8</v>
      </c>
      <c r="BB14" s="195">
        <v>892</v>
      </c>
      <c r="BC14" s="192" t="str">
        <f t="shared" si="15"/>
        <v>Tidak Tercapai</v>
      </c>
      <c r="BD14" s="191">
        <v>1</v>
      </c>
      <c r="BE14" s="196">
        <v>3592</v>
      </c>
      <c r="BF14" s="192" t="str">
        <f t="shared" si="16"/>
        <v>Tercapai</v>
      </c>
      <c r="BG14" s="183">
        <v>154</v>
      </c>
      <c r="BH14" s="196">
        <v>3710</v>
      </c>
      <c r="BI14" s="192" t="str">
        <f t="shared" si="17"/>
        <v>Tercapai</v>
      </c>
      <c r="BJ14" s="196">
        <v>64</v>
      </c>
      <c r="BK14" s="196">
        <v>3508</v>
      </c>
      <c r="BL14" s="192" t="str">
        <f t="shared" si="18"/>
        <v>Tercapai</v>
      </c>
      <c r="BM14" s="196">
        <v>97</v>
      </c>
      <c r="BN14" s="196">
        <v>2831</v>
      </c>
      <c r="BO14" s="192" t="str">
        <f t="shared" si="19"/>
        <v>Tidak Tercapai</v>
      </c>
      <c r="BP14" s="196">
        <v>78</v>
      </c>
      <c r="BQ14" s="196">
        <v>1282</v>
      </c>
      <c r="BR14" s="192" t="str">
        <f t="shared" si="20"/>
        <v>Tidak Tercapai</v>
      </c>
      <c r="BS14" s="196">
        <v>63</v>
      </c>
      <c r="BT14" s="196">
        <v>2737</v>
      </c>
      <c r="BU14" s="192" t="str">
        <f t="shared" si="21"/>
        <v>Tidak Tercapai</v>
      </c>
      <c r="BV14" s="197">
        <v>38.073999999999998</v>
      </c>
      <c r="BW14" s="196">
        <v>832</v>
      </c>
      <c r="BX14" s="192" t="str">
        <f t="shared" si="22"/>
        <v>Tidak Tercapai</v>
      </c>
      <c r="BY14" s="196">
        <v>1</v>
      </c>
      <c r="BZ14" s="196">
        <v>2225</v>
      </c>
      <c r="CA14" s="192" t="str">
        <f t="shared" si="23"/>
        <v>Tidak Tercapai</v>
      </c>
      <c r="CB14" s="196">
        <v>5979</v>
      </c>
      <c r="CC14" s="196">
        <v>3562</v>
      </c>
      <c r="CD14" s="192" t="str">
        <f t="shared" si="24"/>
        <v>Tercapai</v>
      </c>
      <c r="CE14" s="196">
        <v>157</v>
      </c>
      <c r="CF14" s="196">
        <v>1682</v>
      </c>
      <c r="CG14" s="192" t="str">
        <f t="shared" si="25"/>
        <v>Tidak Tercapai</v>
      </c>
      <c r="CH14" s="196">
        <v>48</v>
      </c>
      <c r="CI14" s="196">
        <v>2029</v>
      </c>
      <c r="CJ14" s="192" t="str">
        <f t="shared" si="26"/>
        <v>Tidak Tercapai</v>
      </c>
      <c r="CK14" s="196">
        <v>128</v>
      </c>
      <c r="CL14" s="196">
        <v>540</v>
      </c>
      <c r="CM14" s="192" t="str">
        <f t="shared" si="27"/>
        <v>Tidak Tercapai</v>
      </c>
      <c r="CN14" s="196">
        <v>70</v>
      </c>
      <c r="CO14" s="196">
        <v>32</v>
      </c>
      <c r="CP14" s="192" t="str">
        <f t="shared" si="28"/>
        <v>Tidak Tercapai</v>
      </c>
      <c r="CQ14" s="196">
        <v>1</v>
      </c>
      <c r="CR14" s="196">
        <v>5</v>
      </c>
      <c r="CS14" s="192" t="str">
        <f t="shared" si="29"/>
        <v>Tidak Tercapai</v>
      </c>
      <c r="CT14" s="196">
        <v>0</v>
      </c>
      <c r="CU14" s="196">
        <v>681</v>
      </c>
      <c r="CV14" s="192" t="str">
        <f t="shared" si="30"/>
        <v>Tidak Tercapai</v>
      </c>
      <c r="CW14" s="196">
        <v>66</v>
      </c>
      <c r="CX14" s="196">
        <v>4407</v>
      </c>
      <c r="CY14" s="192" t="str">
        <f t="shared" si="31"/>
        <v>Tercapai</v>
      </c>
      <c r="CZ14" s="196">
        <v>423</v>
      </c>
      <c r="DA14" s="196">
        <v>1062</v>
      </c>
      <c r="DB14" s="192" t="str">
        <f t="shared" si="32"/>
        <v>Tidak Tercapai</v>
      </c>
      <c r="DC14" s="196">
        <v>181</v>
      </c>
      <c r="DD14" s="196">
        <v>1585</v>
      </c>
      <c r="DE14" s="192" t="str">
        <f t="shared" si="33"/>
        <v>Tidak Tercapai</v>
      </c>
      <c r="DF14" s="196">
        <v>155</v>
      </c>
      <c r="DG14" s="69"/>
      <c r="DH14" s="69"/>
      <c r="DI14" s="69"/>
      <c r="DJ14" s="69"/>
      <c r="DK14" s="69"/>
      <c r="DL14" s="69"/>
    </row>
    <row r="15" spans="1:116" ht="15.5" x14ac:dyDescent="0.35">
      <c r="A15" s="181">
        <v>13</v>
      </c>
      <c r="B15" s="182" t="s">
        <v>535</v>
      </c>
      <c r="C15" s="181" t="s">
        <v>529</v>
      </c>
      <c r="D15" s="181">
        <v>235775</v>
      </c>
      <c r="E15" s="181">
        <v>2937</v>
      </c>
      <c r="F15" s="198">
        <v>43323</v>
      </c>
      <c r="G15" s="184" t="s">
        <v>520</v>
      </c>
      <c r="H15" s="198">
        <v>27425</v>
      </c>
      <c r="I15" s="198">
        <v>107</v>
      </c>
      <c r="J15" s="184" t="str">
        <f t="shared" si="0"/>
        <v>Tidak Tercapai</v>
      </c>
      <c r="K15" s="198">
        <v>25</v>
      </c>
      <c r="L15" s="198">
        <v>5</v>
      </c>
      <c r="M15" s="184" t="str">
        <f t="shared" si="1"/>
        <v>Tidak Tercapai</v>
      </c>
      <c r="N15" s="198">
        <v>5</v>
      </c>
      <c r="O15" s="181">
        <v>1308</v>
      </c>
      <c r="P15" s="184" t="str">
        <f t="shared" si="2"/>
        <v>Tidak Tercapai</v>
      </c>
      <c r="Q15" s="185">
        <v>49</v>
      </c>
      <c r="R15" s="181">
        <v>1397</v>
      </c>
      <c r="S15" s="186" t="str">
        <f t="shared" si="3"/>
        <v>Tidak Tercapai</v>
      </c>
      <c r="T15" s="185">
        <v>48</v>
      </c>
      <c r="U15" s="187">
        <v>1594</v>
      </c>
      <c r="V15" s="186" t="str">
        <f t="shared" si="4"/>
        <v>Tercapai</v>
      </c>
      <c r="W15" s="188">
        <v>42</v>
      </c>
      <c r="X15" s="199">
        <v>1617</v>
      </c>
      <c r="Y15" s="189" t="str">
        <f t="shared" si="5"/>
        <v>Tidak Tercapai</v>
      </c>
      <c r="Z15" s="190">
        <v>42</v>
      </c>
      <c r="AA15" s="191">
        <v>2174</v>
      </c>
      <c r="AB15" s="192" t="str">
        <f t="shared" si="6"/>
        <v>Tidak Tercapai</v>
      </c>
      <c r="AC15" s="191">
        <v>68</v>
      </c>
      <c r="AD15" s="196">
        <v>173</v>
      </c>
      <c r="AE15" s="192" t="str">
        <f t="shared" si="7"/>
        <v>Tidak Tercapai</v>
      </c>
      <c r="AF15" s="191">
        <v>33</v>
      </c>
      <c r="AG15" s="191">
        <v>2</v>
      </c>
      <c r="AH15" s="192" t="str">
        <f t="shared" si="8"/>
        <v>Tidak Tercapai</v>
      </c>
      <c r="AI15" s="191">
        <v>0</v>
      </c>
      <c r="AJ15" s="196">
        <v>2105</v>
      </c>
      <c r="AK15" s="192" t="str">
        <f t="shared" si="9"/>
        <v>Tidak Tercapai</v>
      </c>
      <c r="AL15" s="196">
        <v>61</v>
      </c>
      <c r="AM15" s="196">
        <v>2942</v>
      </c>
      <c r="AN15" s="192" t="str">
        <f t="shared" si="10"/>
        <v>Tercapai</v>
      </c>
      <c r="AO15" s="196">
        <v>63</v>
      </c>
      <c r="AP15" s="191">
        <v>3633</v>
      </c>
      <c r="AQ15" s="192" t="str">
        <f t="shared" si="11"/>
        <v>Tercapai</v>
      </c>
      <c r="AR15" s="191">
        <v>37</v>
      </c>
      <c r="AS15" s="191">
        <v>3811</v>
      </c>
      <c r="AT15" s="192" t="str">
        <f t="shared" si="12"/>
        <v>Tercapai</v>
      </c>
      <c r="AU15" s="191">
        <v>242</v>
      </c>
      <c r="AV15" s="183">
        <v>3020</v>
      </c>
      <c r="AW15" s="192" t="str">
        <f t="shared" si="13"/>
        <v>Tercapai</v>
      </c>
      <c r="AX15" s="191">
        <v>66</v>
      </c>
      <c r="AY15" s="191">
        <v>606</v>
      </c>
      <c r="AZ15" s="192" t="str">
        <f t="shared" si="14"/>
        <v>Tidak Tercapai</v>
      </c>
      <c r="BA15" s="191">
        <v>8</v>
      </c>
      <c r="BB15" s="195">
        <v>151</v>
      </c>
      <c r="BC15" s="192" t="str">
        <f t="shared" si="15"/>
        <v>Tidak Tercapai</v>
      </c>
      <c r="BD15" s="191">
        <v>7</v>
      </c>
      <c r="BE15" s="196">
        <v>3250</v>
      </c>
      <c r="BF15" s="192" t="str">
        <f t="shared" si="16"/>
        <v>Tercapai</v>
      </c>
      <c r="BG15" s="183">
        <v>62</v>
      </c>
      <c r="BH15" s="196">
        <v>2894</v>
      </c>
      <c r="BI15" s="192" t="str">
        <f t="shared" si="17"/>
        <v>Tidak Tercapai</v>
      </c>
      <c r="BJ15" s="196">
        <v>32</v>
      </c>
      <c r="BK15" s="196">
        <v>2595</v>
      </c>
      <c r="BL15" s="192" t="str">
        <f t="shared" si="18"/>
        <v>Tidak Tercapai</v>
      </c>
      <c r="BM15" s="196">
        <v>51</v>
      </c>
      <c r="BN15" s="196">
        <v>2252</v>
      </c>
      <c r="BO15" s="192" t="str">
        <f t="shared" si="19"/>
        <v>Tidak Tercapai</v>
      </c>
      <c r="BP15" s="196">
        <v>66</v>
      </c>
      <c r="BQ15" s="196">
        <v>1505</v>
      </c>
      <c r="BR15" s="192" t="str">
        <f t="shared" si="20"/>
        <v>Tidak Tercapai</v>
      </c>
      <c r="BS15" s="196">
        <v>56</v>
      </c>
      <c r="BT15" s="196">
        <v>1565</v>
      </c>
      <c r="BU15" s="192" t="str">
        <f t="shared" si="21"/>
        <v>Tidak Tercapai</v>
      </c>
      <c r="BV15" s="197">
        <v>28.341000000000001</v>
      </c>
      <c r="BW15" s="196">
        <v>9</v>
      </c>
      <c r="BX15" s="192" t="str">
        <f t="shared" si="22"/>
        <v>Tidak Tercapai</v>
      </c>
      <c r="BY15" s="196">
        <v>0</v>
      </c>
      <c r="BZ15" s="196">
        <v>1537</v>
      </c>
      <c r="CA15" s="192" t="str">
        <f t="shared" si="23"/>
        <v>Tidak Tercapai</v>
      </c>
      <c r="CB15" s="196">
        <v>1506</v>
      </c>
      <c r="CC15" s="196">
        <v>2731</v>
      </c>
      <c r="CD15" s="192" t="str">
        <f t="shared" si="24"/>
        <v>Tidak Tercapai</v>
      </c>
      <c r="CE15" s="196">
        <v>94</v>
      </c>
      <c r="CF15" s="196">
        <v>1800</v>
      </c>
      <c r="CG15" s="192" t="str">
        <f t="shared" si="25"/>
        <v>Tidak Tercapai</v>
      </c>
      <c r="CH15" s="196">
        <v>35</v>
      </c>
      <c r="CI15" s="196">
        <v>2330</v>
      </c>
      <c r="CJ15" s="192" t="str">
        <f t="shared" si="26"/>
        <v>Tidak Tercapai</v>
      </c>
      <c r="CK15" s="196">
        <v>55</v>
      </c>
      <c r="CL15" s="196">
        <v>742</v>
      </c>
      <c r="CM15" s="192" t="str">
        <f t="shared" si="27"/>
        <v>Tidak Tercapai</v>
      </c>
      <c r="CN15" s="196">
        <v>37</v>
      </c>
      <c r="CO15" s="196">
        <v>6</v>
      </c>
      <c r="CP15" s="192" t="str">
        <f t="shared" si="28"/>
        <v>Tidak Tercapai</v>
      </c>
      <c r="CQ15" s="196">
        <v>1</v>
      </c>
      <c r="CR15" s="196">
        <v>11</v>
      </c>
      <c r="CS15" s="192" t="str">
        <f t="shared" si="29"/>
        <v>Tidak Tercapai</v>
      </c>
      <c r="CT15" s="196">
        <v>0</v>
      </c>
      <c r="CU15" s="196">
        <v>1112</v>
      </c>
      <c r="CV15" s="192" t="str">
        <f t="shared" si="30"/>
        <v>Tidak Tercapai</v>
      </c>
      <c r="CW15" s="196">
        <v>82</v>
      </c>
      <c r="CX15" s="196">
        <v>5057</v>
      </c>
      <c r="CY15" s="192" t="str">
        <f t="shared" si="31"/>
        <v>Tercapai</v>
      </c>
      <c r="CZ15" s="196">
        <v>302</v>
      </c>
      <c r="DA15" s="196">
        <v>3011</v>
      </c>
      <c r="DB15" s="192" t="str">
        <f t="shared" si="32"/>
        <v>Tercapai</v>
      </c>
      <c r="DC15" s="196">
        <v>163</v>
      </c>
      <c r="DD15" s="196">
        <v>3015</v>
      </c>
      <c r="DE15" s="192" t="str">
        <f t="shared" si="33"/>
        <v>Tercapai</v>
      </c>
      <c r="DF15" s="196">
        <v>132</v>
      </c>
      <c r="DG15" s="69"/>
      <c r="DH15" s="69"/>
      <c r="DI15" s="69"/>
      <c r="DJ15" s="69"/>
      <c r="DK15" s="69"/>
      <c r="DL15" s="69"/>
    </row>
    <row r="16" spans="1:116" ht="15.5" x14ac:dyDescent="0.35">
      <c r="A16" s="181">
        <v>14</v>
      </c>
      <c r="B16" s="200" t="s">
        <v>536</v>
      </c>
      <c r="C16" s="181" t="s">
        <v>525</v>
      </c>
      <c r="D16" s="181">
        <v>231336</v>
      </c>
      <c r="E16" s="181">
        <v>2860</v>
      </c>
      <c r="F16" s="198">
        <v>90895</v>
      </c>
      <c r="G16" s="184" t="s">
        <v>520</v>
      </c>
      <c r="H16" s="198">
        <v>46467</v>
      </c>
      <c r="I16" s="198">
        <v>994</v>
      </c>
      <c r="J16" s="184" t="str">
        <f t="shared" si="0"/>
        <v>Tidak Tercapai</v>
      </c>
      <c r="K16" s="198">
        <v>1</v>
      </c>
      <c r="L16" s="198">
        <v>0</v>
      </c>
      <c r="M16" s="184" t="str">
        <f t="shared" si="1"/>
        <v>Tidak Tercapai</v>
      </c>
      <c r="N16" s="198">
        <v>0</v>
      </c>
      <c r="O16" s="181">
        <v>3287</v>
      </c>
      <c r="P16" s="184" t="str">
        <f t="shared" si="2"/>
        <v>Tercapai</v>
      </c>
      <c r="Q16" s="185">
        <v>3</v>
      </c>
      <c r="R16" s="181">
        <v>2102</v>
      </c>
      <c r="S16" s="186" t="str">
        <f t="shared" si="3"/>
        <v>Tidak Tercapai</v>
      </c>
      <c r="T16" s="185">
        <v>246</v>
      </c>
      <c r="U16" s="187">
        <v>2463</v>
      </c>
      <c r="V16" s="186" t="str">
        <f t="shared" si="4"/>
        <v>Tercapai</v>
      </c>
      <c r="W16" s="188">
        <v>13</v>
      </c>
      <c r="X16" s="199">
        <v>3189</v>
      </c>
      <c r="Y16" s="189" t="str">
        <f t="shared" si="5"/>
        <v>Tercapai</v>
      </c>
      <c r="Z16" s="190">
        <v>13</v>
      </c>
      <c r="AA16" s="191">
        <v>4701</v>
      </c>
      <c r="AB16" s="192" t="str">
        <f t="shared" si="6"/>
        <v>Tercapai</v>
      </c>
      <c r="AC16" s="191">
        <v>8</v>
      </c>
      <c r="AD16" s="196">
        <v>2632</v>
      </c>
      <c r="AE16" s="192" t="str">
        <f t="shared" si="7"/>
        <v>Tidak Tercapai</v>
      </c>
      <c r="AF16" s="191">
        <v>1</v>
      </c>
      <c r="AG16" s="191">
        <v>793</v>
      </c>
      <c r="AH16" s="192" t="str">
        <f t="shared" si="8"/>
        <v>Tidak Tercapai</v>
      </c>
      <c r="AI16" s="191">
        <v>1</v>
      </c>
      <c r="AJ16" s="196">
        <v>4264</v>
      </c>
      <c r="AK16" s="192" t="str">
        <f t="shared" si="9"/>
        <v>Tercapai</v>
      </c>
      <c r="AL16" s="196">
        <v>1</v>
      </c>
      <c r="AM16" s="196">
        <v>2994</v>
      </c>
      <c r="AN16" s="192" t="str">
        <f t="shared" si="10"/>
        <v>Tercapai</v>
      </c>
      <c r="AO16" s="196">
        <v>23</v>
      </c>
      <c r="AP16" s="191">
        <v>6260</v>
      </c>
      <c r="AQ16" s="192" t="str">
        <f t="shared" si="11"/>
        <v>Tercapai</v>
      </c>
      <c r="AR16" s="191">
        <v>32</v>
      </c>
      <c r="AS16" s="191">
        <v>5834</v>
      </c>
      <c r="AT16" s="192" t="str">
        <f t="shared" si="12"/>
        <v>Tercapai</v>
      </c>
      <c r="AU16" s="191">
        <v>11</v>
      </c>
      <c r="AV16" s="183">
        <v>6244</v>
      </c>
      <c r="AW16" s="192" t="str">
        <f t="shared" si="13"/>
        <v>Tercapai</v>
      </c>
      <c r="AX16" s="191">
        <v>7</v>
      </c>
      <c r="AY16" s="191">
        <v>3643</v>
      </c>
      <c r="AZ16" s="192" t="str">
        <f t="shared" si="14"/>
        <v>Tercapai</v>
      </c>
      <c r="BA16" s="191">
        <v>10</v>
      </c>
      <c r="BB16" s="195">
        <v>348</v>
      </c>
      <c r="BC16" s="192" t="str">
        <f t="shared" si="15"/>
        <v>Tidak Tercapai</v>
      </c>
      <c r="BD16" s="191">
        <v>1</v>
      </c>
      <c r="BE16" s="196">
        <v>4130</v>
      </c>
      <c r="BF16" s="192" t="str">
        <f t="shared" si="16"/>
        <v>Tercapai</v>
      </c>
      <c r="BG16" s="183">
        <v>17</v>
      </c>
      <c r="BH16" s="196">
        <v>4512</v>
      </c>
      <c r="BI16" s="192" t="str">
        <f t="shared" si="17"/>
        <v>Tercapai</v>
      </c>
      <c r="BJ16" s="196">
        <v>18</v>
      </c>
      <c r="BK16" s="196">
        <v>5903</v>
      </c>
      <c r="BL16" s="192" t="str">
        <f t="shared" si="18"/>
        <v>Tercapai</v>
      </c>
      <c r="BM16" s="196">
        <v>44</v>
      </c>
      <c r="BN16" s="196">
        <v>4920</v>
      </c>
      <c r="BO16" s="192" t="str">
        <f t="shared" si="19"/>
        <v>Tercapai</v>
      </c>
      <c r="BP16" s="196">
        <v>14</v>
      </c>
      <c r="BQ16" s="196">
        <v>3144</v>
      </c>
      <c r="BR16" s="192" t="str">
        <f t="shared" si="20"/>
        <v>Tercapai</v>
      </c>
      <c r="BS16" s="196">
        <v>12</v>
      </c>
      <c r="BT16" s="196">
        <v>6444</v>
      </c>
      <c r="BU16" s="192" t="str">
        <f t="shared" si="21"/>
        <v>Tercapai</v>
      </c>
      <c r="BV16" s="197">
        <v>47.003999999999998</v>
      </c>
      <c r="BW16" s="196">
        <v>948</v>
      </c>
      <c r="BX16" s="192" t="str">
        <f t="shared" si="22"/>
        <v>Tidak Tercapai</v>
      </c>
      <c r="BY16" s="196">
        <v>1</v>
      </c>
      <c r="BZ16" s="196">
        <v>2682</v>
      </c>
      <c r="CA16" s="192" t="str">
        <f t="shared" si="23"/>
        <v>Tidak Tercapai</v>
      </c>
      <c r="CB16" s="196">
        <v>1135</v>
      </c>
      <c r="CC16" s="196">
        <v>5112</v>
      </c>
      <c r="CD16" s="192" t="str">
        <f t="shared" si="24"/>
        <v>Tercapai</v>
      </c>
      <c r="CE16" s="196">
        <v>31</v>
      </c>
      <c r="CF16" s="196">
        <v>2556</v>
      </c>
      <c r="CG16" s="192" t="str">
        <f t="shared" si="25"/>
        <v>Tidak Tercapai</v>
      </c>
      <c r="CH16" s="196">
        <v>9</v>
      </c>
      <c r="CI16" s="196">
        <v>2262</v>
      </c>
      <c r="CJ16" s="192" t="str">
        <f t="shared" si="26"/>
        <v>Tidak Tercapai</v>
      </c>
      <c r="CK16" s="196">
        <v>65</v>
      </c>
      <c r="CL16" s="196">
        <v>1333</v>
      </c>
      <c r="CM16" s="192" t="str">
        <f t="shared" si="27"/>
        <v>Tidak Tercapai</v>
      </c>
      <c r="CN16" s="196">
        <v>3</v>
      </c>
      <c r="CO16" s="196">
        <v>2</v>
      </c>
      <c r="CP16" s="192" t="str">
        <f t="shared" si="28"/>
        <v>Tidak Tercapai</v>
      </c>
      <c r="CQ16" s="196">
        <v>0</v>
      </c>
      <c r="CR16" s="196">
        <v>8</v>
      </c>
      <c r="CS16" s="192" t="str">
        <f t="shared" si="29"/>
        <v>Tidak Tercapai</v>
      </c>
      <c r="CT16" s="196">
        <v>1</v>
      </c>
      <c r="CU16" s="196">
        <v>1118</v>
      </c>
      <c r="CV16" s="192" t="str">
        <f t="shared" si="30"/>
        <v>Tidak Tercapai</v>
      </c>
      <c r="CW16" s="196">
        <v>17</v>
      </c>
      <c r="CX16" s="196">
        <v>9473</v>
      </c>
      <c r="CY16" s="192" t="str">
        <f t="shared" si="31"/>
        <v>Tercapai</v>
      </c>
      <c r="CZ16" s="196">
        <v>127</v>
      </c>
      <c r="DA16" s="196">
        <v>2863</v>
      </c>
      <c r="DB16" s="192" t="str">
        <f t="shared" si="32"/>
        <v>Tercapai</v>
      </c>
      <c r="DC16" s="196">
        <v>43</v>
      </c>
      <c r="DD16" s="196">
        <v>3200</v>
      </c>
      <c r="DE16" s="192" t="str">
        <f t="shared" si="33"/>
        <v>Tercapai</v>
      </c>
      <c r="DF16" s="196">
        <v>67</v>
      </c>
      <c r="DG16" s="69"/>
      <c r="DH16" s="69"/>
      <c r="DI16" s="69"/>
      <c r="DJ16" s="69"/>
      <c r="DK16" s="69"/>
      <c r="DL16" s="69"/>
    </row>
    <row r="17" spans="1:116" ht="15.5" x14ac:dyDescent="0.35">
      <c r="A17" s="181">
        <v>15</v>
      </c>
      <c r="B17" s="182" t="s">
        <v>537</v>
      </c>
      <c r="C17" s="181" t="s">
        <v>519</v>
      </c>
      <c r="D17" s="181">
        <v>221198</v>
      </c>
      <c r="E17" s="181">
        <v>2800</v>
      </c>
      <c r="F17" s="198">
        <v>32047</v>
      </c>
      <c r="G17" s="184" t="s">
        <v>520</v>
      </c>
      <c r="H17" s="198">
        <v>20888</v>
      </c>
      <c r="I17" s="198">
        <v>59</v>
      </c>
      <c r="J17" s="184" t="str">
        <f t="shared" si="0"/>
        <v>Tidak Tercapai</v>
      </c>
      <c r="K17" s="198">
        <v>29</v>
      </c>
      <c r="L17" s="198">
        <v>0</v>
      </c>
      <c r="M17" s="184" t="str">
        <f t="shared" si="1"/>
        <v>Tidak Tercapai</v>
      </c>
      <c r="N17" s="198">
        <v>0</v>
      </c>
      <c r="O17" s="181">
        <v>608</v>
      </c>
      <c r="P17" s="184" t="str">
        <f t="shared" si="2"/>
        <v>Tidak Tercapai</v>
      </c>
      <c r="Q17" s="185">
        <v>8</v>
      </c>
      <c r="R17" s="181">
        <v>609</v>
      </c>
      <c r="S17" s="186" t="str">
        <f t="shared" si="3"/>
        <v>Tidak Tercapai</v>
      </c>
      <c r="T17" s="185">
        <v>3</v>
      </c>
      <c r="U17" s="187">
        <v>1192</v>
      </c>
      <c r="V17" s="186" t="str">
        <f t="shared" si="4"/>
        <v>Tercapai</v>
      </c>
      <c r="W17" s="188">
        <v>20</v>
      </c>
      <c r="X17" s="199">
        <v>945</v>
      </c>
      <c r="Y17" s="189" t="str">
        <f t="shared" si="5"/>
        <v>Tidak Tercapai</v>
      </c>
      <c r="Z17" s="190">
        <v>15</v>
      </c>
      <c r="AA17" s="191">
        <v>1618</v>
      </c>
      <c r="AB17" s="192" t="str">
        <f t="shared" si="6"/>
        <v>Tidak Tercapai</v>
      </c>
      <c r="AC17" s="191">
        <v>24</v>
      </c>
      <c r="AD17" s="196">
        <v>698</v>
      </c>
      <c r="AE17" s="192" t="str">
        <f t="shared" si="7"/>
        <v>Tidak Tercapai</v>
      </c>
      <c r="AF17" s="191">
        <v>4</v>
      </c>
      <c r="AG17" s="191">
        <v>473</v>
      </c>
      <c r="AH17" s="192" t="str">
        <f t="shared" si="8"/>
        <v>Tidak Tercapai</v>
      </c>
      <c r="AI17" s="191">
        <v>4</v>
      </c>
      <c r="AJ17" s="196">
        <v>1583</v>
      </c>
      <c r="AK17" s="192" t="str">
        <f t="shared" si="9"/>
        <v>Tidak Tercapai</v>
      </c>
      <c r="AL17" s="196">
        <v>20</v>
      </c>
      <c r="AM17" s="196">
        <v>665</v>
      </c>
      <c r="AN17" s="192" t="str">
        <f t="shared" si="10"/>
        <v>Tidak Tercapai</v>
      </c>
      <c r="AO17" s="196">
        <v>45</v>
      </c>
      <c r="AP17" s="191">
        <v>2680</v>
      </c>
      <c r="AQ17" s="192" t="str">
        <f t="shared" si="11"/>
        <v>Tidak Tercapai</v>
      </c>
      <c r="AR17" s="191">
        <v>11</v>
      </c>
      <c r="AS17" s="191">
        <v>1760</v>
      </c>
      <c r="AT17" s="192" t="str">
        <f t="shared" si="12"/>
        <v>Tidak Tercapai</v>
      </c>
      <c r="AU17" s="191">
        <v>50</v>
      </c>
      <c r="AV17" s="183">
        <v>2143</v>
      </c>
      <c r="AW17" s="192" t="str">
        <f t="shared" si="13"/>
        <v>Tidak Tercapai</v>
      </c>
      <c r="AX17" s="191">
        <v>12</v>
      </c>
      <c r="AY17" s="191">
        <v>761</v>
      </c>
      <c r="AZ17" s="192" t="str">
        <f t="shared" si="14"/>
        <v>Tidak Tercapai</v>
      </c>
      <c r="BA17" s="191">
        <v>5</v>
      </c>
      <c r="BB17" s="195">
        <v>928</v>
      </c>
      <c r="BC17" s="192" t="str">
        <f t="shared" si="15"/>
        <v>Tidak Tercapai</v>
      </c>
      <c r="BD17" s="191">
        <v>7</v>
      </c>
      <c r="BE17" s="196">
        <v>2047</v>
      </c>
      <c r="BF17" s="192" t="str">
        <f t="shared" si="16"/>
        <v>Tidak Tercapai</v>
      </c>
      <c r="BG17" s="183">
        <v>15</v>
      </c>
      <c r="BH17" s="196">
        <v>2123</v>
      </c>
      <c r="BI17" s="192" t="str">
        <f t="shared" si="17"/>
        <v>Tidak Tercapai</v>
      </c>
      <c r="BJ17" s="196">
        <v>20</v>
      </c>
      <c r="BK17" s="196">
        <v>2245</v>
      </c>
      <c r="BL17" s="192" t="str">
        <f t="shared" si="18"/>
        <v>Tidak Tercapai</v>
      </c>
      <c r="BM17" s="196">
        <v>22</v>
      </c>
      <c r="BN17" s="196">
        <v>1795</v>
      </c>
      <c r="BO17" s="192" t="str">
        <f t="shared" si="19"/>
        <v>Tidak Tercapai</v>
      </c>
      <c r="BP17" s="196">
        <v>16</v>
      </c>
      <c r="BQ17" s="196">
        <v>1350</v>
      </c>
      <c r="BR17" s="192" t="str">
        <f t="shared" si="20"/>
        <v>Tidak Tercapai</v>
      </c>
      <c r="BS17" s="196">
        <v>8</v>
      </c>
      <c r="BT17" s="196">
        <v>2186</v>
      </c>
      <c r="BU17" s="192" t="str">
        <f t="shared" si="21"/>
        <v>Tidak Tercapai</v>
      </c>
      <c r="BV17" s="197">
        <v>21.231999999999999</v>
      </c>
      <c r="BW17" s="196">
        <v>86</v>
      </c>
      <c r="BX17" s="192" t="str">
        <f t="shared" si="22"/>
        <v>Tidak Tercapai</v>
      </c>
      <c r="BY17" s="196">
        <v>1</v>
      </c>
      <c r="BZ17" s="196">
        <v>1313</v>
      </c>
      <c r="CA17" s="192" t="str">
        <f t="shared" si="23"/>
        <v>Tidak Tercapai</v>
      </c>
      <c r="CB17" s="196">
        <v>1520</v>
      </c>
      <c r="CC17" s="196">
        <v>2722</v>
      </c>
      <c r="CD17" s="192" t="str">
        <f t="shared" si="24"/>
        <v>Tidak Tercapai</v>
      </c>
      <c r="CE17" s="196">
        <v>28</v>
      </c>
      <c r="CF17" s="196">
        <v>1549</v>
      </c>
      <c r="CG17" s="192" t="str">
        <f t="shared" si="25"/>
        <v>Tidak Tercapai</v>
      </c>
      <c r="CH17" s="196">
        <v>21</v>
      </c>
      <c r="CI17" s="196">
        <v>1405</v>
      </c>
      <c r="CJ17" s="192" t="str">
        <f t="shared" si="26"/>
        <v>Tidak Tercapai</v>
      </c>
      <c r="CK17" s="196">
        <v>94</v>
      </c>
      <c r="CL17" s="196">
        <v>360</v>
      </c>
      <c r="CM17" s="192" t="str">
        <f t="shared" si="27"/>
        <v>Tidak Tercapai</v>
      </c>
      <c r="CN17" s="196">
        <v>4</v>
      </c>
      <c r="CO17" s="196">
        <v>27</v>
      </c>
      <c r="CP17" s="192" t="str">
        <f t="shared" si="28"/>
        <v>Tidak Tercapai</v>
      </c>
      <c r="CQ17" s="196">
        <v>0</v>
      </c>
      <c r="CR17" s="196">
        <v>11</v>
      </c>
      <c r="CS17" s="192" t="str">
        <f t="shared" si="29"/>
        <v>Tidak Tercapai</v>
      </c>
      <c r="CT17" s="196">
        <v>0</v>
      </c>
      <c r="CU17" s="196">
        <v>369</v>
      </c>
      <c r="CV17" s="192" t="str">
        <f t="shared" si="30"/>
        <v>Tidak Tercapai</v>
      </c>
      <c r="CW17" s="196">
        <v>4</v>
      </c>
      <c r="CX17" s="196">
        <v>6877</v>
      </c>
      <c r="CY17" s="192" t="str">
        <f t="shared" si="31"/>
        <v>Tercapai</v>
      </c>
      <c r="CZ17" s="196">
        <v>187</v>
      </c>
      <c r="DA17" s="196">
        <v>1988</v>
      </c>
      <c r="DB17" s="192" t="str">
        <f t="shared" si="32"/>
        <v>Tidak Tercapai</v>
      </c>
      <c r="DC17" s="196">
        <v>61</v>
      </c>
      <c r="DD17" s="196">
        <v>1757</v>
      </c>
      <c r="DE17" s="192" t="str">
        <f t="shared" si="33"/>
        <v>Tidak Tercapai</v>
      </c>
      <c r="DF17" s="196">
        <v>36</v>
      </c>
      <c r="DG17" s="69"/>
      <c r="DH17" s="69"/>
      <c r="DI17" s="69"/>
      <c r="DJ17" s="69"/>
      <c r="DK17" s="69"/>
      <c r="DL17" s="69"/>
    </row>
    <row r="18" spans="1:116" ht="15.5" x14ac:dyDescent="0.35">
      <c r="A18" s="181">
        <v>16</v>
      </c>
      <c r="B18" s="182" t="s">
        <v>538</v>
      </c>
      <c r="C18" s="181" t="s">
        <v>519</v>
      </c>
      <c r="D18" s="181">
        <v>225123</v>
      </c>
      <c r="E18" s="181">
        <v>2779</v>
      </c>
      <c r="F18" s="198">
        <v>48208</v>
      </c>
      <c r="G18" s="184" t="s">
        <v>520</v>
      </c>
      <c r="H18" s="198">
        <v>30966</v>
      </c>
      <c r="I18" s="198">
        <v>0</v>
      </c>
      <c r="J18" s="184" t="str">
        <f t="shared" si="0"/>
        <v>Tidak Tercapai</v>
      </c>
      <c r="K18" s="198">
        <v>1</v>
      </c>
      <c r="L18" s="198">
        <v>0</v>
      </c>
      <c r="M18" s="184" t="str">
        <f t="shared" si="1"/>
        <v>Tidak Tercapai</v>
      </c>
      <c r="N18" s="198">
        <v>0</v>
      </c>
      <c r="O18" s="181">
        <v>736</v>
      </c>
      <c r="P18" s="184" t="str">
        <f t="shared" si="2"/>
        <v>Tidak Tercapai</v>
      </c>
      <c r="Q18" s="185">
        <v>27</v>
      </c>
      <c r="R18" s="181">
        <v>1206</v>
      </c>
      <c r="S18" s="186" t="str">
        <f t="shared" si="3"/>
        <v>Tidak Tercapai</v>
      </c>
      <c r="T18" s="185">
        <v>29</v>
      </c>
      <c r="U18" s="187">
        <v>1257</v>
      </c>
      <c r="V18" s="186" t="str">
        <f t="shared" si="4"/>
        <v>Tercapai</v>
      </c>
      <c r="W18" s="188">
        <v>28</v>
      </c>
      <c r="X18" s="199">
        <v>1214</v>
      </c>
      <c r="Y18" s="189" t="str">
        <f t="shared" si="5"/>
        <v>Tidak Tercapai</v>
      </c>
      <c r="Z18" s="190">
        <v>31</v>
      </c>
      <c r="AA18" s="191">
        <v>1355</v>
      </c>
      <c r="AB18" s="192" t="str">
        <f t="shared" si="6"/>
        <v>Tidak Tercapai</v>
      </c>
      <c r="AC18" s="191">
        <v>47</v>
      </c>
      <c r="AD18" s="196">
        <v>1079</v>
      </c>
      <c r="AE18" s="192" t="str">
        <f t="shared" si="7"/>
        <v>Tidak Tercapai</v>
      </c>
      <c r="AF18" s="191">
        <v>1</v>
      </c>
      <c r="AG18" s="191">
        <v>55</v>
      </c>
      <c r="AH18" s="192" t="str">
        <f t="shared" si="8"/>
        <v>Tidak Tercapai</v>
      </c>
      <c r="AI18" s="191">
        <v>0</v>
      </c>
      <c r="AJ18" s="196">
        <v>2216</v>
      </c>
      <c r="AK18" s="192" t="str">
        <f t="shared" si="9"/>
        <v>Tidak Tercapai</v>
      </c>
      <c r="AL18" s="196">
        <v>70</v>
      </c>
      <c r="AM18" s="196">
        <v>1264</v>
      </c>
      <c r="AN18" s="192" t="str">
        <f t="shared" si="10"/>
        <v>Tidak Tercapai</v>
      </c>
      <c r="AO18" s="196">
        <v>75</v>
      </c>
      <c r="AP18" s="191">
        <v>4571</v>
      </c>
      <c r="AQ18" s="192" t="str">
        <f t="shared" si="11"/>
        <v>Tercapai</v>
      </c>
      <c r="AR18" s="191">
        <v>11</v>
      </c>
      <c r="AS18" s="191">
        <v>3279</v>
      </c>
      <c r="AT18" s="192" t="str">
        <f t="shared" si="12"/>
        <v>Tercapai</v>
      </c>
      <c r="AU18" s="191">
        <v>126</v>
      </c>
      <c r="AV18" s="183">
        <v>3251</v>
      </c>
      <c r="AW18" s="192" t="str">
        <f t="shared" si="13"/>
        <v>Tercapai</v>
      </c>
      <c r="AX18" s="191">
        <v>84</v>
      </c>
      <c r="AY18" s="191">
        <v>436</v>
      </c>
      <c r="AZ18" s="192" t="str">
        <f t="shared" si="14"/>
        <v>Tidak Tercapai</v>
      </c>
      <c r="BA18" s="191">
        <v>2</v>
      </c>
      <c r="BB18" s="195">
        <v>0</v>
      </c>
      <c r="BC18" s="192" t="str">
        <f t="shared" si="15"/>
        <v>Tidak Tercapai</v>
      </c>
      <c r="BD18" s="191">
        <v>0</v>
      </c>
      <c r="BE18" s="196">
        <v>3589</v>
      </c>
      <c r="BF18" s="192" t="str">
        <f t="shared" si="16"/>
        <v>Tercapai</v>
      </c>
      <c r="BG18" s="183">
        <v>29</v>
      </c>
      <c r="BH18" s="196">
        <v>4375</v>
      </c>
      <c r="BI18" s="192" t="str">
        <f t="shared" si="17"/>
        <v>Tercapai</v>
      </c>
      <c r="BJ18" s="196">
        <v>13</v>
      </c>
      <c r="BK18" s="196">
        <v>3996</v>
      </c>
      <c r="BL18" s="192" t="str">
        <f t="shared" si="18"/>
        <v>Tercapai</v>
      </c>
      <c r="BM18" s="196">
        <v>27</v>
      </c>
      <c r="BN18" s="196">
        <v>3304</v>
      </c>
      <c r="BO18" s="192" t="str">
        <f t="shared" si="19"/>
        <v>Tercapai</v>
      </c>
      <c r="BP18" s="196">
        <v>41</v>
      </c>
      <c r="BQ18" s="196">
        <v>2401</v>
      </c>
      <c r="BR18" s="192" t="str">
        <f t="shared" si="20"/>
        <v>Tidak Tercapai</v>
      </c>
      <c r="BS18" s="196">
        <v>75</v>
      </c>
      <c r="BT18" s="196">
        <v>1656</v>
      </c>
      <c r="BU18" s="192" t="str">
        <f t="shared" si="21"/>
        <v>Tidak Tercapai</v>
      </c>
      <c r="BV18" s="197">
        <v>31.616</v>
      </c>
      <c r="BW18" s="196">
        <v>0</v>
      </c>
      <c r="BX18" s="192" t="str">
        <f t="shared" si="22"/>
        <v>Tidak Tercapai</v>
      </c>
      <c r="BY18" s="196">
        <v>0</v>
      </c>
      <c r="BZ18" s="196">
        <v>1693</v>
      </c>
      <c r="CA18" s="192" t="str">
        <f t="shared" si="23"/>
        <v>Tidak Tercapai</v>
      </c>
      <c r="CB18" s="196">
        <v>3265</v>
      </c>
      <c r="CC18" s="196">
        <v>3503</v>
      </c>
      <c r="CD18" s="192" t="str">
        <f t="shared" si="24"/>
        <v>Tercapai</v>
      </c>
      <c r="CE18" s="196">
        <v>84</v>
      </c>
      <c r="CF18" s="196">
        <v>1831</v>
      </c>
      <c r="CG18" s="192" t="str">
        <f t="shared" si="25"/>
        <v>Tidak Tercapai</v>
      </c>
      <c r="CH18" s="196">
        <v>30</v>
      </c>
      <c r="CI18" s="196">
        <v>2830</v>
      </c>
      <c r="CJ18" s="192" t="str">
        <f t="shared" si="26"/>
        <v>Tercapai</v>
      </c>
      <c r="CK18" s="196">
        <v>50</v>
      </c>
      <c r="CL18" s="196">
        <v>388</v>
      </c>
      <c r="CM18" s="192" t="str">
        <f t="shared" si="27"/>
        <v>Tidak Tercapai</v>
      </c>
      <c r="CN18" s="196">
        <v>24</v>
      </c>
      <c r="CO18" s="196">
        <v>1</v>
      </c>
      <c r="CP18" s="192" t="str">
        <f t="shared" si="28"/>
        <v>Tidak Tercapai</v>
      </c>
      <c r="CQ18" s="196">
        <v>0</v>
      </c>
      <c r="CR18" s="196">
        <v>0</v>
      </c>
      <c r="CS18" s="192" t="str">
        <f t="shared" si="29"/>
        <v>Tidak Tercapai</v>
      </c>
      <c r="CT18" s="196">
        <v>0</v>
      </c>
      <c r="CU18" s="196">
        <v>751</v>
      </c>
      <c r="CV18" s="192" t="str">
        <f t="shared" si="30"/>
        <v>Tidak Tercapai</v>
      </c>
      <c r="CW18" s="196">
        <v>61</v>
      </c>
      <c r="CX18" s="196">
        <v>3781</v>
      </c>
      <c r="CY18" s="192" t="str">
        <f t="shared" si="31"/>
        <v>Tercapai</v>
      </c>
      <c r="CZ18" s="196">
        <v>327</v>
      </c>
      <c r="DA18" s="196">
        <v>1460</v>
      </c>
      <c r="DB18" s="192" t="str">
        <f t="shared" si="32"/>
        <v>Tidak Tercapai</v>
      </c>
      <c r="DC18" s="196">
        <v>109</v>
      </c>
      <c r="DD18" s="196">
        <v>2033</v>
      </c>
      <c r="DE18" s="192" t="str">
        <f t="shared" si="33"/>
        <v>Tidak Tercapai</v>
      </c>
      <c r="DF18" s="196">
        <v>179</v>
      </c>
      <c r="DG18" s="69"/>
      <c r="DH18" s="69"/>
      <c r="DI18" s="69"/>
      <c r="DJ18" s="69"/>
      <c r="DK18" s="69"/>
      <c r="DL18" s="69"/>
    </row>
    <row r="19" spans="1:116" ht="15.5" x14ac:dyDescent="0.35">
      <c r="A19" s="181">
        <v>17</v>
      </c>
      <c r="B19" s="182" t="s">
        <v>539</v>
      </c>
      <c r="C19" s="181" t="s">
        <v>522</v>
      </c>
      <c r="D19" s="181">
        <v>214043</v>
      </c>
      <c r="E19" s="181">
        <v>2686</v>
      </c>
      <c r="F19" s="198">
        <v>51430</v>
      </c>
      <c r="G19" s="184" t="s">
        <v>520</v>
      </c>
      <c r="H19" s="198">
        <v>33548</v>
      </c>
      <c r="I19" s="198">
        <v>276</v>
      </c>
      <c r="J19" s="184" t="str">
        <f t="shared" si="0"/>
        <v>Tidak Tercapai</v>
      </c>
      <c r="K19" s="198">
        <v>0</v>
      </c>
      <c r="L19" s="198">
        <v>7</v>
      </c>
      <c r="M19" s="184" t="str">
        <f t="shared" si="1"/>
        <v>Tidak Tercapai</v>
      </c>
      <c r="N19" s="198">
        <v>3</v>
      </c>
      <c r="O19" s="181">
        <v>2198</v>
      </c>
      <c r="P19" s="184" t="str">
        <f t="shared" si="2"/>
        <v>Tidak Tercapai</v>
      </c>
      <c r="Q19" s="185">
        <v>27</v>
      </c>
      <c r="R19" s="181">
        <v>2327</v>
      </c>
      <c r="S19" s="186" t="str">
        <f t="shared" si="3"/>
        <v>Tidak Tercapai</v>
      </c>
      <c r="T19" s="185">
        <v>8</v>
      </c>
      <c r="U19" s="187">
        <v>2853</v>
      </c>
      <c r="V19" s="186" t="str">
        <f t="shared" si="4"/>
        <v>Tercapai</v>
      </c>
      <c r="W19" s="188">
        <v>24</v>
      </c>
      <c r="X19" s="199">
        <v>3093</v>
      </c>
      <c r="Y19" s="189" t="str">
        <f t="shared" si="5"/>
        <v>Tercapai</v>
      </c>
      <c r="Z19" s="190">
        <v>10</v>
      </c>
      <c r="AA19" s="191">
        <v>3621</v>
      </c>
      <c r="AB19" s="192" t="str">
        <f t="shared" si="6"/>
        <v>Tercapai</v>
      </c>
      <c r="AC19" s="191">
        <v>34</v>
      </c>
      <c r="AD19" s="196">
        <v>556</v>
      </c>
      <c r="AE19" s="192" t="str">
        <f t="shared" si="7"/>
        <v>Tidak Tercapai</v>
      </c>
      <c r="AF19" s="191">
        <v>2</v>
      </c>
      <c r="AG19" s="191">
        <v>0</v>
      </c>
      <c r="AH19" s="192" t="str">
        <f t="shared" si="8"/>
        <v>Tidak Tercapai</v>
      </c>
      <c r="AI19" s="191">
        <v>0</v>
      </c>
      <c r="AJ19" s="196">
        <v>1662</v>
      </c>
      <c r="AK19" s="192" t="str">
        <f t="shared" si="9"/>
        <v>Tidak Tercapai</v>
      </c>
      <c r="AL19" s="196">
        <v>20</v>
      </c>
      <c r="AM19" s="196">
        <v>1129</v>
      </c>
      <c r="AN19" s="192" t="str">
        <f t="shared" si="10"/>
        <v>Tidak Tercapai</v>
      </c>
      <c r="AO19" s="196">
        <v>8</v>
      </c>
      <c r="AP19" s="191">
        <v>3212</v>
      </c>
      <c r="AQ19" s="192" t="str">
        <f t="shared" si="11"/>
        <v>Tercapai</v>
      </c>
      <c r="AR19" s="191">
        <v>7</v>
      </c>
      <c r="AS19" s="191">
        <v>2177</v>
      </c>
      <c r="AT19" s="192" t="str">
        <f t="shared" si="12"/>
        <v>Tidak Tercapai</v>
      </c>
      <c r="AU19" s="191">
        <v>20</v>
      </c>
      <c r="AV19" s="183">
        <v>2161</v>
      </c>
      <c r="AW19" s="192" t="str">
        <f t="shared" si="13"/>
        <v>Tidak Tercapai</v>
      </c>
      <c r="AX19" s="191">
        <v>33</v>
      </c>
      <c r="AY19" s="191">
        <v>106</v>
      </c>
      <c r="AZ19" s="192" t="str">
        <f t="shared" si="14"/>
        <v>Tidak Tercapai</v>
      </c>
      <c r="BA19" s="191">
        <v>0</v>
      </c>
      <c r="BB19" s="195">
        <v>1008</v>
      </c>
      <c r="BC19" s="192" t="str">
        <f t="shared" si="15"/>
        <v>Tidak Tercapai</v>
      </c>
      <c r="BD19" s="191">
        <v>0</v>
      </c>
      <c r="BE19" s="196">
        <v>1349</v>
      </c>
      <c r="BF19" s="192" t="str">
        <f t="shared" si="16"/>
        <v>Tidak Tercapai</v>
      </c>
      <c r="BG19" s="183">
        <v>12</v>
      </c>
      <c r="BH19" s="196">
        <v>2234</v>
      </c>
      <c r="BI19" s="192" t="str">
        <f t="shared" si="17"/>
        <v>Tidak Tercapai</v>
      </c>
      <c r="BJ19" s="196">
        <v>17</v>
      </c>
      <c r="BK19" s="196">
        <v>1748</v>
      </c>
      <c r="BL19" s="192" t="str">
        <f t="shared" si="18"/>
        <v>Tidak Tercapai</v>
      </c>
      <c r="BM19" s="196">
        <v>20</v>
      </c>
      <c r="BN19" s="196">
        <v>1844</v>
      </c>
      <c r="BO19" s="192" t="str">
        <f t="shared" si="19"/>
        <v>Tidak Tercapai</v>
      </c>
      <c r="BP19" s="196">
        <v>19</v>
      </c>
      <c r="BQ19" s="196">
        <v>1529</v>
      </c>
      <c r="BR19" s="192" t="str">
        <f t="shared" si="20"/>
        <v>Tidak Tercapai</v>
      </c>
      <c r="BS19" s="196">
        <v>25</v>
      </c>
      <c r="BT19" s="196">
        <v>4205</v>
      </c>
      <c r="BU19" s="192" t="str">
        <f t="shared" si="21"/>
        <v>Tercapai</v>
      </c>
      <c r="BV19" s="197">
        <v>33.866</v>
      </c>
      <c r="BW19" s="196">
        <v>1425</v>
      </c>
      <c r="BX19" s="192" t="str">
        <f t="shared" si="22"/>
        <v>Tidak Tercapai</v>
      </c>
      <c r="BY19" s="196">
        <v>3</v>
      </c>
      <c r="BZ19" s="196">
        <v>1730</v>
      </c>
      <c r="CA19" s="192" t="str">
        <f t="shared" si="23"/>
        <v>Tidak Tercapai</v>
      </c>
      <c r="CB19" s="196">
        <v>874</v>
      </c>
      <c r="CC19" s="196">
        <v>2995</v>
      </c>
      <c r="CD19" s="192" t="str">
        <f t="shared" si="24"/>
        <v>Tercapai</v>
      </c>
      <c r="CE19" s="196">
        <v>30</v>
      </c>
      <c r="CF19" s="196">
        <v>1752</v>
      </c>
      <c r="CG19" s="192" t="str">
        <f t="shared" si="25"/>
        <v>Tidak Tercapai</v>
      </c>
      <c r="CH19" s="196">
        <v>20</v>
      </c>
      <c r="CI19" s="196">
        <v>1724</v>
      </c>
      <c r="CJ19" s="192" t="str">
        <f t="shared" si="26"/>
        <v>Tidak Tercapai</v>
      </c>
      <c r="CK19" s="196">
        <v>39</v>
      </c>
      <c r="CL19" s="196">
        <v>1188</v>
      </c>
      <c r="CM19" s="192" t="str">
        <f t="shared" si="27"/>
        <v>Tidak Tercapai</v>
      </c>
      <c r="CN19" s="196">
        <v>8</v>
      </c>
      <c r="CO19" s="196">
        <v>13</v>
      </c>
      <c r="CP19" s="192" t="str">
        <f t="shared" si="28"/>
        <v>Tidak Tercapai</v>
      </c>
      <c r="CQ19" s="196">
        <v>0</v>
      </c>
      <c r="CR19" s="196">
        <v>1</v>
      </c>
      <c r="CS19" s="192" t="str">
        <f t="shared" si="29"/>
        <v>Tidak Tercapai</v>
      </c>
      <c r="CT19" s="196">
        <v>0</v>
      </c>
      <c r="CU19" s="196">
        <v>579</v>
      </c>
      <c r="CV19" s="192" t="str">
        <f t="shared" si="30"/>
        <v>Tidak Tercapai</v>
      </c>
      <c r="CW19" s="196">
        <v>16</v>
      </c>
      <c r="CX19" s="196">
        <v>6594</v>
      </c>
      <c r="CY19" s="192" t="str">
        <f t="shared" si="31"/>
        <v>Tercapai</v>
      </c>
      <c r="CZ19" s="196">
        <v>120</v>
      </c>
      <c r="DA19" s="196">
        <v>2197</v>
      </c>
      <c r="DB19" s="192" t="str">
        <f t="shared" si="32"/>
        <v>Tidak Tercapai</v>
      </c>
      <c r="DC19" s="196">
        <v>30</v>
      </c>
      <c r="DD19" s="196">
        <v>2223</v>
      </c>
      <c r="DE19" s="192" t="str">
        <f t="shared" si="33"/>
        <v>Tidak Tercapai</v>
      </c>
      <c r="DF19" s="196">
        <v>18</v>
      </c>
      <c r="DG19" s="69"/>
      <c r="DH19" s="69"/>
      <c r="DI19" s="69"/>
      <c r="DJ19" s="69"/>
      <c r="DK19" s="69"/>
      <c r="DL19" s="69"/>
    </row>
    <row r="20" spans="1:116" ht="15.5" x14ac:dyDescent="0.35">
      <c r="A20" s="181">
        <v>18</v>
      </c>
      <c r="B20" s="182" t="s">
        <v>540</v>
      </c>
      <c r="C20" s="181" t="s">
        <v>519</v>
      </c>
      <c r="D20" s="181">
        <v>201654</v>
      </c>
      <c r="E20" s="181">
        <v>2658</v>
      </c>
      <c r="F20" s="198">
        <v>62833</v>
      </c>
      <c r="G20" s="184" t="s">
        <v>520</v>
      </c>
      <c r="H20" s="198">
        <v>47865</v>
      </c>
      <c r="I20" s="198">
        <v>203</v>
      </c>
      <c r="J20" s="184" t="str">
        <f t="shared" si="0"/>
        <v>Tidak Tercapai</v>
      </c>
      <c r="K20" s="198">
        <v>77</v>
      </c>
      <c r="L20" s="198">
        <v>3</v>
      </c>
      <c r="M20" s="184" t="str">
        <f t="shared" si="1"/>
        <v>Tidak Tercapai</v>
      </c>
      <c r="N20" s="198">
        <v>0</v>
      </c>
      <c r="O20" s="181">
        <v>1117</v>
      </c>
      <c r="P20" s="184" t="str">
        <f t="shared" si="2"/>
        <v>Tidak Tercapai</v>
      </c>
      <c r="Q20" s="185">
        <v>284</v>
      </c>
      <c r="R20" s="181">
        <v>1205</v>
      </c>
      <c r="S20" s="186" t="str">
        <f t="shared" si="3"/>
        <v>Tidak Tercapai</v>
      </c>
      <c r="T20" s="185">
        <v>219</v>
      </c>
      <c r="U20" s="187">
        <v>1599</v>
      </c>
      <c r="V20" s="186" t="str">
        <f t="shared" si="4"/>
        <v>Tercapai</v>
      </c>
      <c r="W20" s="188">
        <v>279</v>
      </c>
      <c r="X20" s="199">
        <v>1912</v>
      </c>
      <c r="Y20" s="189" t="str">
        <f t="shared" si="5"/>
        <v>Tidak Tercapai</v>
      </c>
      <c r="Z20" s="190">
        <v>146</v>
      </c>
      <c r="AA20" s="191">
        <v>1967</v>
      </c>
      <c r="AB20" s="192" t="str">
        <f t="shared" si="6"/>
        <v>Tidak Tercapai</v>
      </c>
      <c r="AC20" s="191">
        <v>737</v>
      </c>
      <c r="AD20" s="196">
        <v>1387</v>
      </c>
      <c r="AE20" s="192" t="str">
        <f t="shared" si="7"/>
        <v>Tidak Tercapai</v>
      </c>
      <c r="AF20" s="191">
        <v>5</v>
      </c>
      <c r="AG20" s="191">
        <v>173</v>
      </c>
      <c r="AH20" s="192" t="str">
        <f t="shared" si="8"/>
        <v>Tidak Tercapai</v>
      </c>
      <c r="AI20" s="191">
        <v>12</v>
      </c>
      <c r="AJ20" s="196">
        <v>1675</v>
      </c>
      <c r="AK20" s="192" t="str">
        <f t="shared" si="9"/>
        <v>Tidak Tercapai</v>
      </c>
      <c r="AL20" s="196">
        <v>112</v>
      </c>
      <c r="AM20" s="196">
        <v>1373</v>
      </c>
      <c r="AN20" s="192" t="str">
        <f t="shared" si="10"/>
        <v>Tidak Tercapai</v>
      </c>
      <c r="AO20" s="196">
        <v>100</v>
      </c>
      <c r="AP20" s="191">
        <v>3477</v>
      </c>
      <c r="AQ20" s="192" t="str">
        <f t="shared" si="11"/>
        <v>Tercapai</v>
      </c>
      <c r="AR20" s="191">
        <v>861</v>
      </c>
      <c r="AS20" s="191">
        <v>2620</v>
      </c>
      <c r="AT20" s="192" t="str">
        <f t="shared" si="12"/>
        <v>Tidak Tercapai</v>
      </c>
      <c r="AU20" s="191">
        <v>158</v>
      </c>
      <c r="AV20" s="183">
        <v>3039</v>
      </c>
      <c r="AW20" s="192" t="str">
        <f t="shared" si="13"/>
        <v>Tercapai</v>
      </c>
      <c r="AX20" s="191">
        <v>226</v>
      </c>
      <c r="AY20" s="191">
        <v>700</v>
      </c>
      <c r="AZ20" s="192" t="str">
        <f t="shared" si="14"/>
        <v>Tidak Tercapai</v>
      </c>
      <c r="BA20" s="191">
        <v>11</v>
      </c>
      <c r="BB20" s="195">
        <v>8331</v>
      </c>
      <c r="BC20" s="192" t="str">
        <f t="shared" si="15"/>
        <v>Tercapai</v>
      </c>
      <c r="BD20" s="191">
        <v>0</v>
      </c>
      <c r="BE20" s="196">
        <v>4715</v>
      </c>
      <c r="BF20" s="192" t="str">
        <f t="shared" si="16"/>
        <v>Tercapai</v>
      </c>
      <c r="BG20" s="183">
        <v>278</v>
      </c>
      <c r="BH20" s="196">
        <v>6191</v>
      </c>
      <c r="BI20" s="192" t="str">
        <f t="shared" si="17"/>
        <v>Tercapai</v>
      </c>
      <c r="BJ20" s="196">
        <v>107</v>
      </c>
      <c r="BK20" s="196">
        <v>7096</v>
      </c>
      <c r="BL20" s="192" t="str">
        <f t="shared" si="18"/>
        <v>Tercapai</v>
      </c>
      <c r="BM20" s="196">
        <v>96</v>
      </c>
      <c r="BN20" s="196">
        <v>4146</v>
      </c>
      <c r="BO20" s="192" t="str">
        <f t="shared" si="19"/>
        <v>Tercapai</v>
      </c>
      <c r="BP20" s="196">
        <v>68</v>
      </c>
      <c r="BQ20" s="196">
        <v>2845</v>
      </c>
      <c r="BR20" s="192" t="str">
        <f t="shared" si="20"/>
        <v>Tercapai</v>
      </c>
      <c r="BS20" s="196">
        <v>35</v>
      </c>
      <c r="BT20" s="196">
        <v>2685</v>
      </c>
      <c r="BU20" s="192" t="str">
        <f t="shared" si="21"/>
        <v>Tercapai</v>
      </c>
      <c r="BV20" s="197">
        <v>52.122999999999998</v>
      </c>
      <c r="BW20" s="196">
        <v>1062</v>
      </c>
      <c r="BX20" s="192" t="str">
        <f t="shared" si="22"/>
        <v>Tidak Tercapai</v>
      </c>
      <c r="BY20" s="196">
        <v>0</v>
      </c>
      <c r="BZ20" s="196">
        <v>1980</v>
      </c>
      <c r="CA20" s="192" t="str">
        <f t="shared" si="23"/>
        <v>Tidak Tercapai</v>
      </c>
      <c r="CB20" s="196">
        <v>11948</v>
      </c>
      <c r="CC20" s="196">
        <v>2554</v>
      </c>
      <c r="CD20" s="192" t="str">
        <f t="shared" si="24"/>
        <v>Tidak Tercapai</v>
      </c>
      <c r="CE20" s="196">
        <v>84</v>
      </c>
      <c r="CF20" s="196">
        <v>1773</v>
      </c>
      <c r="CG20" s="192" t="str">
        <f t="shared" si="25"/>
        <v>Tidak Tercapai</v>
      </c>
      <c r="CH20" s="196">
        <v>27</v>
      </c>
      <c r="CI20" s="196">
        <v>2621</v>
      </c>
      <c r="CJ20" s="192" t="str">
        <f t="shared" si="26"/>
        <v>Tidak Tercapai</v>
      </c>
      <c r="CK20" s="196">
        <v>118</v>
      </c>
      <c r="CL20" s="196">
        <v>1463</v>
      </c>
      <c r="CM20" s="192" t="str">
        <f t="shared" si="27"/>
        <v>Tidak Tercapai</v>
      </c>
      <c r="CN20" s="196">
        <v>100</v>
      </c>
      <c r="CO20" s="196">
        <v>146</v>
      </c>
      <c r="CP20" s="192" t="str">
        <f t="shared" si="28"/>
        <v>Tidak Tercapai</v>
      </c>
      <c r="CQ20" s="196">
        <v>1</v>
      </c>
      <c r="CR20" s="196">
        <v>530</v>
      </c>
      <c r="CS20" s="192" t="str">
        <f t="shared" si="29"/>
        <v>Tidak Tercapai</v>
      </c>
      <c r="CT20" s="196">
        <v>2</v>
      </c>
      <c r="CU20" s="196">
        <v>2936</v>
      </c>
      <c r="CV20" s="192" t="str">
        <f t="shared" si="30"/>
        <v>Tercapai</v>
      </c>
      <c r="CW20" s="196">
        <v>18</v>
      </c>
      <c r="CX20" s="196">
        <v>10228</v>
      </c>
      <c r="CY20" s="192" t="str">
        <f t="shared" si="31"/>
        <v>Tercapai</v>
      </c>
      <c r="CZ20" s="196">
        <v>555</v>
      </c>
      <c r="DA20" s="196">
        <v>3206</v>
      </c>
      <c r="DB20" s="192" t="str">
        <f t="shared" si="32"/>
        <v>Tercapai</v>
      </c>
      <c r="DC20" s="196">
        <v>150</v>
      </c>
      <c r="DD20" s="196">
        <v>3453</v>
      </c>
      <c r="DE20" s="192" t="str">
        <f t="shared" si="33"/>
        <v>Tercapai</v>
      </c>
      <c r="DF20" s="196">
        <v>215</v>
      </c>
      <c r="DG20" s="69"/>
      <c r="DH20" s="69"/>
      <c r="DI20" s="69"/>
      <c r="DJ20" s="69"/>
      <c r="DK20" s="69"/>
      <c r="DL20" s="69"/>
    </row>
    <row r="21" spans="1:116" ht="15.5" x14ac:dyDescent="0.35">
      <c r="A21" s="181">
        <v>19</v>
      </c>
      <c r="B21" s="182" t="s">
        <v>541</v>
      </c>
      <c r="C21" s="181" t="s">
        <v>522</v>
      </c>
      <c r="D21" s="181">
        <v>200360</v>
      </c>
      <c r="E21" s="181">
        <v>2565</v>
      </c>
      <c r="F21" s="198">
        <v>28635</v>
      </c>
      <c r="G21" s="184" t="s">
        <v>520</v>
      </c>
      <c r="H21" s="198">
        <v>16484</v>
      </c>
      <c r="I21" s="198">
        <v>165</v>
      </c>
      <c r="J21" s="184" t="str">
        <f t="shared" si="0"/>
        <v>Tidak Tercapai</v>
      </c>
      <c r="K21" s="198">
        <v>5</v>
      </c>
      <c r="L21" s="198">
        <v>0</v>
      </c>
      <c r="M21" s="184" t="str">
        <f t="shared" si="1"/>
        <v>Tidak Tercapai</v>
      </c>
      <c r="N21" s="198">
        <v>0</v>
      </c>
      <c r="O21" s="181">
        <v>1611</v>
      </c>
      <c r="P21" s="184" t="str">
        <f t="shared" si="2"/>
        <v>Tidak Tercapai</v>
      </c>
      <c r="Q21" s="185">
        <v>15</v>
      </c>
      <c r="R21" s="181">
        <v>1984</v>
      </c>
      <c r="S21" s="186" t="str">
        <f t="shared" si="3"/>
        <v>Tidak Tercapai</v>
      </c>
      <c r="T21" s="185">
        <v>13</v>
      </c>
      <c r="U21" s="187">
        <v>2233</v>
      </c>
      <c r="V21" s="186" t="str">
        <f t="shared" si="4"/>
        <v>Tercapai</v>
      </c>
      <c r="W21" s="188">
        <v>21</v>
      </c>
      <c r="X21" s="199">
        <v>1310</v>
      </c>
      <c r="Y21" s="189" t="str">
        <f t="shared" si="5"/>
        <v>Tidak Tercapai</v>
      </c>
      <c r="Z21" s="190">
        <v>26</v>
      </c>
      <c r="AA21" s="191">
        <v>1954</v>
      </c>
      <c r="AB21" s="192" t="str">
        <f t="shared" si="6"/>
        <v>Tidak Tercapai</v>
      </c>
      <c r="AC21" s="191">
        <v>28</v>
      </c>
      <c r="AD21" s="196">
        <v>481</v>
      </c>
      <c r="AE21" s="192" t="str">
        <f t="shared" si="7"/>
        <v>Tidak Tercapai</v>
      </c>
      <c r="AF21" s="191">
        <v>12</v>
      </c>
      <c r="AG21" s="191">
        <v>337</v>
      </c>
      <c r="AH21" s="192" t="str">
        <f t="shared" si="8"/>
        <v>Tidak Tercapai</v>
      </c>
      <c r="AI21" s="191">
        <v>1</v>
      </c>
      <c r="AJ21" s="196">
        <v>1937</v>
      </c>
      <c r="AK21" s="192" t="str">
        <f t="shared" si="9"/>
        <v>Tidak Tercapai</v>
      </c>
      <c r="AL21" s="196">
        <v>27</v>
      </c>
      <c r="AM21" s="196">
        <v>1141</v>
      </c>
      <c r="AN21" s="192" t="str">
        <f t="shared" si="10"/>
        <v>Tidak Tercapai</v>
      </c>
      <c r="AO21" s="196">
        <v>30</v>
      </c>
      <c r="AP21" s="191">
        <v>3565</v>
      </c>
      <c r="AQ21" s="192" t="str">
        <f t="shared" si="11"/>
        <v>Tercapai</v>
      </c>
      <c r="AR21" s="191">
        <v>18</v>
      </c>
      <c r="AS21" s="191">
        <v>2236</v>
      </c>
      <c r="AT21" s="192" t="str">
        <f t="shared" si="12"/>
        <v>Tidak Tercapai</v>
      </c>
      <c r="AU21" s="191">
        <v>18</v>
      </c>
      <c r="AV21" s="183">
        <v>2713</v>
      </c>
      <c r="AW21" s="192" t="str">
        <f t="shared" si="13"/>
        <v>Tercapai</v>
      </c>
      <c r="AX21" s="191">
        <v>18</v>
      </c>
      <c r="AY21" s="191">
        <v>597</v>
      </c>
      <c r="AZ21" s="192" t="str">
        <f t="shared" si="14"/>
        <v>Tidak Tercapai</v>
      </c>
      <c r="BA21" s="191">
        <v>12</v>
      </c>
      <c r="BB21" s="195">
        <v>0</v>
      </c>
      <c r="BC21" s="192" t="str">
        <f t="shared" si="15"/>
        <v>Tidak Tercapai</v>
      </c>
      <c r="BD21" s="191">
        <v>2</v>
      </c>
      <c r="BE21" s="196">
        <v>1577</v>
      </c>
      <c r="BF21" s="192" t="str">
        <f t="shared" si="16"/>
        <v>Tidak Tercapai</v>
      </c>
      <c r="BG21" s="183">
        <v>12</v>
      </c>
      <c r="BH21" s="196">
        <v>1385</v>
      </c>
      <c r="BI21" s="192" t="str">
        <f t="shared" si="17"/>
        <v>Tidak Tercapai</v>
      </c>
      <c r="BJ21" s="196">
        <v>15</v>
      </c>
      <c r="BK21" s="196">
        <v>1884</v>
      </c>
      <c r="BL21" s="192" t="str">
        <f t="shared" si="18"/>
        <v>Tidak Tercapai</v>
      </c>
      <c r="BM21" s="196">
        <v>16</v>
      </c>
      <c r="BN21" s="196">
        <v>1243</v>
      </c>
      <c r="BO21" s="192" t="str">
        <f t="shared" si="19"/>
        <v>Tidak Tercapai</v>
      </c>
      <c r="BP21" s="196">
        <v>12</v>
      </c>
      <c r="BQ21" s="196">
        <v>1032</v>
      </c>
      <c r="BR21" s="192" t="str">
        <f t="shared" si="20"/>
        <v>Tidak Tercapai</v>
      </c>
      <c r="BS21" s="196">
        <v>16</v>
      </c>
      <c r="BT21" s="196">
        <v>1128</v>
      </c>
      <c r="BU21" s="192" t="str">
        <f t="shared" si="21"/>
        <v>Tidak Tercapai</v>
      </c>
      <c r="BV21" s="197">
        <v>16.818999999999999</v>
      </c>
      <c r="BW21" s="196">
        <v>32</v>
      </c>
      <c r="BX21" s="192" t="str">
        <f t="shared" si="22"/>
        <v>Tidak Tercapai</v>
      </c>
      <c r="BY21" s="196">
        <v>1</v>
      </c>
      <c r="BZ21" s="196">
        <v>1167</v>
      </c>
      <c r="CA21" s="192" t="str">
        <f t="shared" si="23"/>
        <v>Tidak Tercapai</v>
      </c>
      <c r="CB21" s="196">
        <v>1144</v>
      </c>
      <c r="CC21" s="196">
        <v>2024</v>
      </c>
      <c r="CD21" s="192" t="str">
        <f t="shared" si="24"/>
        <v>Tidak Tercapai</v>
      </c>
      <c r="CE21" s="196">
        <v>16</v>
      </c>
      <c r="CF21" s="196">
        <v>1143</v>
      </c>
      <c r="CG21" s="192" t="str">
        <f t="shared" si="25"/>
        <v>Tidak Tercapai</v>
      </c>
      <c r="CH21" s="196">
        <v>7</v>
      </c>
      <c r="CI21" s="196">
        <v>2178</v>
      </c>
      <c r="CJ21" s="192" t="str">
        <f t="shared" si="26"/>
        <v>Tidak Tercapai</v>
      </c>
      <c r="CK21" s="196">
        <v>28</v>
      </c>
      <c r="CL21" s="196">
        <v>328</v>
      </c>
      <c r="CM21" s="192" t="str">
        <f t="shared" si="27"/>
        <v>Tidak Tercapai</v>
      </c>
      <c r="CN21" s="196">
        <v>3</v>
      </c>
      <c r="CO21" s="196">
        <v>4</v>
      </c>
      <c r="CP21" s="192" t="str">
        <f t="shared" si="28"/>
        <v>Tidak Tercapai</v>
      </c>
      <c r="CQ21" s="196">
        <v>1</v>
      </c>
      <c r="CR21" s="196">
        <v>0</v>
      </c>
      <c r="CS21" s="192" t="str">
        <f t="shared" si="29"/>
        <v>Tidak Tercapai</v>
      </c>
      <c r="CT21" s="196">
        <v>0</v>
      </c>
      <c r="CU21" s="196">
        <v>665</v>
      </c>
      <c r="CV21" s="192" t="str">
        <f t="shared" si="30"/>
        <v>Tidak Tercapai</v>
      </c>
      <c r="CW21" s="196">
        <v>12</v>
      </c>
      <c r="CX21" s="196">
        <v>5376</v>
      </c>
      <c r="CY21" s="192" t="str">
        <f t="shared" si="31"/>
        <v>Tercapai</v>
      </c>
      <c r="CZ21" s="196">
        <v>75</v>
      </c>
      <c r="DA21" s="196">
        <v>1794</v>
      </c>
      <c r="DB21" s="192" t="str">
        <f t="shared" si="32"/>
        <v>Tidak Tercapai</v>
      </c>
      <c r="DC21" s="196">
        <v>11</v>
      </c>
      <c r="DD21" s="196">
        <v>1993</v>
      </c>
      <c r="DE21" s="192" t="str">
        <f t="shared" si="33"/>
        <v>Tidak Tercapai</v>
      </c>
      <c r="DF21" s="196">
        <v>25</v>
      </c>
      <c r="DG21" s="69"/>
      <c r="DH21" s="69"/>
      <c r="DI21" s="69"/>
      <c r="DJ21" s="69"/>
      <c r="DK21" s="69"/>
      <c r="DL21" s="69"/>
    </row>
    <row r="22" spans="1:116" ht="15.5" x14ac:dyDescent="0.35">
      <c r="A22" s="181">
        <v>20</v>
      </c>
      <c r="B22" s="182" t="s">
        <v>542</v>
      </c>
      <c r="C22" s="181" t="s">
        <v>529</v>
      </c>
      <c r="D22" s="181">
        <v>185969</v>
      </c>
      <c r="E22" s="181">
        <v>2378</v>
      </c>
      <c r="F22" s="198">
        <v>31145</v>
      </c>
      <c r="G22" s="184" t="s">
        <v>520</v>
      </c>
      <c r="H22" s="198">
        <v>19138</v>
      </c>
      <c r="I22" s="198">
        <v>16</v>
      </c>
      <c r="J22" s="184" t="str">
        <f t="shared" si="0"/>
        <v>Tidak Tercapai</v>
      </c>
      <c r="K22" s="198">
        <v>2</v>
      </c>
      <c r="L22" s="198">
        <v>0</v>
      </c>
      <c r="M22" s="184" t="str">
        <f t="shared" si="1"/>
        <v>Tidak Tercapai</v>
      </c>
      <c r="N22" s="198">
        <v>1</v>
      </c>
      <c r="O22" s="181">
        <v>1100</v>
      </c>
      <c r="P22" s="184" t="str">
        <f t="shared" si="2"/>
        <v>Tidak Tercapai</v>
      </c>
      <c r="Q22" s="185">
        <v>62</v>
      </c>
      <c r="R22" s="181">
        <v>1442</v>
      </c>
      <c r="S22" s="186" t="str">
        <f t="shared" si="3"/>
        <v>Tidak Tercapai</v>
      </c>
      <c r="T22" s="185">
        <v>40</v>
      </c>
      <c r="U22" s="187">
        <v>1430</v>
      </c>
      <c r="V22" s="186" t="str">
        <f t="shared" si="4"/>
        <v>Tidak Tercapai</v>
      </c>
      <c r="W22" s="188">
        <v>24</v>
      </c>
      <c r="X22" s="199">
        <v>1397</v>
      </c>
      <c r="Y22" s="189" t="str">
        <f t="shared" si="5"/>
        <v>Tidak Tercapai</v>
      </c>
      <c r="Z22" s="190">
        <v>21</v>
      </c>
      <c r="AA22" s="191">
        <v>1674</v>
      </c>
      <c r="AB22" s="192" t="str">
        <f t="shared" si="6"/>
        <v>Tidak Tercapai</v>
      </c>
      <c r="AC22" s="191">
        <v>24</v>
      </c>
      <c r="AD22" s="196">
        <v>567</v>
      </c>
      <c r="AE22" s="192" t="str">
        <f t="shared" si="7"/>
        <v>Tidak Tercapai</v>
      </c>
      <c r="AF22" s="191">
        <v>1</v>
      </c>
      <c r="AG22" s="191">
        <v>88</v>
      </c>
      <c r="AH22" s="192" t="str">
        <f t="shared" si="8"/>
        <v>Tidak Tercapai</v>
      </c>
      <c r="AI22" s="191">
        <v>0</v>
      </c>
      <c r="AJ22" s="196">
        <v>2686</v>
      </c>
      <c r="AK22" s="192" t="str">
        <f t="shared" si="9"/>
        <v>Tercapai</v>
      </c>
      <c r="AL22" s="196">
        <v>46</v>
      </c>
      <c r="AM22" s="196">
        <v>954</v>
      </c>
      <c r="AN22" s="192" t="str">
        <f t="shared" si="10"/>
        <v>Tidak Tercapai</v>
      </c>
      <c r="AO22" s="196">
        <v>27</v>
      </c>
      <c r="AP22" s="191">
        <v>2528</v>
      </c>
      <c r="AQ22" s="192" t="str">
        <f t="shared" si="11"/>
        <v>Tercapai</v>
      </c>
      <c r="AR22" s="191">
        <v>13</v>
      </c>
      <c r="AS22" s="191">
        <v>2650</v>
      </c>
      <c r="AT22" s="192" t="str">
        <f t="shared" si="12"/>
        <v>Tercapai</v>
      </c>
      <c r="AU22" s="191">
        <v>27</v>
      </c>
      <c r="AV22" s="183">
        <v>2317</v>
      </c>
      <c r="AW22" s="192" t="str">
        <f t="shared" si="13"/>
        <v>Tidak Tercapai</v>
      </c>
      <c r="AX22" s="191">
        <v>56</v>
      </c>
      <c r="AY22" s="191">
        <v>579</v>
      </c>
      <c r="AZ22" s="192" t="str">
        <f t="shared" si="14"/>
        <v>Tidak Tercapai</v>
      </c>
      <c r="BA22" s="191">
        <v>7</v>
      </c>
      <c r="BB22" s="195">
        <v>1</v>
      </c>
      <c r="BC22" s="192" t="str">
        <f t="shared" si="15"/>
        <v>Tidak Tercapai</v>
      </c>
      <c r="BD22" s="191">
        <v>0</v>
      </c>
      <c r="BE22" s="196">
        <v>2368</v>
      </c>
      <c r="BF22" s="192" t="str">
        <f t="shared" si="16"/>
        <v>Tidak Tercapai</v>
      </c>
      <c r="BG22" s="183">
        <v>33</v>
      </c>
      <c r="BH22" s="196">
        <v>2679</v>
      </c>
      <c r="BI22" s="192" t="str">
        <f t="shared" si="17"/>
        <v>Tercapai</v>
      </c>
      <c r="BJ22" s="196">
        <v>24</v>
      </c>
      <c r="BK22" s="196">
        <v>2938</v>
      </c>
      <c r="BL22" s="192" t="str">
        <f t="shared" si="18"/>
        <v>Tercapai</v>
      </c>
      <c r="BM22" s="196">
        <v>41</v>
      </c>
      <c r="BN22" s="196">
        <v>3185</v>
      </c>
      <c r="BO22" s="192" t="str">
        <f t="shared" si="19"/>
        <v>Tercapai</v>
      </c>
      <c r="BP22" s="196">
        <v>24</v>
      </c>
      <c r="BQ22" s="196">
        <v>2721</v>
      </c>
      <c r="BR22" s="192" t="str">
        <f t="shared" si="20"/>
        <v>Tercapai</v>
      </c>
      <c r="BS22" s="196">
        <v>19</v>
      </c>
      <c r="BT22" s="196">
        <v>5166</v>
      </c>
      <c r="BU22" s="192" t="str">
        <f t="shared" si="21"/>
        <v>Tercapai</v>
      </c>
      <c r="BV22" s="197">
        <v>19.657</v>
      </c>
      <c r="BW22" s="196">
        <v>188</v>
      </c>
      <c r="BX22" s="192" t="str">
        <f t="shared" si="22"/>
        <v>Tidak Tercapai</v>
      </c>
      <c r="BY22" s="196">
        <v>1</v>
      </c>
      <c r="BZ22" s="196">
        <v>1607</v>
      </c>
      <c r="CA22" s="192" t="str">
        <f t="shared" si="23"/>
        <v>Tidak Tercapai</v>
      </c>
      <c r="CB22" s="196">
        <v>2050</v>
      </c>
      <c r="CC22" s="196">
        <v>4386</v>
      </c>
      <c r="CD22" s="192" t="str">
        <f t="shared" si="24"/>
        <v>Tercapai</v>
      </c>
      <c r="CE22" s="196">
        <v>39</v>
      </c>
      <c r="CF22" s="196">
        <v>2260</v>
      </c>
      <c r="CG22" s="192" t="str">
        <f t="shared" si="25"/>
        <v>Tidak Tercapai</v>
      </c>
      <c r="CH22" s="196">
        <v>15</v>
      </c>
      <c r="CI22" s="196">
        <v>4154</v>
      </c>
      <c r="CJ22" s="192" t="str">
        <f t="shared" si="26"/>
        <v>Tercapai</v>
      </c>
      <c r="CK22" s="196">
        <v>28</v>
      </c>
      <c r="CL22" s="196">
        <v>1195</v>
      </c>
      <c r="CM22" s="192" t="str">
        <f t="shared" si="27"/>
        <v>Tidak Tercapai</v>
      </c>
      <c r="CN22" s="196">
        <v>10</v>
      </c>
      <c r="CO22" s="196">
        <v>73</v>
      </c>
      <c r="CP22" s="192" t="str">
        <f t="shared" si="28"/>
        <v>Tidak Tercapai</v>
      </c>
      <c r="CQ22" s="196">
        <v>2</v>
      </c>
      <c r="CR22" s="196">
        <v>242</v>
      </c>
      <c r="CS22" s="192" t="str">
        <f t="shared" si="29"/>
        <v>Tidak Tercapai</v>
      </c>
      <c r="CT22" s="196">
        <v>0</v>
      </c>
      <c r="CU22" s="196">
        <v>2015</v>
      </c>
      <c r="CV22" s="192" t="str">
        <f t="shared" si="30"/>
        <v>Tidak Tercapai</v>
      </c>
      <c r="CW22" s="196">
        <v>15</v>
      </c>
      <c r="CX22" s="196">
        <v>8872</v>
      </c>
      <c r="CY22" s="192" t="str">
        <f t="shared" si="31"/>
        <v>Tercapai</v>
      </c>
      <c r="CZ22" s="196">
        <v>126</v>
      </c>
      <c r="DA22" s="196">
        <v>2566</v>
      </c>
      <c r="DB22" s="192" t="str">
        <f t="shared" si="32"/>
        <v>Tercapai</v>
      </c>
      <c r="DC22" s="196">
        <v>43</v>
      </c>
      <c r="DD22" s="196">
        <v>3424</v>
      </c>
      <c r="DE22" s="192" t="str">
        <f t="shared" si="33"/>
        <v>Tercapai</v>
      </c>
      <c r="DF22" s="196">
        <v>33</v>
      </c>
      <c r="DG22" s="69"/>
      <c r="DH22" s="69"/>
      <c r="DI22" s="69"/>
      <c r="DJ22" s="69"/>
      <c r="DK22" s="69"/>
      <c r="DL22" s="69"/>
    </row>
    <row r="23" spans="1:116" ht="15.5" x14ac:dyDescent="0.35">
      <c r="A23" s="181">
        <v>21</v>
      </c>
      <c r="B23" s="182" t="s">
        <v>543</v>
      </c>
      <c r="C23" s="181" t="s">
        <v>544</v>
      </c>
      <c r="D23" s="181">
        <v>188682</v>
      </c>
      <c r="E23" s="181">
        <v>2364</v>
      </c>
      <c r="F23" s="198">
        <v>85087</v>
      </c>
      <c r="G23" s="184" t="s">
        <v>520</v>
      </c>
      <c r="H23" s="198">
        <v>53498</v>
      </c>
      <c r="I23" s="198">
        <v>969</v>
      </c>
      <c r="J23" s="184" t="str">
        <f t="shared" si="0"/>
        <v>Tidak Tercapai</v>
      </c>
      <c r="K23" s="198">
        <v>1</v>
      </c>
      <c r="L23" s="198">
        <v>0</v>
      </c>
      <c r="M23" s="184" t="str">
        <f t="shared" si="1"/>
        <v>Tidak Tercapai</v>
      </c>
      <c r="N23" s="198">
        <v>2</v>
      </c>
      <c r="O23" s="181">
        <v>2873</v>
      </c>
      <c r="P23" s="184" t="str">
        <f t="shared" si="2"/>
        <v>Tercapai</v>
      </c>
      <c r="Q23" s="185">
        <v>10</v>
      </c>
      <c r="R23" s="199">
        <v>3229</v>
      </c>
      <c r="S23" s="186" t="str">
        <f t="shared" si="3"/>
        <v>Tercapai</v>
      </c>
      <c r="T23" s="185">
        <v>11</v>
      </c>
      <c r="U23" s="187">
        <v>3483</v>
      </c>
      <c r="V23" s="186" t="str">
        <f t="shared" si="4"/>
        <v>Tercapai</v>
      </c>
      <c r="W23" s="188">
        <v>20</v>
      </c>
      <c r="X23" s="199">
        <v>3229</v>
      </c>
      <c r="Y23" s="189" t="str">
        <f t="shared" si="5"/>
        <v>Tercapai</v>
      </c>
      <c r="Z23" s="190">
        <v>15</v>
      </c>
      <c r="AA23" s="191">
        <v>4363</v>
      </c>
      <c r="AB23" s="192" t="str">
        <f t="shared" si="6"/>
        <v>Tercapai</v>
      </c>
      <c r="AC23" s="191">
        <v>23</v>
      </c>
      <c r="AD23" s="196">
        <v>1861</v>
      </c>
      <c r="AE23" s="192" t="str">
        <f t="shared" si="7"/>
        <v>Tidak Tercapai</v>
      </c>
      <c r="AF23" s="191">
        <v>1</v>
      </c>
      <c r="AG23" s="191">
        <v>167</v>
      </c>
      <c r="AH23" s="192" t="str">
        <f t="shared" si="8"/>
        <v>Tidak Tercapai</v>
      </c>
      <c r="AI23" s="191">
        <v>1</v>
      </c>
      <c r="AJ23" s="196">
        <v>4894</v>
      </c>
      <c r="AK23" s="192" t="str">
        <f t="shared" si="9"/>
        <v>Tercapai</v>
      </c>
      <c r="AL23" s="196">
        <v>8</v>
      </c>
      <c r="AM23" s="196">
        <v>2858</v>
      </c>
      <c r="AN23" s="192" t="str">
        <f t="shared" si="10"/>
        <v>Tercapai</v>
      </c>
      <c r="AO23" s="196">
        <v>77</v>
      </c>
      <c r="AP23" s="191">
        <v>6604</v>
      </c>
      <c r="AQ23" s="192" t="str">
        <f t="shared" si="11"/>
        <v>Tercapai</v>
      </c>
      <c r="AR23" s="191">
        <v>13</v>
      </c>
      <c r="AS23" s="191">
        <v>5297</v>
      </c>
      <c r="AT23" s="192" t="str">
        <f t="shared" si="12"/>
        <v>Tercapai</v>
      </c>
      <c r="AU23" s="191">
        <v>1</v>
      </c>
      <c r="AV23" s="183">
        <v>5841</v>
      </c>
      <c r="AW23" s="192" t="str">
        <f t="shared" si="13"/>
        <v>Tercapai</v>
      </c>
      <c r="AX23" s="191">
        <v>8</v>
      </c>
      <c r="AY23" s="191">
        <v>2481</v>
      </c>
      <c r="AZ23" s="192" t="str">
        <f t="shared" si="14"/>
        <v>Tercapai</v>
      </c>
      <c r="BA23" s="191">
        <v>3</v>
      </c>
      <c r="BB23" s="195">
        <v>549</v>
      </c>
      <c r="BC23" s="192" t="str">
        <f t="shared" si="15"/>
        <v>Tidak Tercapai</v>
      </c>
      <c r="BD23" s="191">
        <v>2</v>
      </c>
      <c r="BE23" s="196">
        <v>5009</v>
      </c>
      <c r="BF23" s="192" t="str">
        <f t="shared" si="16"/>
        <v>Tercapai</v>
      </c>
      <c r="BG23" s="183">
        <v>13</v>
      </c>
      <c r="BH23" s="196">
        <v>5218</v>
      </c>
      <c r="BI23" s="192" t="str">
        <f t="shared" si="17"/>
        <v>Tercapai</v>
      </c>
      <c r="BJ23" s="196">
        <v>14</v>
      </c>
      <c r="BK23" s="196">
        <v>5287</v>
      </c>
      <c r="BL23" s="192" t="str">
        <f t="shared" si="18"/>
        <v>Tercapai</v>
      </c>
      <c r="BM23" s="196">
        <v>14</v>
      </c>
      <c r="BN23" s="196">
        <v>4122</v>
      </c>
      <c r="BO23" s="192" t="str">
        <f t="shared" si="19"/>
        <v>Tercapai</v>
      </c>
      <c r="BP23" s="196">
        <v>9</v>
      </c>
      <c r="BQ23" s="196">
        <v>2511</v>
      </c>
      <c r="BR23" s="192" t="str">
        <f t="shared" si="20"/>
        <v>Tercapai</v>
      </c>
      <c r="BS23" s="196">
        <v>15</v>
      </c>
      <c r="BT23" s="196">
        <v>4205</v>
      </c>
      <c r="BU23" s="192" t="str">
        <f t="shared" si="21"/>
        <v>Tercapai</v>
      </c>
      <c r="BV23" s="197">
        <v>53.781999999999996</v>
      </c>
      <c r="BW23" s="196">
        <v>356</v>
      </c>
      <c r="BX23" s="192" t="str">
        <f t="shared" si="22"/>
        <v>Tidak Tercapai</v>
      </c>
      <c r="BY23" s="196">
        <v>2</v>
      </c>
      <c r="BZ23" s="196">
        <v>2195</v>
      </c>
      <c r="CA23" s="192" t="str">
        <f t="shared" si="23"/>
        <v>Tidak Tercapai</v>
      </c>
      <c r="CB23" s="196">
        <v>2102</v>
      </c>
      <c r="CC23" s="196">
        <v>4747</v>
      </c>
      <c r="CD23" s="192" t="str">
        <f t="shared" si="24"/>
        <v>Tercapai</v>
      </c>
      <c r="CE23" s="196">
        <v>29</v>
      </c>
      <c r="CF23" s="196">
        <v>2181</v>
      </c>
      <c r="CG23" s="192" t="str">
        <f t="shared" si="25"/>
        <v>Tidak Tercapai</v>
      </c>
      <c r="CH23" s="196">
        <v>13</v>
      </c>
      <c r="CI23" s="196">
        <v>2926</v>
      </c>
      <c r="CJ23" s="192" t="str">
        <f t="shared" si="26"/>
        <v>Tercapai</v>
      </c>
      <c r="CK23" s="196">
        <v>44</v>
      </c>
      <c r="CL23" s="196">
        <v>1928</v>
      </c>
      <c r="CM23" s="192" t="str">
        <f t="shared" si="27"/>
        <v>Tidak Tercapai</v>
      </c>
      <c r="CN23" s="196">
        <v>88</v>
      </c>
      <c r="CO23" s="196">
        <v>1037</v>
      </c>
      <c r="CP23" s="192" t="str">
        <f t="shared" si="28"/>
        <v>Tidak Tercapai</v>
      </c>
      <c r="CQ23" s="196">
        <v>54</v>
      </c>
      <c r="CR23" s="196">
        <v>2209</v>
      </c>
      <c r="CS23" s="192" t="str">
        <f t="shared" si="29"/>
        <v>Tidak Tercapai</v>
      </c>
      <c r="CT23" s="196">
        <v>16</v>
      </c>
      <c r="CU23" s="196">
        <v>1018</v>
      </c>
      <c r="CV23" s="192" t="str">
        <f t="shared" si="30"/>
        <v>Tidak Tercapai</v>
      </c>
      <c r="CW23" s="196">
        <v>0</v>
      </c>
      <c r="CX23" s="196">
        <v>6767</v>
      </c>
      <c r="CY23" s="192" t="str">
        <f t="shared" si="31"/>
        <v>Tercapai</v>
      </c>
      <c r="CZ23" s="196">
        <v>46</v>
      </c>
      <c r="DA23" s="196">
        <v>3027</v>
      </c>
      <c r="DB23" s="192" t="str">
        <f t="shared" si="32"/>
        <v>Tercapai</v>
      </c>
      <c r="DC23" s="196">
        <v>70</v>
      </c>
      <c r="DD23" s="196">
        <v>2701</v>
      </c>
      <c r="DE23" s="192" t="str">
        <f t="shared" si="33"/>
        <v>Tercapai</v>
      </c>
      <c r="DF23" s="196">
        <v>27</v>
      </c>
      <c r="DG23" s="69"/>
      <c r="DH23" s="69"/>
      <c r="DI23" s="69"/>
      <c r="DJ23" s="69"/>
      <c r="DK23" s="69"/>
      <c r="DL23" s="69"/>
    </row>
    <row r="24" spans="1:116" ht="15.5" x14ac:dyDescent="0.35">
      <c r="A24" s="181">
        <v>22</v>
      </c>
      <c r="B24" s="182" t="s">
        <v>545</v>
      </c>
      <c r="C24" s="181" t="s">
        <v>529</v>
      </c>
      <c r="D24" s="181">
        <v>176385</v>
      </c>
      <c r="E24" s="181">
        <v>2177</v>
      </c>
      <c r="F24" s="198">
        <v>45813</v>
      </c>
      <c r="G24" s="184" t="s">
        <v>520</v>
      </c>
      <c r="H24" s="198">
        <v>28089</v>
      </c>
      <c r="I24" s="198">
        <v>1188</v>
      </c>
      <c r="J24" s="184" t="str">
        <f t="shared" si="0"/>
        <v>Tidak Tercapai</v>
      </c>
      <c r="K24" s="198">
        <v>1</v>
      </c>
      <c r="L24" s="198">
        <v>0</v>
      </c>
      <c r="M24" s="184" t="str">
        <f t="shared" si="1"/>
        <v>Tidak Tercapai</v>
      </c>
      <c r="N24" s="198">
        <v>1</v>
      </c>
      <c r="O24" s="181">
        <v>1598</v>
      </c>
      <c r="P24" s="184" t="str">
        <f t="shared" si="2"/>
        <v>Tidak Tercapai</v>
      </c>
      <c r="Q24" s="185">
        <v>5</v>
      </c>
      <c r="R24" s="181">
        <v>1729</v>
      </c>
      <c r="S24" s="186" t="str">
        <f t="shared" si="3"/>
        <v>Tidak Tercapai</v>
      </c>
      <c r="T24" s="185">
        <v>7</v>
      </c>
      <c r="U24" s="187">
        <v>1922</v>
      </c>
      <c r="V24" s="186" t="str">
        <f t="shared" si="4"/>
        <v>Tercapai</v>
      </c>
      <c r="W24" s="188">
        <v>26</v>
      </c>
      <c r="X24" s="199">
        <v>1756</v>
      </c>
      <c r="Y24" s="189" t="str">
        <f t="shared" si="5"/>
        <v>Tidak Tercapai</v>
      </c>
      <c r="Z24" s="190">
        <v>31</v>
      </c>
      <c r="AA24" s="191">
        <v>2341</v>
      </c>
      <c r="AB24" s="192" t="str">
        <f t="shared" si="6"/>
        <v>Tercapai</v>
      </c>
      <c r="AC24" s="191">
        <v>39</v>
      </c>
      <c r="AD24" s="196">
        <v>139</v>
      </c>
      <c r="AE24" s="192" t="str">
        <f t="shared" si="7"/>
        <v>Tidak Tercapai</v>
      </c>
      <c r="AF24" s="191">
        <v>0</v>
      </c>
      <c r="AG24" s="191">
        <v>0</v>
      </c>
      <c r="AH24" s="192" t="str">
        <f t="shared" si="8"/>
        <v>Tidak Tercapai</v>
      </c>
      <c r="AI24" s="191">
        <v>0</v>
      </c>
      <c r="AJ24" s="196">
        <v>3024</v>
      </c>
      <c r="AK24" s="192" t="str">
        <f t="shared" si="9"/>
        <v>Tercapai</v>
      </c>
      <c r="AL24" s="196">
        <v>18</v>
      </c>
      <c r="AM24" s="196">
        <v>2648</v>
      </c>
      <c r="AN24" s="192" t="str">
        <f t="shared" si="10"/>
        <v>Tercapai</v>
      </c>
      <c r="AO24" s="196">
        <v>29</v>
      </c>
      <c r="AP24" s="191">
        <v>3192</v>
      </c>
      <c r="AQ24" s="192" t="str">
        <f t="shared" si="11"/>
        <v>Tercapai</v>
      </c>
      <c r="AR24" s="191">
        <v>35</v>
      </c>
      <c r="AS24" s="191">
        <v>2395</v>
      </c>
      <c r="AT24" s="192" t="str">
        <f t="shared" si="12"/>
        <v>Tercapai</v>
      </c>
      <c r="AU24" s="191">
        <v>14</v>
      </c>
      <c r="AV24" s="183">
        <v>2594</v>
      </c>
      <c r="AW24" s="192" t="str">
        <f t="shared" si="13"/>
        <v>Tercapai</v>
      </c>
      <c r="AX24" s="191">
        <v>34</v>
      </c>
      <c r="AY24" s="191">
        <v>699</v>
      </c>
      <c r="AZ24" s="192" t="str">
        <f t="shared" si="14"/>
        <v>Tidak Tercapai</v>
      </c>
      <c r="BA24" s="191">
        <v>0</v>
      </c>
      <c r="BB24" s="195">
        <v>0</v>
      </c>
      <c r="BC24" s="192" t="str">
        <f t="shared" si="15"/>
        <v>Tidak Tercapai</v>
      </c>
      <c r="BD24" s="191">
        <v>0</v>
      </c>
      <c r="BE24" s="196">
        <v>2996</v>
      </c>
      <c r="BF24" s="192" t="str">
        <f t="shared" si="16"/>
        <v>Tercapai</v>
      </c>
      <c r="BG24" s="183">
        <v>40</v>
      </c>
      <c r="BH24" s="196">
        <v>2766</v>
      </c>
      <c r="BI24" s="192" t="str">
        <f t="shared" si="17"/>
        <v>Tercapai</v>
      </c>
      <c r="BJ24" s="196">
        <v>18</v>
      </c>
      <c r="BK24" s="196">
        <v>2369</v>
      </c>
      <c r="BL24" s="192" t="str">
        <f t="shared" si="18"/>
        <v>Tercapai</v>
      </c>
      <c r="BM24" s="196">
        <v>39</v>
      </c>
      <c r="BN24" s="196">
        <v>1769</v>
      </c>
      <c r="BO24" s="192" t="str">
        <f t="shared" si="19"/>
        <v>Tidak Tercapai</v>
      </c>
      <c r="BP24" s="196">
        <v>22</v>
      </c>
      <c r="BQ24" s="196">
        <v>1648</v>
      </c>
      <c r="BR24" s="192" t="str">
        <f t="shared" si="20"/>
        <v>Tidak Tercapai</v>
      </c>
      <c r="BS24" s="196">
        <v>31</v>
      </c>
      <c r="BT24" s="196">
        <v>1196</v>
      </c>
      <c r="BU24" s="192" t="str">
        <f t="shared" si="21"/>
        <v>Tidak Tercapai</v>
      </c>
      <c r="BV24" s="197">
        <v>28.52</v>
      </c>
      <c r="BW24" s="196">
        <v>387</v>
      </c>
      <c r="BX24" s="192" t="str">
        <f t="shared" si="22"/>
        <v>Tidak Tercapai</v>
      </c>
      <c r="BY24" s="196">
        <v>1</v>
      </c>
      <c r="BZ24" s="196">
        <v>1009</v>
      </c>
      <c r="CA24" s="192" t="str">
        <f t="shared" si="23"/>
        <v>Tidak Tercapai</v>
      </c>
      <c r="CB24" s="196">
        <v>1100</v>
      </c>
      <c r="CC24" s="196">
        <v>2067</v>
      </c>
      <c r="CD24" s="192" t="str">
        <f t="shared" si="24"/>
        <v>Tidak Tercapai</v>
      </c>
      <c r="CE24" s="196">
        <v>40</v>
      </c>
      <c r="CF24" s="196">
        <v>1421</v>
      </c>
      <c r="CG24" s="192" t="str">
        <f t="shared" si="25"/>
        <v>Tidak Tercapai</v>
      </c>
      <c r="CH24" s="196">
        <v>10</v>
      </c>
      <c r="CI24" s="196">
        <v>1524</v>
      </c>
      <c r="CJ24" s="192" t="str">
        <f t="shared" si="26"/>
        <v>Tidak Tercapai</v>
      </c>
      <c r="CK24" s="196">
        <v>36</v>
      </c>
      <c r="CL24" s="196">
        <v>503</v>
      </c>
      <c r="CM24" s="192" t="str">
        <f t="shared" si="27"/>
        <v>Tidak Tercapai</v>
      </c>
      <c r="CN24" s="196">
        <v>13</v>
      </c>
      <c r="CO24" s="196">
        <v>0</v>
      </c>
      <c r="CP24" s="192" t="str">
        <f t="shared" si="28"/>
        <v>Tidak Tercapai</v>
      </c>
      <c r="CQ24" s="196">
        <v>0</v>
      </c>
      <c r="CR24" s="196">
        <v>0</v>
      </c>
      <c r="CS24" s="192" t="str">
        <f t="shared" si="29"/>
        <v>Tidak Tercapai</v>
      </c>
      <c r="CT24" s="196">
        <v>0</v>
      </c>
      <c r="CU24" s="196">
        <v>616</v>
      </c>
      <c r="CV24" s="192" t="str">
        <f t="shared" si="30"/>
        <v>Tidak Tercapai</v>
      </c>
      <c r="CW24" s="196">
        <v>7</v>
      </c>
      <c r="CX24" s="196">
        <v>3532</v>
      </c>
      <c r="CY24" s="192" t="str">
        <f t="shared" si="31"/>
        <v>Tercapai</v>
      </c>
      <c r="CZ24" s="196">
        <v>70</v>
      </c>
      <c r="DA24" s="196">
        <v>1394</v>
      </c>
      <c r="DB24" s="192" t="str">
        <f t="shared" si="32"/>
        <v>Tidak Tercapai</v>
      </c>
      <c r="DC24" s="196">
        <v>40</v>
      </c>
      <c r="DD24" s="196">
        <v>1906</v>
      </c>
      <c r="DE24" s="192" t="str">
        <f t="shared" si="33"/>
        <v>Tidak Tercapai</v>
      </c>
      <c r="DF24" s="196">
        <v>69</v>
      </c>
      <c r="DG24" s="69"/>
      <c r="DH24" s="69"/>
      <c r="DI24" s="69"/>
      <c r="DJ24" s="69"/>
      <c r="DK24" s="69"/>
      <c r="DL24" s="69"/>
    </row>
    <row r="25" spans="1:116" ht="15.5" x14ac:dyDescent="0.35">
      <c r="A25" s="181">
        <v>23</v>
      </c>
      <c r="B25" s="182" t="s">
        <v>546</v>
      </c>
      <c r="C25" s="181" t="s">
        <v>522</v>
      </c>
      <c r="D25" s="181">
        <v>178891</v>
      </c>
      <c r="E25" s="181">
        <v>2095</v>
      </c>
      <c r="F25" s="198">
        <v>93121</v>
      </c>
      <c r="G25" s="184" t="s">
        <v>520</v>
      </c>
      <c r="H25" s="198">
        <v>37259</v>
      </c>
      <c r="I25" s="198">
        <v>842</v>
      </c>
      <c r="J25" s="184" t="str">
        <f t="shared" si="0"/>
        <v>Tidak Tercapai</v>
      </c>
      <c r="K25" s="198">
        <v>199</v>
      </c>
      <c r="L25" s="198">
        <v>0</v>
      </c>
      <c r="M25" s="184" t="str">
        <f t="shared" si="1"/>
        <v>Tidak Tercapai</v>
      </c>
      <c r="N25" s="198">
        <v>0</v>
      </c>
      <c r="O25" s="181">
        <v>4135</v>
      </c>
      <c r="P25" s="184" t="str">
        <f t="shared" si="2"/>
        <v>Tercapai</v>
      </c>
      <c r="Q25" s="185">
        <v>243</v>
      </c>
      <c r="R25" s="181">
        <v>2944</v>
      </c>
      <c r="S25" s="186" t="str">
        <f t="shared" si="3"/>
        <v>Tercapai</v>
      </c>
      <c r="T25" s="185">
        <v>45</v>
      </c>
      <c r="U25" s="187">
        <v>3027</v>
      </c>
      <c r="V25" s="186" t="str">
        <f t="shared" si="4"/>
        <v>Tercapai</v>
      </c>
      <c r="W25" s="188">
        <v>42</v>
      </c>
      <c r="X25" s="199">
        <v>2849</v>
      </c>
      <c r="Y25" s="189" t="str">
        <f t="shared" si="5"/>
        <v>Tercapai</v>
      </c>
      <c r="Z25" s="190">
        <v>34</v>
      </c>
      <c r="AA25" s="191">
        <v>4070</v>
      </c>
      <c r="AB25" s="192" t="str">
        <f t="shared" si="6"/>
        <v>Tercapai</v>
      </c>
      <c r="AC25" s="191">
        <v>35</v>
      </c>
      <c r="AD25" s="196">
        <v>1428</v>
      </c>
      <c r="AE25" s="192" t="str">
        <f t="shared" si="7"/>
        <v>Tidak Tercapai</v>
      </c>
      <c r="AF25" s="191">
        <v>15</v>
      </c>
      <c r="AG25" s="191">
        <v>1300</v>
      </c>
      <c r="AH25" s="192" t="str">
        <f t="shared" si="8"/>
        <v>Tidak Tercapai</v>
      </c>
      <c r="AI25" s="191">
        <v>3</v>
      </c>
      <c r="AJ25" s="196">
        <v>3545</v>
      </c>
      <c r="AK25" s="192" t="str">
        <f t="shared" si="9"/>
        <v>Tercapai</v>
      </c>
      <c r="AL25" s="196">
        <v>23</v>
      </c>
      <c r="AM25" s="196">
        <v>2666</v>
      </c>
      <c r="AN25" s="192" t="str">
        <f t="shared" si="10"/>
        <v>Tercapai</v>
      </c>
      <c r="AO25" s="196">
        <v>28</v>
      </c>
      <c r="AP25" s="191">
        <v>4860</v>
      </c>
      <c r="AQ25" s="192" t="str">
        <f t="shared" si="11"/>
        <v>Tercapai</v>
      </c>
      <c r="AR25" s="191">
        <v>29</v>
      </c>
      <c r="AS25" s="191">
        <v>3584</v>
      </c>
      <c r="AT25" s="192" t="str">
        <f t="shared" si="12"/>
        <v>Tercapai</v>
      </c>
      <c r="AU25" s="191">
        <v>21</v>
      </c>
      <c r="AV25" s="183">
        <v>4161</v>
      </c>
      <c r="AW25" s="192" t="str">
        <f t="shared" si="13"/>
        <v>Tercapai</v>
      </c>
      <c r="AX25" s="191">
        <v>87</v>
      </c>
      <c r="AY25" s="191">
        <v>2524</v>
      </c>
      <c r="AZ25" s="192" t="str">
        <f t="shared" si="14"/>
        <v>Tercapai</v>
      </c>
      <c r="BA25" s="191">
        <v>11</v>
      </c>
      <c r="BB25" s="195">
        <v>47</v>
      </c>
      <c r="BC25" s="192" t="str">
        <f t="shared" si="15"/>
        <v>Tidak Tercapai</v>
      </c>
      <c r="BD25" s="191">
        <v>10</v>
      </c>
      <c r="BE25" s="196">
        <v>3507</v>
      </c>
      <c r="BF25" s="192" t="str">
        <f t="shared" si="16"/>
        <v>Tercapai</v>
      </c>
      <c r="BG25" s="183">
        <v>36</v>
      </c>
      <c r="BH25" s="196">
        <v>3051</v>
      </c>
      <c r="BI25" s="192" t="str">
        <f t="shared" si="17"/>
        <v>Tercapai</v>
      </c>
      <c r="BJ25" s="196">
        <v>21</v>
      </c>
      <c r="BK25" s="196">
        <v>2716</v>
      </c>
      <c r="BL25" s="192" t="str">
        <f t="shared" si="18"/>
        <v>Tercapai</v>
      </c>
      <c r="BM25" s="196">
        <v>35</v>
      </c>
      <c r="BN25" s="196">
        <v>1987</v>
      </c>
      <c r="BO25" s="192" t="str">
        <f t="shared" si="19"/>
        <v>Tidak Tercapai</v>
      </c>
      <c r="BP25" s="196">
        <v>28</v>
      </c>
      <c r="BQ25" s="196">
        <v>1508</v>
      </c>
      <c r="BR25" s="192" t="str">
        <f t="shared" si="20"/>
        <v>Tidak Tercapai</v>
      </c>
      <c r="BS25" s="196">
        <v>23</v>
      </c>
      <c r="BT25" s="196">
        <v>2609</v>
      </c>
      <c r="BU25" s="192" t="str">
        <f t="shared" si="21"/>
        <v>Tercapai</v>
      </c>
      <c r="BV25" s="197">
        <v>38.253999999999998</v>
      </c>
      <c r="BW25" s="196">
        <v>655</v>
      </c>
      <c r="BX25" s="192" t="str">
        <f t="shared" si="22"/>
        <v>Tidak Tercapai</v>
      </c>
      <c r="BY25" s="196">
        <v>7</v>
      </c>
      <c r="BZ25" s="196">
        <v>1228</v>
      </c>
      <c r="CA25" s="192" t="str">
        <f t="shared" si="23"/>
        <v>Tidak Tercapai</v>
      </c>
      <c r="CB25" s="196">
        <v>1642</v>
      </c>
      <c r="CC25" s="196">
        <v>2598</v>
      </c>
      <c r="CD25" s="192" t="str">
        <f t="shared" si="24"/>
        <v>Tercapai</v>
      </c>
      <c r="CE25" s="196">
        <v>27</v>
      </c>
      <c r="CF25" s="196">
        <v>1231</v>
      </c>
      <c r="CG25" s="192" t="str">
        <f t="shared" si="25"/>
        <v>Tidak Tercapai</v>
      </c>
      <c r="CH25" s="196">
        <v>8</v>
      </c>
      <c r="CI25" s="196">
        <v>2399</v>
      </c>
      <c r="CJ25" s="192" t="str">
        <f t="shared" si="26"/>
        <v>Tercapai</v>
      </c>
      <c r="CK25" s="196">
        <v>67</v>
      </c>
      <c r="CL25" s="196">
        <v>1090</v>
      </c>
      <c r="CM25" s="192" t="str">
        <f t="shared" si="27"/>
        <v>Tidak Tercapai</v>
      </c>
      <c r="CN25" s="196">
        <v>32</v>
      </c>
      <c r="CO25" s="196">
        <v>31</v>
      </c>
      <c r="CP25" s="192" t="str">
        <f t="shared" si="28"/>
        <v>Tidak Tercapai</v>
      </c>
      <c r="CQ25" s="196">
        <v>0</v>
      </c>
      <c r="CR25" s="196">
        <v>267</v>
      </c>
      <c r="CS25" s="192" t="str">
        <f t="shared" si="29"/>
        <v>Tidak Tercapai</v>
      </c>
      <c r="CT25" s="196">
        <v>3</v>
      </c>
      <c r="CU25" s="196">
        <v>1529</v>
      </c>
      <c r="CV25" s="192" t="str">
        <f t="shared" si="30"/>
        <v>Tidak Tercapai</v>
      </c>
      <c r="CW25" s="196">
        <v>11</v>
      </c>
      <c r="CX25" s="196">
        <v>8050</v>
      </c>
      <c r="CY25" s="192" t="str">
        <f t="shared" si="31"/>
        <v>Tercapai</v>
      </c>
      <c r="CZ25" s="196">
        <v>129</v>
      </c>
      <c r="DA25" s="196">
        <v>2707</v>
      </c>
      <c r="DB25" s="192" t="str">
        <f t="shared" si="32"/>
        <v>Tercapai</v>
      </c>
      <c r="DC25" s="196">
        <v>55</v>
      </c>
      <c r="DD25" s="196">
        <v>2624</v>
      </c>
      <c r="DE25" s="192" t="str">
        <f t="shared" si="33"/>
        <v>Tercapai</v>
      </c>
      <c r="DF25" s="196">
        <v>45</v>
      </c>
      <c r="DG25" s="69"/>
      <c r="DH25" s="69"/>
      <c r="DI25" s="69"/>
      <c r="DJ25" s="69"/>
      <c r="DK25" s="69"/>
      <c r="DL25" s="69"/>
    </row>
    <row r="26" spans="1:116" ht="15.5" x14ac:dyDescent="0.35">
      <c r="A26" s="181">
        <v>24</v>
      </c>
      <c r="B26" s="182" t="s">
        <v>547</v>
      </c>
      <c r="C26" s="181" t="s">
        <v>522</v>
      </c>
      <c r="D26" s="181">
        <v>166705</v>
      </c>
      <c r="E26" s="181">
        <v>2077</v>
      </c>
      <c r="F26" s="198">
        <v>45162</v>
      </c>
      <c r="G26" s="184" t="s">
        <v>520</v>
      </c>
      <c r="H26" s="198">
        <v>156991</v>
      </c>
      <c r="I26" s="198">
        <v>520</v>
      </c>
      <c r="J26" s="184" t="str">
        <f t="shared" si="0"/>
        <v>Tidak Tercapai</v>
      </c>
      <c r="K26" s="198">
        <v>10</v>
      </c>
      <c r="L26" s="198">
        <v>0</v>
      </c>
      <c r="M26" s="184" t="str">
        <f t="shared" si="1"/>
        <v>Tidak Tercapai</v>
      </c>
      <c r="N26" s="198">
        <v>0</v>
      </c>
      <c r="O26" s="181">
        <v>2176</v>
      </c>
      <c r="P26" s="184" t="str">
        <f t="shared" si="2"/>
        <v>Tercapai</v>
      </c>
      <c r="Q26" s="185">
        <v>44</v>
      </c>
      <c r="R26" s="181">
        <v>2510</v>
      </c>
      <c r="S26" s="186" t="str">
        <f t="shared" si="3"/>
        <v>Tercapai</v>
      </c>
      <c r="T26" s="185">
        <v>2</v>
      </c>
      <c r="U26" s="187">
        <v>3222</v>
      </c>
      <c r="V26" s="186" t="str">
        <f t="shared" si="4"/>
        <v>Tercapai</v>
      </c>
      <c r="W26" s="188">
        <v>74</v>
      </c>
      <c r="X26" s="199">
        <v>3049</v>
      </c>
      <c r="Y26" s="189" t="str">
        <f t="shared" si="5"/>
        <v>Tercapai</v>
      </c>
      <c r="Z26" s="190">
        <v>476</v>
      </c>
      <c r="AA26" s="191">
        <v>3447</v>
      </c>
      <c r="AB26" s="192" t="str">
        <f t="shared" si="6"/>
        <v>Tercapai</v>
      </c>
      <c r="AC26" s="191">
        <v>47</v>
      </c>
      <c r="AD26" s="196">
        <v>853</v>
      </c>
      <c r="AE26" s="192" t="str">
        <f t="shared" si="7"/>
        <v>Tidak Tercapai</v>
      </c>
      <c r="AF26" s="191">
        <v>7</v>
      </c>
      <c r="AG26" s="191">
        <v>1713</v>
      </c>
      <c r="AH26" s="192" t="str">
        <f t="shared" si="8"/>
        <v>Tidak Tercapai</v>
      </c>
      <c r="AI26" s="191">
        <v>0</v>
      </c>
      <c r="AJ26" s="196">
        <v>3306</v>
      </c>
      <c r="AK26" s="192" t="str">
        <f t="shared" si="9"/>
        <v>Tercapai</v>
      </c>
      <c r="AL26" s="196">
        <v>32</v>
      </c>
      <c r="AM26" s="196">
        <v>1854</v>
      </c>
      <c r="AN26" s="192" t="str">
        <f t="shared" si="10"/>
        <v>Tidak Tercapai</v>
      </c>
      <c r="AO26" s="196">
        <v>55</v>
      </c>
      <c r="AP26" s="191">
        <v>4083</v>
      </c>
      <c r="AQ26" s="192" t="str">
        <f t="shared" si="11"/>
        <v>Tercapai</v>
      </c>
      <c r="AR26" s="191">
        <v>42</v>
      </c>
      <c r="AS26" s="191">
        <v>2221</v>
      </c>
      <c r="AT26" s="192" t="str">
        <f t="shared" si="12"/>
        <v>Tercapai</v>
      </c>
      <c r="AU26" s="191">
        <v>3</v>
      </c>
      <c r="AV26" s="183">
        <v>2274</v>
      </c>
      <c r="AW26" s="192" t="str">
        <f t="shared" si="13"/>
        <v>Tercapai</v>
      </c>
      <c r="AX26" s="191">
        <v>22</v>
      </c>
      <c r="AY26" s="191">
        <v>719</v>
      </c>
      <c r="AZ26" s="192" t="str">
        <f t="shared" si="14"/>
        <v>Tidak Tercapai</v>
      </c>
      <c r="BA26" s="191">
        <v>17</v>
      </c>
      <c r="BB26" s="195">
        <v>44</v>
      </c>
      <c r="BC26" s="192" t="str">
        <f t="shared" si="15"/>
        <v>Tidak Tercapai</v>
      </c>
      <c r="BD26" s="191">
        <v>0</v>
      </c>
      <c r="BE26" s="196">
        <v>1995</v>
      </c>
      <c r="BF26" s="192" t="str">
        <f t="shared" si="16"/>
        <v>Tidak Tercapai</v>
      </c>
      <c r="BG26" s="183">
        <v>50</v>
      </c>
      <c r="BH26" s="196">
        <v>2293</v>
      </c>
      <c r="BI26" s="192" t="str">
        <f t="shared" si="17"/>
        <v>Tercapai</v>
      </c>
      <c r="BJ26" s="196">
        <v>15</v>
      </c>
      <c r="BK26" s="196">
        <v>1809</v>
      </c>
      <c r="BL26" s="192" t="str">
        <f t="shared" si="18"/>
        <v>Tidak Tercapai</v>
      </c>
      <c r="BM26" s="196">
        <v>44</v>
      </c>
      <c r="BN26" s="196">
        <v>1755</v>
      </c>
      <c r="BO26" s="192" t="str">
        <f t="shared" si="19"/>
        <v>Tidak Tercapai</v>
      </c>
      <c r="BP26" s="196">
        <v>45</v>
      </c>
      <c r="BQ26" s="196">
        <v>1175</v>
      </c>
      <c r="BR26" s="192" t="str">
        <f t="shared" si="20"/>
        <v>Tidak Tercapai</v>
      </c>
      <c r="BS26" s="196">
        <v>21</v>
      </c>
      <c r="BT26" s="196">
        <v>1579</v>
      </c>
      <c r="BU26" s="192" t="str">
        <f t="shared" si="21"/>
        <v>Tidak Tercapai</v>
      </c>
      <c r="BV26" s="197">
        <v>158.03899999999999</v>
      </c>
      <c r="BW26" s="196">
        <v>437</v>
      </c>
      <c r="BX26" s="192" t="str">
        <f t="shared" si="22"/>
        <v>Tidak Tercapai</v>
      </c>
      <c r="BY26" s="196">
        <v>2</v>
      </c>
      <c r="BZ26" s="196">
        <v>1537</v>
      </c>
      <c r="CA26" s="192" t="str">
        <f t="shared" si="23"/>
        <v>Tidak Tercapai</v>
      </c>
      <c r="CB26" s="196">
        <v>2562</v>
      </c>
      <c r="CC26" s="196">
        <v>3739</v>
      </c>
      <c r="CD26" s="192" t="str">
        <f t="shared" si="24"/>
        <v>Tercapai</v>
      </c>
      <c r="CE26" s="196">
        <v>40</v>
      </c>
      <c r="CF26" s="196">
        <v>1357</v>
      </c>
      <c r="CG26" s="192" t="str">
        <f t="shared" si="25"/>
        <v>Tidak Tercapai</v>
      </c>
      <c r="CH26" s="196">
        <v>78</v>
      </c>
      <c r="CI26" s="196">
        <v>1231</v>
      </c>
      <c r="CJ26" s="192" t="str">
        <f t="shared" si="26"/>
        <v>Tidak Tercapai</v>
      </c>
      <c r="CK26" s="196">
        <v>60</v>
      </c>
      <c r="CL26" s="196">
        <v>421</v>
      </c>
      <c r="CM26" s="192" t="str">
        <f t="shared" si="27"/>
        <v>Tidak Tercapai</v>
      </c>
      <c r="CN26" s="196">
        <v>7</v>
      </c>
      <c r="CO26" s="196">
        <v>10</v>
      </c>
      <c r="CP26" s="192" t="str">
        <f t="shared" si="28"/>
        <v>Tidak Tercapai</v>
      </c>
      <c r="CQ26" s="196">
        <v>0</v>
      </c>
      <c r="CR26" s="196">
        <v>2</v>
      </c>
      <c r="CS26" s="192" t="str">
        <f t="shared" si="29"/>
        <v>Tidak Tercapai</v>
      </c>
      <c r="CT26" s="196">
        <v>0</v>
      </c>
      <c r="CU26" s="196">
        <v>1097</v>
      </c>
      <c r="CV26" s="192" t="str">
        <f t="shared" si="30"/>
        <v>Tidak Tercapai</v>
      </c>
      <c r="CW26" s="196">
        <v>4</v>
      </c>
      <c r="CX26" s="196">
        <v>5978</v>
      </c>
      <c r="CY26" s="192" t="str">
        <f t="shared" si="31"/>
        <v>Tercapai</v>
      </c>
      <c r="CZ26" s="196">
        <v>103</v>
      </c>
      <c r="DA26" s="196">
        <v>2007</v>
      </c>
      <c r="DB26" s="192" t="str">
        <f t="shared" si="32"/>
        <v>Tidak Tercapai</v>
      </c>
      <c r="DC26" s="196">
        <v>45</v>
      </c>
      <c r="DD26" s="196">
        <v>3128</v>
      </c>
      <c r="DE26" s="192" t="str">
        <f t="shared" si="33"/>
        <v>Tercapai</v>
      </c>
      <c r="DF26" s="196">
        <v>45</v>
      </c>
      <c r="DG26" s="69"/>
      <c r="DH26" s="69"/>
      <c r="DI26" s="69"/>
      <c r="DJ26" s="69"/>
      <c r="DK26" s="69"/>
      <c r="DL26" s="69"/>
    </row>
    <row r="27" spans="1:116" ht="15.5" x14ac:dyDescent="0.35">
      <c r="A27" s="181">
        <v>25</v>
      </c>
      <c r="B27" s="182" t="s">
        <v>548</v>
      </c>
      <c r="C27" s="181" t="s">
        <v>519</v>
      </c>
      <c r="D27" s="181">
        <v>164381</v>
      </c>
      <c r="E27" s="181">
        <v>2071</v>
      </c>
      <c r="F27" s="198">
        <v>31829</v>
      </c>
      <c r="G27" s="184" t="s">
        <v>520</v>
      </c>
      <c r="H27" s="198">
        <v>21996</v>
      </c>
      <c r="I27" s="198">
        <v>157</v>
      </c>
      <c r="J27" s="184" t="str">
        <f t="shared" si="0"/>
        <v>Tidak Tercapai</v>
      </c>
      <c r="K27" s="198">
        <v>1</v>
      </c>
      <c r="L27" s="198">
        <v>0</v>
      </c>
      <c r="M27" s="184" t="str">
        <f t="shared" si="1"/>
        <v>Tidak Tercapai</v>
      </c>
      <c r="N27" s="198">
        <v>0</v>
      </c>
      <c r="O27" s="181">
        <v>652</v>
      </c>
      <c r="P27" s="184" t="str">
        <f t="shared" si="2"/>
        <v>Tidak Tercapai</v>
      </c>
      <c r="Q27" s="185">
        <v>38</v>
      </c>
      <c r="R27" s="181">
        <v>977</v>
      </c>
      <c r="S27" s="186" t="str">
        <f t="shared" si="3"/>
        <v>Tidak Tercapai</v>
      </c>
      <c r="T27" s="185">
        <v>37</v>
      </c>
      <c r="U27" s="187">
        <v>835</v>
      </c>
      <c r="V27" s="186" t="str">
        <f t="shared" si="4"/>
        <v>Tidak Tercapai</v>
      </c>
      <c r="W27" s="188">
        <v>35</v>
      </c>
      <c r="X27" s="199">
        <v>1079</v>
      </c>
      <c r="Y27" s="189" t="str">
        <f t="shared" si="5"/>
        <v>Tidak Tercapai</v>
      </c>
      <c r="Z27" s="190">
        <v>64</v>
      </c>
      <c r="AA27" s="191">
        <v>1631</v>
      </c>
      <c r="AB27" s="192" t="str">
        <f t="shared" si="6"/>
        <v>Tidak Tercapai</v>
      </c>
      <c r="AC27" s="191">
        <v>47</v>
      </c>
      <c r="AD27" s="196">
        <v>1245</v>
      </c>
      <c r="AE27" s="192" t="str">
        <f t="shared" si="7"/>
        <v>Tidak Tercapai</v>
      </c>
      <c r="AF27" s="191">
        <v>4</v>
      </c>
      <c r="AG27" s="191">
        <v>316</v>
      </c>
      <c r="AH27" s="192" t="str">
        <f t="shared" si="8"/>
        <v>Tidak Tercapai</v>
      </c>
      <c r="AI27" s="191">
        <v>0</v>
      </c>
      <c r="AJ27" s="196">
        <v>2387</v>
      </c>
      <c r="AK27" s="192" t="str">
        <f t="shared" si="9"/>
        <v>Tercapai</v>
      </c>
      <c r="AL27" s="196">
        <v>49</v>
      </c>
      <c r="AM27" s="196">
        <v>815</v>
      </c>
      <c r="AN27" s="192" t="str">
        <f t="shared" si="10"/>
        <v>Tidak Tercapai</v>
      </c>
      <c r="AO27" s="196">
        <v>55</v>
      </c>
      <c r="AP27" s="191">
        <v>3072</v>
      </c>
      <c r="AQ27" s="192" t="str">
        <f t="shared" si="11"/>
        <v>Tercapai</v>
      </c>
      <c r="AR27" s="191">
        <v>23</v>
      </c>
      <c r="AS27" s="191">
        <v>2320</v>
      </c>
      <c r="AT27" s="192" t="str">
        <f t="shared" si="12"/>
        <v>Tercapai</v>
      </c>
      <c r="AU27" s="191">
        <v>18</v>
      </c>
      <c r="AV27" s="183">
        <v>2026</v>
      </c>
      <c r="AW27" s="192" t="str">
        <f t="shared" si="13"/>
        <v>Tidak Tercapai</v>
      </c>
      <c r="AX27" s="191">
        <v>24</v>
      </c>
      <c r="AY27" s="191">
        <v>1351</v>
      </c>
      <c r="AZ27" s="192" t="str">
        <f t="shared" si="14"/>
        <v>Tidak Tercapai</v>
      </c>
      <c r="BA27" s="191">
        <v>1</v>
      </c>
      <c r="BB27" s="195">
        <v>1</v>
      </c>
      <c r="BC27" s="192" t="str">
        <f t="shared" si="15"/>
        <v>Tidak Tercapai</v>
      </c>
      <c r="BD27" s="191">
        <v>1</v>
      </c>
      <c r="BE27" s="196">
        <v>1893</v>
      </c>
      <c r="BF27" s="192" t="str">
        <f t="shared" si="16"/>
        <v>Tidak Tercapai</v>
      </c>
      <c r="BG27" s="183">
        <v>35</v>
      </c>
      <c r="BH27" s="196">
        <v>2146</v>
      </c>
      <c r="BI27" s="192" t="str">
        <f t="shared" si="17"/>
        <v>Tercapai</v>
      </c>
      <c r="BJ27" s="196">
        <v>19</v>
      </c>
      <c r="BK27" s="196">
        <v>2751</v>
      </c>
      <c r="BL27" s="192" t="str">
        <f t="shared" si="18"/>
        <v>Tercapai</v>
      </c>
      <c r="BM27" s="196">
        <v>57</v>
      </c>
      <c r="BN27" s="196">
        <v>2741</v>
      </c>
      <c r="BO27" s="192" t="str">
        <f t="shared" si="19"/>
        <v>Tercapai</v>
      </c>
      <c r="BP27" s="196">
        <v>48</v>
      </c>
      <c r="BQ27" s="196">
        <v>1990</v>
      </c>
      <c r="BR27" s="192" t="str">
        <f t="shared" si="20"/>
        <v>Tidak Tercapai</v>
      </c>
      <c r="BS27" s="196">
        <v>44</v>
      </c>
      <c r="BT27" s="196">
        <v>4647</v>
      </c>
      <c r="BU27" s="192" t="str">
        <f t="shared" si="21"/>
        <v>Tercapai</v>
      </c>
      <c r="BV27" s="197">
        <v>22.641999999999999</v>
      </c>
      <c r="BW27" s="196">
        <v>2386</v>
      </c>
      <c r="BX27" s="192" t="str">
        <f t="shared" si="22"/>
        <v>Tercapai</v>
      </c>
      <c r="BY27" s="196">
        <v>5</v>
      </c>
      <c r="BZ27" s="196">
        <v>2097</v>
      </c>
      <c r="CA27" s="192" t="str">
        <f t="shared" si="23"/>
        <v>Tercapai</v>
      </c>
      <c r="CB27" s="196">
        <v>3297</v>
      </c>
      <c r="CC27" s="196">
        <v>4009</v>
      </c>
      <c r="CD27" s="192" t="str">
        <f t="shared" si="24"/>
        <v>Tercapai</v>
      </c>
      <c r="CE27" s="196">
        <v>70</v>
      </c>
      <c r="CF27" s="196">
        <v>1652</v>
      </c>
      <c r="CG27" s="192" t="str">
        <f t="shared" si="25"/>
        <v>Tidak Tercapai</v>
      </c>
      <c r="CH27" s="196">
        <v>39</v>
      </c>
      <c r="CI27" s="196">
        <v>2275</v>
      </c>
      <c r="CJ27" s="192" t="str">
        <f t="shared" si="26"/>
        <v>Tercapai</v>
      </c>
      <c r="CK27" s="196">
        <v>153</v>
      </c>
      <c r="CL27" s="196">
        <v>589</v>
      </c>
      <c r="CM27" s="192" t="str">
        <f t="shared" si="27"/>
        <v>Tidak Tercapai</v>
      </c>
      <c r="CN27" s="196">
        <v>14</v>
      </c>
      <c r="CO27" s="196">
        <v>189</v>
      </c>
      <c r="CP27" s="192" t="str">
        <f t="shared" si="28"/>
        <v>Tidak Tercapai</v>
      </c>
      <c r="CQ27" s="196">
        <v>0</v>
      </c>
      <c r="CR27" s="196">
        <v>50</v>
      </c>
      <c r="CS27" s="192" t="str">
        <f t="shared" si="29"/>
        <v>Tidak Tercapai</v>
      </c>
      <c r="CT27" s="196">
        <v>1</v>
      </c>
      <c r="CU27" s="196">
        <v>1511</v>
      </c>
      <c r="CV27" s="192" t="str">
        <f t="shared" si="30"/>
        <v>Tidak Tercapai</v>
      </c>
      <c r="CW27" s="196">
        <v>54</v>
      </c>
      <c r="CX27" s="196">
        <v>5803</v>
      </c>
      <c r="CY27" s="192" t="str">
        <f t="shared" si="31"/>
        <v>Tercapai</v>
      </c>
      <c r="CZ27" s="196">
        <v>224</v>
      </c>
      <c r="DA27" s="196">
        <v>1530</v>
      </c>
      <c r="DB27" s="192" t="str">
        <f t="shared" si="32"/>
        <v>Tidak Tercapai</v>
      </c>
      <c r="DC27" s="196">
        <v>99</v>
      </c>
      <c r="DD27" s="196">
        <v>1995</v>
      </c>
      <c r="DE27" s="192" t="str">
        <f t="shared" si="33"/>
        <v>Tidak Tercapai</v>
      </c>
      <c r="DF27" s="196">
        <v>81</v>
      </c>
      <c r="DG27" s="69"/>
      <c r="DH27" s="69"/>
      <c r="DI27" s="69"/>
      <c r="DJ27" s="69"/>
      <c r="DK27" s="69"/>
      <c r="DL27" s="69"/>
    </row>
    <row r="28" spans="1:116" ht="15.5" x14ac:dyDescent="0.35">
      <c r="A28" s="181">
        <v>26</v>
      </c>
      <c r="B28" s="182" t="s">
        <v>549</v>
      </c>
      <c r="C28" s="181" t="s">
        <v>529</v>
      </c>
      <c r="D28" s="181">
        <v>163026</v>
      </c>
      <c r="E28" s="181">
        <v>2047</v>
      </c>
      <c r="F28" s="183">
        <v>54250</v>
      </c>
      <c r="G28" s="184" t="s">
        <v>520</v>
      </c>
      <c r="H28" s="183">
        <v>38481</v>
      </c>
      <c r="I28" s="183">
        <v>48</v>
      </c>
      <c r="J28" s="184" t="str">
        <f t="shared" si="0"/>
        <v>Tidak Tercapai</v>
      </c>
      <c r="K28" s="183">
        <v>4</v>
      </c>
      <c r="L28" s="183">
        <v>1</v>
      </c>
      <c r="M28" s="184" t="str">
        <f t="shared" si="1"/>
        <v>Tidak Tercapai</v>
      </c>
      <c r="N28" s="183">
        <v>0</v>
      </c>
      <c r="O28" s="181">
        <v>1380</v>
      </c>
      <c r="P28" s="184" t="str">
        <f t="shared" si="2"/>
        <v>Tidak Tercapai</v>
      </c>
      <c r="Q28" s="185">
        <v>15</v>
      </c>
      <c r="R28" s="181">
        <v>2144</v>
      </c>
      <c r="S28" s="186" t="str">
        <f t="shared" si="3"/>
        <v>Tercapai</v>
      </c>
      <c r="T28" s="185">
        <v>29</v>
      </c>
      <c r="U28" s="187">
        <v>2734</v>
      </c>
      <c r="V28" s="186" t="str">
        <f t="shared" si="4"/>
        <v>Tercapai</v>
      </c>
      <c r="W28" s="188">
        <v>18</v>
      </c>
      <c r="X28" s="188">
        <v>2794</v>
      </c>
      <c r="Y28" s="189" t="str">
        <f t="shared" si="5"/>
        <v>Tercapai</v>
      </c>
      <c r="Z28" s="190">
        <v>45</v>
      </c>
      <c r="AA28" s="191">
        <v>3914</v>
      </c>
      <c r="AB28" s="192" t="str">
        <f t="shared" si="6"/>
        <v>Tercapai</v>
      </c>
      <c r="AC28" s="191">
        <v>34</v>
      </c>
      <c r="AD28" s="191">
        <v>1560</v>
      </c>
      <c r="AE28" s="192" t="str">
        <f t="shared" si="7"/>
        <v>Tidak Tercapai</v>
      </c>
      <c r="AF28" s="191">
        <v>5</v>
      </c>
      <c r="AG28" s="191">
        <v>1247</v>
      </c>
      <c r="AH28" s="192" t="str">
        <f t="shared" si="8"/>
        <v>Tidak Tercapai</v>
      </c>
      <c r="AI28" s="191">
        <v>0</v>
      </c>
      <c r="AJ28" s="191">
        <v>3609</v>
      </c>
      <c r="AK28" s="192" t="str">
        <f t="shared" si="9"/>
        <v>Tercapai</v>
      </c>
      <c r="AL28" s="191">
        <v>11</v>
      </c>
      <c r="AM28" s="191">
        <v>2754</v>
      </c>
      <c r="AN28" s="192" t="str">
        <f t="shared" si="10"/>
        <v>Tercapai</v>
      </c>
      <c r="AO28" s="191">
        <v>14</v>
      </c>
      <c r="AP28" s="191">
        <v>4858</v>
      </c>
      <c r="AQ28" s="192" t="str">
        <f t="shared" si="11"/>
        <v>Tercapai</v>
      </c>
      <c r="AR28" s="191">
        <v>5</v>
      </c>
      <c r="AS28" s="191">
        <v>4118</v>
      </c>
      <c r="AT28" s="192" t="str">
        <f t="shared" si="12"/>
        <v>Tercapai</v>
      </c>
      <c r="AU28" s="191">
        <v>21</v>
      </c>
      <c r="AV28" s="183">
        <v>4202</v>
      </c>
      <c r="AW28" s="192" t="str">
        <f t="shared" si="13"/>
        <v>Tercapai</v>
      </c>
      <c r="AX28" s="191">
        <v>78</v>
      </c>
      <c r="AY28" s="191">
        <v>1479</v>
      </c>
      <c r="AZ28" s="192" t="str">
        <f t="shared" si="14"/>
        <v>Tidak Tercapai</v>
      </c>
      <c r="BA28" s="191">
        <v>4</v>
      </c>
      <c r="BB28" s="195">
        <v>168</v>
      </c>
      <c r="BC28" s="192" t="str">
        <f t="shared" si="15"/>
        <v>Tidak Tercapai</v>
      </c>
      <c r="BD28" s="191">
        <v>1</v>
      </c>
      <c r="BE28" s="196">
        <v>3887</v>
      </c>
      <c r="BF28" s="192" t="str">
        <f t="shared" si="16"/>
        <v>Tercapai</v>
      </c>
      <c r="BG28" s="183">
        <v>24</v>
      </c>
      <c r="BH28" s="196">
        <v>4847</v>
      </c>
      <c r="BI28" s="192" t="str">
        <f t="shared" si="17"/>
        <v>Tercapai</v>
      </c>
      <c r="BJ28" s="196">
        <v>22</v>
      </c>
      <c r="BK28" s="196">
        <v>4535</v>
      </c>
      <c r="BL28" s="192" t="str">
        <f t="shared" si="18"/>
        <v>Tercapai</v>
      </c>
      <c r="BM28" s="196">
        <v>21</v>
      </c>
      <c r="BN28" s="196">
        <v>2925</v>
      </c>
      <c r="BO28" s="192" t="str">
        <f t="shared" si="19"/>
        <v>Tercapai</v>
      </c>
      <c r="BP28" s="196">
        <v>31</v>
      </c>
      <c r="BQ28" s="196">
        <v>2526</v>
      </c>
      <c r="BR28" s="192" t="str">
        <f t="shared" si="20"/>
        <v>Tercapai</v>
      </c>
      <c r="BS28" s="196">
        <v>23</v>
      </c>
      <c r="BT28" s="196">
        <v>2191</v>
      </c>
      <c r="BU28" s="192" t="str">
        <f t="shared" si="21"/>
        <v>Tercapai</v>
      </c>
      <c r="BV28" s="197">
        <v>39.008000000000003</v>
      </c>
      <c r="BW28" s="196">
        <v>13</v>
      </c>
      <c r="BX28" s="192" t="str">
        <f t="shared" si="22"/>
        <v>Tidak Tercapai</v>
      </c>
      <c r="BY28" s="196">
        <v>5</v>
      </c>
      <c r="BZ28" s="196">
        <v>2059</v>
      </c>
      <c r="CA28" s="192" t="str">
        <f t="shared" si="23"/>
        <v>Tercapai</v>
      </c>
      <c r="CB28" s="196">
        <v>1241</v>
      </c>
      <c r="CC28" s="196">
        <v>3824</v>
      </c>
      <c r="CD28" s="192" t="str">
        <f t="shared" si="24"/>
        <v>Tercapai</v>
      </c>
      <c r="CE28" s="196">
        <v>58</v>
      </c>
      <c r="CF28" s="196">
        <v>2328</v>
      </c>
      <c r="CG28" s="192" t="str">
        <f t="shared" si="25"/>
        <v>Tercapai</v>
      </c>
      <c r="CH28" s="196">
        <v>32</v>
      </c>
      <c r="CI28" s="196">
        <v>4401</v>
      </c>
      <c r="CJ28" s="192" t="str">
        <f t="shared" si="26"/>
        <v>Tercapai</v>
      </c>
      <c r="CK28" s="196">
        <v>52</v>
      </c>
      <c r="CL28" s="196">
        <v>728</v>
      </c>
      <c r="CM28" s="192" t="str">
        <f t="shared" si="27"/>
        <v>Tidak Tercapai</v>
      </c>
      <c r="CN28" s="196">
        <v>15</v>
      </c>
      <c r="CO28" s="196">
        <v>1</v>
      </c>
      <c r="CP28" s="192" t="str">
        <f t="shared" si="28"/>
        <v>Tidak Tercapai</v>
      </c>
      <c r="CQ28" s="196">
        <v>0</v>
      </c>
      <c r="CR28" s="196">
        <v>8</v>
      </c>
      <c r="CS28" s="192" t="str">
        <f t="shared" si="29"/>
        <v>Tidak Tercapai</v>
      </c>
      <c r="CT28" s="196">
        <v>4</v>
      </c>
      <c r="CU28" s="196">
        <v>1840</v>
      </c>
      <c r="CV28" s="192" t="str">
        <f t="shared" si="30"/>
        <v>Tidak Tercapai</v>
      </c>
      <c r="CW28" s="196">
        <v>30</v>
      </c>
      <c r="CX28" s="196">
        <v>5288</v>
      </c>
      <c r="CY28" s="192" t="str">
        <f t="shared" si="31"/>
        <v>Tercapai</v>
      </c>
      <c r="CZ28" s="196">
        <v>468</v>
      </c>
      <c r="DA28" s="196">
        <v>2584</v>
      </c>
      <c r="DB28" s="192" t="str">
        <f t="shared" si="32"/>
        <v>Tercapai</v>
      </c>
      <c r="DC28" s="196">
        <v>89</v>
      </c>
      <c r="DD28" s="196">
        <v>2926</v>
      </c>
      <c r="DE28" s="192" t="str">
        <f t="shared" si="33"/>
        <v>Tercapai</v>
      </c>
      <c r="DF28" s="196">
        <v>47</v>
      </c>
      <c r="DG28" s="69"/>
      <c r="DH28" s="69"/>
      <c r="DI28" s="69"/>
      <c r="DJ28" s="69"/>
      <c r="DK28" s="69"/>
      <c r="DL28" s="69"/>
    </row>
    <row r="29" spans="1:116" ht="15.5" x14ac:dyDescent="0.35">
      <c r="A29" s="181">
        <v>27</v>
      </c>
      <c r="B29" s="182" t="s">
        <v>550</v>
      </c>
      <c r="C29" s="181" t="s">
        <v>519</v>
      </c>
      <c r="D29" s="181">
        <v>158891</v>
      </c>
      <c r="E29" s="181">
        <v>1927</v>
      </c>
      <c r="F29" s="198">
        <v>55656</v>
      </c>
      <c r="G29" s="184" t="s">
        <v>520</v>
      </c>
      <c r="H29" s="198">
        <v>38990</v>
      </c>
      <c r="I29" s="198">
        <v>701</v>
      </c>
      <c r="J29" s="184" t="str">
        <f t="shared" si="0"/>
        <v>Tidak Tercapai</v>
      </c>
      <c r="K29" s="198">
        <v>4</v>
      </c>
      <c r="L29" s="198">
        <v>1</v>
      </c>
      <c r="M29" s="184" t="str">
        <f t="shared" si="1"/>
        <v>Tidak Tercapai</v>
      </c>
      <c r="N29" s="198">
        <v>0</v>
      </c>
      <c r="O29" s="181">
        <v>656</v>
      </c>
      <c r="P29" s="184" t="str">
        <f t="shared" si="2"/>
        <v>Tidak Tercapai</v>
      </c>
      <c r="Q29" s="185">
        <v>1018</v>
      </c>
      <c r="R29" s="181">
        <v>1044</v>
      </c>
      <c r="S29" s="186" t="str">
        <f t="shared" si="3"/>
        <v>Tidak Tercapai</v>
      </c>
      <c r="T29" s="185">
        <v>1537</v>
      </c>
      <c r="U29" s="187">
        <v>661</v>
      </c>
      <c r="V29" s="186" t="str">
        <f t="shared" si="4"/>
        <v>Tidak Tercapai</v>
      </c>
      <c r="W29" s="188">
        <v>1461</v>
      </c>
      <c r="X29" s="199">
        <v>1378</v>
      </c>
      <c r="Y29" s="189" t="str">
        <f t="shared" si="5"/>
        <v>Tidak Tercapai</v>
      </c>
      <c r="Z29" s="190">
        <v>1337</v>
      </c>
      <c r="AA29" s="191">
        <v>1465</v>
      </c>
      <c r="AB29" s="192" t="str">
        <f t="shared" si="6"/>
        <v>Tidak Tercapai</v>
      </c>
      <c r="AC29" s="191">
        <v>134</v>
      </c>
      <c r="AD29" s="196">
        <v>606</v>
      </c>
      <c r="AE29" s="192" t="str">
        <f t="shared" si="7"/>
        <v>Tidak Tercapai</v>
      </c>
      <c r="AF29" s="191">
        <v>13</v>
      </c>
      <c r="AG29" s="191">
        <v>682</v>
      </c>
      <c r="AH29" s="192" t="str">
        <f t="shared" si="8"/>
        <v>Tidak Tercapai</v>
      </c>
      <c r="AI29" s="191">
        <v>1</v>
      </c>
      <c r="AJ29" s="196">
        <v>1827</v>
      </c>
      <c r="AK29" s="192" t="str">
        <f t="shared" si="9"/>
        <v>Tidak Tercapai</v>
      </c>
      <c r="AL29" s="196">
        <v>201</v>
      </c>
      <c r="AM29" s="196">
        <v>1427</v>
      </c>
      <c r="AN29" s="192" t="str">
        <f t="shared" si="10"/>
        <v>Tidak Tercapai</v>
      </c>
      <c r="AO29" s="196">
        <v>114</v>
      </c>
      <c r="AP29" s="191">
        <v>3627</v>
      </c>
      <c r="AQ29" s="192" t="str">
        <f t="shared" si="11"/>
        <v>Tercapai</v>
      </c>
      <c r="AR29" s="191">
        <v>313</v>
      </c>
      <c r="AS29" s="191">
        <v>2681</v>
      </c>
      <c r="AT29" s="192" t="str">
        <f t="shared" si="12"/>
        <v>Tercapai</v>
      </c>
      <c r="AU29" s="191">
        <v>29</v>
      </c>
      <c r="AV29" s="183">
        <v>2534</v>
      </c>
      <c r="AW29" s="192" t="str">
        <f t="shared" si="13"/>
        <v>Tercapai</v>
      </c>
      <c r="AX29" s="191">
        <v>68</v>
      </c>
      <c r="AY29" s="191">
        <v>1774</v>
      </c>
      <c r="AZ29" s="192" t="str">
        <f t="shared" si="14"/>
        <v>Tidak Tercapai</v>
      </c>
      <c r="BA29" s="191">
        <v>136</v>
      </c>
      <c r="BB29" s="195">
        <v>1207</v>
      </c>
      <c r="BC29" s="192" t="str">
        <f t="shared" si="15"/>
        <v>Tidak Tercapai</v>
      </c>
      <c r="BD29" s="191">
        <v>0</v>
      </c>
      <c r="BE29" s="196">
        <v>3289</v>
      </c>
      <c r="BF29" s="192" t="str">
        <f t="shared" si="16"/>
        <v>Tercapai</v>
      </c>
      <c r="BG29" s="183">
        <v>123</v>
      </c>
      <c r="BH29" s="196">
        <v>3559</v>
      </c>
      <c r="BI29" s="192" t="str">
        <f t="shared" si="17"/>
        <v>Tercapai</v>
      </c>
      <c r="BJ29" s="196">
        <v>72</v>
      </c>
      <c r="BK29" s="196">
        <v>2799</v>
      </c>
      <c r="BL29" s="192" t="str">
        <f t="shared" si="18"/>
        <v>Tercapai</v>
      </c>
      <c r="BM29" s="196">
        <v>241</v>
      </c>
      <c r="BN29" s="196">
        <v>1613</v>
      </c>
      <c r="BO29" s="192" t="str">
        <f t="shared" si="19"/>
        <v>Tidak Tercapai</v>
      </c>
      <c r="BP29" s="196">
        <v>66</v>
      </c>
      <c r="BQ29" s="196">
        <v>1542</v>
      </c>
      <c r="BR29" s="192" t="str">
        <f t="shared" si="20"/>
        <v>Tidak Tercapai</v>
      </c>
      <c r="BS29" s="196">
        <v>22</v>
      </c>
      <c r="BT29" s="196">
        <v>3268</v>
      </c>
      <c r="BU29" s="192" t="str">
        <f t="shared" si="21"/>
        <v>Tercapai</v>
      </c>
      <c r="BV29" s="197">
        <v>46.015999999999998</v>
      </c>
      <c r="BW29" s="196">
        <v>1079</v>
      </c>
      <c r="BX29" s="192" t="str">
        <f t="shared" si="22"/>
        <v>Tidak Tercapai</v>
      </c>
      <c r="BY29" s="196">
        <v>5</v>
      </c>
      <c r="BZ29" s="196">
        <v>2547</v>
      </c>
      <c r="CA29" s="192" t="str">
        <f t="shared" si="23"/>
        <v>Tercapai</v>
      </c>
      <c r="CB29" s="196">
        <v>6158</v>
      </c>
      <c r="CC29" s="196">
        <v>5626</v>
      </c>
      <c r="CD29" s="192" t="str">
        <f t="shared" si="24"/>
        <v>Tercapai</v>
      </c>
      <c r="CE29" s="196">
        <v>47</v>
      </c>
      <c r="CF29" s="196">
        <v>3402</v>
      </c>
      <c r="CG29" s="192" t="str">
        <f t="shared" si="25"/>
        <v>Tercapai</v>
      </c>
      <c r="CH29" s="196">
        <v>12</v>
      </c>
      <c r="CI29" s="196">
        <v>5332</v>
      </c>
      <c r="CJ29" s="192" t="str">
        <f t="shared" si="26"/>
        <v>Tercapai</v>
      </c>
      <c r="CK29" s="196">
        <v>56</v>
      </c>
      <c r="CL29" s="196">
        <v>2012</v>
      </c>
      <c r="CM29" s="192" t="str">
        <f t="shared" si="27"/>
        <v>Tercapai</v>
      </c>
      <c r="CN29" s="196">
        <v>17</v>
      </c>
      <c r="CO29" s="196">
        <v>1815</v>
      </c>
      <c r="CP29" s="192" t="str">
        <f t="shared" si="28"/>
        <v>Tidak Tercapai</v>
      </c>
      <c r="CQ29" s="196">
        <v>0</v>
      </c>
      <c r="CR29" s="196">
        <v>5</v>
      </c>
      <c r="CS29" s="192" t="str">
        <f t="shared" si="29"/>
        <v>Tidak Tercapai</v>
      </c>
      <c r="CT29" s="196">
        <v>0</v>
      </c>
      <c r="CU29" s="196">
        <v>1174</v>
      </c>
      <c r="CV29" s="192" t="str">
        <f t="shared" si="30"/>
        <v>Tidak Tercapai</v>
      </c>
      <c r="CW29" s="196">
        <v>53</v>
      </c>
      <c r="CX29" s="196">
        <v>4591</v>
      </c>
      <c r="CY29" s="192" t="str">
        <f t="shared" si="31"/>
        <v>Tercapai</v>
      </c>
      <c r="CZ29" s="196">
        <v>501</v>
      </c>
      <c r="DA29" s="196">
        <v>2033</v>
      </c>
      <c r="DB29" s="192" t="str">
        <f t="shared" si="32"/>
        <v>Tercapai</v>
      </c>
      <c r="DC29" s="196">
        <v>66</v>
      </c>
      <c r="DD29" s="196">
        <v>2911</v>
      </c>
      <c r="DE29" s="192" t="str">
        <f t="shared" si="33"/>
        <v>Tercapai</v>
      </c>
      <c r="DF29" s="196">
        <v>70</v>
      </c>
      <c r="DG29" s="69"/>
      <c r="DH29" s="69"/>
      <c r="DI29" s="69"/>
      <c r="DJ29" s="69"/>
      <c r="DK29" s="69"/>
      <c r="DL29" s="69"/>
    </row>
    <row r="30" spans="1:116" ht="15.5" x14ac:dyDescent="0.35">
      <c r="A30" s="181">
        <v>28</v>
      </c>
      <c r="B30" s="182" t="s">
        <v>551</v>
      </c>
      <c r="C30" s="181" t="s">
        <v>519</v>
      </c>
      <c r="D30" s="181">
        <v>139214</v>
      </c>
      <c r="E30" s="181">
        <v>1745</v>
      </c>
      <c r="F30" s="198">
        <v>25955</v>
      </c>
      <c r="G30" s="184" t="s">
        <v>520</v>
      </c>
      <c r="H30" s="198">
        <v>18699</v>
      </c>
      <c r="I30" s="198">
        <v>1</v>
      </c>
      <c r="J30" s="184" t="str">
        <f t="shared" si="0"/>
        <v>Tidak Tercapai</v>
      </c>
      <c r="K30" s="198">
        <v>1</v>
      </c>
      <c r="L30" s="198">
        <v>3</v>
      </c>
      <c r="M30" s="184" t="str">
        <f t="shared" si="1"/>
        <v>Tidak Tercapai</v>
      </c>
      <c r="N30" s="198">
        <v>0</v>
      </c>
      <c r="O30" s="181">
        <v>841</v>
      </c>
      <c r="P30" s="184" t="str">
        <f t="shared" si="2"/>
        <v>Tidak Tercapai</v>
      </c>
      <c r="Q30" s="185">
        <v>17</v>
      </c>
      <c r="R30" s="181">
        <v>818</v>
      </c>
      <c r="S30" s="186" t="str">
        <f t="shared" si="3"/>
        <v>Tidak Tercapai</v>
      </c>
      <c r="T30" s="185">
        <v>14</v>
      </c>
      <c r="U30" s="187">
        <v>833</v>
      </c>
      <c r="V30" s="186" t="str">
        <f t="shared" si="4"/>
        <v>Tercapai</v>
      </c>
      <c r="W30" s="188">
        <v>31</v>
      </c>
      <c r="X30" s="199">
        <v>1231</v>
      </c>
      <c r="Y30" s="189" t="str">
        <f t="shared" si="5"/>
        <v>Tidak Tercapai</v>
      </c>
      <c r="Z30" s="190">
        <v>51</v>
      </c>
      <c r="AA30" s="191">
        <v>1259</v>
      </c>
      <c r="AB30" s="192" t="str">
        <f t="shared" si="6"/>
        <v>Tidak Tercapai</v>
      </c>
      <c r="AC30" s="191">
        <v>83</v>
      </c>
      <c r="AD30" s="196">
        <v>1156</v>
      </c>
      <c r="AE30" s="192" t="str">
        <f t="shared" si="7"/>
        <v>Tidak Tercapai</v>
      </c>
      <c r="AF30" s="191">
        <v>2</v>
      </c>
      <c r="AG30" s="191">
        <v>185</v>
      </c>
      <c r="AH30" s="192" t="str">
        <f t="shared" si="8"/>
        <v>Tidak Tercapai</v>
      </c>
      <c r="AI30" s="191">
        <v>0</v>
      </c>
      <c r="AJ30" s="196">
        <v>1633</v>
      </c>
      <c r="AK30" s="192" t="str">
        <f t="shared" si="9"/>
        <v>Tidak Tercapai</v>
      </c>
      <c r="AL30" s="196">
        <v>38</v>
      </c>
      <c r="AM30" s="196">
        <v>965</v>
      </c>
      <c r="AN30" s="192" t="str">
        <f t="shared" si="10"/>
        <v>Tidak Tercapai</v>
      </c>
      <c r="AO30" s="196">
        <v>32</v>
      </c>
      <c r="AP30" s="191">
        <v>2160</v>
      </c>
      <c r="AQ30" s="192" t="str">
        <f t="shared" si="11"/>
        <v>Tercapai</v>
      </c>
      <c r="AR30" s="191">
        <v>13</v>
      </c>
      <c r="AS30" s="191">
        <v>2144</v>
      </c>
      <c r="AT30" s="192" t="str">
        <f t="shared" si="12"/>
        <v>Tercapai</v>
      </c>
      <c r="AU30" s="191">
        <v>8</v>
      </c>
      <c r="AV30" s="183">
        <v>2069</v>
      </c>
      <c r="AW30" s="192" t="str">
        <f t="shared" si="13"/>
        <v>Tercapai</v>
      </c>
      <c r="AX30" s="191">
        <v>36</v>
      </c>
      <c r="AY30" s="191">
        <v>769</v>
      </c>
      <c r="AZ30" s="192" t="str">
        <f t="shared" si="14"/>
        <v>Tidak Tercapai</v>
      </c>
      <c r="BA30" s="191">
        <v>3</v>
      </c>
      <c r="BB30" s="195">
        <v>102</v>
      </c>
      <c r="BC30" s="192" t="str">
        <f t="shared" si="15"/>
        <v>Tidak Tercapai</v>
      </c>
      <c r="BD30" s="191">
        <v>0</v>
      </c>
      <c r="BE30" s="196">
        <v>1572</v>
      </c>
      <c r="BF30" s="192" t="str">
        <f t="shared" si="16"/>
        <v>Tidak Tercapai</v>
      </c>
      <c r="BG30" s="183">
        <v>31</v>
      </c>
      <c r="BH30" s="196">
        <v>2439</v>
      </c>
      <c r="BI30" s="192" t="str">
        <f t="shared" si="17"/>
        <v>Tercapai</v>
      </c>
      <c r="BJ30" s="196">
        <v>15</v>
      </c>
      <c r="BK30" s="196">
        <v>3231</v>
      </c>
      <c r="BL30" s="192" t="str">
        <f t="shared" si="18"/>
        <v>Tercapai</v>
      </c>
      <c r="BM30" s="196">
        <v>25</v>
      </c>
      <c r="BN30" s="196">
        <v>3460</v>
      </c>
      <c r="BO30" s="192" t="str">
        <f t="shared" si="19"/>
        <v>Tercapai</v>
      </c>
      <c r="BP30" s="196">
        <v>28</v>
      </c>
      <c r="BQ30" s="196">
        <v>2300</v>
      </c>
      <c r="BR30" s="192" t="str">
        <f t="shared" si="20"/>
        <v>Tercapai</v>
      </c>
      <c r="BS30" s="196">
        <v>10</v>
      </c>
      <c r="BT30" s="196">
        <v>7792</v>
      </c>
      <c r="BU30" s="192" t="str">
        <f t="shared" si="21"/>
        <v>Tercapai</v>
      </c>
      <c r="BV30" s="197">
        <v>19.183</v>
      </c>
      <c r="BW30" s="196">
        <v>5545</v>
      </c>
      <c r="BX30" s="192" t="str">
        <f t="shared" si="22"/>
        <v>Tercapai</v>
      </c>
      <c r="BY30" s="196">
        <v>8</v>
      </c>
      <c r="BZ30" s="196">
        <v>2951</v>
      </c>
      <c r="CA30" s="192" t="str">
        <f t="shared" si="23"/>
        <v>Tercapai</v>
      </c>
      <c r="CB30" s="196">
        <v>1794</v>
      </c>
      <c r="CC30" s="196">
        <v>8530</v>
      </c>
      <c r="CD30" s="192" t="str">
        <f t="shared" si="24"/>
        <v>Tercapai</v>
      </c>
      <c r="CE30" s="196">
        <v>63</v>
      </c>
      <c r="CF30" s="196">
        <v>2814</v>
      </c>
      <c r="CG30" s="192" t="str">
        <f t="shared" si="25"/>
        <v>Tercapai</v>
      </c>
      <c r="CH30" s="196">
        <v>26</v>
      </c>
      <c r="CI30" s="196">
        <v>9000</v>
      </c>
      <c r="CJ30" s="192" t="str">
        <f t="shared" si="26"/>
        <v>Tercapai</v>
      </c>
      <c r="CK30" s="196">
        <v>100</v>
      </c>
      <c r="CL30" s="196">
        <v>4296</v>
      </c>
      <c r="CM30" s="192" t="str">
        <f t="shared" si="27"/>
        <v>Tercapai</v>
      </c>
      <c r="CN30" s="196">
        <v>38</v>
      </c>
      <c r="CO30" s="196">
        <v>4225</v>
      </c>
      <c r="CP30" s="192" t="str">
        <f t="shared" si="28"/>
        <v>Tercapai</v>
      </c>
      <c r="CQ30" s="196">
        <v>2</v>
      </c>
      <c r="CR30" s="196">
        <v>28</v>
      </c>
      <c r="CS30" s="192" t="str">
        <f t="shared" si="29"/>
        <v>Tidak Tercapai</v>
      </c>
      <c r="CT30" s="196">
        <v>1</v>
      </c>
      <c r="CU30" s="196">
        <v>2169</v>
      </c>
      <c r="CV30" s="192" t="str">
        <f t="shared" si="30"/>
        <v>Tercapai</v>
      </c>
      <c r="CW30" s="196">
        <v>13</v>
      </c>
      <c r="CX30" s="196">
        <v>4517</v>
      </c>
      <c r="CY30" s="192" t="str">
        <f t="shared" si="31"/>
        <v>Tercapai</v>
      </c>
      <c r="CZ30" s="196">
        <v>208</v>
      </c>
      <c r="DA30" s="196">
        <v>1282</v>
      </c>
      <c r="DB30" s="192" t="str">
        <f t="shared" si="32"/>
        <v>Tidak Tercapai</v>
      </c>
      <c r="DC30" s="196">
        <v>51</v>
      </c>
      <c r="DD30" s="196">
        <v>1400</v>
      </c>
      <c r="DE30" s="192" t="str">
        <f t="shared" si="33"/>
        <v>Tidak Tercapai</v>
      </c>
      <c r="DF30" s="196">
        <v>57</v>
      </c>
      <c r="DG30" s="69"/>
      <c r="DH30" s="69"/>
      <c r="DI30" s="69"/>
      <c r="DJ30" s="69"/>
      <c r="DK30" s="69"/>
      <c r="DL30" s="69"/>
    </row>
    <row r="31" spans="1:116" ht="15.5" x14ac:dyDescent="0.35">
      <c r="A31" s="181">
        <v>29</v>
      </c>
      <c r="B31" s="182" t="s">
        <v>552</v>
      </c>
      <c r="C31" s="181" t="s">
        <v>544</v>
      </c>
      <c r="D31" s="181">
        <v>130291</v>
      </c>
      <c r="E31" s="181">
        <v>1647</v>
      </c>
      <c r="F31" s="198">
        <v>511564</v>
      </c>
      <c r="G31" s="184" t="s">
        <v>520</v>
      </c>
      <c r="H31" s="198">
        <v>128537</v>
      </c>
      <c r="I31" s="198">
        <v>1</v>
      </c>
      <c r="J31" s="184" t="str">
        <f t="shared" si="0"/>
        <v>Tidak Tercapai</v>
      </c>
      <c r="K31" s="198">
        <v>2</v>
      </c>
      <c r="L31" s="198">
        <v>0</v>
      </c>
      <c r="M31" s="184" t="str">
        <f t="shared" si="1"/>
        <v>Tidak Tercapai</v>
      </c>
      <c r="N31" s="198">
        <v>1</v>
      </c>
      <c r="O31" s="181">
        <v>774</v>
      </c>
      <c r="P31" s="184" t="str">
        <f t="shared" si="2"/>
        <v>Tidak Tercapai</v>
      </c>
      <c r="Q31" s="185">
        <v>42</v>
      </c>
      <c r="R31" s="199">
        <v>4878</v>
      </c>
      <c r="S31" s="186" t="str">
        <f t="shared" si="3"/>
        <v>Tercapai</v>
      </c>
      <c r="T31" s="185">
        <v>23</v>
      </c>
      <c r="U31" s="187">
        <v>4074</v>
      </c>
      <c r="V31" s="186" t="str">
        <f t="shared" si="4"/>
        <v>Tidak Tercapai</v>
      </c>
      <c r="W31" s="188">
        <v>81</v>
      </c>
      <c r="X31" s="199">
        <v>4878</v>
      </c>
      <c r="Y31" s="189" t="str">
        <f t="shared" si="5"/>
        <v>Tercapai</v>
      </c>
      <c r="Z31" s="190">
        <v>12</v>
      </c>
      <c r="AA31" s="191">
        <v>3025</v>
      </c>
      <c r="AB31" s="192" t="str">
        <f t="shared" si="6"/>
        <v>Tercapai</v>
      </c>
      <c r="AC31" s="191">
        <v>12</v>
      </c>
      <c r="AD31" s="196">
        <v>831</v>
      </c>
      <c r="AE31" s="192" t="str">
        <f t="shared" si="7"/>
        <v>Tidak Tercapai</v>
      </c>
      <c r="AF31" s="191">
        <v>3</v>
      </c>
      <c r="AG31" s="191">
        <v>0</v>
      </c>
      <c r="AH31" s="192" t="str">
        <f t="shared" si="8"/>
        <v>Tidak Tercapai</v>
      </c>
      <c r="AI31" s="191">
        <v>0</v>
      </c>
      <c r="AJ31" s="196">
        <v>1698</v>
      </c>
      <c r="AK31" s="192" t="str">
        <f t="shared" si="9"/>
        <v>Tercapai</v>
      </c>
      <c r="AL31" s="196">
        <v>22</v>
      </c>
      <c r="AM31" s="196">
        <v>1066</v>
      </c>
      <c r="AN31" s="192" t="str">
        <f t="shared" si="10"/>
        <v>Tidak Tercapai</v>
      </c>
      <c r="AO31" s="196">
        <v>6</v>
      </c>
      <c r="AP31" s="191">
        <v>2447</v>
      </c>
      <c r="AQ31" s="192" t="str">
        <f t="shared" si="11"/>
        <v>Tercapai</v>
      </c>
      <c r="AR31" s="191">
        <v>46</v>
      </c>
      <c r="AS31" s="191">
        <v>2965</v>
      </c>
      <c r="AT31" s="192" t="str">
        <f t="shared" si="12"/>
        <v>Tercapai</v>
      </c>
      <c r="AU31" s="191">
        <v>188</v>
      </c>
      <c r="AV31" s="183">
        <v>2880</v>
      </c>
      <c r="AW31" s="192" t="str">
        <f t="shared" si="13"/>
        <v>Tercapai</v>
      </c>
      <c r="AX31" s="191">
        <v>36</v>
      </c>
      <c r="AY31" s="191">
        <v>1633</v>
      </c>
      <c r="AZ31" s="192" t="str">
        <f t="shared" si="14"/>
        <v>Tidak Tercapai</v>
      </c>
      <c r="BA31" s="191">
        <v>4</v>
      </c>
      <c r="BB31" s="195">
        <v>0</v>
      </c>
      <c r="BC31" s="192" t="str">
        <f t="shared" si="15"/>
        <v>Tidak Tercapai</v>
      </c>
      <c r="BD31" s="191">
        <v>1</v>
      </c>
      <c r="BE31" s="196">
        <v>1728</v>
      </c>
      <c r="BF31" s="192" t="str">
        <f t="shared" si="16"/>
        <v>Tercapai</v>
      </c>
      <c r="BG31" s="183">
        <v>21</v>
      </c>
      <c r="BH31" s="196">
        <v>1909</v>
      </c>
      <c r="BI31" s="192" t="str">
        <f t="shared" si="17"/>
        <v>Tercapai</v>
      </c>
      <c r="BJ31" s="196">
        <v>15</v>
      </c>
      <c r="BK31" s="196">
        <v>1363</v>
      </c>
      <c r="BL31" s="192" t="str">
        <f t="shared" si="18"/>
        <v>Tidak Tercapai</v>
      </c>
      <c r="BM31" s="196">
        <v>2</v>
      </c>
      <c r="BN31" s="196">
        <v>1414</v>
      </c>
      <c r="BO31" s="192" t="str">
        <f t="shared" si="19"/>
        <v>Tidak Tercapai</v>
      </c>
      <c r="BP31" s="196">
        <v>19</v>
      </c>
      <c r="BQ31" s="196">
        <v>924</v>
      </c>
      <c r="BR31" s="192" t="str">
        <f t="shared" si="20"/>
        <v>Tidak Tercapai</v>
      </c>
      <c r="BS31" s="196">
        <v>21</v>
      </c>
      <c r="BT31" s="196">
        <v>750</v>
      </c>
      <c r="BU31" s="192" t="str">
        <f t="shared" si="21"/>
        <v>Tidak Tercapai</v>
      </c>
      <c r="BV31" s="197">
        <v>115.676</v>
      </c>
      <c r="BW31" s="196">
        <v>448</v>
      </c>
      <c r="BX31" s="192" t="str">
        <f t="shared" si="22"/>
        <v>Tidak Tercapai</v>
      </c>
      <c r="BY31" s="196">
        <v>3</v>
      </c>
      <c r="BZ31" s="196">
        <v>2239</v>
      </c>
      <c r="CA31" s="192" t="str">
        <f t="shared" si="23"/>
        <v>Tercapai</v>
      </c>
      <c r="CB31" s="196">
        <v>10015</v>
      </c>
      <c r="CC31" s="196">
        <v>5227</v>
      </c>
      <c r="CD31" s="192" t="str">
        <f t="shared" si="24"/>
        <v>Tercapai</v>
      </c>
      <c r="CE31" s="196">
        <v>349</v>
      </c>
      <c r="CF31" s="196">
        <v>3078</v>
      </c>
      <c r="CG31" s="192" t="str">
        <f t="shared" si="25"/>
        <v>Tercapai</v>
      </c>
      <c r="CH31" s="196">
        <v>52</v>
      </c>
      <c r="CI31" s="196">
        <v>4845</v>
      </c>
      <c r="CJ31" s="192" t="str">
        <f t="shared" si="26"/>
        <v>Tercapai</v>
      </c>
      <c r="CK31" s="196">
        <v>209</v>
      </c>
      <c r="CL31" s="196">
        <v>1250</v>
      </c>
      <c r="CM31" s="192" t="str">
        <f t="shared" si="27"/>
        <v>Tidak Tercapai</v>
      </c>
      <c r="CN31" s="196">
        <v>154</v>
      </c>
      <c r="CO31" s="196">
        <v>525</v>
      </c>
      <c r="CP31" s="192" t="str">
        <f t="shared" si="28"/>
        <v>Tidak Tercapai</v>
      </c>
      <c r="CQ31" s="196">
        <v>5</v>
      </c>
      <c r="CR31" s="196">
        <v>16044</v>
      </c>
      <c r="CS31" s="192" t="str">
        <f t="shared" si="29"/>
        <v>Tercapai</v>
      </c>
      <c r="CT31" s="196">
        <v>29</v>
      </c>
      <c r="CU31" s="196">
        <v>148</v>
      </c>
      <c r="CV31" s="192" t="str">
        <f t="shared" si="30"/>
        <v>Tidak Tercapai</v>
      </c>
      <c r="CW31" s="196">
        <v>5</v>
      </c>
      <c r="CX31" s="196">
        <v>10339</v>
      </c>
      <c r="CY31" s="192" t="str">
        <f t="shared" si="31"/>
        <v>Tercapai</v>
      </c>
      <c r="CZ31" s="196">
        <v>598</v>
      </c>
      <c r="DA31" s="196">
        <v>4683</v>
      </c>
      <c r="DB31" s="192" t="str">
        <f t="shared" si="32"/>
        <v>Tercapai</v>
      </c>
      <c r="DC31" s="196">
        <v>298</v>
      </c>
      <c r="DD31" s="196">
        <v>4104</v>
      </c>
      <c r="DE31" s="192" t="str">
        <f t="shared" si="33"/>
        <v>Tercapai</v>
      </c>
      <c r="DF31" s="196">
        <v>317</v>
      </c>
      <c r="DG31" s="69"/>
      <c r="DH31" s="69"/>
      <c r="DI31" s="69"/>
      <c r="DJ31" s="69"/>
      <c r="DK31" s="69"/>
      <c r="DL31" s="69"/>
    </row>
    <row r="32" spans="1:116" ht="15.5" x14ac:dyDescent="0.35">
      <c r="A32" s="181">
        <v>30</v>
      </c>
      <c r="B32" s="182" t="s">
        <v>553</v>
      </c>
      <c r="C32" s="181" t="s">
        <v>529</v>
      </c>
      <c r="D32" s="181">
        <v>126184</v>
      </c>
      <c r="E32" s="181">
        <v>1612</v>
      </c>
      <c r="F32" s="198">
        <v>32563</v>
      </c>
      <c r="G32" s="184" t="s">
        <v>520</v>
      </c>
      <c r="H32" s="198">
        <v>16683</v>
      </c>
      <c r="I32" s="198">
        <v>2322</v>
      </c>
      <c r="J32" s="184" t="str">
        <f t="shared" si="0"/>
        <v>Tercapai</v>
      </c>
      <c r="K32" s="198">
        <v>0</v>
      </c>
      <c r="L32" s="198">
        <v>2</v>
      </c>
      <c r="M32" s="184" t="str">
        <f t="shared" si="1"/>
        <v>Tidak Tercapai</v>
      </c>
      <c r="N32" s="198">
        <v>0</v>
      </c>
      <c r="O32" s="181">
        <v>3550</v>
      </c>
      <c r="P32" s="184" t="str">
        <f t="shared" si="2"/>
        <v>Tercapai</v>
      </c>
      <c r="Q32" s="185">
        <v>6</v>
      </c>
      <c r="R32" s="181">
        <v>3085</v>
      </c>
      <c r="S32" s="186" t="str">
        <f t="shared" si="3"/>
        <v>Tercapai</v>
      </c>
      <c r="T32" s="185">
        <v>28</v>
      </c>
      <c r="U32" s="187">
        <v>3400</v>
      </c>
      <c r="V32" s="186" t="str">
        <f t="shared" si="4"/>
        <v>Tercapai</v>
      </c>
      <c r="W32" s="188">
        <v>18</v>
      </c>
      <c r="X32" s="199">
        <v>3252</v>
      </c>
      <c r="Y32" s="189" t="str">
        <f t="shared" si="5"/>
        <v>Tercapai</v>
      </c>
      <c r="Z32" s="190">
        <v>16</v>
      </c>
      <c r="AA32" s="191">
        <v>4224</v>
      </c>
      <c r="AB32" s="192" t="str">
        <f t="shared" si="6"/>
        <v>Tercapai</v>
      </c>
      <c r="AC32" s="191">
        <v>14</v>
      </c>
      <c r="AD32" s="196">
        <v>3669</v>
      </c>
      <c r="AE32" s="192" t="str">
        <f t="shared" si="7"/>
        <v>Tercapai</v>
      </c>
      <c r="AF32" s="191">
        <v>1</v>
      </c>
      <c r="AG32" s="191">
        <v>1</v>
      </c>
      <c r="AH32" s="192" t="str">
        <f t="shared" si="8"/>
        <v>Tidak Tercapai</v>
      </c>
      <c r="AI32" s="191">
        <v>0</v>
      </c>
      <c r="AJ32" s="196">
        <v>4938</v>
      </c>
      <c r="AK32" s="192" t="str">
        <f t="shared" si="9"/>
        <v>Tercapai</v>
      </c>
      <c r="AL32" s="196">
        <v>9</v>
      </c>
      <c r="AM32" s="196">
        <v>3732</v>
      </c>
      <c r="AN32" s="192" t="str">
        <f t="shared" si="10"/>
        <v>Tercapai</v>
      </c>
      <c r="AO32" s="196">
        <v>21</v>
      </c>
      <c r="AP32" s="191">
        <v>5930</v>
      </c>
      <c r="AQ32" s="192" t="str">
        <f t="shared" si="11"/>
        <v>Tercapai</v>
      </c>
      <c r="AR32" s="191">
        <v>18</v>
      </c>
      <c r="AS32" s="191">
        <v>5683</v>
      </c>
      <c r="AT32" s="192" t="str">
        <f t="shared" si="12"/>
        <v>Tercapai</v>
      </c>
      <c r="AU32" s="191">
        <v>57</v>
      </c>
      <c r="AV32" s="183">
        <v>4863</v>
      </c>
      <c r="AW32" s="192" t="str">
        <f t="shared" si="13"/>
        <v>Tercapai</v>
      </c>
      <c r="AX32" s="191">
        <v>31</v>
      </c>
      <c r="AY32" s="191">
        <v>2782</v>
      </c>
      <c r="AZ32" s="192" t="str">
        <f t="shared" si="14"/>
        <v>Tercapai</v>
      </c>
      <c r="BA32" s="191">
        <v>0</v>
      </c>
      <c r="BB32" s="195">
        <v>0</v>
      </c>
      <c r="BC32" s="192" t="str">
        <f t="shared" si="15"/>
        <v>Tidak Tercapai</v>
      </c>
      <c r="BD32" s="191">
        <v>0</v>
      </c>
      <c r="BE32" s="196">
        <v>5013</v>
      </c>
      <c r="BF32" s="192" t="str">
        <f t="shared" si="16"/>
        <v>Tercapai</v>
      </c>
      <c r="BG32" s="183">
        <v>16</v>
      </c>
      <c r="BH32" s="196">
        <v>4085</v>
      </c>
      <c r="BI32" s="192" t="str">
        <f t="shared" si="17"/>
        <v>Tercapai</v>
      </c>
      <c r="BJ32" s="196">
        <v>12</v>
      </c>
      <c r="BK32" s="196">
        <v>3783</v>
      </c>
      <c r="BL32" s="192" t="str">
        <f t="shared" si="18"/>
        <v>Tercapai</v>
      </c>
      <c r="BM32" s="196">
        <v>23</v>
      </c>
      <c r="BN32" s="196">
        <v>2390</v>
      </c>
      <c r="BO32" s="192" t="str">
        <f t="shared" si="19"/>
        <v>Tercapai</v>
      </c>
      <c r="BP32" s="196">
        <v>19</v>
      </c>
      <c r="BQ32" s="196">
        <v>1922</v>
      </c>
      <c r="BR32" s="192" t="str">
        <f t="shared" si="20"/>
        <v>Tercapai</v>
      </c>
      <c r="BS32" s="196">
        <v>7</v>
      </c>
      <c r="BT32" s="196">
        <v>4648</v>
      </c>
      <c r="BU32" s="192" t="str">
        <f t="shared" si="21"/>
        <v>Tercapai</v>
      </c>
      <c r="BV32" s="197">
        <v>16.96</v>
      </c>
      <c r="BW32" s="196">
        <v>2</v>
      </c>
      <c r="BX32" s="192" t="str">
        <f t="shared" si="22"/>
        <v>Tidak Tercapai</v>
      </c>
      <c r="BY32" s="196">
        <v>0</v>
      </c>
      <c r="BZ32" s="196">
        <v>1953</v>
      </c>
      <c r="CA32" s="192" t="str">
        <f t="shared" si="23"/>
        <v>Tercapai</v>
      </c>
      <c r="CB32" s="196">
        <v>1399</v>
      </c>
      <c r="CC32" s="196">
        <v>3160</v>
      </c>
      <c r="CD32" s="192" t="str">
        <f t="shared" si="24"/>
        <v>Tercapai</v>
      </c>
      <c r="CE32" s="196">
        <v>28</v>
      </c>
      <c r="CF32" s="196">
        <v>1595</v>
      </c>
      <c r="CG32" s="192" t="str">
        <f t="shared" si="25"/>
        <v>Tidak Tercapai</v>
      </c>
      <c r="CH32" s="196">
        <v>18</v>
      </c>
      <c r="CI32" s="196">
        <v>3805</v>
      </c>
      <c r="CJ32" s="192" t="str">
        <f t="shared" si="26"/>
        <v>Tercapai</v>
      </c>
      <c r="CK32" s="196">
        <v>34</v>
      </c>
      <c r="CL32" s="196">
        <v>1424</v>
      </c>
      <c r="CM32" s="192" t="str">
        <f t="shared" si="27"/>
        <v>Tidak Tercapai</v>
      </c>
      <c r="CN32" s="196">
        <v>9</v>
      </c>
      <c r="CO32" s="196">
        <v>10</v>
      </c>
      <c r="CP32" s="192" t="str">
        <f t="shared" si="28"/>
        <v>Tidak Tercapai</v>
      </c>
      <c r="CQ32" s="196">
        <v>0</v>
      </c>
      <c r="CR32" s="196">
        <v>122</v>
      </c>
      <c r="CS32" s="192" t="str">
        <f t="shared" si="29"/>
        <v>Tidak Tercapai</v>
      </c>
      <c r="CT32" s="196">
        <v>0</v>
      </c>
      <c r="CU32" s="196">
        <v>4084</v>
      </c>
      <c r="CV32" s="192" t="str">
        <f t="shared" si="30"/>
        <v>Tercapai</v>
      </c>
      <c r="CW32" s="196">
        <v>19</v>
      </c>
      <c r="CX32" s="196">
        <v>3422</v>
      </c>
      <c r="CY32" s="192" t="str">
        <f t="shared" si="31"/>
        <v>Tercapai</v>
      </c>
      <c r="CZ32" s="196">
        <v>37</v>
      </c>
      <c r="DA32" s="196">
        <v>1749</v>
      </c>
      <c r="DB32" s="192" t="str">
        <f t="shared" si="32"/>
        <v>Tercapai</v>
      </c>
      <c r="DC32" s="196">
        <v>14</v>
      </c>
      <c r="DD32" s="196">
        <v>2705</v>
      </c>
      <c r="DE32" s="192" t="str">
        <f t="shared" si="33"/>
        <v>Tercapai</v>
      </c>
      <c r="DF32" s="196">
        <v>28</v>
      </c>
      <c r="DG32" s="69"/>
      <c r="DH32" s="69"/>
      <c r="DI32" s="69"/>
      <c r="DJ32" s="69"/>
      <c r="DK32" s="69"/>
      <c r="DL32" s="69"/>
    </row>
    <row r="33" spans="1:116" ht="15.5" x14ac:dyDescent="0.35">
      <c r="A33" s="181">
        <v>31</v>
      </c>
      <c r="B33" s="182" t="s">
        <v>554</v>
      </c>
      <c r="C33" s="181" t="s">
        <v>525</v>
      </c>
      <c r="D33" s="181">
        <v>121625</v>
      </c>
      <c r="E33" s="181">
        <v>1492</v>
      </c>
      <c r="F33" s="198">
        <v>76901</v>
      </c>
      <c r="G33" s="184" t="s">
        <v>520</v>
      </c>
      <c r="H33" s="198">
        <v>50323</v>
      </c>
      <c r="I33" s="198">
        <v>315</v>
      </c>
      <c r="J33" s="184" t="str">
        <f t="shared" si="0"/>
        <v>Tidak Tercapai</v>
      </c>
      <c r="K33" s="198">
        <v>153</v>
      </c>
      <c r="L33" s="198">
        <v>58</v>
      </c>
      <c r="M33" s="184" t="str">
        <f t="shared" si="1"/>
        <v>Tidak Tercapai</v>
      </c>
      <c r="N33" s="198">
        <v>0</v>
      </c>
      <c r="O33" s="181">
        <v>1006</v>
      </c>
      <c r="P33" s="184" t="str">
        <f t="shared" si="2"/>
        <v>Tidak Tercapai</v>
      </c>
      <c r="Q33" s="185">
        <v>66</v>
      </c>
      <c r="R33" s="181">
        <v>1145</v>
      </c>
      <c r="S33" s="186" t="str">
        <f t="shared" si="3"/>
        <v>Tidak Tercapai</v>
      </c>
      <c r="T33" s="185">
        <v>30</v>
      </c>
      <c r="U33" s="187">
        <v>1590</v>
      </c>
      <c r="V33" s="186" t="str">
        <f t="shared" si="4"/>
        <v>Tercapai</v>
      </c>
      <c r="W33" s="188">
        <v>26</v>
      </c>
      <c r="X33" s="199">
        <v>1476</v>
      </c>
      <c r="Y33" s="189" t="str">
        <f t="shared" si="5"/>
        <v>Tidak Tercapai</v>
      </c>
      <c r="Z33" s="190">
        <v>10</v>
      </c>
      <c r="AA33" s="191">
        <v>1659</v>
      </c>
      <c r="AB33" s="192" t="str">
        <f t="shared" si="6"/>
        <v>Tercapai</v>
      </c>
      <c r="AC33" s="191">
        <v>23</v>
      </c>
      <c r="AD33" s="196">
        <v>466</v>
      </c>
      <c r="AE33" s="192" t="str">
        <f t="shared" si="7"/>
        <v>Tidak Tercapai</v>
      </c>
      <c r="AF33" s="191">
        <v>3</v>
      </c>
      <c r="AG33" s="191">
        <v>0</v>
      </c>
      <c r="AH33" s="192" t="str">
        <f t="shared" si="8"/>
        <v>Tidak Tercapai</v>
      </c>
      <c r="AI33" s="191">
        <v>0</v>
      </c>
      <c r="AJ33" s="196">
        <v>1757</v>
      </c>
      <c r="AK33" s="192" t="str">
        <f t="shared" si="9"/>
        <v>Tercapai</v>
      </c>
      <c r="AL33" s="196">
        <v>12</v>
      </c>
      <c r="AM33" s="196">
        <v>721</v>
      </c>
      <c r="AN33" s="192" t="str">
        <f t="shared" si="10"/>
        <v>Tidak Tercapai</v>
      </c>
      <c r="AO33" s="196">
        <v>19</v>
      </c>
      <c r="AP33" s="191">
        <v>3213</v>
      </c>
      <c r="AQ33" s="192" t="str">
        <f t="shared" si="11"/>
        <v>Tercapai</v>
      </c>
      <c r="AR33" s="191">
        <v>17</v>
      </c>
      <c r="AS33" s="191">
        <v>2176</v>
      </c>
      <c r="AT33" s="192" t="str">
        <f t="shared" si="12"/>
        <v>Tercapai</v>
      </c>
      <c r="AU33" s="191">
        <v>14</v>
      </c>
      <c r="AV33" s="183">
        <v>2569</v>
      </c>
      <c r="AW33" s="192" t="str">
        <f t="shared" si="13"/>
        <v>Tercapai</v>
      </c>
      <c r="AX33" s="191">
        <v>4</v>
      </c>
      <c r="AY33" s="191">
        <v>1958</v>
      </c>
      <c r="AZ33" s="192" t="str">
        <f t="shared" si="14"/>
        <v>Tercapai</v>
      </c>
      <c r="BA33" s="191">
        <v>8</v>
      </c>
      <c r="BB33" s="195">
        <v>3</v>
      </c>
      <c r="BC33" s="192" t="str">
        <f t="shared" si="15"/>
        <v>Tidak Tercapai</v>
      </c>
      <c r="BD33" s="191">
        <v>0</v>
      </c>
      <c r="BE33" s="196">
        <v>1762</v>
      </c>
      <c r="BF33" s="192" t="str">
        <f t="shared" si="16"/>
        <v>Tercapai</v>
      </c>
      <c r="BG33" s="183">
        <v>3</v>
      </c>
      <c r="BH33" s="196">
        <v>2368</v>
      </c>
      <c r="BI33" s="192" t="str">
        <f t="shared" si="17"/>
        <v>Tercapai</v>
      </c>
      <c r="BJ33" s="196">
        <v>8</v>
      </c>
      <c r="BK33" s="196">
        <v>1345</v>
      </c>
      <c r="BL33" s="192" t="str">
        <f t="shared" si="18"/>
        <v>Tidak Tercapai</v>
      </c>
      <c r="BM33" s="196">
        <v>19</v>
      </c>
      <c r="BN33" s="196">
        <v>942</v>
      </c>
      <c r="BO33" s="192" t="str">
        <f t="shared" si="19"/>
        <v>Tidak Tercapai</v>
      </c>
      <c r="BP33" s="196">
        <v>3</v>
      </c>
      <c r="BQ33" s="196">
        <v>928</v>
      </c>
      <c r="BR33" s="192" t="str">
        <f t="shared" si="20"/>
        <v>Tidak Tercapai</v>
      </c>
      <c r="BS33" s="196">
        <v>14</v>
      </c>
      <c r="BT33" s="196">
        <v>2386</v>
      </c>
      <c r="BU33" s="192" t="str">
        <f t="shared" si="21"/>
        <v>Tercapai</v>
      </c>
      <c r="BV33" s="197">
        <v>50.76</v>
      </c>
      <c r="BW33" s="196">
        <v>374</v>
      </c>
      <c r="BX33" s="192" t="str">
        <f t="shared" si="22"/>
        <v>Tidak Tercapai</v>
      </c>
      <c r="BY33" s="196">
        <v>0</v>
      </c>
      <c r="BZ33" s="196">
        <v>1357</v>
      </c>
      <c r="CA33" s="192" t="str">
        <f t="shared" si="23"/>
        <v>Tidak Tercapai</v>
      </c>
      <c r="CB33" s="196">
        <v>1140</v>
      </c>
      <c r="CC33" s="196">
        <v>3515</v>
      </c>
      <c r="CD33" s="192" t="str">
        <f t="shared" si="24"/>
        <v>Tercapai</v>
      </c>
      <c r="CE33" s="196">
        <v>18</v>
      </c>
      <c r="CF33" s="196">
        <v>1360</v>
      </c>
      <c r="CG33" s="192" t="str">
        <f t="shared" si="25"/>
        <v>Tidak Tercapai</v>
      </c>
      <c r="CH33" s="196">
        <v>3</v>
      </c>
      <c r="CI33" s="196">
        <v>657</v>
      </c>
      <c r="CJ33" s="192" t="str">
        <f t="shared" si="26"/>
        <v>Tidak Tercapai</v>
      </c>
      <c r="CK33" s="196">
        <v>21</v>
      </c>
      <c r="CL33" s="196">
        <v>422</v>
      </c>
      <c r="CM33" s="192" t="str">
        <f t="shared" si="27"/>
        <v>Tidak Tercapai</v>
      </c>
      <c r="CN33" s="196">
        <v>4</v>
      </c>
      <c r="CO33" s="196">
        <v>25</v>
      </c>
      <c r="CP33" s="192" t="str">
        <f t="shared" si="28"/>
        <v>Tidak Tercapai</v>
      </c>
      <c r="CQ33" s="196">
        <v>0</v>
      </c>
      <c r="CR33" s="196">
        <v>11</v>
      </c>
      <c r="CS33" s="192" t="str">
        <f t="shared" si="29"/>
        <v>Tidak Tercapai</v>
      </c>
      <c r="CT33" s="196">
        <v>0</v>
      </c>
      <c r="CU33" s="196">
        <v>673</v>
      </c>
      <c r="CV33" s="192" t="str">
        <f t="shared" si="30"/>
        <v>Tidak Tercapai</v>
      </c>
      <c r="CW33" s="196">
        <v>12</v>
      </c>
      <c r="CX33" s="196">
        <v>3782</v>
      </c>
      <c r="CY33" s="192" t="str">
        <f t="shared" si="31"/>
        <v>Tercapai</v>
      </c>
      <c r="CZ33" s="196">
        <v>96</v>
      </c>
      <c r="DA33" s="196">
        <v>1945</v>
      </c>
      <c r="DB33" s="192" t="str">
        <f t="shared" si="32"/>
        <v>Tercapai</v>
      </c>
      <c r="DC33" s="196">
        <v>60</v>
      </c>
      <c r="DD33" s="196">
        <v>2084</v>
      </c>
      <c r="DE33" s="192" t="str">
        <f t="shared" si="33"/>
        <v>Tercapai</v>
      </c>
      <c r="DF33" s="196">
        <v>32</v>
      </c>
      <c r="DG33" s="69"/>
      <c r="DH33" s="69"/>
      <c r="DI33" s="69"/>
      <c r="DJ33" s="69"/>
      <c r="DK33" s="69"/>
      <c r="DL33" s="69"/>
    </row>
    <row r="34" spans="1:116" ht="15.5" x14ac:dyDescent="0.35">
      <c r="A34" s="181">
        <v>32</v>
      </c>
      <c r="B34" s="182" t="s">
        <v>555</v>
      </c>
      <c r="C34" s="181" t="s">
        <v>529</v>
      </c>
      <c r="D34" s="181">
        <v>114768</v>
      </c>
      <c r="E34" s="181">
        <v>1483</v>
      </c>
      <c r="F34" s="198">
        <v>28263</v>
      </c>
      <c r="G34" s="184" t="s">
        <v>520</v>
      </c>
      <c r="H34" s="198">
        <v>16416</v>
      </c>
      <c r="I34" s="198">
        <v>43</v>
      </c>
      <c r="J34" s="184" t="str">
        <f t="shared" si="0"/>
        <v>Tidak Tercapai</v>
      </c>
      <c r="K34" s="198">
        <v>6</v>
      </c>
      <c r="L34" s="198">
        <v>0</v>
      </c>
      <c r="M34" s="184" t="str">
        <f t="shared" si="1"/>
        <v>Tidak Tercapai</v>
      </c>
      <c r="N34" s="198">
        <v>0</v>
      </c>
      <c r="O34" s="181">
        <v>860</v>
      </c>
      <c r="P34" s="184" t="str">
        <f t="shared" si="2"/>
        <v>Tidak Tercapai</v>
      </c>
      <c r="Q34" s="185">
        <v>10</v>
      </c>
      <c r="R34" s="181">
        <v>901</v>
      </c>
      <c r="S34" s="186" t="str">
        <f t="shared" si="3"/>
        <v>Tidak Tercapai</v>
      </c>
      <c r="T34" s="185">
        <v>21</v>
      </c>
      <c r="U34" s="187">
        <v>1012</v>
      </c>
      <c r="V34" s="186" t="str">
        <f t="shared" si="4"/>
        <v>Tercapai</v>
      </c>
      <c r="W34" s="188">
        <v>20</v>
      </c>
      <c r="X34" s="199">
        <v>996</v>
      </c>
      <c r="Y34" s="189" t="str">
        <f t="shared" si="5"/>
        <v>Tidak Tercapai</v>
      </c>
      <c r="Z34" s="190">
        <v>17</v>
      </c>
      <c r="AA34" s="191">
        <v>1202</v>
      </c>
      <c r="AB34" s="192" t="str">
        <f t="shared" si="6"/>
        <v>Tidak Tercapai</v>
      </c>
      <c r="AC34" s="191">
        <v>17</v>
      </c>
      <c r="AD34" s="196">
        <v>51</v>
      </c>
      <c r="AE34" s="192" t="str">
        <f t="shared" si="7"/>
        <v>Tidak Tercapai</v>
      </c>
      <c r="AF34" s="191">
        <v>8</v>
      </c>
      <c r="AG34" s="191">
        <v>0</v>
      </c>
      <c r="AH34" s="192" t="str">
        <f t="shared" si="8"/>
        <v>Tidak Tercapai</v>
      </c>
      <c r="AI34" s="191">
        <v>3</v>
      </c>
      <c r="AJ34" s="196">
        <v>1239</v>
      </c>
      <c r="AK34" s="192" t="str">
        <f t="shared" si="9"/>
        <v>Tidak Tercapai</v>
      </c>
      <c r="AL34" s="196">
        <v>14</v>
      </c>
      <c r="AM34" s="196">
        <v>1435</v>
      </c>
      <c r="AN34" s="192" t="str">
        <f t="shared" si="10"/>
        <v>Tidak Tercapai</v>
      </c>
      <c r="AO34" s="196">
        <v>22</v>
      </c>
      <c r="AP34" s="191">
        <v>1237</v>
      </c>
      <c r="AQ34" s="192" t="str">
        <f t="shared" si="11"/>
        <v>Tidak Tercapai</v>
      </c>
      <c r="AR34" s="191">
        <v>5</v>
      </c>
      <c r="AS34" s="191">
        <v>1141</v>
      </c>
      <c r="AT34" s="192" t="str">
        <f t="shared" si="12"/>
        <v>Tidak Tercapai</v>
      </c>
      <c r="AU34" s="191">
        <v>34</v>
      </c>
      <c r="AV34" s="183">
        <v>1169</v>
      </c>
      <c r="AW34" s="192" t="str">
        <f t="shared" si="13"/>
        <v>Tidak Tercapai</v>
      </c>
      <c r="AX34" s="191">
        <v>7</v>
      </c>
      <c r="AY34" s="191">
        <v>541</v>
      </c>
      <c r="AZ34" s="192" t="str">
        <f t="shared" si="14"/>
        <v>Tidak Tercapai</v>
      </c>
      <c r="BA34" s="191">
        <v>20</v>
      </c>
      <c r="BB34" s="195">
        <v>2</v>
      </c>
      <c r="BC34" s="192" t="str">
        <f t="shared" si="15"/>
        <v>Tidak Tercapai</v>
      </c>
      <c r="BD34" s="191">
        <v>0</v>
      </c>
      <c r="BE34" s="196">
        <v>628</v>
      </c>
      <c r="BF34" s="192" t="str">
        <f t="shared" si="16"/>
        <v>Tidak Tercapai</v>
      </c>
      <c r="BG34" s="183">
        <v>11</v>
      </c>
      <c r="BH34" s="196">
        <v>1038</v>
      </c>
      <c r="BI34" s="192" t="str">
        <f t="shared" si="17"/>
        <v>Tidak Tercapai</v>
      </c>
      <c r="BJ34" s="196">
        <v>12</v>
      </c>
      <c r="BK34" s="196">
        <v>981</v>
      </c>
      <c r="BL34" s="192" t="str">
        <f t="shared" si="18"/>
        <v>Tidak Tercapai</v>
      </c>
      <c r="BM34" s="196">
        <v>59</v>
      </c>
      <c r="BN34" s="196">
        <v>667</v>
      </c>
      <c r="BO34" s="192" t="str">
        <f t="shared" si="19"/>
        <v>Tidak Tercapai</v>
      </c>
      <c r="BP34" s="196">
        <v>13</v>
      </c>
      <c r="BQ34" s="196">
        <v>554</v>
      </c>
      <c r="BR34" s="192" t="str">
        <f t="shared" si="20"/>
        <v>Tidak Tercapai</v>
      </c>
      <c r="BS34" s="196">
        <v>18</v>
      </c>
      <c r="BT34" s="196">
        <v>742</v>
      </c>
      <c r="BU34" s="192" t="str">
        <f t="shared" si="21"/>
        <v>Tidak Tercapai</v>
      </c>
      <c r="BV34" s="197">
        <v>29.971</v>
      </c>
      <c r="BW34" s="196">
        <v>0</v>
      </c>
      <c r="BX34" s="192" t="str">
        <f t="shared" si="22"/>
        <v>Tidak Tercapai</v>
      </c>
      <c r="BY34" s="196">
        <v>1</v>
      </c>
      <c r="BZ34" s="196">
        <v>977</v>
      </c>
      <c r="CA34" s="192" t="str">
        <f t="shared" si="23"/>
        <v>Tidak Tercapai</v>
      </c>
      <c r="CB34" s="196">
        <v>869</v>
      </c>
      <c r="CC34" s="196">
        <v>1685</v>
      </c>
      <c r="CD34" s="192" t="str">
        <f t="shared" si="24"/>
        <v>Tercapai</v>
      </c>
      <c r="CE34" s="196">
        <v>21</v>
      </c>
      <c r="CF34" s="196">
        <v>1575</v>
      </c>
      <c r="CG34" s="192" t="str">
        <f t="shared" si="25"/>
        <v>Tercapai</v>
      </c>
      <c r="CH34" s="196">
        <v>4</v>
      </c>
      <c r="CI34" s="196">
        <v>2592</v>
      </c>
      <c r="CJ34" s="192" t="str">
        <f t="shared" si="26"/>
        <v>Tercapai</v>
      </c>
      <c r="CK34" s="196">
        <v>22</v>
      </c>
      <c r="CL34" s="196">
        <v>659</v>
      </c>
      <c r="CM34" s="192" t="str">
        <f t="shared" si="27"/>
        <v>Tidak Tercapai</v>
      </c>
      <c r="CN34" s="196">
        <v>9</v>
      </c>
      <c r="CO34" s="196">
        <v>59</v>
      </c>
      <c r="CP34" s="192" t="str">
        <f t="shared" si="28"/>
        <v>Tidak Tercapai</v>
      </c>
      <c r="CQ34" s="196">
        <v>2</v>
      </c>
      <c r="CR34" s="196">
        <v>5</v>
      </c>
      <c r="CS34" s="192" t="str">
        <f t="shared" si="29"/>
        <v>Tidak Tercapai</v>
      </c>
      <c r="CT34" s="196">
        <v>0</v>
      </c>
      <c r="CU34" s="196">
        <v>1215</v>
      </c>
      <c r="CV34" s="192" t="str">
        <f t="shared" si="30"/>
        <v>Tidak Tercapai</v>
      </c>
      <c r="CW34" s="196">
        <v>13</v>
      </c>
      <c r="CX34" s="196">
        <v>6319</v>
      </c>
      <c r="CY34" s="192" t="str">
        <f t="shared" si="31"/>
        <v>Tercapai</v>
      </c>
      <c r="CZ34" s="196">
        <v>59</v>
      </c>
      <c r="DA34" s="196">
        <v>1951</v>
      </c>
      <c r="DB34" s="192" t="str">
        <f t="shared" si="32"/>
        <v>Tercapai</v>
      </c>
      <c r="DC34" s="196">
        <v>11</v>
      </c>
      <c r="DD34" s="196">
        <v>2427</v>
      </c>
      <c r="DE34" s="192" t="str">
        <f t="shared" si="33"/>
        <v>Tercapai</v>
      </c>
      <c r="DF34" s="196">
        <v>17</v>
      </c>
      <c r="DG34" s="69"/>
      <c r="DH34" s="69"/>
      <c r="DI34" s="69"/>
      <c r="DJ34" s="69"/>
      <c r="DK34" s="69"/>
      <c r="DL34" s="69"/>
    </row>
    <row r="35" spans="1:116" ht="15.5" x14ac:dyDescent="0.35">
      <c r="A35" s="181">
        <v>33</v>
      </c>
      <c r="B35" s="182" t="s">
        <v>556</v>
      </c>
      <c r="C35" s="181" t="s">
        <v>529</v>
      </c>
      <c r="D35" s="181">
        <v>116091</v>
      </c>
      <c r="E35" s="181">
        <v>1342</v>
      </c>
      <c r="F35" s="198">
        <v>114730</v>
      </c>
      <c r="G35" s="184" t="s">
        <v>520</v>
      </c>
      <c r="H35" s="198">
        <v>215545</v>
      </c>
      <c r="I35" s="198">
        <v>2296</v>
      </c>
      <c r="J35" s="184" t="str">
        <f t="shared" si="0"/>
        <v>Tercapai</v>
      </c>
      <c r="K35" s="198">
        <v>287</v>
      </c>
      <c r="L35" s="198">
        <v>6</v>
      </c>
      <c r="M35" s="184" t="str">
        <f t="shared" si="1"/>
        <v>Tidak Tercapai</v>
      </c>
      <c r="N35" s="198">
        <v>3</v>
      </c>
      <c r="O35" s="181">
        <v>9102</v>
      </c>
      <c r="P35" s="184" t="str">
        <f t="shared" si="2"/>
        <v>Tercapai</v>
      </c>
      <c r="Q35" s="185">
        <v>738</v>
      </c>
      <c r="R35" s="181">
        <v>3668</v>
      </c>
      <c r="S35" s="186" t="str">
        <f t="shared" si="3"/>
        <v>Tercapai</v>
      </c>
      <c r="T35" s="185">
        <v>282</v>
      </c>
      <c r="U35" s="187">
        <v>4142</v>
      </c>
      <c r="V35" s="186" t="str">
        <f t="shared" si="4"/>
        <v>Tercapai</v>
      </c>
      <c r="W35" s="188">
        <v>322</v>
      </c>
      <c r="X35" s="199">
        <v>5543</v>
      </c>
      <c r="Y35" s="189" t="str">
        <f t="shared" si="5"/>
        <v>Tercapai</v>
      </c>
      <c r="Z35" s="190">
        <v>268</v>
      </c>
      <c r="AA35" s="191">
        <v>5538</v>
      </c>
      <c r="AB35" s="192" t="str">
        <f t="shared" si="6"/>
        <v>Tercapai</v>
      </c>
      <c r="AC35" s="191">
        <v>493</v>
      </c>
      <c r="AD35" s="196">
        <v>2739</v>
      </c>
      <c r="AE35" s="192" t="str">
        <f t="shared" si="7"/>
        <v>Tercapai</v>
      </c>
      <c r="AF35" s="191">
        <v>67</v>
      </c>
      <c r="AG35" s="191">
        <v>1294</v>
      </c>
      <c r="AH35" s="192" t="str">
        <f t="shared" si="8"/>
        <v>Tidak Tercapai</v>
      </c>
      <c r="AI35" s="191">
        <v>7</v>
      </c>
      <c r="AJ35" s="196">
        <v>5594</v>
      </c>
      <c r="AK35" s="192" t="str">
        <f t="shared" si="9"/>
        <v>Tercapai</v>
      </c>
      <c r="AL35" s="196">
        <v>287</v>
      </c>
      <c r="AM35" s="196">
        <v>5847</v>
      </c>
      <c r="AN35" s="192" t="str">
        <f t="shared" si="10"/>
        <v>Tercapai</v>
      </c>
      <c r="AO35" s="196">
        <v>344</v>
      </c>
      <c r="AP35" s="191">
        <v>6855</v>
      </c>
      <c r="AQ35" s="192" t="str">
        <f t="shared" si="11"/>
        <v>Tercapai</v>
      </c>
      <c r="AR35" s="191">
        <v>284</v>
      </c>
      <c r="AS35" s="191">
        <v>9679</v>
      </c>
      <c r="AT35" s="192" t="str">
        <f t="shared" si="12"/>
        <v>Tercapai</v>
      </c>
      <c r="AU35" s="191">
        <v>34</v>
      </c>
      <c r="AV35" s="183">
        <v>7222</v>
      </c>
      <c r="AW35" s="192" t="str">
        <f t="shared" si="13"/>
        <v>Tercapai</v>
      </c>
      <c r="AX35" s="191">
        <v>241</v>
      </c>
      <c r="AY35" s="191">
        <v>8250</v>
      </c>
      <c r="AZ35" s="192" t="str">
        <f t="shared" si="14"/>
        <v>Tercapai</v>
      </c>
      <c r="BA35" s="191">
        <v>294</v>
      </c>
      <c r="BB35" s="195">
        <v>730</v>
      </c>
      <c r="BC35" s="192" t="str">
        <f t="shared" si="15"/>
        <v>Tidak Tercapai</v>
      </c>
      <c r="BD35" s="191">
        <v>32</v>
      </c>
      <c r="BE35" s="196">
        <v>4074</v>
      </c>
      <c r="BF35" s="192" t="str">
        <f t="shared" si="16"/>
        <v>Tercapai</v>
      </c>
      <c r="BG35" s="183">
        <v>1338</v>
      </c>
      <c r="BH35" s="196">
        <v>7230</v>
      </c>
      <c r="BI35" s="192" t="str">
        <f t="shared" si="17"/>
        <v>Tercapai</v>
      </c>
      <c r="BJ35" s="196">
        <v>235</v>
      </c>
      <c r="BK35" s="196">
        <v>7685</v>
      </c>
      <c r="BL35" s="192" t="str">
        <f t="shared" si="18"/>
        <v>Tercapai</v>
      </c>
      <c r="BM35" s="196">
        <v>252</v>
      </c>
      <c r="BN35" s="196">
        <v>7243</v>
      </c>
      <c r="BO35" s="192" t="str">
        <f t="shared" si="19"/>
        <v>Tercapai</v>
      </c>
      <c r="BP35" s="196">
        <v>303</v>
      </c>
      <c r="BQ35" s="196">
        <v>4573</v>
      </c>
      <c r="BR35" s="192" t="str">
        <f t="shared" si="20"/>
        <v>Tercapai</v>
      </c>
      <c r="BS35" s="196">
        <v>240</v>
      </c>
      <c r="BT35" s="196">
        <v>7939</v>
      </c>
      <c r="BU35" s="192" t="str">
        <f t="shared" si="21"/>
        <v>Tercapai</v>
      </c>
      <c r="BV35" s="197">
        <v>220.952</v>
      </c>
      <c r="BW35" s="196">
        <v>1612</v>
      </c>
      <c r="BX35" s="192" t="str">
        <f t="shared" si="22"/>
        <v>Tercapai</v>
      </c>
      <c r="BY35" s="196">
        <v>60</v>
      </c>
      <c r="BZ35" s="196">
        <v>7022</v>
      </c>
      <c r="CA35" s="192" t="str">
        <f t="shared" si="23"/>
        <v>Tercapai</v>
      </c>
      <c r="CB35" s="196">
        <v>17855</v>
      </c>
      <c r="CC35" s="196">
        <v>12653</v>
      </c>
      <c r="CD35" s="192" t="str">
        <f t="shared" si="24"/>
        <v>Tercapai</v>
      </c>
      <c r="CE35" s="196">
        <v>704</v>
      </c>
      <c r="CF35" s="196">
        <v>9627</v>
      </c>
      <c r="CG35" s="192" t="str">
        <f t="shared" si="25"/>
        <v>Tercapai</v>
      </c>
      <c r="CH35" s="196">
        <v>372</v>
      </c>
      <c r="CI35" s="196">
        <v>16664</v>
      </c>
      <c r="CJ35" s="192" t="str">
        <f t="shared" si="26"/>
        <v>Tercapai</v>
      </c>
      <c r="CK35" s="196">
        <v>785</v>
      </c>
      <c r="CL35" s="196">
        <v>6176</v>
      </c>
      <c r="CM35" s="192" t="str">
        <f t="shared" si="27"/>
        <v>Tercapai</v>
      </c>
      <c r="CN35" s="196">
        <v>193</v>
      </c>
      <c r="CO35" s="196">
        <v>89</v>
      </c>
      <c r="CP35" s="192" t="str">
        <f t="shared" si="28"/>
        <v>Tidak Tercapai</v>
      </c>
      <c r="CQ35" s="196">
        <v>6</v>
      </c>
      <c r="CR35" s="196">
        <v>1198</v>
      </c>
      <c r="CS35" s="192" t="str">
        <f t="shared" si="29"/>
        <v>Tidak Tercapai</v>
      </c>
      <c r="CT35" s="196">
        <v>0</v>
      </c>
      <c r="CU35" s="196">
        <v>13258</v>
      </c>
      <c r="CV35" s="192" t="str">
        <f t="shared" si="30"/>
        <v>Tercapai</v>
      </c>
      <c r="CW35" s="196">
        <v>76</v>
      </c>
      <c r="CX35" s="196">
        <v>26282</v>
      </c>
      <c r="CY35" s="192" t="str">
        <f t="shared" si="31"/>
        <v>Tercapai</v>
      </c>
      <c r="CZ35" s="196">
        <v>2016</v>
      </c>
      <c r="DA35" s="196">
        <v>13618</v>
      </c>
      <c r="DB35" s="192" t="str">
        <f t="shared" si="32"/>
        <v>Tercapai</v>
      </c>
      <c r="DC35" s="196">
        <v>583</v>
      </c>
      <c r="DD35" s="196">
        <v>15292</v>
      </c>
      <c r="DE35" s="192" t="str">
        <f t="shared" si="33"/>
        <v>Tercapai</v>
      </c>
      <c r="DF35" s="196">
        <v>470</v>
      </c>
      <c r="DG35" s="69"/>
      <c r="DH35" s="69"/>
      <c r="DI35" s="69"/>
      <c r="DJ35" s="69"/>
      <c r="DK35" s="69"/>
      <c r="DL35" s="69"/>
    </row>
    <row r="36" spans="1:116" ht="15.5" x14ac:dyDescent="0.35">
      <c r="A36" s="181">
        <v>34</v>
      </c>
      <c r="B36" s="182" t="s">
        <v>557</v>
      </c>
      <c r="C36" s="181" t="s">
        <v>522</v>
      </c>
      <c r="D36" s="181">
        <v>98165</v>
      </c>
      <c r="E36" s="181">
        <v>1149</v>
      </c>
      <c r="F36" s="198">
        <v>25199</v>
      </c>
      <c r="G36" s="184" t="s">
        <v>520</v>
      </c>
      <c r="H36" s="198">
        <v>16819</v>
      </c>
      <c r="I36" s="198">
        <v>0</v>
      </c>
      <c r="J36" s="184" t="str">
        <f t="shared" si="0"/>
        <v>Tidak Tercapai</v>
      </c>
      <c r="K36" s="198">
        <v>0</v>
      </c>
      <c r="L36" s="198">
        <v>0</v>
      </c>
      <c r="M36" s="184" t="str">
        <f t="shared" si="1"/>
        <v>Tidak Tercapai</v>
      </c>
      <c r="N36" s="198">
        <v>0</v>
      </c>
      <c r="O36" s="181">
        <v>1174</v>
      </c>
      <c r="P36" s="184" t="str">
        <f t="shared" si="2"/>
        <v>Tercapai</v>
      </c>
      <c r="Q36" s="185">
        <v>52</v>
      </c>
      <c r="R36" s="181">
        <v>1161</v>
      </c>
      <c r="S36" s="186" t="str">
        <f t="shared" si="3"/>
        <v>Tercapai</v>
      </c>
      <c r="T36" s="185">
        <v>0</v>
      </c>
      <c r="U36" s="187">
        <v>3151</v>
      </c>
      <c r="V36" s="186" t="str">
        <f t="shared" si="4"/>
        <v>Tercapai</v>
      </c>
      <c r="W36" s="188">
        <v>0</v>
      </c>
      <c r="X36" s="199">
        <v>3216</v>
      </c>
      <c r="Y36" s="189" t="str">
        <f t="shared" si="5"/>
        <v>Tercapai</v>
      </c>
      <c r="Z36" s="190">
        <v>1</v>
      </c>
      <c r="AA36" s="191">
        <v>3096</v>
      </c>
      <c r="AB36" s="192" t="str">
        <f t="shared" si="6"/>
        <v>Tercapai</v>
      </c>
      <c r="AC36" s="191">
        <v>1</v>
      </c>
      <c r="AD36" s="196">
        <v>347</v>
      </c>
      <c r="AE36" s="192" t="str">
        <f t="shared" si="7"/>
        <v>Tidak Tercapai</v>
      </c>
      <c r="AF36" s="191">
        <v>5</v>
      </c>
      <c r="AG36" s="191">
        <v>0</v>
      </c>
      <c r="AH36" s="192" t="str">
        <f t="shared" si="8"/>
        <v>Tidak Tercapai</v>
      </c>
      <c r="AI36" s="191">
        <v>1</v>
      </c>
      <c r="AJ36" s="196">
        <v>1037</v>
      </c>
      <c r="AK36" s="192" t="str">
        <f t="shared" si="9"/>
        <v>Tidak Tercapai</v>
      </c>
      <c r="AL36" s="196">
        <v>0</v>
      </c>
      <c r="AM36" s="196">
        <v>735</v>
      </c>
      <c r="AN36" s="192" t="str">
        <f t="shared" si="10"/>
        <v>Tidak Tercapai</v>
      </c>
      <c r="AO36" s="196">
        <v>2</v>
      </c>
      <c r="AP36" s="191">
        <v>1681</v>
      </c>
      <c r="AQ36" s="192" t="str">
        <f t="shared" si="11"/>
        <v>Tercapai</v>
      </c>
      <c r="AR36" s="191">
        <v>4</v>
      </c>
      <c r="AS36" s="191">
        <v>1300</v>
      </c>
      <c r="AT36" s="192" t="str">
        <f t="shared" si="12"/>
        <v>Tercapai</v>
      </c>
      <c r="AU36" s="191">
        <v>20</v>
      </c>
      <c r="AV36" s="183">
        <v>1428</v>
      </c>
      <c r="AW36" s="192" t="str">
        <f t="shared" si="13"/>
        <v>Tercapai</v>
      </c>
      <c r="AX36" s="191">
        <v>3</v>
      </c>
      <c r="AY36" s="191">
        <v>3</v>
      </c>
      <c r="AZ36" s="192" t="str">
        <f t="shared" si="14"/>
        <v>Tidak Tercapai</v>
      </c>
      <c r="BA36" s="191">
        <v>0</v>
      </c>
      <c r="BB36" s="195">
        <v>0</v>
      </c>
      <c r="BC36" s="192" t="str">
        <f t="shared" si="15"/>
        <v>Tidak Tercapai</v>
      </c>
      <c r="BD36" s="191">
        <v>0</v>
      </c>
      <c r="BE36" s="196">
        <v>1134</v>
      </c>
      <c r="BF36" s="192" t="str">
        <f t="shared" si="16"/>
        <v>Tidak Tercapai</v>
      </c>
      <c r="BG36" s="183">
        <v>10</v>
      </c>
      <c r="BH36" s="196">
        <v>1039</v>
      </c>
      <c r="BI36" s="192" t="str">
        <f t="shared" si="17"/>
        <v>Tidak Tercapai</v>
      </c>
      <c r="BJ36" s="196">
        <v>3</v>
      </c>
      <c r="BK36" s="196">
        <v>1544</v>
      </c>
      <c r="BL36" s="192" t="str">
        <f t="shared" si="18"/>
        <v>Tercapai</v>
      </c>
      <c r="BM36" s="196">
        <v>22</v>
      </c>
      <c r="BN36" s="196">
        <v>1986</v>
      </c>
      <c r="BO36" s="192" t="str">
        <f t="shared" si="19"/>
        <v>Tercapai</v>
      </c>
      <c r="BP36" s="196">
        <v>5</v>
      </c>
      <c r="BQ36" s="196">
        <v>1307</v>
      </c>
      <c r="BR36" s="192" t="str">
        <f t="shared" si="20"/>
        <v>Tercapai</v>
      </c>
      <c r="BS36" s="196">
        <v>4</v>
      </c>
      <c r="BT36" s="196">
        <v>704</v>
      </c>
      <c r="BU36" s="192" t="str">
        <f t="shared" si="21"/>
        <v>Tidak Tercapai</v>
      </c>
      <c r="BV36" s="197">
        <v>16.937000000000001</v>
      </c>
      <c r="BW36" s="196">
        <v>0</v>
      </c>
      <c r="BX36" s="192" t="str">
        <f t="shared" si="22"/>
        <v>Tidak Tercapai</v>
      </c>
      <c r="BY36" s="196">
        <v>2</v>
      </c>
      <c r="BZ36" s="196">
        <v>472</v>
      </c>
      <c r="CA36" s="192" t="str">
        <f t="shared" si="23"/>
        <v>Tidak Tercapai</v>
      </c>
      <c r="CB36" s="196">
        <v>651</v>
      </c>
      <c r="CC36" s="196">
        <v>813</v>
      </c>
      <c r="CD36" s="192" t="str">
        <f t="shared" si="24"/>
        <v>Tidak Tercapai</v>
      </c>
      <c r="CE36" s="196">
        <v>4</v>
      </c>
      <c r="CF36" s="196">
        <v>327</v>
      </c>
      <c r="CG36" s="192" t="str">
        <f t="shared" si="25"/>
        <v>Tidak Tercapai</v>
      </c>
      <c r="CH36" s="196">
        <v>1</v>
      </c>
      <c r="CI36" s="196">
        <v>194</v>
      </c>
      <c r="CJ36" s="192" t="str">
        <f t="shared" si="26"/>
        <v>Tidak Tercapai</v>
      </c>
      <c r="CK36" s="196">
        <v>3</v>
      </c>
      <c r="CL36" s="196">
        <v>51</v>
      </c>
      <c r="CM36" s="192" t="str">
        <f t="shared" si="27"/>
        <v>Tidak Tercapai</v>
      </c>
      <c r="CN36" s="196">
        <v>0</v>
      </c>
      <c r="CO36" s="196">
        <v>0</v>
      </c>
      <c r="CP36" s="192" t="str">
        <f t="shared" si="28"/>
        <v>Tidak Tercapai</v>
      </c>
      <c r="CQ36" s="196">
        <v>0</v>
      </c>
      <c r="CR36" s="196">
        <v>0</v>
      </c>
      <c r="CS36" s="192" t="str">
        <f t="shared" si="29"/>
        <v>Tidak Tercapai</v>
      </c>
      <c r="CT36" s="196">
        <v>0</v>
      </c>
      <c r="CU36" s="196">
        <v>19</v>
      </c>
      <c r="CV36" s="192" t="str">
        <f t="shared" si="30"/>
        <v>Tidak Tercapai</v>
      </c>
      <c r="CW36" s="196">
        <v>1</v>
      </c>
      <c r="CX36" s="196">
        <v>3293</v>
      </c>
      <c r="CY36" s="192" t="str">
        <f t="shared" si="31"/>
        <v>Tercapai</v>
      </c>
      <c r="CZ36" s="196">
        <v>36</v>
      </c>
      <c r="DA36" s="196">
        <v>1328</v>
      </c>
      <c r="DB36" s="192" t="str">
        <f t="shared" si="32"/>
        <v>Tercapai</v>
      </c>
      <c r="DC36" s="196">
        <v>9</v>
      </c>
      <c r="DD36" s="196">
        <v>1715</v>
      </c>
      <c r="DE36" s="192" t="str">
        <f t="shared" si="33"/>
        <v>Tercapai</v>
      </c>
      <c r="DF36" s="196">
        <v>15</v>
      </c>
      <c r="DG36" s="69"/>
      <c r="DH36" s="69"/>
      <c r="DI36" s="69"/>
      <c r="DJ36" s="69"/>
      <c r="DK36" s="69"/>
      <c r="DL36" s="69"/>
    </row>
    <row r="37" spans="1:116" ht="15.5" x14ac:dyDescent="0.35">
      <c r="A37" s="181">
        <v>35</v>
      </c>
      <c r="B37" s="182" t="s">
        <v>558</v>
      </c>
      <c r="C37" s="181" t="s">
        <v>544</v>
      </c>
      <c r="D37" s="181">
        <v>100082</v>
      </c>
      <c r="E37" s="181">
        <v>1120</v>
      </c>
      <c r="F37" s="198">
        <v>39451</v>
      </c>
      <c r="G37" s="184" t="s">
        <v>520</v>
      </c>
      <c r="H37" s="198">
        <v>22174</v>
      </c>
      <c r="I37" s="198">
        <v>9</v>
      </c>
      <c r="J37" s="184" t="str">
        <f t="shared" si="0"/>
        <v>Tidak Tercapai</v>
      </c>
      <c r="K37" s="198">
        <v>3</v>
      </c>
      <c r="L37" s="198">
        <v>1</v>
      </c>
      <c r="M37" s="184" t="str">
        <f t="shared" si="1"/>
        <v>Tidak Tercapai</v>
      </c>
      <c r="N37" s="198">
        <v>4</v>
      </c>
      <c r="O37" s="181">
        <v>1786</v>
      </c>
      <c r="P37" s="184" t="str">
        <f t="shared" si="2"/>
        <v>Tercapai</v>
      </c>
      <c r="Q37" s="185">
        <v>13</v>
      </c>
      <c r="R37" s="199">
        <v>1567</v>
      </c>
      <c r="S37" s="186" t="str">
        <f t="shared" si="3"/>
        <v>Tercapai</v>
      </c>
      <c r="T37" s="185">
        <v>43</v>
      </c>
      <c r="U37" s="187">
        <v>1624</v>
      </c>
      <c r="V37" s="186" t="str">
        <f t="shared" si="4"/>
        <v>Tercapai</v>
      </c>
      <c r="W37" s="188">
        <v>25</v>
      </c>
      <c r="X37" s="199">
        <v>1567</v>
      </c>
      <c r="Y37" s="189" t="str">
        <f t="shared" si="5"/>
        <v>Tercapai</v>
      </c>
      <c r="Z37" s="190">
        <v>37</v>
      </c>
      <c r="AA37" s="191">
        <v>1719</v>
      </c>
      <c r="AB37" s="192" t="str">
        <f t="shared" si="6"/>
        <v>Tercapai</v>
      </c>
      <c r="AC37" s="191">
        <v>32</v>
      </c>
      <c r="AD37" s="196">
        <v>155</v>
      </c>
      <c r="AE37" s="192" t="str">
        <f t="shared" si="7"/>
        <v>Tidak Tercapai</v>
      </c>
      <c r="AF37" s="191">
        <v>1</v>
      </c>
      <c r="AG37" s="191">
        <v>0</v>
      </c>
      <c r="AH37" s="192" t="str">
        <f t="shared" si="8"/>
        <v>Tidak Tercapai</v>
      </c>
      <c r="AI37" s="191">
        <v>0</v>
      </c>
      <c r="AJ37" s="196">
        <v>1797</v>
      </c>
      <c r="AK37" s="192" t="str">
        <f t="shared" si="9"/>
        <v>Tercapai</v>
      </c>
      <c r="AL37" s="196">
        <v>47</v>
      </c>
      <c r="AM37" s="196">
        <v>1158</v>
      </c>
      <c r="AN37" s="192" t="str">
        <f t="shared" si="10"/>
        <v>Tercapai</v>
      </c>
      <c r="AO37" s="196">
        <v>16</v>
      </c>
      <c r="AP37" s="191">
        <v>2207</v>
      </c>
      <c r="AQ37" s="192" t="str">
        <f t="shared" si="11"/>
        <v>Tercapai</v>
      </c>
      <c r="AR37" s="191">
        <v>13</v>
      </c>
      <c r="AS37" s="191">
        <v>2345</v>
      </c>
      <c r="AT37" s="192" t="str">
        <f t="shared" si="12"/>
        <v>Tercapai</v>
      </c>
      <c r="AU37" s="191">
        <v>21</v>
      </c>
      <c r="AV37" s="183">
        <v>2654</v>
      </c>
      <c r="AW37" s="192" t="str">
        <f t="shared" si="13"/>
        <v>Tercapai</v>
      </c>
      <c r="AX37" s="191">
        <v>38</v>
      </c>
      <c r="AY37" s="191">
        <v>175</v>
      </c>
      <c r="AZ37" s="192" t="str">
        <f t="shared" si="14"/>
        <v>Tidak Tercapai</v>
      </c>
      <c r="BA37" s="191">
        <v>2</v>
      </c>
      <c r="BB37" s="195">
        <v>0</v>
      </c>
      <c r="BC37" s="192" t="str">
        <f t="shared" si="15"/>
        <v>Tidak Tercapai</v>
      </c>
      <c r="BD37" s="191">
        <v>0</v>
      </c>
      <c r="BE37" s="196">
        <v>2354</v>
      </c>
      <c r="BF37" s="192" t="str">
        <f t="shared" si="16"/>
        <v>Tercapai</v>
      </c>
      <c r="BG37" s="183">
        <v>35</v>
      </c>
      <c r="BH37" s="196">
        <v>2338</v>
      </c>
      <c r="BI37" s="192" t="str">
        <f t="shared" si="17"/>
        <v>Tercapai</v>
      </c>
      <c r="BJ37" s="196">
        <v>22</v>
      </c>
      <c r="BK37" s="196">
        <v>2602</v>
      </c>
      <c r="BL37" s="192" t="str">
        <f t="shared" si="18"/>
        <v>Tercapai</v>
      </c>
      <c r="BM37" s="196">
        <v>41</v>
      </c>
      <c r="BN37" s="196">
        <v>2228</v>
      </c>
      <c r="BO37" s="192" t="str">
        <f t="shared" si="19"/>
        <v>Tercapai</v>
      </c>
      <c r="BP37" s="196">
        <v>26</v>
      </c>
      <c r="BQ37" s="196">
        <v>1832</v>
      </c>
      <c r="BR37" s="192" t="str">
        <f t="shared" si="20"/>
        <v>Tercapai</v>
      </c>
      <c r="BS37" s="196">
        <v>39</v>
      </c>
      <c r="BT37" s="196">
        <v>2673</v>
      </c>
      <c r="BU37" s="192" t="str">
        <f t="shared" si="21"/>
        <v>Tercapai</v>
      </c>
      <c r="BV37" s="197">
        <v>23.416</v>
      </c>
      <c r="BW37" s="196">
        <v>79</v>
      </c>
      <c r="BX37" s="192" t="str">
        <f t="shared" si="22"/>
        <v>Tidak Tercapai</v>
      </c>
      <c r="BY37" s="196">
        <v>0</v>
      </c>
      <c r="BZ37" s="196">
        <v>1889</v>
      </c>
      <c r="CA37" s="192" t="str">
        <f t="shared" si="23"/>
        <v>Tercapai</v>
      </c>
      <c r="CB37" s="196">
        <v>1212</v>
      </c>
      <c r="CC37" s="196">
        <v>2864</v>
      </c>
      <c r="CD37" s="192" t="str">
        <f t="shared" si="24"/>
        <v>Tercapai</v>
      </c>
      <c r="CE37" s="196">
        <v>65</v>
      </c>
      <c r="CF37" s="196">
        <v>1612</v>
      </c>
      <c r="CG37" s="192" t="str">
        <f t="shared" si="25"/>
        <v>Tercapai</v>
      </c>
      <c r="CH37" s="196">
        <v>18</v>
      </c>
      <c r="CI37" s="196">
        <v>2213</v>
      </c>
      <c r="CJ37" s="192" t="str">
        <f t="shared" si="26"/>
        <v>Tercapai</v>
      </c>
      <c r="CK37" s="196">
        <v>61</v>
      </c>
      <c r="CL37" s="196">
        <v>2096</v>
      </c>
      <c r="CM37" s="192" t="str">
        <f t="shared" si="27"/>
        <v>Tercapai</v>
      </c>
      <c r="CN37" s="196">
        <v>21</v>
      </c>
      <c r="CO37" s="196">
        <v>1888</v>
      </c>
      <c r="CP37" s="192" t="str">
        <f t="shared" si="28"/>
        <v>Tercapai</v>
      </c>
      <c r="CQ37" s="196">
        <v>7</v>
      </c>
      <c r="CR37" s="196">
        <v>1132</v>
      </c>
      <c r="CS37" s="192" t="str">
        <f t="shared" si="29"/>
        <v>Tercapai</v>
      </c>
      <c r="CT37" s="196">
        <v>13</v>
      </c>
      <c r="CU37" s="196">
        <v>1622</v>
      </c>
      <c r="CV37" s="192" t="str">
        <f t="shared" si="30"/>
        <v>Tercapai</v>
      </c>
      <c r="CW37" s="196">
        <v>1</v>
      </c>
      <c r="CX37" s="196">
        <v>5120</v>
      </c>
      <c r="CY37" s="192" t="str">
        <f t="shared" si="31"/>
        <v>Tercapai</v>
      </c>
      <c r="CZ37" s="196">
        <v>75</v>
      </c>
      <c r="DA37" s="196">
        <v>3148</v>
      </c>
      <c r="DB37" s="192" t="str">
        <f t="shared" si="32"/>
        <v>Tercapai</v>
      </c>
      <c r="DC37" s="196">
        <v>52</v>
      </c>
      <c r="DD37" s="196">
        <v>3369</v>
      </c>
      <c r="DE37" s="192" t="str">
        <f t="shared" si="33"/>
        <v>Tercapai</v>
      </c>
      <c r="DF37" s="196">
        <v>54</v>
      </c>
      <c r="DG37" s="69"/>
      <c r="DH37" s="69"/>
      <c r="DI37" s="69"/>
      <c r="DJ37" s="69"/>
      <c r="DK37" s="69"/>
      <c r="DL37" s="69"/>
    </row>
    <row r="38" spans="1:116" ht="15.5" x14ac:dyDescent="0.35">
      <c r="A38" s="181">
        <v>36</v>
      </c>
      <c r="B38" s="182" t="s">
        <v>559</v>
      </c>
      <c r="C38" s="181" t="s">
        <v>525</v>
      </c>
      <c r="D38" s="181">
        <v>108121</v>
      </c>
      <c r="E38" s="181">
        <v>1114</v>
      </c>
      <c r="F38" s="198">
        <v>76263</v>
      </c>
      <c r="G38" s="184" t="s">
        <v>520</v>
      </c>
      <c r="H38" s="198">
        <v>42103</v>
      </c>
      <c r="I38" s="198">
        <v>1237</v>
      </c>
      <c r="J38" s="184" t="str">
        <f t="shared" si="0"/>
        <v>Tercapai</v>
      </c>
      <c r="K38" s="198">
        <v>30</v>
      </c>
      <c r="L38" s="198">
        <v>14</v>
      </c>
      <c r="M38" s="184" t="str">
        <f t="shared" si="1"/>
        <v>Tidak Tercapai</v>
      </c>
      <c r="N38" s="198">
        <v>0</v>
      </c>
      <c r="O38" s="181">
        <v>2855</v>
      </c>
      <c r="P38" s="184" t="str">
        <f t="shared" si="2"/>
        <v>Tercapai</v>
      </c>
      <c r="Q38" s="185">
        <v>52</v>
      </c>
      <c r="R38" s="181">
        <v>2502</v>
      </c>
      <c r="S38" s="186" t="str">
        <f t="shared" si="3"/>
        <v>Tercapai</v>
      </c>
      <c r="T38" s="185">
        <v>12</v>
      </c>
      <c r="U38" s="187">
        <v>2716</v>
      </c>
      <c r="V38" s="186" t="str">
        <f t="shared" si="4"/>
        <v>Tercapai</v>
      </c>
      <c r="W38" s="188">
        <v>18</v>
      </c>
      <c r="X38" s="199">
        <v>2585</v>
      </c>
      <c r="Y38" s="189" t="str">
        <f t="shared" si="5"/>
        <v>Tercapai</v>
      </c>
      <c r="Z38" s="190">
        <v>20</v>
      </c>
      <c r="AA38" s="191">
        <v>3660</v>
      </c>
      <c r="AB38" s="192" t="str">
        <f t="shared" si="6"/>
        <v>Tercapai</v>
      </c>
      <c r="AC38" s="191">
        <v>61</v>
      </c>
      <c r="AD38" s="196">
        <v>1256</v>
      </c>
      <c r="AE38" s="192" t="str">
        <f t="shared" si="7"/>
        <v>Tercapai</v>
      </c>
      <c r="AF38" s="191">
        <v>30</v>
      </c>
      <c r="AG38" s="191">
        <v>110</v>
      </c>
      <c r="AH38" s="192" t="str">
        <f t="shared" si="8"/>
        <v>Tidak Tercapai</v>
      </c>
      <c r="AI38" s="191">
        <v>1</v>
      </c>
      <c r="AJ38" s="196">
        <v>3496</v>
      </c>
      <c r="AK38" s="192" t="str">
        <f t="shared" si="9"/>
        <v>Tercapai</v>
      </c>
      <c r="AL38" s="196">
        <v>24</v>
      </c>
      <c r="AM38" s="196">
        <v>2068</v>
      </c>
      <c r="AN38" s="192" t="str">
        <f t="shared" si="10"/>
        <v>Tercapai</v>
      </c>
      <c r="AO38" s="196">
        <v>45</v>
      </c>
      <c r="AP38" s="191">
        <v>4708</v>
      </c>
      <c r="AQ38" s="192" t="str">
        <f t="shared" si="11"/>
        <v>Tercapai</v>
      </c>
      <c r="AR38" s="191">
        <v>4</v>
      </c>
      <c r="AS38" s="191">
        <v>3617</v>
      </c>
      <c r="AT38" s="192" t="str">
        <f t="shared" si="12"/>
        <v>Tercapai</v>
      </c>
      <c r="AU38" s="191">
        <v>62</v>
      </c>
      <c r="AV38" s="183">
        <v>3815</v>
      </c>
      <c r="AW38" s="192" t="str">
        <f t="shared" si="13"/>
        <v>Tercapai</v>
      </c>
      <c r="AX38" s="191">
        <v>41</v>
      </c>
      <c r="AY38" s="191">
        <v>1421</v>
      </c>
      <c r="AZ38" s="192" t="str">
        <f t="shared" si="14"/>
        <v>Tercapai</v>
      </c>
      <c r="BA38" s="191">
        <v>13</v>
      </c>
      <c r="BB38" s="193">
        <v>298</v>
      </c>
      <c r="BC38" s="192" t="str">
        <f t="shared" si="15"/>
        <v>Tidak Tercapai</v>
      </c>
      <c r="BD38" s="191">
        <v>0</v>
      </c>
      <c r="BE38" s="191">
        <v>2896</v>
      </c>
      <c r="BF38" s="192" t="str">
        <f t="shared" si="16"/>
        <v>Tercapai</v>
      </c>
      <c r="BG38" s="183">
        <v>31</v>
      </c>
      <c r="BH38" s="191">
        <v>3332</v>
      </c>
      <c r="BI38" s="192" t="str">
        <f t="shared" si="17"/>
        <v>Tercapai</v>
      </c>
      <c r="BJ38" s="191">
        <v>17</v>
      </c>
      <c r="BK38" s="191">
        <v>2807</v>
      </c>
      <c r="BL38" s="192" t="str">
        <f t="shared" si="18"/>
        <v>Tercapai</v>
      </c>
      <c r="BM38" s="191">
        <v>30</v>
      </c>
      <c r="BN38" s="191">
        <v>2390</v>
      </c>
      <c r="BO38" s="192" t="str">
        <f t="shared" si="19"/>
        <v>Tercapai</v>
      </c>
      <c r="BP38" s="191">
        <v>19</v>
      </c>
      <c r="BQ38" s="191">
        <v>1684</v>
      </c>
      <c r="BR38" s="192" t="str">
        <f t="shared" si="20"/>
        <v>Tercapai</v>
      </c>
      <c r="BS38" s="191">
        <v>19</v>
      </c>
      <c r="BT38" s="191">
        <v>2774</v>
      </c>
      <c r="BU38" s="192" t="str">
        <f t="shared" si="21"/>
        <v>Tercapai</v>
      </c>
      <c r="BV38" s="194">
        <v>42.612000000000002</v>
      </c>
      <c r="BW38" s="191">
        <v>44</v>
      </c>
      <c r="BX38" s="192" t="str">
        <f t="shared" si="22"/>
        <v>Tidak Tercapai</v>
      </c>
      <c r="BY38" s="191">
        <v>3</v>
      </c>
      <c r="BZ38" s="191">
        <v>1732</v>
      </c>
      <c r="CA38" s="192" t="str">
        <f t="shared" si="23"/>
        <v>Tercapai</v>
      </c>
      <c r="CB38" s="191">
        <v>868</v>
      </c>
      <c r="CC38" s="191">
        <v>4313</v>
      </c>
      <c r="CD38" s="192" t="str">
        <f t="shared" si="24"/>
        <v>Tercapai</v>
      </c>
      <c r="CE38" s="191">
        <v>33</v>
      </c>
      <c r="CF38" s="191">
        <v>2591</v>
      </c>
      <c r="CG38" s="192" t="str">
        <f t="shared" si="25"/>
        <v>Tercapai</v>
      </c>
      <c r="CH38" s="191">
        <v>13</v>
      </c>
      <c r="CI38" s="191">
        <v>516</v>
      </c>
      <c r="CJ38" s="192" t="str">
        <f t="shared" si="26"/>
        <v>Tidak Tercapai</v>
      </c>
      <c r="CK38" s="191">
        <v>36</v>
      </c>
      <c r="CL38" s="191">
        <v>1111</v>
      </c>
      <c r="CM38" s="192" t="str">
        <f t="shared" si="27"/>
        <v>Tidak Tercapai</v>
      </c>
      <c r="CN38" s="191">
        <v>14</v>
      </c>
      <c r="CO38" s="191">
        <v>104</v>
      </c>
      <c r="CP38" s="192" t="str">
        <f t="shared" si="28"/>
        <v>Tidak Tercapai</v>
      </c>
      <c r="CQ38" s="191">
        <v>0</v>
      </c>
      <c r="CR38" s="191">
        <v>100</v>
      </c>
      <c r="CS38" s="192" t="str">
        <f t="shared" si="29"/>
        <v>Tidak Tercapai</v>
      </c>
      <c r="CT38" s="191">
        <v>0</v>
      </c>
      <c r="CU38" s="191">
        <v>1228</v>
      </c>
      <c r="CV38" s="192" t="str">
        <f t="shared" si="30"/>
        <v>Tercapai</v>
      </c>
      <c r="CW38" s="191">
        <v>9</v>
      </c>
      <c r="CX38" s="191">
        <v>6224</v>
      </c>
      <c r="CY38" s="192" t="str">
        <f t="shared" si="31"/>
        <v>Tercapai</v>
      </c>
      <c r="CZ38" s="191">
        <v>105</v>
      </c>
      <c r="DA38" s="191">
        <v>1878</v>
      </c>
      <c r="DB38" s="192" t="str">
        <f t="shared" si="32"/>
        <v>Tercapai</v>
      </c>
      <c r="DC38" s="191">
        <v>43</v>
      </c>
      <c r="DD38" s="191">
        <v>2302</v>
      </c>
      <c r="DE38" s="192" t="str">
        <f t="shared" si="33"/>
        <v>Tercapai</v>
      </c>
      <c r="DF38" s="191">
        <v>70</v>
      </c>
      <c r="DG38" s="69"/>
      <c r="DH38" s="69"/>
      <c r="DI38" s="69"/>
      <c r="DJ38" s="69"/>
      <c r="DK38" s="69"/>
      <c r="DL38" s="69"/>
    </row>
    <row r="39" spans="1:116" ht="15.5" x14ac:dyDescent="0.35">
      <c r="A39" s="181">
        <v>37</v>
      </c>
      <c r="B39" s="182" t="s">
        <v>560</v>
      </c>
      <c r="C39" s="181" t="s">
        <v>544</v>
      </c>
      <c r="D39" s="181">
        <v>103494</v>
      </c>
      <c r="E39" s="181">
        <v>1102</v>
      </c>
      <c r="F39" s="198">
        <v>45816</v>
      </c>
      <c r="G39" s="184" t="s">
        <v>520</v>
      </c>
      <c r="H39" s="198">
        <v>15372</v>
      </c>
      <c r="I39" s="198">
        <v>248</v>
      </c>
      <c r="J39" s="184" t="str">
        <f t="shared" si="0"/>
        <v>Tidak Tercapai</v>
      </c>
      <c r="K39" s="198">
        <v>0</v>
      </c>
      <c r="L39" s="198">
        <v>0</v>
      </c>
      <c r="M39" s="184" t="str">
        <f t="shared" si="1"/>
        <v>Tidak Tercapai</v>
      </c>
      <c r="N39" s="198">
        <v>0</v>
      </c>
      <c r="O39" s="181">
        <v>897</v>
      </c>
      <c r="P39" s="184" t="str">
        <f t="shared" si="2"/>
        <v>Tidak Tercapai</v>
      </c>
      <c r="Q39" s="185">
        <v>43</v>
      </c>
      <c r="R39" s="199">
        <v>871</v>
      </c>
      <c r="S39" s="186" t="str">
        <f t="shared" si="3"/>
        <v>Tidak Tercapai</v>
      </c>
      <c r="T39" s="185">
        <v>43</v>
      </c>
      <c r="U39" s="187">
        <v>773</v>
      </c>
      <c r="V39" s="186" t="str">
        <f t="shared" si="4"/>
        <v>Tidak Tercapai</v>
      </c>
      <c r="W39" s="188">
        <v>17</v>
      </c>
      <c r="X39" s="199">
        <v>871</v>
      </c>
      <c r="Y39" s="189" t="str">
        <f t="shared" si="5"/>
        <v>Tidak Tercapai</v>
      </c>
      <c r="Z39" s="190">
        <v>12</v>
      </c>
      <c r="AA39" s="191">
        <v>1376</v>
      </c>
      <c r="AB39" s="192" t="str">
        <f t="shared" si="6"/>
        <v>Tercapai</v>
      </c>
      <c r="AC39" s="191">
        <v>16</v>
      </c>
      <c r="AD39" s="196">
        <v>725</v>
      </c>
      <c r="AE39" s="192" t="str">
        <f t="shared" si="7"/>
        <v>Tidak Tercapai</v>
      </c>
      <c r="AF39" s="191">
        <v>0</v>
      </c>
      <c r="AG39" s="191">
        <v>0</v>
      </c>
      <c r="AH39" s="192" t="str">
        <f t="shared" si="8"/>
        <v>Tidak Tercapai</v>
      </c>
      <c r="AI39" s="191">
        <v>0</v>
      </c>
      <c r="AJ39" s="196">
        <v>1412</v>
      </c>
      <c r="AK39" s="192" t="str">
        <f t="shared" si="9"/>
        <v>Tercapai</v>
      </c>
      <c r="AL39" s="196">
        <v>9</v>
      </c>
      <c r="AM39" s="196">
        <v>1271</v>
      </c>
      <c r="AN39" s="192" t="str">
        <f t="shared" si="10"/>
        <v>Tercapai</v>
      </c>
      <c r="AO39" s="196">
        <v>13</v>
      </c>
      <c r="AP39" s="191">
        <v>1419</v>
      </c>
      <c r="AQ39" s="192" t="str">
        <f t="shared" si="11"/>
        <v>Tercapai</v>
      </c>
      <c r="AR39" s="191">
        <v>4</v>
      </c>
      <c r="AS39" s="191">
        <v>1462</v>
      </c>
      <c r="AT39" s="192" t="str">
        <f t="shared" si="12"/>
        <v>Tercapai</v>
      </c>
      <c r="AU39" s="191">
        <v>13</v>
      </c>
      <c r="AV39" s="183">
        <v>2185</v>
      </c>
      <c r="AW39" s="192" t="str">
        <f t="shared" si="13"/>
        <v>Tercapai</v>
      </c>
      <c r="AX39" s="191">
        <v>19</v>
      </c>
      <c r="AY39" s="191">
        <v>761</v>
      </c>
      <c r="AZ39" s="192" t="str">
        <f t="shared" si="14"/>
        <v>Tidak Tercapai</v>
      </c>
      <c r="BA39" s="191">
        <v>2</v>
      </c>
      <c r="BB39" s="195">
        <v>21</v>
      </c>
      <c r="BC39" s="192" t="str">
        <f t="shared" si="15"/>
        <v>Tidak Tercapai</v>
      </c>
      <c r="BD39" s="191">
        <v>0</v>
      </c>
      <c r="BE39" s="196">
        <v>1228</v>
      </c>
      <c r="BF39" s="192" t="str">
        <f t="shared" si="16"/>
        <v>Tercapai</v>
      </c>
      <c r="BG39" s="183">
        <v>11</v>
      </c>
      <c r="BH39" s="196">
        <v>1282</v>
      </c>
      <c r="BI39" s="192" t="str">
        <f t="shared" si="17"/>
        <v>Tercapai</v>
      </c>
      <c r="BJ39" s="196">
        <v>3</v>
      </c>
      <c r="BK39" s="196">
        <v>1592</v>
      </c>
      <c r="BL39" s="192" t="str">
        <f t="shared" si="18"/>
        <v>Tercapai</v>
      </c>
      <c r="BM39" s="196">
        <v>15</v>
      </c>
      <c r="BN39" s="196">
        <v>1795</v>
      </c>
      <c r="BO39" s="192" t="str">
        <f t="shared" si="19"/>
        <v>Tercapai</v>
      </c>
      <c r="BP39" s="196">
        <v>30</v>
      </c>
      <c r="BQ39" s="196">
        <v>1803</v>
      </c>
      <c r="BR39" s="192" t="str">
        <f t="shared" si="20"/>
        <v>Tercapai</v>
      </c>
      <c r="BS39" s="196">
        <v>8</v>
      </c>
      <c r="BT39" s="196">
        <v>3615</v>
      </c>
      <c r="BU39" s="192" t="str">
        <f t="shared" si="21"/>
        <v>Tercapai</v>
      </c>
      <c r="BV39" s="197">
        <v>15.648999999999999</v>
      </c>
      <c r="BW39" s="196">
        <v>781</v>
      </c>
      <c r="BX39" s="192" t="str">
        <f t="shared" si="22"/>
        <v>Tidak Tercapai</v>
      </c>
      <c r="BY39" s="196">
        <v>2</v>
      </c>
      <c r="BZ39" s="196">
        <v>1260</v>
      </c>
      <c r="CA39" s="192" t="str">
        <f t="shared" si="23"/>
        <v>Tercapai</v>
      </c>
      <c r="CB39" s="196">
        <v>901</v>
      </c>
      <c r="CC39" s="196">
        <v>3568</v>
      </c>
      <c r="CD39" s="192" t="str">
        <f t="shared" si="24"/>
        <v>Tercapai</v>
      </c>
      <c r="CE39" s="196">
        <v>29</v>
      </c>
      <c r="CF39" s="196">
        <v>1424</v>
      </c>
      <c r="CG39" s="192" t="str">
        <f t="shared" si="25"/>
        <v>Tercapai</v>
      </c>
      <c r="CH39" s="196">
        <v>17</v>
      </c>
      <c r="CI39" s="196">
        <v>2587</v>
      </c>
      <c r="CJ39" s="192" t="str">
        <f t="shared" si="26"/>
        <v>Tercapai</v>
      </c>
      <c r="CK39" s="196">
        <v>34</v>
      </c>
      <c r="CL39" s="196">
        <v>441</v>
      </c>
      <c r="CM39" s="192" t="str">
        <f t="shared" si="27"/>
        <v>Tidak Tercapai</v>
      </c>
      <c r="CN39" s="196">
        <v>13</v>
      </c>
      <c r="CO39" s="196">
        <v>876</v>
      </c>
      <c r="CP39" s="192" t="str">
        <f t="shared" si="28"/>
        <v>Tidak Tercapai</v>
      </c>
      <c r="CQ39" s="196">
        <v>4</v>
      </c>
      <c r="CR39" s="196">
        <v>109</v>
      </c>
      <c r="CS39" s="192" t="str">
        <f t="shared" si="29"/>
        <v>Tidak Tercapai</v>
      </c>
      <c r="CT39" s="196">
        <v>5</v>
      </c>
      <c r="CU39" s="196">
        <v>48</v>
      </c>
      <c r="CV39" s="192" t="str">
        <f t="shared" si="30"/>
        <v>Tidak Tercapai</v>
      </c>
      <c r="CW39" s="196">
        <v>0</v>
      </c>
      <c r="CX39" s="196">
        <v>7576</v>
      </c>
      <c r="CY39" s="192" t="str">
        <f t="shared" si="31"/>
        <v>Tercapai</v>
      </c>
      <c r="CZ39" s="196">
        <v>72</v>
      </c>
      <c r="DA39" s="196">
        <v>2218</v>
      </c>
      <c r="DB39" s="192" t="str">
        <f t="shared" si="32"/>
        <v>Tercapai</v>
      </c>
      <c r="DC39" s="196">
        <v>38</v>
      </c>
      <c r="DD39" s="196">
        <v>2099</v>
      </c>
      <c r="DE39" s="192" t="str">
        <f t="shared" si="33"/>
        <v>Tercapai</v>
      </c>
      <c r="DF39" s="196">
        <v>25</v>
      </c>
      <c r="DG39" s="69"/>
      <c r="DH39" s="69"/>
      <c r="DI39" s="69"/>
      <c r="DJ39" s="69"/>
      <c r="DK39" s="69"/>
      <c r="DL39" s="69"/>
    </row>
    <row r="40" spans="1:116" ht="15.5" x14ac:dyDescent="0.35">
      <c r="A40" s="181">
        <v>38</v>
      </c>
      <c r="B40" s="182" t="s">
        <v>561</v>
      </c>
      <c r="C40" s="181" t="s">
        <v>544</v>
      </c>
      <c r="D40" s="181">
        <v>93920</v>
      </c>
      <c r="E40" s="181">
        <v>1099</v>
      </c>
      <c r="F40" s="198">
        <v>77377</v>
      </c>
      <c r="G40" s="184" t="s">
        <v>520</v>
      </c>
      <c r="H40" s="198">
        <v>57501</v>
      </c>
      <c r="I40" s="198">
        <v>427</v>
      </c>
      <c r="J40" s="184" t="str">
        <f t="shared" si="0"/>
        <v>Tidak Tercapai</v>
      </c>
      <c r="K40" s="198">
        <v>34</v>
      </c>
      <c r="L40" s="198">
        <v>0</v>
      </c>
      <c r="M40" s="184" t="str">
        <f t="shared" si="1"/>
        <v>Tidak Tercapai</v>
      </c>
      <c r="N40" s="198">
        <v>0</v>
      </c>
      <c r="O40" s="181">
        <v>1084</v>
      </c>
      <c r="P40" s="184" t="str">
        <f t="shared" si="2"/>
        <v>Tidak Tercapai</v>
      </c>
      <c r="Q40" s="185">
        <v>131</v>
      </c>
      <c r="R40" s="199">
        <v>1932</v>
      </c>
      <c r="S40" s="186" t="str">
        <f t="shared" si="3"/>
        <v>Tercapai</v>
      </c>
      <c r="T40" s="185">
        <v>67</v>
      </c>
      <c r="U40" s="187">
        <v>1419</v>
      </c>
      <c r="V40" s="186" t="str">
        <f t="shared" si="4"/>
        <v>Tidak Tercapai</v>
      </c>
      <c r="W40" s="188">
        <v>167</v>
      </c>
      <c r="X40" s="199">
        <v>1932</v>
      </c>
      <c r="Y40" s="189" t="str">
        <f t="shared" si="5"/>
        <v>Tercapai</v>
      </c>
      <c r="Z40" s="190">
        <v>281</v>
      </c>
      <c r="AA40" s="191">
        <v>1949</v>
      </c>
      <c r="AB40" s="192" t="str">
        <f t="shared" si="6"/>
        <v>Tercapai</v>
      </c>
      <c r="AC40" s="191">
        <v>113</v>
      </c>
      <c r="AD40" s="196">
        <v>496</v>
      </c>
      <c r="AE40" s="192" t="str">
        <f t="shared" si="7"/>
        <v>Tidak Tercapai</v>
      </c>
      <c r="AF40" s="191">
        <v>3</v>
      </c>
      <c r="AG40" s="191">
        <v>484</v>
      </c>
      <c r="AH40" s="192" t="str">
        <f t="shared" si="8"/>
        <v>Tidak Tercapai</v>
      </c>
      <c r="AI40" s="191">
        <v>3</v>
      </c>
      <c r="AJ40" s="196">
        <v>2018</v>
      </c>
      <c r="AK40" s="192" t="str">
        <f t="shared" si="9"/>
        <v>Tercapai</v>
      </c>
      <c r="AL40" s="196">
        <v>127</v>
      </c>
      <c r="AM40" s="196">
        <v>1640</v>
      </c>
      <c r="AN40" s="192" t="str">
        <f t="shared" si="10"/>
        <v>Tercapai</v>
      </c>
      <c r="AO40" s="196">
        <v>84</v>
      </c>
      <c r="AP40" s="191">
        <v>1992</v>
      </c>
      <c r="AQ40" s="192" t="str">
        <f t="shared" si="11"/>
        <v>Tercapai</v>
      </c>
      <c r="AR40" s="191">
        <v>38</v>
      </c>
      <c r="AS40" s="191">
        <v>1360</v>
      </c>
      <c r="AT40" s="192" t="str">
        <f t="shared" si="12"/>
        <v>Tercapai</v>
      </c>
      <c r="AU40" s="191">
        <v>15</v>
      </c>
      <c r="AV40" s="183">
        <v>1423</v>
      </c>
      <c r="AW40" s="192" t="str">
        <f t="shared" si="13"/>
        <v>Tercapai</v>
      </c>
      <c r="AX40" s="191">
        <v>238</v>
      </c>
      <c r="AY40" s="191">
        <v>195</v>
      </c>
      <c r="AZ40" s="192" t="str">
        <f t="shared" si="14"/>
        <v>Tidak Tercapai</v>
      </c>
      <c r="BA40" s="191">
        <v>5</v>
      </c>
      <c r="BB40" s="195">
        <v>0</v>
      </c>
      <c r="BC40" s="192" t="str">
        <f t="shared" si="15"/>
        <v>Tidak Tercapai</v>
      </c>
      <c r="BD40" s="191">
        <v>4</v>
      </c>
      <c r="BE40" s="196">
        <v>1980</v>
      </c>
      <c r="BF40" s="192" t="str">
        <f t="shared" si="16"/>
        <v>Tercapai</v>
      </c>
      <c r="BG40" s="183">
        <v>60</v>
      </c>
      <c r="BH40" s="196">
        <v>1802</v>
      </c>
      <c r="BI40" s="192" t="str">
        <f t="shared" si="17"/>
        <v>Tercapai</v>
      </c>
      <c r="BJ40" s="196">
        <v>29</v>
      </c>
      <c r="BK40" s="196">
        <v>2019</v>
      </c>
      <c r="BL40" s="192" t="str">
        <f t="shared" si="18"/>
        <v>Tercapai</v>
      </c>
      <c r="BM40" s="196">
        <v>76</v>
      </c>
      <c r="BN40" s="196">
        <v>1671</v>
      </c>
      <c r="BO40" s="192" t="str">
        <f t="shared" si="19"/>
        <v>Tercapai</v>
      </c>
      <c r="BP40" s="196">
        <v>44</v>
      </c>
      <c r="BQ40" s="196">
        <v>1227</v>
      </c>
      <c r="BR40" s="192" t="str">
        <f t="shared" si="20"/>
        <v>Tercapai</v>
      </c>
      <c r="BS40" s="196">
        <v>23</v>
      </c>
      <c r="BT40" s="196">
        <v>2264</v>
      </c>
      <c r="BU40" s="192" t="str">
        <f t="shared" si="21"/>
        <v>Tercapai</v>
      </c>
      <c r="BV40" s="197">
        <v>58.433999999999997</v>
      </c>
      <c r="BW40" s="196">
        <v>144</v>
      </c>
      <c r="BX40" s="192" t="str">
        <f t="shared" si="22"/>
        <v>Tidak Tercapai</v>
      </c>
      <c r="BY40" s="196">
        <v>0</v>
      </c>
      <c r="BZ40" s="196">
        <v>1750</v>
      </c>
      <c r="CA40" s="192" t="str">
        <f t="shared" si="23"/>
        <v>Tercapai</v>
      </c>
      <c r="CB40" s="196">
        <v>6263</v>
      </c>
      <c r="CC40" s="196">
        <v>2450</v>
      </c>
      <c r="CD40" s="192" t="str">
        <f t="shared" si="24"/>
        <v>Tercapai</v>
      </c>
      <c r="CE40" s="196">
        <v>92</v>
      </c>
      <c r="CF40" s="196">
        <v>1427</v>
      </c>
      <c r="CG40" s="192" t="str">
        <f t="shared" si="25"/>
        <v>Tercapai</v>
      </c>
      <c r="CH40" s="196">
        <v>52</v>
      </c>
      <c r="CI40" s="196">
        <v>309</v>
      </c>
      <c r="CJ40" s="192" t="str">
        <f t="shared" si="26"/>
        <v>Tidak Tercapai</v>
      </c>
      <c r="CK40" s="196">
        <v>101</v>
      </c>
      <c r="CL40" s="196">
        <v>785</v>
      </c>
      <c r="CM40" s="192" t="str">
        <f t="shared" si="27"/>
        <v>Tidak Tercapai</v>
      </c>
      <c r="CN40" s="196">
        <v>13</v>
      </c>
      <c r="CO40" s="196">
        <v>306</v>
      </c>
      <c r="CP40" s="192" t="str">
        <f t="shared" si="28"/>
        <v>Tidak Tercapai</v>
      </c>
      <c r="CQ40" s="196">
        <v>208</v>
      </c>
      <c r="CR40" s="196">
        <v>3</v>
      </c>
      <c r="CS40" s="192" t="str">
        <f t="shared" si="29"/>
        <v>Tidak Tercapai</v>
      </c>
      <c r="CT40" s="196">
        <v>35</v>
      </c>
      <c r="CU40" s="196">
        <v>114</v>
      </c>
      <c r="CV40" s="192" t="str">
        <f t="shared" si="30"/>
        <v>Tidak Tercapai</v>
      </c>
      <c r="CW40" s="196">
        <v>3</v>
      </c>
      <c r="CX40" s="196">
        <v>2913</v>
      </c>
      <c r="CY40" s="192" t="str">
        <f t="shared" si="31"/>
        <v>Tercapai</v>
      </c>
      <c r="CZ40" s="196">
        <v>490</v>
      </c>
      <c r="DA40" s="196">
        <v>1512</v>
      </c>
      <c r="DB40" s="192" t="str">
        <f t="shared" si="32"/>
        <v>Tercapai</v>
      </c>
      <c r="DC40" s="196">
        <v>210</v>
      </c>
      <c r="DD40" s="196">
        <v>1116</v>
      </c>
      <c r="DE40" s="192" t="str">
        <f t="shared" si="33"/>
        <v>Tercapai</v>
      </c>
      <c r="DF40" s="196">
        <v>104</v>
      </c>
      <c r="DG40" s="69"/>
      <c r="DH40" s="69"/>
      <c r="DI40" s="69"/>
      <c r="DJ40" s="69"/>
      <c r="DK40" s="69"/>
      <c r="DL40" s="69"/>
    </row>
    <row r="41" spans="1:116" ht="15.5" x14ac:dyDescent="0.35">
      <c r="A41" s="181">
        <v>39</v>
      </c>
      <c r="B41" s="182" t="s">
        <v>562</v>
      </c>
      <c r="C41" s="181" t="s">
        <v>529</v>
      </c>
      <c r="D41" s="181">
        <v>86331</v>
      </c>
      <c r="E41" s="181">
        <v>1019</v>
      </c>
      <c r="F41" s="198">
        <v>93862</v>
      </c>
      <c r="G41" s="184" t="s">
        <v>520</v>
      </c>
      <c r="H41" s="198">
        <v>67141</v>
      </c>
      <c r="I41" s="198">
        <v>1073</v>
      </c>
      <c r="J41" s="184" t="str">
        <f t="shared" si="0"/>
        <v>Tercapai</v>
      </c>
      <c r="K41" s="198">
        <v>61</v>
      </c>
      <c r="L41" s="198">
        <v>4</v>
      </c>
      <c r="M41" s="184" t="str">
        <f t="shared" si="1"/>
        <v>Tidak Tercapai</v>
      </c>
      <c r="N41" s="198">
        <v>0</v>
      </c>
      <c r="O41" s="181">
        <v>1240</v>
      </c>
      <c r="P41" s="184" t="str">
        <f t="shared" si="2"/>
        <v>Tercapai</v>
      </c>
      <c r="Q41" s="185">
        <v>4</v>
      </c>
      <c r="R41" s="181">
        <v>1685</v>
      </c>
      <c r="S41" s="186" t="str">
        <f t="shared" si="3"/>
        <v>Tercapai</v>
      </c>
      <c r="T41" s="185">
        <v>24</v>
      </c>
      <c r="U41" s="187">
        <v>2063</v>
      </c>
      <c r="V41" s="186" t="str">
        <f t="shared" si="4"/>
        <v>Tercapai</v>
      </c>
      <c r="W41" s="188">
        <v>6</v>
      </c>
      <c r="X41" s="199">
        <v>2075</v>
      </c>
      <c r="Y41" s="189" t="str">
        <f t="shared" si="5"/>
        <v>Tercapai</v>
      </c>
      <c r="Z41" s="190">
        <v>21</v>
      </c>
      <c r="AA41" s="191">
        <v>2447</v>
      </c>
      <c r="AB41" s="192" t="str">
        <f t="shared" si="6"/>
        <v>Tercapai</v>
      </c>
      <c r="AC41" s="191">
        <v>27</v>
      </c>
      <c r="AD41" s="196">
        <v>226</v>
      </c>
      <c r="AE41" s="192" t="str">
        <f t="shared" si="7"/>
        <v>Tidak Tercapai</v>
      </c>
      <c r="AF41" s="191">
        <v>0</v>
      </c>
      <c r="AG41" s="191">
        <v>0</v>
      </c>
      <c r="AH41" s="192" t="str">
        <f t="shared" si="8"/>
        <v>Tidak Tercapai</v>
      </c>
      <c r="AI41" s="191">
        <v>0</v>
      </c>
      <c r="AJ41" s="196">
        <v>2518</v>
      </c>
      <c r="AK41" s="192" t="str">
        <f t="shared" si="9"/>
        <v>Tercapai</v>
      </c>
      <c r="AL41" s="196">
        <v>13</v>
      </c>
      <c r="AM41" s="196">
        <v>2762</v>
      </c>
      <c r="AN41" s="192" t="str">
        <f t="shared" si="10"/>
        <v>Tercapai</v>
      </c>
      <c r="AO41" s="196">
        <v>22</v>
      </c>
      <c r="AP41" s="191">
        <v>3268</v>
      </c>
      <c r="AQ41" s="192" t="str">
        <f t="shared" si="11"/>
        <v>Tercapai</v>
      </c>
      <c r="AR41" s="191">
        <v>19</v>
      </c>
      <c r="AS41" s="191">
        <v>3360</v>
      </c>
      <c r="AT41" s="192" t="str">
        <f t="shared" si="12"/>
        <v>Tercapai</v>
      </c>
      <c r="AU41" s="191">
        <v>38</v>
      </c>
      <c r="AV41" s="183">
        <v>3318</v>
      </c>
      <c r="AW41" s="192" t="str">
        <f t="shared" si="13"/>
        <v>Tercapai</v>
      </c>
      <c r="AX41" s="191">
        <v>10</v>
      </c>
      <c r="AY41" s="191">
        <v>404</v>
      </c>
      <c r="AZ41" s="192" t="str">
        <f t="shared" si="14"/>
        <v>Tidak Tercapai</v>
      </c>
      <c r="BA41" s="191">
        <v>1</v>
      </c>
      <c r="BB41" s="195">
        <v>0</v>
      </c>
      <c r="BC41" s="192" t="str">
        <f t="shared" si="15"/>
        <v>Tidak Tercapai</v>
      </c>
      <c r="BD41" s="191">
        <v>0</v>
      </c>
      <c r="BE41" s="196">
        <v>2330</v>
      </c>
      <c r="BF41" s="192" t="str">
        <f t="shared" si="16"/>
        <v>Tercapai</v>
      </c>
      <c r="BG41" s="183">
        <v>9</v>
      </c>
      <c r="BH41" s="196">
        <v>2504</v>
      </c>
      <c r="BI41" s="192" t="str">
        <f t="shared" si="17"/>
        <v>Tercapai</v>
      </c>
      <c r="BJ41" s="196">
        <v>10</v>
      </c>
      <c r="BK41" s="196">
        <v>2341</v>
      </c>
      <c r="BL41" s="192" t="str">
        <f t="shared" si="18"/>
        <v>Tercapai</v>
      </c>
      <c r="BM41" s="196">
        <v>7</v>
      </c>
      <c r="BN41" s="196">
        <v>2063</v>
      </c>
      <c r="BO41" s="192" t="str">
        <f t="shared" si="19"/>
        <v>Tercapai</v>
      </c>
      <c r="BP41" s="196">
        <v>43</v>
      </c>
      <c r="BQ41" s="196">
        <v>1463</v>
      </c>
      <c r="BR41" s="192" t="str">
        <f t="shared" si="20"/>
        <v>Tercapai</v>
      </c>
      <c r="BS41" s="196">
        <v>6</v>
      </c>
      <c r="BT41" s="196">
        <v>1685</v>
      </c>
      <c r="BU41" s="192" t="str">
        <f t="shared" si="21"/>
        <v>Tercapai</v>
      </c>
      <c r="BV41" s="197">
        <v>67.465000000000003</v>
      </c>
      <c r="BW41" s="196">
        <v>13</v>
      </c>
      <c r="BX41" s="192" t="str">
        <f t="shared" si="22"/>
        <v>Tidak Tercapai</v>
      </c>
      <c r="BY41" s="196">
        <v>0</v>
      </c>
      <c r="BZ41" s="196">
        <v>1067</v>
      </c>
      <c r="CA41" s="192" t="str">
        <f t="shared" si="23"/>
        <v>Tercapai</v>
      </c>
      <c r="CB41" s="196">
        <v>6357</v>
      </c>
      <c r="CC41" s="196">
        <v>1507</v>
      </c>
      <c r="CD41" s="192" t="str">
        <f t="shared" si="24"/>
        <v>Tercapai</v>
      </c>
      <c r="CE41" s="196">
        <v>49</v>
      </c>
      <c r="CF41" s="196">
        <v>1324</v>
      </c>
      <c r="CG41" s="192" t="str">
        <f t="shared" si="25"/>
        <v>Tercapai</v>
      </c>
      <c r="CH41" s="196">
        <v>15</v>
      </c>
      <c r="CI41" s="196">
        <v>1322</v>
      </c>
      <c r="CJ41" s="192" t="str">
        <f t="shared" si="26"/>
        <v>Tercapai</v>
      </c>
      <c r="CK41" s="196">
        <v>2</v>
      </c>
      <c r="CL41" s="196">
        <v>503</v>
      </c>
      <c r="CM41" s="192" t="str">
        <f t="shared" si="27"/>
        <v>Tidak Tercapai</v>
      </c>
      <c r="CN41" s="196">
        <v>11</v>
      </c>
      <c r="CO41" s="196">
        <v>229</v>
      </c>
      <c r="CP41" s="192" t="str">
        <f t="shared" si="28"/>
        <v>Tidak Tercapai</v>
      </c>
      <c r="CQ41" s="196">
        <v>7</v>
      </c>
      <c r="CR41" s="196">
        <v>1</v>
      </c>
      <c r="CS41" s="192" t="str">
        <f t="shared" si="29"/>
        <v>Tidak Tercapai</v>
      </c>
      <c r="CT41" s="196">
        <v>2</v>
      </c>
      <c r="CU41" s="196">
        <v>996</v>
      </c>
      <c r="CV41" s="192" t="str">
        <f t="shared" si="30"/>
        <v>Tidak Tercapai</v>
      </c>
      <c r="CW41" s="196">
        <v>6</v>
      </c>
      <c r="CX41" s="196">
        <v>6344</v>
      </c>
      <c r="CY41" s="192" t="str">
        <f t="shared" si="31"/>
        <v>Tercapai</v>
      </c>
      <c r="CZ41" s="196">
        <v>61</v>
      </c>
      <c r="DA41" s="196">
        <v>2359</v>
      </c>
      <c r="DB41" s="192" t="str">
        <f t="shared" si="32"/>
        <v>Tercapai</v>
      </c>
      <c r="DC41" s="196">
        <v>35</v>
      </c>
      <c r="DD41" s="196">
        <v>2233</v>
      </c>
      <c r="DE41" s="192" t="str">
        <f t="shared" si="33"/>
        <v>Tercapai</v>
      </c>
      <c r="DF41" s="196">
        <v>18</v>
      </c>
      <c r="DG41" s="69"/>
      <c r="DH41" s="69"/>
      <c r="DI41" s="69"/>
      <c r="DJ41" s="69"/>
      <c r="DK41" s="69"/>
      <c r="DL41" s="69"/>
    </row>
    <row r="42" spans="1:116" ht="15.5" x14ac:dyDescent="0.35">
      <c r="A42" s="181">
        <v>40</v>
      </c>
      <c r="B42" s="182" t="s">
        <v>563</v>
      </c>
      <c r="C42" s="181" t="s">
        <v>544</v>
      </c>
      <c r="D42" s="181">
        <v>74156</v>
      </c>
      <c r="E42" s="181">
        <v>893</v>
      </c>
      <c r="F42" s="183">
        <v>23538</v>
      </c>
      <c r="G42" s="184" t="s">
        <v>520</v>
      </c>
      <c r="H42" s="183">
        <v>18224</v>
      </c>
      <c r="I42" s="183">
        <v>189</v>
      </c>
      <c r="J42" s="184" t="str">
        <f t="shared" si="0"/>
        <v>Tidak Tercapai</v>
      </c>
      <c r="K42" s="183">
        <v>0</v>
      </c>
      <c r="L42" s="183">
        <v>0</v>
      </c>
      <c r="M42" s="184" t="str">
        <f t="shared" si="1"/>
        <v>Tidak Tercapai</v>
      </c>
      <c r="N42" s="183">
        <v>0</v>
      </c>
      <c r="O42" s="181">
        <v>567</v>
      </c>
      <c r="P42" s="184" t="str">
        <f t="shared" si="2"/>
        <v>Tidak Tercapai</v>
      </c>
      <c r="Q42" s="185">
        <v>2</v>
      </c>
      <c r="R42" s="188">
        <v>683</v>
      </c>
      <c r="S42" s="186" t="str">
        <f t="shared" si="3"/>
        <v>Tidak Tercapai</v>
      </c>
      <c r="T42" s="185">
        <v>0</v>
      </c>
      <c r="U42" s="187">
        <v>675</v>
      </c>
      <c r="V42" s="186" t="str">
        <f t="shared" si="4"/>
        <v>Tidak Tercapai</v>
      </c>
      <c r="W42" s="188">
        <v>13</v>
      </c>
      <c r="X42" s="188">
        <v>683</v>
      </c>
      <c r="Y42" s="189" t="str">
        <f t="shared" si="5"/>
        <v>Tidak Tercapai</v>
      </c>
      <c r="Z42" s="190">
        <v>0</v>
      </c>
      <c r="AA42" s="191">
        <v>706</v>
      </c>
      <c r="AB42" s="192" t="str">
        <f t="shared" si="6"/>
        <v>Tidak Tercapai</v>
      </c>
      <c r="AC42" s="191">
        <v>16</v>
      </c>
      <c r="AD42" s="191">
        <v>490</v>
      </c>
      <c r="AE42" s="192" t="str">
        <f t="shared" si="7"/>
        <v>Tidak Tercapai</v>
      </c>
      <c r="AF42" s="191">
        <v>0</v>
      </c>
      <c r="AG42" s="191">
        <v>0</v>
      </c>
      <c r="AH42" s="192" t="str">
        <f t="shared" si="8"/>
        <v>Tidak Tercapai</v>
      </c>
      <c r="AI42" s="191">
        <v>0</v>
      </c>
      <c r="AJ42" s="191">
        <v>789</v>
      </c>
      <c r="AK42" s="192" t="str">
        <f t="shared" si="9"/>
        <v>Tidak Tercapai</v>
      </c>
      <c r="AL42" s="191">
        <v>8</v>
      </c>
      <c r="AM42" s="191">
        <v>606</v>
      </c>
      <c r="AN42" s="192" t="str">
        <f t="shared" si="10"/>
        <v>Tidak Tercapai</v>
      </c>
      <c r="AO42" s="191">
        <v>4</v>
      </c>
      <c r="AP42" s="191">
        <v>870</v>
      </c>
      <c r="AQ42" s="192" t="str">
        <f t="shared" si="11"/>
        <v>Tidak Tercapai</v>
      </c>
      <c r="AR42" s="191">
        <v>42</v>
      </c>
      <c r="AS42" s="191">
        <v>848</v>
      </c>
      <c r="AT42" s="192" t="str">
        <f t="shared" si="12"/>
        <v>Tidak Tercapai</v>
      </c>
      <c r="AU42" s="191">
        <v>28</v>
      </c>
      <c r="AV42" s="183">
        <v>1183</v>
      </c>
      <c r="AW42" s="192" t="str">
        <f t="shared" si="13"/>
        <v>Tercapai</v>
      </c>
      <c r="AX42" s="191">
        <v>37</v>
      </c>
      <c r="AY42" s="191">
        <v>176</v>
      </c>
      <c r="AZ42" s="192" t="str">
        <f t="shared" si="14"/>
        <v>Tidak Tercapai</v>
      </c>
      <c r="BA42" s="191">
        <v>1</v>
      </c>
      <c r="BB42" s="195">
        <v>116</v>
      </c>
      <c r="BC42" s="192" t="str">
        <f t="shared" si="15"/>
        <v>Tidak Tercapai</v>
      </c>
      <c r="BD42" s="191">
        <v>0</v>
      </c>
      <c r="BE42" s="196">
        <v>1163</v>
      </c>
      <c r="BF42" s="192" t="str">
        <f t="shared" si="16"/>
        <v>Tercapai</v>
      </c>
      <c r="BG42" s="183">
        <v>13</v>
      </c>
      <c r="BH42" s="196">
        <v>1214</v>
      </c>
      <c r="BI42" s="192" t="str">
        <f t="shared" si="17"/>
        <v>Tercapai</v>
      </c>
      <c r="BJ42" s="196">
        <v>9</v>
      </c>
      <c r="BK42" s="196">
        <v>1105</v>
      </c>
      <c r="BL42" s="192" t="str">
        <f t="shared" si="18"/>
        <v>Tercapai</v>
      </c>
      <c r="BM42" s="196">
        <v>31</v>
      </c>
      <c r="BN42" s="196">
        <v>1217</v>
      </c>
      <c r="BO42" s="192" t="str">
        <f t="shared" si="19"/>
        <v>Tercapai</v>
      </c>
      <c r="BP42" s="196">
        <v>9</v>
      </c>
      <c r="BQ42" s="196">
        <v>739</v>
      </c>
      <c r="BR42" s="192" t="str">
        <f t="shared" si="20"/>
        <v>Tidak Tercapai</v>
      </c>
      <c r="BS42" s="196">
        <v>22</v>
      </c>
      <c r="BT42" s="196">
        <v>521</v>
      </c>
      <c r="BU42" s="192" t="str">
        <f t="shared" si="21"/>
        <v>Tidak Tercapai</v>
      </c>
      <c r="BV42" s="197">
        <v>18.452000000000002</v>
      </c>
      <c r="BW42" s="196">
        <v>0</v>
      </c>
      <c r="BX42" s="192" t="str">
        <f t="shared" si="22"/>
        <v>Tidak Tercapai</v>
      </c>
      <c r="BY42" s="196">
        <v>0</v>
      </c>
      <c r="BZ42" s="196">
        <v>1073</v>
      </c>
      <c r="CA42" s="192" t="str">
        <f t="shared" si="23"/>
        <v>Tercapai</v>
      </c>
      <c r="CB42" s="196">
        <v>1095</v>
      </c>
      <c r="CC42" s="196">
        <v>1535</v>
      </c>
      <c r="CD42" s="192" t="str">
        <f t="shared" si="24"/>
        <v>Tercapai</v>
      </c>
      <c r="CE42" s="196">
        <v>16</v>
      </c>
      <c r="CF42" s="196">
        <v>1395</v>
      </c>
      <c r="CG42" s="192" t="str">
        <f t="shared" si="25"/>
        <v>Tercapai</v>
      </c>
      <c r="CH42" s="196">
        <v>11</v>
      </c>
      <c r="CI42" s="196">
        <v>2128</v>
      </c>
      <c r="CJ42" s="192" t="str">
        <f t="shared" si="26"/>
        <v>Tercapai</v>
      </c>
      <c r="CK42" s="196">
        <v>27</v>
      </c>
      <c r="CL42" s="196">
        <v>1358</v>
      </c>
      <c r="CM42" s="192" t="str">
        <f t="shared" si="27"/>
        <v>Tercapai</v>
      </c>
      <c r="CN42" s="196">
        <v>10</v>
      </c>
      <c r="CO42" s="196">
        <v>815</v>
      </c>
      <c r="CP42" s="192" t="str">
        <f t="shared" si="28"/>
        <v>Tidak Tercapai</v>
      </c>
      <c r="CQ42" s="196">
        <v>4</v>
      </c>
      <c r="CR42" s="196">
        <v>598</v>
      </c>
      <c r="CS42" s="192" t="str">
        <f t="shared" si="29"/>
        <v>Tidak Tercapai</v>
      </c>
      <c r="CT42" s="196">
        <v>0</v>
      </c>
      <c r="CU42" s="196">
        <v>26</v>
      </c>
      <c r="CV42" s="192" t="str">
        <f t="shared" si="30"/>
        <v>Tidak Tercapai</v>
      </c>
      <c r="CW42" s="196">
        <v>3</v>
      </c>
      <c r="CX42" s="196">
        <v>3944</v>
      </c>
      <c r="CY42" s="192" t="str">
        <f t="shared" si="31"/>
        <v>Tercapai</v>
      </c>
      <c r="CZ42" s="196">
        <v>30</v>
      </c>
      <c r="DA42" s="196">
        <v>1624</v>
      </c>
      <c r="DB42" s="192" t="str">
        <f t="shared" si="32"/>
        <v>Tercapai</v>
      </c>
      <c r="DC42" s="196">
        <v>12</v>
      </c>
      <c r="DD42" s="196">
        <v>1943</v>
      </c>
      <c r="DE42" s="192" t="str">
        <f t="shared" si="33"/>
        <v>Tercapai</v>
      </c>
      <c r="DF42" s="196">
        <v>25</v>
      </c>
      <c r="DG42" s="69"/>
      <c r="DH42" s="69"/>
      <c r="DI42" s="69"/>
      <c r="DJ42" s="69"/>
      <c r="DK42" s="69"/>
      <c r="DL42" s="69"/>
    </row>
    <row r="43" spans="1:116" ht="15.5" x14ac:dyDescent="0.35">
      <c r="A43" s="181">
        <v>41</v>
      </c>
      <c r="B43" s="182" t="s">
        <v>564</v>
      </c>
      <c r="C43" s="181" t="s">
        <v>544</v>
      </c>
      <c r="D43" s="181">
        <v>74839</v>
      </c>
      <c r="E43" s="181">
        <v>879</v>
      </c>
      <c r="F43" s="198">
        <v>128051</v>
      </c>
      <c r="G43" s="184" t="s">
        <v>520</v>
      </c>
      <c r="H43" s="198">
        <v>106825</v>
      </c>
      <c r="I43" s="198">
        <v>208</v>
      </c>
      <c r="J43" s="184" t="str">
        <f t="shared" si="0"/>
        <v>Tidak Tercapai</v>
      </c>
      <c r="K43" s="198">
        <v>59</v>
      </c>
      <c r="L43" s="198">
        <v>31</v>
      </c>
      <c r="M43" s="184" t="str">
        <f t="shared" si="1"/>
        <v>Tidak Tercapai</v>
      </c>
      <c r="N43" s="198">
        <v>5</v>
      </c>
      <c r="O43" s="181">
        <v>941</v>
      </c>
      <c r="P43" s="184" t="str">
        <f t="shared" si="2"/>
        <v>Tercapai</v>
      </c>
      <c r="Q43" s="185">
        <v>126</v>
      </c>
      <c r="R43" s="199">
        <v>1272</v>
      </c>
      <c r="S43" s="186" t="str">
        <f t="shared" si="3"/>
        <v>Tercapai</v>
      </c>
      <c r="T43" s="185">
        <v>64</v>
      </c>
      <c r="U43" s="187">
        <v>2063</v>
      </c>
      <c r="V43" s="186" t="str">
        <f t="shared" si="4"/>
        <v>Tercapai</v>
      </c>
      <c r="W43" s="188">
        <v>138</v>
      </c>
      <c r="X43" s="199">
        <v>1272</v>
      </c>
      <c r="Y43" s="189" t="str">
        <f t="shared" si="5"/>
        <v>Tercapai</v>
      </c>
      <c r="Z43" s="190">
        <v>103</v>
      </c>
      <c r="AA43" s="191">
        <v>1199</v>
      </c>
      <c r="AB43" s="192" t="str">
        <f t="shared" si="6"/>
        <v>Tercapai</v>
      </c>
      <c r="AC43" s="191">
        <v>113</v>
      </c>
      <c r="AD43" s="196">
        <v>528</v>
      </c>
      <c r="AE43" s="192" t="str">
        <f t="shared" si="7"/>
        <v>Tidak Tercapai</v>
      </c>
      <c r="AF43" s="191">
        <v>42</v>
      </c>
      <c r="AG43" s="191">
        <v>110</v>
      </c>
      <c r="AH43" s="192" t="str">
        <f t="shared" si="8"/>
        <v>Tidak Tercapai</v>
      </c>
      <c r="AI43" s="191">
        <v>31</v>
      </c>
      <c r="AJ43" s="196">
        <v>1603</v>
      </c>
      <c r="AK43" s="192" t="str">
        <f t="shared" si="9"/>
        <v>Tercapai</v>
      </c>
      <c r="AL43" s="196">
        <v>128</v>
      </c>
      <c r="AM43" s="196">
        <v>1174</v>
      </c>
      <c r="AN43" s="192" t="str">
        <f t="shared" si="10"/>
        <v>Tercapai</v>
      </c>
      <c r="AO43" s="196">
        <v>216</v>
      </c>
      <c r="AP43" s="191">
        <v>2257</v>
      </c>
      <c r="AQ43" s="192" t="str">
        <f t="shared" si="11"/>
        <v>Tercapai</v>
      </c>
      <c r="AR43" s="191">
        <v>164</v>
      </c>
      <c r="AS43" s="191">
        <v>2497</v>
      </c>
      <c r="AT43" s="192" t="str">
        <f t="shared" si="12"/>
        <v>Tercapai</v>
      </c>
      <c r="AU43" s="191">
        <v>126</v>
      </c>
      <c r="AV43" s="183">
        <v>2260</v>
      </c>
      <c r="AW43" s="192" t="str">
        <f t="shared" si="13"/>
        <v>Tercapai</v>
      </c>
      <c r="AX43" s="191">
        <v>104</v>
      </c>
      <c r="AY43" s="191">
        <v>1713</v>
      </c>
      <c r="AZ43" s="192" t="str">
        <f t="shared" si="14"/>
        <v>Tercapai</v>
      </c>
      <c r="BA43" s="191">
        <v>42</v>
      </c>
      <c r="BB43" s="195">
        <v>1</v>
      </c>
      <c r="BC43" s="192" t="str">
        <f t="shared" si="15"/>
        <v>Tidak Tercapai</v>
      </c>
      <c r="BD43" s="191">
        <v>0</v>
      </c>
      <c r="BE43" s="196">
        <v>2757</v>
      </c>
      <c r="BF43" s="192" t="str">
        <f t="shared" si="16"/>
        <v>Tercapai</v>
      </c>
      <c r="BG43" s="183">
        <v>53</v>
      </c>
      <c r="BH43" s="196">
        <v>3169</v>
      </c>
      <c r="BI43" s="192" t="str">
        <f t="shared" si="17"/>
        <v>Tercapai</v>
      </c>
      <c r="BJ43" s="196">
        <v>73</v>
      </c>
      <c r="BK43" s="196">
        <v>2989</v>
      </c>
      <c r="BL43" s="192" t="str">
        <f t="shared" si="18"/>
        <v>Tercapai</v>
      </c>
      <c r="BM43" s="196">
        <v>193</v>
      </c>
      <c r="BN43" s="196">
        <v>1790</v>
      </c>
      <c r="BO43" s="192" t="str">
        <f t="shared" si="19"/>
        <v>Tercapai</v>
      </c>
      <c r="BP43" s="196">
        <v>225</v>
      </c>
      <c r="BQ43" s="196">
        <v>685</v>
      </c>
      <c r="BR43" s="192" t="str">
        <f t="shared" si="20"/>
        <v>Tidak Tercapai</v>
      </c>
      <c r="BS43" s="196">
        <v>23</v>
      </c>
      <c r="BT43" s="196">
        <v>2136</v>
      </c>
      <c r="BU43" s="192" t="str">
        <f t="shared" si="21"/>
        <v>Tercapai</v>
      </c>
      <c r="BV43" s="197">
        <v>108.949</v>
      </c>
      <c r="BW43" s="196">
        <v>549</v>
      </c>
      <c r="BX43" s="192" t="str">
        <f t="shared" si="22"/>
        <v>Tidak Tercapai</v>
      </c>
      <c r="BY43" s="196">
        <v>9</v>
      </c>
      <c r="BZ43" s="196">
        <v>1188</v>
      </c>
      <c r="CA43" s="192" t="str">
        <f t="shared" si="23"/>
        <v>Tercapai</v>
      </c>
      <c r="CB43" s="196">
        <v>6975</v>
      </c>
      <c r="CC43" s="196">
        <v>1727</v>
      </c>
      <c r="CD43" s="192" t="str">
        <f t="shared" si="24"/>
        <v>Tercapai</v>
      </c>
      <c r="CE43" s="196">
        <v>62</v>
      </c>
      <c r="CF43" s="196">
        <v>1178</v>
      </c>
      <c r="CG43" s="192" t="str">
        <f t="shared" si="25"/>
        <v>Tercapai</v>
      </c>
      <c r="CH43" s="196">
        <v>141</v>
      </c>
      <c r="CI43" s="196">
        <v>1211</v>
      </c>
      <c r="CJ43" s="192" t="str">
        <f t="shared" si="26"/>
        <v>Tercapai</v>
      </c>
      <c r="CK43" s="196">
        <v>112</v>
      </c>
      <c r="CL43" s="196">
        <v>434</v>
      </c>
      <c r="CM43" s="192" t="str">
        <f t="shared" si="27"/>
        <v>Tidak Tercapai</v>
      </c>
      <c r="CN43" s="196">
        <v>36</v>
      </c>
      <c r="CO43" s="196">
        <v>1190</v>
      </c>
      <c r="CP43" s="192" t="str">
        <f t="shared" si="28"/>
        <v>Tercapai</v>
      </c>
      <c r="CQ43" s="196">
        <v>114</v>
      </c>
      <c r="CR43" s="196">
        <v>50</v>
      </c>
      <c r="CS43" s="192" t="str">
        <f t="shared" si="29"/>
        <v>Tidak Tercapai</v>
      </c>
      <c r="CT43" s="196">
        <v>84</v>
      </c>
      <c r="CU43" s="196">
        <v>250</v>
      </c>
      <c r="CV43" s="192" t="str">
        <f t="shared" si="30"/>
        <v>Tidak Tercapai</v>
      </c>
      <c r="CW43" s="196">
        <v>12</v>
      </c>
      <c r="CX43" s="196">
        <v>7176</v>
      </c>
      <c r="CY43" s="192" t="str">
        <f t="shared" si="31"/>
        <v>Tercapai</v>
      </c>
      <c r="CZ43" s="196">
        <v>129</v>
      </c>
      <c r="DA43" s="196">
        <v>4930</v>
      </c>
      <c r="DB43" s="192" t="str">
        <f t="shared" si="32"/>
        <v>Tercapai</v>
      </c>
      <c r="DC43" s="196">
        <v>44</v>
      </c>
      <c r="DD43" s="196">
        <v>5168</v>
      </c>
      <c r="DE43" s="192" t="str">
        <f t="shared" si="33"/>
        <v>Tercapai</v>
      </c>
      <c r="DF43" s="196">
        <v>40</v>
      </c>
      <c r="DG43" s="69"/>
      <c r="DH43" s="69"/>
      <c r="DI43" s="69"/>
      <c r="DJ43" s="69"/>
      <c r="DK43" s="69"/>
      <c r="DL43" s="69"/>
    </row>
    <row r="44" spans="1:116" ht="15.5" x14ac:dyDescent="0.35">
      <c r="A44" s="181">
        <v>42</v>
      </c>
      <c r="B44" s="182" t="s">
        <v>565</v>
      </c>
      <c r="C44" s="181" t="s">
        <v>544</v>
      </c>
      <c r="D44" s="181">
        <v>67585</v>
      </c>
      <c r="E44" s="181">
        <v>770</v>
      </c>
      <c r="F44" s="198">
        <v>51423</v>
      </c>
      <c r="G44" s="184" t="s">
        <v>520</v>
      </c>
      <c r="H44" s="198">
        <v>32895</v>
      </c>
      <c r="I44" s="198">
        <v>57</v>
      </c>
      <c r="J44" s="184" t="str">
        <f t="shared" si="0"/>
        <v>Tidak Tercapai</v>
      </c>
      <c r="K44" s="198">
        <v>42</v>
      </c>
      <c r="L44" s="198">
        <v>0</v>
      </c>
      <c r="M44" s="184" t="str">
        <f t="shared" si="1"/>
        <v>Tidak Tercapai</v>
      </c>
      <c r="N44" s="198">
        <v>0</v>
      </c>
      <c r="O44" s="181">
        <v>1445</v>
      </c>
      <c r="P44" s="184" t="str">
        <f t="shared" si="2"/>
        <v>Tercapai</v>
      </c>
      <c r="Q44" s="185">
        <v>8</v>
      </c>
      <c r="R44" s="199">
        <v>1591</v>
      </c>
      <c r="S44" s="186" t="str">
        <f t="shared" si="3"/>
        <v>Tercapai</v>
      </c>
      <c r="T44" s="185">
        <v>22</v>
      </c>
      <c r="U44" s="187">
        <v>2508</v>
      </c>
      <c r="V44" s="186" t="str">
        <f t="shared" si="4"/>
        <v>Tercapai</v>
      </c>
      <c r="W44" s="188">
        <v>14</v>
      </c>
      <c r="X44" s="199">
        <v>1591</v>
      </c>
      <c r="Y44" s="189" t="str">
        <f t="shared" si="5"/>
        <v>Tercapai</v>
      </c>
      <c r="Z44" s="190">
        <v>19</v>
      </c>
      <c r="AA44" s="191">
        <v>1991</v>
      </c>
      <c r="AB44" s="192" t="str">
        <f t="shared" si="6"/>
        <v>Tercapai</v>
      </c>
      <c r="AC44" s="191">
        <v>24</v>
      </c>
      <c r="AD44" s="196">
        <v>1009</v>
      </c>
      <c r="AE44" s="192" t="str">
        <f t="shared" si="7"/>
        <v>Tercapai</v>
      </c>
      <c r="AF44" s="191">
        <v>0</v>
      </c>
      <c r="AG44" s="191">
        <v>0</v>
      </c>
      <c r="AH44" s="192" t="str">
        <f t="shared" si="8"/>
        <v>Tidak Tercapai</v>
      </c>
      <c r="AI44" s="191">
        <v>0</v>
      </c>
      <c r="AJ44" s="196">
        <v>2320</v>
      </c>
      <c r="AK44" s="192" t="str">
        <f t="shared" si="9"/>
        <v>Tercapai</v>
      </c>
      <c r="AL44" s="196">
        <v>31</v>
      </c>
      <c r="AM44" s="196">
        <v>1894</v>
      </c>
      <c r="AN44" s="192" t="str">
        <f t="shared" si="10"/>
        <v>Tercapai</v>
      </c>
      <c r="AO44" s="196">
        <v>43</v>
      </c>
      <c r="AP44" s="191">
        <v>4088</v>
      </c>
      <c r="AQ44" s="192" t="str">
        <f t="shared" si="11"/>
        <v>Tercapai</v>
      </c>
      <c r="AR44" s="191">
        <v>12</v>
      </c>
      <c r="AS44" s="191">
        <v>2875</v>
      </c>
      <c r="AT44" s="192" t="str">
        <f t="shared" si="12"/>
        <v>Tercapai</v>
      </c>
      <c r="AU44" s="191">
        <v>4</v>
      </c>
      <c r="AV44" s="183">
        <v>2985</v>
      </c>
      <c r="AW44" s="192" t="str">
        <f t="shared" si="13"/>
        <v>Tercapai</v>
      </c>
      <c r="AX44" s="191">
        <v>17</v>
      </c>
      <c r="AY44" s="191">
        <v>2275</v>
      </c>
      <c r="AZ44" s="192" t="str">
        <f t="shared" si="14"/>
        <v>Tercapai</v>
      </c>
      <c r="BA44" s="191">
        <v>1</v>
      </c>
      <c r="BB44" s="195">
        <v>1</v>
      </c>
      <c r="BC44" s="192" t="str">
        <f t="shared" si="15"/>
        <v>Tidak Tercapai</v>
      </c>
      <c r="BD44" s="191">
        <v>0</v>
      </c>
      <c r="BE44" s="196">
        <v>1214</v>
      </c>
      <c r="BF44" s="192" t="str">
        <f t="shared" si="16"/>
        <v>Tercapai</v>
      </c>
      <c r="BG44" s="183">
        <v>24</v>
      </c>
      <c r="BH44" s="196">
        <v>1359</v>
      </c>
      <c r="BI44" s="192" t="str">
        <f t="shared" si="17"/>
        <v>Tercapai</v>
      </c>
      <c r="BJ44" s="196">
        <v>9</v>
      </c>
      <c r="BK44" s="196">
        <v>1845</v>
      </c>
      <c r="BL44" s="192" t="str">
        <f t="shared" si="18"/>
        <v>Tercapai</v>
      </c>
      <c r="BM44" s="196">
        <v>17</v>
      </c>
      <c r="BN44" s="196">
        <v>1684</v>
      </c>
      <c r="BO44" s="192" t="str">
        <f t="shared" si="19"/>
        <v>Tercapai</v>
      </c>
      <c r="BP44" s="196">
        <v>20</v>
      </c>
      <c r="BQ44" s="196">
        <v>988</v>
      </c>
      <c r="BR44" s="192" t="str">
        <f t="shared" si="20"/>
        <v>Tercapai</v>
      </c>
      <c r="BS44" s="196">
        <v>13</v>
      </c>
      <c r="BT44" s="196">
        <v>2148</v>
      </c>
      <c r="BU44" s="192" t="str">
        <f t="shared" si="21"/>
        <v>Tercapai</v>
      </c>
      <c r="BV44" s="197">
        <v>33.241999999999997</v>
      </c>
      <c r="BW44" s="196">
        <v>654</v>
      </c>
      <c r="BX44" s="192" t="str">
        <f t="shared" si="22"/>
        <v>Tidak Tercapai</v>
      </c>
      <c r="BY44" s="196">
        <v>0</v>
      </c>
      <c r="BZ44" s="196">
        <v>830</v>
      </c>
      <c r="CA44" s="192" t="str">
        <f t="shared" si="23"/>
        <v>Tercapai</v>
      </c>
      <c r="CB44" s="196">
        <v>2046</v>
      </c>
      <c r="CC44" s="196">
        <v>1745</v>
      </c>
      <c r="CD44" s="192" t="str">
        <f t="shared" si="24"/>
        <v>Tercapai</v>
      </c>
      <c r="CE44" s="196">
        <v>22</v>
      </c>
      <c r="CF44" s="196">
        <v>1092</v>
      </c>
      <c r="CG44" s="192" t="str">
        <f t="shared" si="25"/>
        <v>Tercapai</v>
      </c>
      <c r="CH44" s="196">
        <v>8</v>
      </c>
      <c r="CI44" s="196">
        <v>243</v>
      </c>
      <c r="CJ44" s="192" t="str">
        <f t="shared" si="26"/>
        <v>Tidak Tercapai</v>
      </c>
      <c r="CK44" s="196">
        <v>43</v>
      </c>
      <c r="CL44" s="196">
        <v>358</v>
      </c>
      <c r="CM44" s="192" t="str">
        <f t="shared" si="27"/>
        <v>Tidak Tercapai</v>
      </c>
      <c r="CN44" s="196">
        <v>45</v>
      </c>
      <c r="CO44" s="196">
        <v>216</v>
      </c>
      <c r="CP44" s="192" t="str">
        <f t="shared" si="28"/>
        <v>Tidak Tercapai</v>
      </c>
      <c r="CQ44" s="196">
        <v>10</v>
      </c>
      <c r="CR44" s="196">
        <v>6</v>
      </c>
      <c r="CS44" s="192" t="str">
        <f t="shared" si="29"/>
        <v>Tidak Tercapai</v>
      </c>
      <c r="CT44" s="196">
        <v>1</v>
      </c>
      <c r="CU44" s="196">
        <v>50</v>
      </c>
      <c r="CV44" s="192" t="str">
        <f t="shared" si="30"/>
        <v>Tidak Tercapai</v>
      </c>
      <c r="CW44" s="196">
        <v>1</v>
      </c>
      <c r="CX44" s="196">
        <v>3069</v>
      </c>
      <c r="CY44" s="192" t="str">
        <f t="shared" si="31"/>
        <v>Tercapai</v>
      </c>
      <c r="CZ44" s="196">
        <v>66</v>
      </c>
      <c r="DA44" s="196">
        <v>1659</v>
      </c>
      <c r="DB44" s="192" t="str">
        <f t="shared" si="32"/>
        <v>Tercapai</v>
      </c>
      <c r="DC44" s="196">
        <v>46</v>
      </c>
      <c r="DD44" s="196">
        <v>1388</v>
      </c>
      <c r="DE44" s="192" t="str">
        <f t="shared" si="33"/>
        <v>Tercapai</v>
      </c>
      <c r="DF44" s="196">
        <v>44</v>
      </c>
      <c r="DG44" s="69"/>
      <c r="DH44" s="69"/>
      <c r="DI44" s="69"/>
      <c r="DJ44" s="69"/>
      <c r="DK44" s="69"/>
      <c r="DL44" s="69"/>
    </row>
    <row r="45" spans="1:116" ht="15.5" x14ac:dyDescent="0.35">
      <c r="A45" s="181">
        <v>43</v>
      </c>
      <c r="B45" s="200" t="s">
        <v>566</v>
      </c>
      <c r="C45" s="181" t="s">
        <v>567</v>
      </c>
      <c r="D45" s="181">
        <v>11451</v>
      </c>
      <c r="E45" s="181">
        <v>122</v>
      </c>
      <c r="F45" s="198">
        <v>3996</v>
      </c>
      <c r="G45" s="184" t="s">
        <v>520</v>
      </c>
      <c r="H45" s="198">
        <v>2850</v>
      </c>
      <c r="I45" s="198">
        <v>0</v>
      </c>
      <c r="J45" s="184" t="str">
        <f t="shared" si="0"/>
        <v>Tidak Tercapai</v>
      </c>
      <c r="K45" s="198">
        <v>0</v>
      </c>
      <c r="L45" s="198">
        <v>0</v>
      </c>
      <c r="M45" s="184" t="str">
        <f t="shared" si="1"/>
        <v>Tidak Tercapai</v>
      </c>
      <c r="N45" s="198">
        <v>0</v>
      </c>
      <c r="O45" s="181">
        <v>12</v>
      </c>
      <c r="P45" s="184" t="str">
        <f t="shared" si="2"/>
        <v>Tidak Tercapai</v>
      </c>
      <c r="Q45" s="185">
        <v>14</v>
      </c>
      <c r="R45" s="181">
        <v>65</v>
      </c>
      <c r="S45" s="186" t="str">
        <f t="shared" si="3"/>
        <v>Tidak Tercapai</v>
      </c>
      <c r="T45" s="185">
        <v>3</v>
      </c>
      <c r="U45" s="187">
        <v>67</v>
      </c>
      <c r="V45" s="186" t="str">
        <f t="shared" si="4"/>
        <v>Tercapai</v>
      </c>
      <c r="W45" s="188">
        <v>1</v>
      </c>
      <c r="X45" s="199">
        <v>113</v>
      </c>
      <c r="Y45" s="189" t="str">
        <f t="shared" si="5"/>
        <v>Tidak Tercapai</v>
      </c>
      <c r="Z45" s="190">
        <v>12</v>
      </c>
      <c r="AA45" s="191">
        <v>172</v>
      </c>
      <c r="AB45" s="192" t="str">
        <f t="shared" si="6"/>
        <v>Tercapai</v>
      </c>
      <c r="AC45" s="191">
        <v>21</v>
      </c>
      <c r="AD45" s="196">
        <v>8</v>
      </c>
      <c r="AE45" s="192" t="str">
        <f t="shared" si="7"/>
        <v>Tidak Tercapai</v>
      </c>
      <c r="AF45" s="191">
        <v>0</v>
      </c>
      <c r="AG45" s="191">
        <v>176</v>
      </c>
      <c r="AH45" s="192" t="str">
        <f t="shared" si="8"/>
        <v>Tercapai</v>
      </c>
      <c r="AI45" s="191">
        <v>5</v>
      </c>
      <c r="AJ45" s="196">
        <v>340</v>
      </c>
      <c r="AK45" s="192" t="str">
        <f t="shared" si="9"/>
        <v>Tercapai</v>
      </c>
      <c r="AL45" s="196">
        <v>15</v>
      </c>
      <c r="AM45" s="196">
        <v>802</v>
      </c>
      <c r="AN45" s="192" t="str">
        <f t="shared" si="10"/>
        <v>Tercapai</v>
      </c>
      <c r="AO45" s="196">
        <v>43</v>
      </c>
      <c r="AP45" s="191">
        <v>1435</v>
      </c>
      <c r="AQ45" s="192" t="str">
        <f t="shared" si="11"/>
        <v>Tercapai</v>
      </c>
      <c r="AR45" s="191">
        <v>24</v>
      </c>
      <c r="AS45" s="191">
        <v>235</v>
      </c>
      <c r="AT45" s="192" t="str">
        <f t="shared" si="12"/>
        <v>Tercapai</v>
      </c>
      <c r="AU45" s="191">
        <v>11</v>
      </c>
      <c r="AV45" s="183">
        <v>298</v>
      </c>
      <c r="AW45" s="192" t="str">
        <f t="shared" si="13"/>
        <v>Tercapai</v>
      </c>
      <c r="AX45" s="191">
        <v>22</v>
      </c>
      <c r="AY45" s="191">
        <v>55</v>
      </c>
      <c r="AZ45" s="192" t="str">
        <f t="shared" si="14"/>
        <v>Tidak Tercapai</v>
      </c>
      <c r="BA45" s="191">
        <v>3</v>
      </c>
      <c r="BB45" s="195">
        <v>0</v>
      </c>
      <c r="BC45" s="192" t="str">
        <f t="shared" si="15"/>
        <v>Tidak Tercapai</v>
      </c>
      <c r="BD45" s="191">
        <v>0</v>
      </c>
      <c r="BE45" s="196">
        <v>105</v>
      </c>
      <c r="BF45" s="192" t="str">
        <f t="shared" si="16"/>
        <v>Tidak Tercapai</v>
      </c>
      <c r="BG45" s="183">
        <v>3</v>
      </c>
      <c r="BH45" s="196">
        <v>44</v>
      </c>
      <c r="BI45" s="192" t="str">
        <f t="shared" si="17"/>
        <v>Tidak Tercapai</v>
      </c>
      <c r="BJ45" s="196">
        <v>2</v>
      </c>
      <c r="BK45" s="196">
        <v>93</v>
      </c>
      <c r="BL45" s="192" t="str">
        <f t="shared" si="18"/>
        <v>Tidak Tercapai</v>
      </c>
      <c r="BM45" s="196">
        <v>3</v>
      </c>
      <c r="BN45" s="196">
        <v>33</v>
      </c>
      <c r="BO45" s="192" t="str">
        <f t="shared" si="19"/>
        <v>Tidak Tercapai</v>
      </c>
      <c r="BP45" s="196">
        <v>5</v>
      </c>
      <c r="BQ45" s="196">
        <v>38</v>
      </c>
      <c r="BR45" s="192" t="str">
        <f t="shared" si="20"/>
        <v>Tidak Tercapai</v>
      </c>
      <c r="BS45" s="196">
        <v>2</v>
      </c>
      <c r="BT45" s="196">
        <v>59</v>
      </c>
      <c r="BU45" s="192" t="str">
        <f t="shared" si="21"/>
        <v>Tidak Tercapai</v>
      </c>
      <c r="BV45" s="197">
        <v>3.0369999999999999</v>
      </c>
      <c r="BW45" s="196">
        <v>0</v>
      </c>
      <c r="BX45" s="192" t="str">
        <f t="shared" si="22"/>
        <v>Tidak Tercapai</v>
      </c>
      <c r="BY45" s="196">
        <v>0</v>
      </c>
      <c r="BZ45" s="196">
        <v>71</v>
      </c>
      <c r="CA45" s="192" t="str">
        <f t="shared" si="23"/>
        <v>Tidak Tercapai</v>
      </c>
      <c r="CB45" s="196">
        <v>155</v>
      </c>
      <c r="CC45" s="196">
        <v>440</v>
      </c>
      <c r="CD45" s="192" t="str">
        <f t="shared" si="24"/>
        <v>Tercapai</v>
      </c>
      <c r="CE45" s="196">
        <v>4</v>
      </c>
      <c r="CF45" s="196">
        <v>158</v>
      </c>
      <c r="CG45" s="192" t="str">
        <f t="shared" si="25"/>
        <v>Tercapai</v>
      </c>
      <c r="CH45" s="196">
        <v>0</v>
      </c>
      <c r="CI45" s="196">
        <v>0</v>
      </c>
      <c r="CJ45" s="192" t="str">
        <f t="shared" si="26"/>
        <v>Tidak Tercapai</v>
      </c>
      <c r="CK45" s="196">
        <v>4</v>
      </c>
      <c r="CL45" s="196">
        <v>40</v>
      </c>
      <c r="CM45" s="192" t="str">
        <f t="shared" si="27"/>
        <v>Tidak Tercapai</v>
      </c>
      <c r="CN45" s="196">
        <v>1</v>
      </c>
      <c r="CO45" s="196">
        <v>0</v>
      </c>
      <c r="CP45" s="192" t="str">
        <f t="shared" si="28"/>
        <v>Tidak Tercapai</v>
      </c>
      <c r="CQ45" s="196">
        <v>0</v>
      </c>
      <c r="CR45" s="196">
        <v>0</v>
      </c>
      <c r="CS45" s="192" t="str">
        <f t="shared" si="29"/>
        <v>Tidak Tercapai</v>
      </c>
      <c r="CT45" s="196">
        <v>0</v>
      </c>
      <c r="CU45" s="196">
        <v>10</v>
      </c>
      <c r="CV45" s="192" t="str">
        <f t="shared" si="30"/>
        <v>Tidak Tercapai</v>
      </c>
      <c r="CW45" s="196">
        <v>1</v>
      </c>
      <c r="CX45" s="196">
        <v>54</v>
      </c>
      <c r="CY45" s="192" t="str">
        <f t="shared" si="31"/>
        <v>Tidak Tercapai</v>
      </c>
      <c r="CZ45" s="196">
        <v>1</v>
      </c>
      <c r="DA45" s="196">
        <v>13</v>
      </c>
      <c r="DB45" s="192" t="str">
        <f t="shared" si="32"/>
        <v>Tidak Tercapai</v>
      </c>
      <c r="DC45" s="196">
        <v>4</v>
      </c>
      <c r="DD45" s="196">
        <v>10</v>
      </c>
      <c r="DE45" s="192" t="str">
        <f t="shared" si="33"/>
        <v>Tidak Tercapai</v>
      </c>
      <c r="DF45" s="196">
        <v>1</v>
      </c>
      <c r="DG45" s="69"/>
      <c r="DH45" s="69"/>
      <c r="DI45" s="69"/>
      <c r="DJ45" s="69"/>
      <c r="DK45" s="69"/>
      <c r="DL45" s="69"/>
    </row>
    <row r="46" spans="1:116" ht="15.5" x14ac:dyDescent="0.35">
      <c r="A46" s="181">
        <v>44</v>
      </c>
      <c r="B46" s="200" t="s">
        <v>568</v>
      </c>
      <c r="C46" s="181" t="s">
        <v>567</v>
      </c>
      <c r="D46" s="181">
        <v>8039</v>
      </c>
      <c r="E46" s="181">
        <v>82</v>
      </c>
      <c r="F46" s="183">
        <v>4363</v>
      </c>
      <c r="G46" s="184" t="s">
        <v>520</v>
      </c>
      <c r="H46" s="183">
        <v>2818</v>
      </c>
      <c r="I46" s="183">
        <v>0</v>
      </c>
      <c r="J46" s="184" t="str">
        <f t="shared" si="0"/>
        <v>Tidak Tercapai</v>
      </c>
      <c r="K46" s="183">
        <v>0</v>
      </c>
      <c r="L46" s="183">
        <v>0</v>
      </c>
      <c r="M46" s="184" t="str">
        <f t="shared" si="1"/>
        <v>Tidak Tercapai</v>
      </c>
      <c r="N46" s="183">
        <v>0</v>
      </c>
      <c r="O46" s="181">
        <v>39</v>
      </c>
      <c r="P46" s="184" t="str">
        <f t="shared" si="2"/>
        <v>Tidak Tercapai</v>
      </c>
      <c r="Q46" s="185">
        <v>0</v>
      </c>
      <c r="R46" s="181">
        <v>63</v>
      </c>
      <c r="S46" s="186" t="str">
        <f t="shared" si="3"/>
        <v>Tidak Tercapai</v>
      </c>
      <c r="T46" s="185">
        <v>17</v>
      </c>
      <c r="U46" s="187">
        <v>74</v>
      </c>
      <c r="V46" s="186" t="str">
        <f t="shared" si="4"/>
        <v>Tercapai</v>
      </c>
      <c r="W46" s="188">
        <v>0</v>
      </c>
      <c r="X46" s="188">
        <v>153</v>
      </c>
      <c r="Y46" s="189" t="str">
        <f t="shared" si="5"/>
        <v>Tercapai</v>
      </c>
      <c r="Z46" s="190">
        <v>0</v>
      </c>
      <c r="AA46" s="191">
        <v>419</v>
      </c>
      <c r="AB46" s="192" t="str">
        <f t="shared" si="6"/>
        <v>Tercapai</v>
      </c>
      <c r="AC46" s="191">
        <v>36</v>
      </c>
      <c r="AD46" s="191">
        <v>138</v>
      </c>
      <c r="AE46" s="192" t="str">
        <f t="shared" si="7"/>
        <v>Tercapai</v>
      </c>
      <c r="AF46" s="191">
        <v>0</v>
      </c>
      <c r="AG46" s="191">
        <v>232</v>
      </c>
      <c r="AH46" s="192" t="str">
        <f t="shared" si="8"/>
        <v>Tercapai</v>
      </c>
      <c r="AI46" s="191">
        <v>9</v>
      </c>
      <c r="AJ46" s="191">
        <v>348</v>
      </c>
      <c r="AK46" s="192" t="str">
        <f t="shared" si="9"/>
        <v>Tercapai</v>
      </c>
      <c r="AL46" s="191">
        <v>2</v>
      </c>
      <c r="AM46" s="191">
        <v>376</v>
      </c>
      <c r="AN46" s="192" t="str">
        <f t="shared" si="10"/>
        <v>Tercapai</v>
      </c>
      <c r="AO46" s="191">
        <v>36</v>
      </c>
      <c r="AP46" s="191">
        <v>371</v>
      </c>
      <c r="AQ46" s="192" t="str">
        <f t="shared" si="11"/>
        <v>Tercapai</v>
      </c>
      <c r="AR46" s="191">
        <v>25</v>
      </c>
      <c r="AS46" s="191">
        <v>251</v>
      </c>
      <c r="AT46" s="192" t="str">
        <f t="shared" si="12"/>
        <v>Tercapai</v>
      </c>
      <c r="AU46" s="191">
        <v>6</v>
      </c>
      <c r="AV46" s="183">
        <v>226</v>
      </c>
      <c r="AW46" s="192" t="str">
        <f t="shared" si="13"/>
        <v>Tercapai</v>
      </c>
      <c r="AX46" s="191">
        <v>8</v>
      </c>
      <c r="AY46" s="191">
        <v>58</v>
      </c>
      <c r="AZ46" s="192" t="str">
        <f t="shared" si="14"/>
        <v>Tidak Tercapai</v>
      </c>
      <c r="BA46" s="191">
        <v>8</v>
      </c>
      <c r="BB46" s="195">
        <v>0</v>
      </c>
      <c r="BC46" s="192" t="str">
        <f t="shared" si="15"/>
        <v>Tidak Tercapai</v>
      </c>
      <c r="BD46" s="191">
        <v>1</v>
      </c>
      <c r="BE46" s="196">
        <v>48</v>
      </c>
      <c r="BF46" s="192" t="str">
        <f t="shared" si="16"/>
        <v>Tidak Tercapai</v>
      </c>
      <c r="BG46" s="183">
        <v>5</v>
      </c>
      <c r="BH46" s="196">
        <v>46</v>
      </c>
      <c r="BI46" s="192" t="str">
        <f t="shared" si="17"/>
        <v>Tidak Tercapai</v>
      </c>
      <c r="BJ46" s="196">
        <v>7</v>
      </c>
      <c r="BK46" s="196">
        <v>74</v>
      </c>
      <c r="BL46" s="192" t="str">
        <f t="shared" si="18"/>
        <v>Tidak Tercapai</v>
      </c>
      <c r="BM46" s="196">
        <v>1</v>
      </c>
      <c r="BN46" s="196">
        <v>12</v>
      </c>
      <c r="BO46" s="192" t="str">
        <f t="shared" si="19"/>
        <v>Tidak Tercapai</v>
      </c>
      <c r="BP46" s="196">
        <v>1</v>
      </c>
      <c r="BQ46" s="196">
        <v>17</v>
      </c>
      <c r="BR46" s="192" t="str">
        <f t="shared" si="20"/>
        <v>Tidak Tercapai</v>
      </c>
      <c r="BS46" s="196">
        <v>0</v>
      </c>
      <c r="BT46" s="196">
        <v>336</v>
      </c>
      <c r="BU46" s="192" t="str">
        <f t="shared" si="21"/>
        <v>Tercapai</v>
      </c>
      <c r="BV46" s="197">
        <v>2.9849999999999999</v>
      </c>
      <c r="BW46" s="196">
        <v>0</v>
      </c>
      <c r="BX46" s="192" t="str">
        <f t="shared" si="22"/>
        <v>Tidak Tercapai</v>
      </c>
      <c r="BY46" s="196">
        <v>0</v>
      </c>
      <c r="BZ46" s="196">
        <v>173</v>
      </c>
      <c r="CA46" s="192" t="str">
        <f t="shared" si="23"/>
        <v>Tercapai</v>
      </c>
      <c r="CB46" s="196">
        <v>66</v>
      </c>
      <c r="CC46" s="196">
        <v>316</v>
      </c>
      <c r="CD46" s="192" t="str">
        <f t="shared" si="24"/>
        <v>Tercapai</v>
      </c>
      <c r="CE46" s="196">
        <v>7</v>
      </c>
      <c r="CF46" s="196">
        <v>161</v>
      </c>
      <c r="CG46" s="192" t="str">
        <f t="shared" si="25"/>
        <v>Tercapai</v>
      </c>
      <c r="CH46" s="196">
        <v>3</v>
      </c>
      <c r="CI46" s="196">
        <v>0</v>
      </c>
      <c r="CJ46" s="192" t="str">
        <f t="shared" si="26"/>
        <v>Tidak Tercapai</v>
      </c>
      <c r="CK46" s="196">
        <v>3</v>
      </c>
      <c r="CL46" s="196">
        <v>56</v>
      </c>
      <c r="CM46" s="192" t="str">
        <f t="shared" si="27"/>
        <v>Tidak Tercapai</v>
      </c>
      <c r="CN46" s="196">
        <v>1</v>
      </c>
      <c r="CO46" s="196">
        <v>0</v>
      </c>
      <c r="CP46" s="192" t="str">
        <f t="shared" si="28"/>
        <v>Tidak Tercapai</v>
      </c>
      <c r="CQ46" s="196">
        <v>0</v>
      </c>
      <c r="CR46" s="196">
        <v>0</v>
      </c>
      <c r="CS46" s="192" t="str">
        <f t="shared" si="29"/>
        <v>Tidak Tercapai</v>
      </c>
      <c r="CT46" s="196">
        <v>0</v>
      </c>
      <c r="CU46" s="196">
        <v>3</v>
      </c>
      <c r="CV46" s="192" t="str">
        <f t="shared" si="30"/>
        <v>Tidak Tercapai</v>
      </c>
      <c r="CW46" s="196">
        <v>0</v>
      </c>
      <c r="CX46" s="196">
        <v>127</v>
      </c>
      <c r="CY46" s="192" t="str">
        <f t="shared" si="31"/>
        <v>Tercapai</v>
      </c>
      <c r="CZ46" s="196">
        <v>0</v>
      </c>
      <c r="DA46" s="196">
        <v>10</v>
      </c>
      <c r="DB46" s="192" t="str">
        <f t="shared" si="32"/>
        <v>Tidak Tercapai</v>
      </c>
      <c r="DC46" s="196">
        <v>0</v>
      </c>
      <c r="DD46" s="196">
        <v>14</v>
      </c>
      <c r="DE46" s="192" t="str">
        <f t="shared" si="33"/>
        <v>Tidak Tercapai</v>
      </c>
      <c r="DF46" s="196">
        <v>0</v>
      </c>
      <c r="DG46" s="69"/>
      <c r="DH46" s="69"/>
      <c r="DI46" s="69"/>
      <c r="DJ46" s="69"/>
      <c r="DK46" s="69"/>
      <c r="DL46" s="69"/>
    </row>
    <row r="47" spans="1:116" ht="13" x14ac:dyDescent="0.3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201"/>
      <c r="Q47" s="69"/>
      <c r="R47" s="69"/>
      <c r="S47" s="69"/>
      <c r="T47" s="69"/>
      <c r="U47" s="202"/>
      <c r="V47" s="69"/>
      <c r="W47" s="69"/>
      <c r="X47" s="69"/>
      <c r="Y47" s="69"/>
      <c r="Z47" s="69"/>
      <c r="AA47" s="69"/>
      <c r="AB47" s="203"/>
      <c r="AC47" s="69"/>
      <c r="AD47" s="69"/>
      <c r="AE47" s="203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</row>
    <row r="48" spans="1:116" ht="13" x14ac:dyDescent="0.3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201"/>
      <c r="Q48" s="69"/>
      <c r="R48" s="69"/>
      <c r="S48" s="69"/>
      <c r="T48" s="69"/>
      <c r="U48" s="202"/>
      <c r="V48" s="69"/>
      <c r="W48" s="69"/>
      <c r="X48" s="69"/>
      <c r="Y48" s="69"/>
      <c r="Z48" s="69"/>
      <c r="AA48" s="69"/>
      <c r="AB48" s="203"/>
      <c r="AC48" s="69"/>
      <c r="AD48" s="69"/>
      <c r="AE48" s="203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</row>
    <row r="49" spans="1:116" ht="13" x14ac:dyDescent="0.3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201"/>
      <c r="Q49" s="69"/>
      <c r="R49" s="69"/>
      <c r="S49" s="69"/>
      <c r="T49" s="69"/>
      <c r="U49" s="202"/>
      <c r="V49" s="69"/>
      <c r="W49" s="69"/>
      <c r="X49" s="69"/>
      <c r="Y49" s="69"/>
      <c r="Z49" s="69"/>
      <c r="AA49" s="69"/>
      <c r="AB49" s="203"/>
      <c r="AC49" s="69"/>
      <c r="AD49" s="69"/>
      <c r="AE49" s="203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</row>
    <row r="50" spans="1:116" ht="13" x14ac:dyDescent="0.3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201"/>
      <c r="Q50" s="69"/>
      <c r="R50" s="69"/>
      <c r="S50" s="69"/>
      <c r="T50" s="69"/>
      <c r="U50" s="202"/>
      <c r="V50" s="69"/>
      <c r="W50" s="69"/>
      <c r="X50" s="69"/>
      <c r="Y50" s="69"/>
      <c r="Z50" s="69"/>
      <c r="AA50" s="69"/>
      <c r="AB50" s="203"/>
      <c r="AC50" s="69"/>
      <c r="AD50" s="69"/>
      <c r="AE50" s="203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</row>
    <row r="51" spans="1:116" ht="13" x14ac:dyDescent="0.3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201"/>
      <c r="Q51" s="69"/>
      <c r="R51" s="69"/>
      <c r="S51" s="69"/>
      <c r="T51" s="69"/>
      <c r="U51" s="202"/>
      <c r="V51" s="69"/>
      <c r="W51" s="69"/>
      <c r="X51" s="69"/>
      <c r="Y51" s="69"/>
      <c r="Z51" s="69"/>
      <c r="AA51" s="69"/>
      <c r="AB51" s="203"/>
      <c r="AC51" s="69"/>
      <c r="AD51" s="69"/>
      <c r="AE51" s="203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</row>
    <row r="52" spans="1:116" ht="13" x14ac:dyDescent="0.3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201"/>
      <c r="Q52" s="69"/>
      <c r="R52" s="69"/>
      <c r="S52" s="69"/>
      <c r="T52" s="69"/>
      <c r="U52" s="202"/>
      <c r="V52" s="69"/>
      <c r="W52" s="69"/>
      <c r="X52" s="69"/>
      <c r="Y52" s="69"/>
      <c r="Z52" s="69"/>
      <c r="AA52" s="69"/>
      <c r="AB52" s="203"/>
      <c r="AC52" s="69"/>
      <c r="AD52" s="69"/>
      <c r="AE52" s="203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</row>
    <row r="53" spans="1:116" ht="13" x14ac:dyDescent="0.3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202"/>
      <c r="V53" s="69"/>
      <c r="W53" s="69"/>
      <c r="X53" s="69"/>
      <c r="Y53" s="69"/>
      <c r="Z53" s="69"/>
      <c r="AA53" s="69"/>
      <c r="AB53" s="203"/>
      <c r="AC53" s="69"/>
      <c r="AD53" s="69"/>
      <c r="AE53" s="203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</row>
    <row r="54" spans="1:116" ht="13" x14ac:dyDescent="0.3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202"/>
      <c r="V54" s="69"/>
      <c r="W54" s="69"/>
      <c r="X54" s="69"/>
      <c r="Y54" s="69"/>
      <c r="Z54" s="69"/>
      <c r="AA54" s="69"/>
      <c r="AB54" s="203"/>
      <c r="AC54" s="69"/>
      <c r="AD54" s="69"/>
      <c r="AE54" s="203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</row>
    <row r="55" spans="1:116" ht="13" x14ac:dyDescent="0.3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202"/>
      <c r="V55" s="69"/>
      <c r="W55" s="69"/>
      <c r="X55" s="69"/>
      <c r="Y55" s="69"/>
      <c r="Z55" s="69"/>
      <c r="AA55" s="69"/>
      <c r="AB55" s="203"/>
      <c r="AC55" s="69"/>
      <c r="AD55" s="69"/>
      <c r="AE55" s="203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</row>
    <row r="56" spans="1:116" ht="13" x14ac:dyDescent="0.3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202"/>
      <c r="V56" s="69"/>
      <c r="W56" s="69"/>
      <c r="X56" s="69"/>
      <c r="Y56" s="69"/>
      <c r="Z56" s="69"/>
      <c r="AA56" s="69"/>
      <c r="AB56" s="203"/>
      <c r="AC56" s="69"/>
      <c r="AD56" s="69"/>
      <c r="AE56" s="203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</row>
    <row r="57" spans="1:116" ht="13" x14ac:dyDescent="0.3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202"/>
      <c r="V57" s="69"/>
      <c r="W57" s="69"/>
      <c r="X57" s="69"/>
      <c r="Y57" s="69"/>
      <c r="Z57" s="69"/>
      <c r="AA57" s="69"/>
      <c r="AB57" s="203"/>
      <c r="AC57" s="69"/>
      <c r="AD57" s="69"/>
      <c r="AE57" s="203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</row>
    <row r="58" spans="1:116" ht="13" x14ac:dyDescent="0.3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202"/>
      <c r="V58" s="69"/>
      <c r="W58" s="69"/>
      <c r="X58" s="69"/>
      <c r="Y58" s="69"/>
      <c r="Z58" s="69"/>
      <c r="AA58" s="69"/>
      <c r="AB58" s="203"/>
      <c r="AC58" s="69"/>
      <c r="AD58" s="69"/>
      <c r="AE58" s="203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</row>
    <row r="59" spans="1:116" ht="13" x14ac:dyDescent="0.3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202"/>
      <c r="V59" s="69"/>
      <c r="W59" s="69"/>
      <c r="X59" s="69"/>
      <c r="Y59" s="69"/>
      <c r="Z59" s="69"/>
      <c r="AA59" s="69"/>
      <c r="AB59" s="203"/>
      <c r="AC59" s="69"/>
      <c r="AD59" s="69"/>
      <c r="AE59" s="203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</row>
    <row r="60" spans="1:116" ht="13" x14ac:dyDescent="0.3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202"/>
      <c r="V60" s="69"/>
      <c r="W60" s="69"/>
      <c r="X60" s="69"/>
      <c r="Y60" s="69"/>
      <c r="Z60" s="69"/>
      <c r="AA60" s="69"/>
      <c r="AB60" s="203"/>
      <c r="AC60" s="69"/>
      <c r="AD60" s="69"/>
      <c r="AE60" s="203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</row>
    <row r="61" spans="1:116" ht="13" x14ac:dyDescent="0.3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202"/>
      <c r="V61" s="69"/>
      <c r="W61" s="69"/>
      <c r="X61" s="69"/>
      <c r="Y61" s="69"/>
      <c r="Z61" s="69"/>
      <c r="AA61" s="69"/>
      <c r="AB61" s="203"/>
      <c r="AC61" s="69"/>
      <c r="AD61" s="69"/>
      <c r="AE61" s="203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</row>
    <row r="62" spans="1:116" ht="13" x14ac:dyDescent="0.3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202"/>
      <c r="V62" s="69"/>
      <c r="W62" s="69"/>
      <c r="X62" s="69"/>
      <c r="Y62" s="69"/>
      <c r="Z62" s="69"/>
      <c r="AA62" s="69"/>
      <c r="AB62" s="203"/>
      <c r="AC62" s="69"/>
      <c r="AD62" s="69"/>
      <c r="AE62" s="203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</row>
    <row r="63" spans="1:116" ht="13" x14ac:dyDescent="0.3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202"/>
      <c r="V63" s="69"/>
      <c r="W63" s="69"/>
      <c r="X63" s="69"/>
      <c r="Y63" s="69"/>
      <c r="Z63" s="69"/>
      <c r="AA63" s="69"/>
      <c r="AB63" s="203"/>
      <c r="AC63" s="69"/>
      <c r="AD63" s="69"/>
      <c r="AE63" s="203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</row>
    <row r="64" spans="1:116" ht="13" x14ac:dyDescent="0.3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202"/>
      <c r="V64" s="69"/>
      <c r="W64" s="69"/>
      <c r="X64" s="69"/>
      <c r="Y64" s="69"/>
      <c r="Z64" s="69"/>
      <c r="AA64" s="69"/>
      <c r="AB64" s="203"/>
      <c r="AC64" s="69"/>
      <c r="AD64" s="69"/>
      <c r="AE64" s="203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</row>
    <row r="65" spans="1:116" ht="13" x14ac:dyDescent="0.3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202"/>
      <c r="V65" s="69"/>
      <c r="W65" s="69"/>
      <c r="X65" s="69"/>
      <c r="Y65" s="69"/>
      <c r="Z65" s="69"/>
      <c r="AA65" s="69"/>
      <c r="AB65" s="203"/>
      <c r="AC65" s="69"/>
      <c r="AD65" s="69"/>
      <c r="AE65" s="203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</row>
    <row r="66" spans="1:116" ht="13" x14ac:dyDescent="0.3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202"/>
      <c r="V66" s="69"/>
      <c r="W66" s="69"/>
      <c r="X66" s="69"/>
      <c r="Y66" s="69"/>
      <c r="Z66" s="69"/>
      <c r="AA66" s="69"/>
      <c r="AB66" s="203"/>
      <c r="AC66" s="69"/>
      <c r="AD66" s="69"/>
      <c r="AE66" s="203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</row>
    <row r="67" spans="1:116" ht="13" x14ac:dyDescent="0.3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202"/>
      <c r="V67" s="69"/>
      <c r="W67" s="69"/>
      <c r="X67" s="69"/>
      <c r="Y67" s="69"/>
      <c r="Z67" s="69"/>
      <c r="AA67" s="69"/>
      <c r="AB67" s="203"/>
      <c r="AC67" s="69"/>
      <c r="AD67" s="69"/>
      <c r="AE67" s="203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</row>
    <row r="68" spans="1:116" ht="13" x14ac:dyDescent="0.3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202"/>
      <c r="V68" s="69"/>
      <c r="W68" s="69"/>
      <c r="X68" s="69"/>
      <c r="Y68" s="69"/>
      <c r="Z68" s="69"/>
      <c r="AA68" s="69"/>
      <c r="AB68" s="203"/>
      <c r="AC68" s="69"/>
      <c r="AD68" s="69"/>
      <c r="AE68" s="203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</row>
    <row r="69" spans="1:116" ht="13" x14ac:dyDescent="0.3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202"/>
      <c r="V69" s="69"/>
      <c r="W69" s="69"/>
      <c r="X69" s="69"/>
      <c r="Y69" s="69"/>
      <c r="Z69" s="69"/>
      <c r="AA69" s="69"/>
      <c r="AB69" s="203"/>
      <c r="AC69" s="69"/>
      <c r="AD69" s="69"/>
      <c r="AE69" s="203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</row>
    <row r="70" spans="1:116" ht="13" x14ac:dyDescent="0.3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202"/>
      <c r="V70" s="69"/>
      <c r="W70" s="69"/>
      <c r="X70" s="69"/>
      <c r="Y70" s="69"/>
      <c r="Z70" s="69"/>
      <c r="AA70" s="69"/>
      <c r="AB70" s="203"/>
      <c r="AC70" s="69"/>
      <c r="AD70" s="69"/>
      <c r="AE70" s="203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</row>
    <row r="71" spans="1:116" ht="13" x14ac:dyDescent="0.3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202"/>
      <c r="V71" s="69"/>
      <c r="W71" s="69"/>
      <c r="X71" s="69"/>
      <c r="Y71" s="69"/>
      <c r="Z71" s="69"/>
      <c r="AA71" s="69"/>
      <c r="AB71" s="203"/>
      <c r="AC71" s="69"/>
      <c r="AD71" s="69"/>
      <c r="AE71" s="203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</row>
    <row r="72" spans="1:116" ht="13" x14ac:dyDescent="0.3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202"/>
      <c r="V72" s="69"/>
      <c r="W72" s="69"/>
      <c r="X72" s="69"/>
      <c r="Y72" s="69"/>
      <c r="Z72" s="69"/>
      <c r="AA72" s="69"/>
      <c r="AB72" s="203"/>
      <c r="AC72" s="69"/>
      <c r="AD72" s="69"/>
      <c r="AE72" s="203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</row>
    <row r="73" spans="1:116" ht="13" x14ac:dyDescent="0.3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202"/>
      <c r="V73" s="69"/>
      <c r="W73" s="69"/>
      <c r="X73" s="69"/>
      <c r="Y73" s="69"/>
      <c r="Z73" s="69"/>
      <c r="AA73" s="69"/>
      <c r="AB73" s="203"/>
      <c r="AC73" s="69"/>
      <c r="AD73" s="69"/>
      <c r="AE73" s="203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</row>
    <row r="74" spans="1:116" ht="13" x14ac:dyDescent="0.3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202"/>
      <c r="V74" s="69"/>
      <c r="W74" s="69"/>
      <c r="X74" s="69"/>
      <c r="Y74" s="69"/>
      <c r="Z74" s="69"/>
      <c r="AA74" s="69"/>
      <c r="AB74" s="203"/>
      <c r="AC74" s="69"/>
      <c r="AD74" s="69"/>
      <c r="AE74" s="203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</row>
    <row r="75" spans="1:116" ht="13" x14ac:dyDescent="0.3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202"/>
      <c r="V75" s="69"/>
      <c r="W75" s="69"/>
      <c r="X75" s="69"/>
      <c r="Y75" s="69"/>
      <c r="Z75" s="69"/>
      <c r="AA75" s="69"/>
      <c r="AB75" s="203"/>
      <c r="AC75" s="69"/>
      <c r="AD75" s="69"/>
      <c r="AE75" s="203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</row>
    <row r="76" spans="1:116" ht="13" x14ac:dyDescent="0.3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202"/>
      <c r="V76" s="69"/>
      <c r="W76" s="69"/>
      <c r="X76" s="69"/>
      <c r="Y76" s="69"/>
      <c r="Z76" s="69"/>
      <c r="AA76" s="69"/>
      <c r="AB76" s="203"/>
      <c r="AC76" s="69"/>
      <c r="AD76" s="69"/>
      <c r="AE76" s="203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</row>
    <row r="77" spans="1:116" ht="13" x14ac:dyDescent="0.3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202"/>
      <c r="V77" s="69"/>
      <c r="W77" s="69"/>
      <c r="X77" s="69"/>
      <c r="Y77" s="69"/>
      <c r="Z77" s="69"/>
      <c r="AA77" s="69"/>
      <c r="AB77" s="203"/>
      <c r="AC77" s="69"/>
      <c r="AD77" s="69"/>
      <c r="AE77" s="203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</row>
    <row r="78" spans="1:116" ht="13" x14ac:dyDescent="0.3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202"/>
      <c r="V78" s="69"/>
      <c r="W78" s="69"/>
      <c r="X78" s="69"/>
      <c r="Y78" s="69"/>
      <c r="Z78" s="69"/>
      <c r="AA78" s="69"/>
      <c r="AB78" s="203"/>
      <c r="AC78" s="69"/>
      <c r="AD78" s="69"/>
      <c r="AE78" s="203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</row>
    <row r="79" spans="1:116" ht="13" x14ac:dyDescent="0.3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202"/>
      <c r="V79" s="69"/>
      <c r="W79" s="69"/>
      <c r="X79" s="69"/>
      <c r="Y79" s="69"/>
      <c r="Z79" s="69"/>
      <c r="AA79" s="69"/>
      <c r="AB79" s="203"/>
      <c r="AC79" s="69"/>
      <c r="AD79" s="69"/>
      <c r="AE79" s="203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</row>
    <row r="80" spans="1:116" ht="13" x14ac:dyDescent="0.3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202"/>
      <c r="V80" s="69"/>
      <c r="W80" s="69"/>
      <c r="X80" s="69"/>
      <c r="Y80" s="69"/>
      <c r="Z80" s="69"/>
      <c r="AA80" s="69"/>
      <c r="AB80" s="203"/>
      <c r="AC80" s="69"/>
      <c r="AD80" s="69"/>
      <c r="AE80" s="203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</row>
    <row r="81" spans="1:116" ht="13" x14ac:dyDescent="0.3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202"/>
      <c r="V81" s="69"/>
      <c r="W81" s="69"/>
      <c r="X81" s="69"/>
      <c r="Y81" s="69"/>
      <c r="Z81" s="69"/>
      <c r="AA81" s="69"/>
      <c r="AB81" s="203"/>
      <c r="AC81" s="69"/>
      <c r="AD81" s="69"/>
      <c r="AE81" s="203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</row>
    <row r="82" spans="1:116" ht="13" x14ac:dyDescent="0.3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202"/>
      <c r="V82" s="69"/>
      <c r="W82" s="69"/>
      <c r="X82" s="69"/>
      <c r="Y82" s="69"/>
      <c r="Z82" s="69"/>
      <c r="AA82" s="69"/>
      <c r="AB82" s="203"/>
      <c r="AC82" s="69"/>
      <c r="AD82" s="69"/>
      <c r="AE82" s="203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</row>
    <row r="83" spans="1:116" ht="13" x14ac:dyDescent="0.3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202"/>
      <c r="V83" s="69"/>
      <c r="W83" s="69"/>
      <c r="X83" s="69"/>
      <c r="Y83" s="69"/>
      <c r="Z83" s="69"/>
      <c r="AA83" s="69"/>
      <c r="AB83" s="203"/>
      <c r="AC83" s="69"/>
      <c r="AD83" s="69"/>
      <c r="AE83" s="203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</row>
    <row r="84" spans="1:116" ht="13" x14ac:dyDescent="0.3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202"/>
      <c r="V84" s="69"/>
      <c r="W84" s="69"/>
      <c r="X84" s="69"/>
      <c r="Y84" s="69"/>
      <c r="Z84" s="69"/>
      <c r="AA84" s="69"/>
      <c r="AB84" s="203"/>
      <c r="AC84" s="69"/>
      <c r="AD84" s="69"/>
      <c r="AE84" s="203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</row>
    <row r="85" spans="1:116" ht="13" x14ac:dyDescent="0.3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202"/>
      <c r="V85" s="69"/>
      <c r="W85" s="69"/>
      <c r="X85" s="69"/>
      <c r="Y85" s="69"/>
      <c r="Z85" s="69"/>
      <c r="AA85" s="69"/>
      <c r="AB85" s="203"/>
      <c r="AC85" s="69"/>
      <c r="AD85" s="69"/>
      <c r="AE85" s="203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</row>
    <row r="86" spans="1:116" ht="13" x14ac:dyDescent="0.3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202"/>
      <c r="V86" s="69"/>
      <c r="W86" s="69"/>
      <c r="X86" s="69"/>
      <c r="Y86" s="69"/>
      <c r="Z86" s="69"/>
      <c r="AA86" s="69"/>
      <c r="AB86" s="203"/>
      <c r="AC86" s="69"/>
      <c r="AD86" s="69"/>
      <c r="AE86" s="203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</row>
    <row r="87" spans="1:116" ht="13" x14ac:dyDescent="0.3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202"/>
      <c r="V87" s="69"/>
      <c r="W87" s="69"/>
      <c r="X87" s="69"/>
      <c r="Y87" s="69"/>
      <c r="Z87" s="69"/>
      <c r="AA87" s="69"/>
      <c r="AB87" s="203"/>
      <c r="AC87" s="69"/>
      <c r="AD87" s="69"/>
      <c r="AE87" s="203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</row>
    <row r="88" spans="1:116" ht="13" x14ac:dyDescent="0.3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202"/>
      <c r="V88" s="69"/>
      <c r="W88" s="69"/>
      <c r="X88" s="69"/>
      <c r="Y88" s="69"/>
      <c r="Z88" s="69"/>
      <c r="AA88" s="69"/>
      <c r="AB88" s="203"/>
      <c r="AC88" s="69"/>
      <c r="AD88" s="69"/>
      <c r="AE88" s="203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</row>
    <row r="89" spans="1:116" ht="13" x14ac:dyDescent="0.3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202"/>
      <c r="V89" s="69"/>
      <c r="W89" s="69"/>
      <c r="X89" s="69"/>
      <c r="Y89" s="69"/>
      <c r="Z89" s="69"/>
      <c r="AA89" s="69"/>
      <c r="AB89" s="203"/>
      <c r="AC89" s="69"/>
      <c r="AD89" s="69"/>
      <c r="AE89" s="203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69"/>
      <c r="CF89" s="69"/>
      <c r="CG89" s="69"/>
      <c r="CH89" s="69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</row>
    <row r="90" spans="1:116" ht="13" x14ac:dyDescent="0.3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202"/>
      <c r="V90" s="69"/>
      <c r="W90" s="69"/>
      <c r="X90" s="69"/>
      <c r="Y90" s="69"/>
      <c r="Z90" s="69"/>
      <c r="AA90" s="69"/>
      <c r="AB90" s="203"/>
      <c r="AC90" s="69"/>
      <c r="AD90" s="69"/>
      <c r="AE90" s="203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</row>
    <row r="91" spans="1:116" ht="13" x14ac:dyDescent="0.3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202"/>
      <c r="V91" s="69"/>
      <c r="W91" s="69"/>
      <c r="X91" s="69"/>
      <c r="Y91" s="69"/>
      <c r="Z91" s="69"/>
      <c r="AA91" s="69"/>
      <c r="AB91" s="203"/>
      <c r="AC91" s="69"/>
      <c r="AD91" s="69"/>
      <c r="AE91" s="203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69"/>
      <c r="CF91" s="69"/>
      <c r="CG91" s="69"/>
      <c r="CH91" s="69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</row>
    <row r="92" spans="1:116" ht="13" x14ac:dyDescent="0.3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202"/>
      <c r="V92" s="69"/>
      <c r="W92" s="69"/>
      <c r="X92" s="69"/>
      <c r="Y92" s="69"/>
      <c r="Z92" s="69"/>
      <c r="AA92" s="69"/>
      <c r="AB92" s="203"/>
      <c r="AC92" s="69"/>
      <c r="AD92" s="69"/>
      <c r="AE92" s="203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</row>
    <row r="93" spans="1:116" ht="13" x14ac:dyDescent="0.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202"/>
      <c r="V93" s="69"/>
      <c r="W93" s="69"/>
      <c r="X93" s="69"/>
      <c r="Y93" s="69"/>
      <c r="Z93" s="69"/>
      <c r="AA93" s="69"/>
      <c r="AB93" s="203"/>
      <c r="AC93" s="69"/>
      <c r="AD93" s="69"/>
      <c r="AE93" s="203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</row>
    <row r="94" spans="1:116" ht="13" x14ac:dyDescent="0.3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202"/>
      <c r="V94" s="69"/>
      <c r="W94" s="69"/>
      <c r="X94" s="69"/>
      <c r="Y94" s="69"/>
      <c r="Z94" s="69"/>
      <c r="AA94" s="69"/>
      <c r="AB94" s="203"/>
      <c r="AC94" s="69"/>
      <c r="AD94" s="69"/>
      <c r="AE94" s="203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69"/>
      <c r="CF94" s="69"/>
      <c r="CG94" s="69"/>
      <c r="CH94" s="69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</row>
    <row r="95" spans="1:116" ht="13" x14ac:dyDescent="0.3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202"/>
      <c r="V95" s="69"/>
      <c r="W95" s="69"/>
      <c r="X95" s="69"/>
      <c r="Y95" s="69"/>
      <c r="Z95" s="69"/>
      <c r="AA95" s="69"/>
      <c r="AB95" s="203"/>
      <c r="AC95" s="69"/>
      <c r="AD95" s="69"/>
      <c r="AE95" s="203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</row>
    <row r="96" spans="1:116" ht="13" x14ac:dyDescent="0.3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202"/>
      <c r="V96" s="69"/>
      <c r="W96" s="69"/>
      <c r="X96" s="69"/>
      <c r="Y96" s="69"/>
      <c r="Z96" s="69"/>
      <c r="AA96" s="69"/>
      <c r="AB96" s="203"/>
      <c r="AC96" s="69"/>
      <c r="AD96" s="69"/>
      <c r="AE96" s="203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</row>
    <row r="97" spans="1:116" ht="13" x14ac:dyDescent="0.3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202"/>
      <c r="V97" s="69"/>
      <c r="W97" s="69"/>
      <c r="X97" s="69"/>
      <c r="Y97" s="69"/>
      <c r="Z97" s="69"/>
      <c r="AA97" s="69"/>
      <c r="AB97" s="203"/>
      <c r="AC97" s="69"/>
      <c r="AD97" s="69"/>
      <c r="AE97" s="203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</row>
    <row r="98" spans="1:116" ht="13" x14ac:dyDescent="0.3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202"/>
      <c r="V98" s="69"/>
      <c r="W98" s="69"/>
      <c r="X98" s="69"/>
      <c r="Y98" s="69"/>
      <c r="Z98" s="69"/>
      <c r="AA98" s="69"/>
      <c r="AB98" s="203"/>
      <c r="AC98" s="69"/>
      <c r="AD98" s="69"/>
      <c r="AE98" s="203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69"/>
      <c r="CF98" s="69"/>
      <c r="CG98" s="69"/>
      <c r="CH98" s="69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</row>
    <row r="99" spans="1:116" ht="13" x14ac:dyDescent="0.3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202"/>
      <c r="V99" s="69"/>
      <c r="W99" s="69"/>
      <c r="X99" s="69"/>
      <c r="Y99" s="69"/>
      <c r="Z99" s="69"/>
      <c r="AA99" s="69"/>
      <c r="AB99" s="203"/>
      <c r="AC99" s="69"/>
      <c r="AD99" s="69"/>
      <c r="AE99" s="203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69"/>
      <c r="CF99" s="69"/>
      <c r="CG99" s="69"/>
      <c r="CH99" s="69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</row>
    <row r="100" spans="1:116" ht="13" x14ac:dyDescent="0.3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202"/>
      <c r="V100" s="69"/>
      <c r="W100" s="69"/>
      <c r="X100" s="69"/>
      <c r="Y100" s="69"/>
      <c r="Z100" s="69"/>
      <c r="AA100" s="69"/>
      <c r="AB100" s="203"/>
      <c r="AC100" s="69"/>
      <c r="AD100" s="69"/>
      <c r="AE100" s="203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</row>
    <row r="101" spans="1:116" ht="13" x14ac:dyDescent="0.3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202"/>
      <c r="V101" s="69"/>
      <c r="W101" s="69"/>
      <c r="X101" s="69"/>
      <c r="Y101" s="69"/>
      <c r="Z101" s="69"/>
      <c r="AA101" s="69"/>
      <c r="AB101" s="203"/>
      <c r="AC101" s="69"/>
      <c r="AD101" s="69"/>
      <c r="AE101" s="203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</row>
    <row r="102" spans="1:116" ht="13" x14ac:dyDescent="0.3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202"/>
      <c r="V102" s="69"/>
      <c r="W102" s="69"/>
      <c r="X102" s="69"/>
      <c r="Y102" s="69"/>
      <c r="Z102" s="69"/>
      <c r="AA102" s="69"/>
      <c r="AB102" s="203"/>
      <c r="AC102" s="69"/>
      <c r="AD102" s="69"/>
      <c r="AE102" s="203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69"/>
      <c r="CF102" s="69"/>
      <c r="CG102" s="69"/>
      <c r="CH102" s="69"/>
      <c r="CI102" s="69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</row>
    <row r="103" spans="1:116" ht="13" x14ac:dyDescent="0.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202"/>
      <c r="V103" s="69"/>
      <c r="W103" s="69"/>
      <c r="X103" s="69"/>
      <c r="Y103" s="69"/>
      <c r="Z103" s="69"/>
      <c r="AA103" s="69"/>
      <c r="AB103" s="203"/>
      <c r="AC103" s="69"/>
      <c r="AD103" s="69"/>
      <c r="AE103" s="203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</row>
    <row r="104" spans="1:116" ht="13" x14ac:dyDescent="0.3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202"/>
      <c r="V104" s="69"/>
      <c r="W104" s="69"/>
      <c r="X104" s="69"/>
      <c r="Y104" s="69"/>
      <c r="Z104" s="69"/>
      <c r="AA104" s="69"/>
      <c r="AB104" s="203"/>
      <c r="AC104" s="69"/>
      <c r="AD104" s="69"/>
      <c r="AE104" s="203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</row>
    <row r="105" spans="1:116" ht="13" x14ac:dyDescent="0.3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202"/>
      <c r="V105" s="69"/>
      <c r="W105" s="69"/>
      <c r="X105" s="69"/>
      <c r="Y105" s="69"/>
      <c r="Z105" s="69"/>
      <c r="AA105" s="69"/>
      <c r="AB105" s="203"/>
      <c r="AC105" s="69"/>
      <c r="AD105" s="69"/>
      <c r="AE105" s="203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69"/>
      <c r="CF105" s="69"/>
      <c r="CG105" s="69"/>
      <c r="CH105" s="69"/>
      <c r="CI105" s="69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</row>
    <row r="106" spans="1:116" ht="13" x14ac:dyDescent="0.3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202"/>
      <c r="V106" s="69"/>
      <c r="W106" s="69"/>
      <c r="X106" s="69"/>
      <c r="Y106" s="69"/>
      <c r="Z106" s="69"/>
      <c r="AA106" s="69"/>
      <c r="AB106" s="203"/>
      <c r="AC106" s="69"/>
      <c r="AD106" s="69"/>
      <c r="AE106" s="203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69"/>
      <c r="CF106" s="69"/>
      <c r="CG106" s="69"/>
      <c r="CH106" s="69"/>
      <c r="CI106" s="69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</row>
    <row r="107" spans="1:116" ht="13" x14ac:dyDescent="0.3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202"/>
      <c r="V107" s="69"/>
      <c r="W107" s="69"/>
      <c r="X107" s="69"/>
      <c r="Y107" s="69"/>
      <c r="Z107" s="69"/>
      <c r="AA107" s="69"/>
      <c r="AB107" s="203"/>
      <c r="AC107" s="69"/>
      <c r="AD107" s="69"/>
      <c r="AE107" s="203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69"/>
      <c r="CF107" s="69"/>
      <c r="CG107" s="69"/>
      <c r="CH107" s="69"/>
      <c r="CI107" s="69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</row>
    <row r="108" spans="1:116" ht="13" x14ac:dyDescent="0.3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202"/>
      <c r="V108" s="69"/>
      <c r="W108" s="69"/>
      <c r="X108" s="69"/>
      <c r="Y108" s="69"/>
      <c r="Z108" s="69"/>
      <c r="AA108" s="69"/>
      <c r="AB108" s="203"/>
      <c r="AC108" s="69"/>
      <c r="AD108" s="69"/>
      <c r="AE108" s="203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</row>
    <row r="109" spans="1:116" ht="13" x14ac:dyDescent="0.3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202"/>
      <c r="V109" s="69"/>
      <c r="W109" s="69"/>
      <c r="X109" s="69"/>
      <c r="Y109" s="69"/>
      <c r="Z109" s="69"/>
      <c r="AA109" s="69"/>
      <c r="AB109" s="203"/>
      <c r="AC109" s="69"/>
      <c r="AD109" s="69"/>
      <c r="AE109" s="203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</row>
    <row r="110" spans="1:116" ht="13" x14ac:dyDescent="0.3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202"/>
      <c r="V110" s="69"/>
      <c r="W110" s="69"/>
      <c r="X110" s="69"/>
      <c r="Y110" s="69"/>
      <c r="Z110" s="69"/>
      <c r="AA110" s="69"/>
      <c r="AB110" s="203"/>
      <c r="AC110" s="69"/>
      <c r="AD110" s="69"/>
      <c r="AE110" s="203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</row>
    <row r="111" spans="1:116" ht="13" x14ac:dyDescent="0.3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202"/>
      <c r="V111" s="69"/>
      <c r="W111" s="69"/>
      <c r="X111" s="69"/>
      <c r="Y111" s="69"/>
      <c r="Z111" s="69"/>
      <c r="AA111" s="69"/>
      <c r="AB111" s="203"/>
      <c r="AC111" s="69"/>
      <c r="AD111" s="69"/>
      <c r="AE111" s="203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69"/>
      <c r="CF111" s="69"/>
      <c r="CG111" s="69"/>
      <c r="CH111" s="69"/>
      <c r="CI111" s="69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</row>
    <row r="112" spans="1:116" ht="13" x14ac:dyDescent="0.3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202"/>
      <c r="V112" s="69"/>
      <c r="W112" s="69"/>
      <c r="X112" s="69"/>
      <c r="Y112" s="69"/>
      <c r="Z112" s="69"/>
      <c r="AA112" s="69"/>
      <c r="AB112" s="203"/>
      <c r="AC112" s="69"/>
      <c r="AD112" s="69"/>
      <c r="AE112" s="203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</row>
    <row r="113" spans="1:116" ht="13" x14ac:dyDescent="0.3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202"/>
      <c r="V113" s="69"/>
      <c r="W113" s="69"/>
      <c r="X113" s="69"/>
      <c r="Y113" s="69"/>
      <c r="Z113" s="69"/>
      <c r="AA113" s="69"/>
      <c r="AB113" s="203"/>
      <c r="AC113" s="69"/>
      <c r="AD113" s="69"/>
      <c r="AE113" s="203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</row>
    <row r="114" spans="1:116" ht="13" x14ac:dyDescent="0.3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202"/>
      <c r="V114" s="69"/>
      <c r="W114" s="69"/>
      <c r="X114" s="69"/>
      <c r="Y114" s="69"/>
      <c r="Z114" s="69"/>
      <c r="AA114" s="69"/>
      <c r="AB114" s="203"/>
      <c r="AC114" s="69"/>
      <c r="AD114" s="69"/>
      <c r="AE114" s="203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69"/>
      <c r="CF114" s="69"/>
      <c r="CG114" s="69"/>
      <c r="CH114" s="69"/>
      <c r="CI114" s="69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</row>
    <row r="115" spans="1:116" ht="13" x14ac:dyDescent="0.3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202"/>
      <c r="V115" s="69"/>
      <c r="W115" s="69"/>
      <c r="X115" s="69"/>
      <c r="Y115" s="69"/>
      <c r="Z115" s="69"/>
      <c r="AA115" s="69"/>
      <c r="AB115" s="203"/>
      <c r="AC115" s="69"/>
      <c r="AD115" s="69"/>
      <c r="AE115" s="203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</row>
    <row r="116" spans="1:116" ht="13" x14ac:dyDescent="0.3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202"/>
      <c r="V116" s="69"/>
      <c r="W116" s="69"/>
      <c r="X116" s="69"/>
      <c r="Y116" s="69"/>
      <c r="Z116" s="69"/>
      <c r="AA116" s="69"/>
      <c r="AB116" s="203"/>
      <c r="AC116" s="69"/>
      <c r="AD116" s="69"/>
      <c r="AE116" s="203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</row>
    <row r="117" spans="1:116" ht="13" x14ac:dyDescent="0.3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202"/>
      <c r="V117" s="69"/>
      <c r="W117" s="69"/>
      <c r="X117" s="69"/>
      <c r="Y117" s="69"/>
      <c r="Z117" s="69"/>
      <c r="AA117" s="69"/>
      <c r="AB117" s="203"/>
      <c r="AC117" s="69"/>
      <c r="AD117" s="69"/>
      <c r="AE117" s="203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</row>
    <row r="118" spans="1:116" ht="13" x14ac:dyDescent="0.3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202"/>
      <c r="V118" s="69"/>
      <c r="W118" s="69"/>
      <c r="X118" s="69"/>
      <c r="Y118" s="69"/>
      <c r="Z118" s="69"/>
      <c r="AA118" s="69"/>
      <c r="AB118" s="203"/>
      <c r="AC118" s="69"/>
      <c r="AD118" s="69"/>
      <c r="AE118" s="203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</row>
    <row r="119" spans="1:116" ht="13" x14ac:dyDescent="0.3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202"/>
      <c r="V119" s="69"/>
      <c r="W119" s="69"/>
      <c r="X119" s="69"/>
      <c r="Y119" s="69"/>
      <c r="Z119" s="69"/>
      <c r="AA119" s="69"/>
      <c r="AB119" s="203"/>
      <c r="AC119" s="69"/>
      <c r="AD119" s="69"/>
      <c r="AE119" s="203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</row>
    <row r="120" spans="1:116" ht="13" x14ac:dyDescent="0.3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202"/>
      <c r="V120" s="69"/>
      <c r="W120" s="69"/>
      <c r="X120" s="69"/>
      <c r="Y120" s="69"/>
      <c r="Z120" s="69"/>
      <c r="AA120" s="69"/>
      <c r="AB120" s="203"/>
      <c r="AC120" s="69"/>
      <c r="AD120" s="69"/>
      <c r="AE120" s="203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</row>
    <row r="121" spans="1:116" ht="13" x14ac:dyDescent="0.3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202"/>
      <c r="V121" s="69"/>
      <c r="W121" s="69"/>
      <c r="X121" s="69"/>
      <c r="Y121" s="69"/>
      <c r="Z121" s="69"/>
      <c r="AA121" s="69"/>
      <c r="AB121" s="203"/>
      <c r="AC121" s="69"/>
      <c r="AD121" s="69"/>
      <c r="AE121" s="203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</row>
    <row r="122" spans="1:116" ht="13" x14ac:dyDescent="0.3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202"/>
      <c r="V122" s="69"/>
      <c r="W122" s="69"/>
      <c r="X122" s="69"/>
      <c r="Y122" s="69"/>
      <c r="Z122" s="69"/>
      <c r="AA122" s="69"/>
      <c r="AB122" s="203"/>
      <c r="AC122" s="69"/>
      <c r="AD122" s="69"/>
      <c r="AE122" s="203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69"/>
      <c r="CF122" s="69"/>
      <c r="CG122" s="69"/>
      <c r="CH122" s="69"/>
      <c r="CI122" s="69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</row>
    <row r="123" spans="1:116" ht="13" x14ac:dyDescent="0.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202"/>
      <c r="V123" s="69"/>
      <c r="W123" s="69"/>
      <c r="X123" s="69"/>
      <c r="Y123" s="69"/>
      <c r="Z123" s="69"/>
      <c r="AA123" s="69"/>
      <c r="AB123" s="203"/>
      <c r="AC123" s="69"/>
      <c r="AD123" s="69"/>
      <c r="AE123" s="203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</row>
    <row r="124" spans="1:116" ht="13" x14ac:dyDescent="0.3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202"/>
      <c r="V124" s="69"/>
      <c r="W124" s="69"/>
      <c r="X124" s="69"/>
      <c r="Y124" s="69"/>
      <c r="Z124" s="69"/>
      <c r="AA124" s="69"/>
      <c r="AB124" s="203"/>
      <c r="AC124" s="69"/>
      <c r="AD124" s="69"/>
      <c r="AE124" s="203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</row>
    <row r="125" spans="1:116" ht="13" x14ac:dyDescent="0.3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202"/>
      <c r="V125" s="69"/>
      <c r="W125" s="69"/>
      <c r="X125" s="69"/>
      <c r="Y125" s="69"/>
      <c r="Z125" s="69"/>
      <c r="AA125" s="69"/>
      <c r="AB125" s="203"/>
      <c r="AC125" s="69"/>
      <c r="AD125" s="69"/>
      <c r="AE125" s="203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69"/>
      <c r="CF125" s="69"/>
      <c r="CG125" s="69"/>
      <c r="CH125" s="69"/>
      <c r="CI125" s="69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</row>
    <row r="126" spans="1:116" ht="13" x14ac:dyDescent="0.3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202"/>
      <c r="V126" s="69"/>
      <c r="W126" s="69"/>
      <c r="X126" s="69"/>
      <c r="Y126" s="69"/>
      <c r="Z126" s="69"/>
      <c r="AA126" s="69"/>
      <c r="AB126" s="203"/>
      <c r="AC126" s="69"/>
      <c r="AD126" s="69"/>
      <c r="AE126" s="203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69"/>
      <c r="CF126" s="69"/>
      <c r="CG126" s="69"/>
      <c r="CH126" s="69"/>
      <c r="CI126" s="69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</row>
    <row r="127" spans="1:116" ht="13" x14ac:dyDescent="0.3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202"/>
      <c r="V127" s="69"/>
      <c r="W127" s="69"/>
      <c r="X127" s="69"/>
      <c r="Y127" s="69"/>
      <c r="Z127" s="69"/>
      <c r="AA127" s="69"/>
      <c r="AB127" s="203"/>
      <c r="AC127" s="69"/>
      <c r="AD127" s="69"/>
      <c r="AE127" s="203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69"/>
      <c r="CF127" s="69"/>
      <c r="CG127" s="69"/>
      <c r="CH127" s="69"/>
      <c r="CI127" s="69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</row>
    <row r="128" spans="1:116" ht="13" x14ac:dyDescent="0.3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202"/>
      <c r="V128" s="69"/>
      <c r="W128" s="69"/>
      <c r="X128" s="69"/>
      <c r="Y128" s="69"/>
      <c r="Z128" s="69"/>
      <c r="AA128" s="69"/>
      <c r="AB128" s="203"/>
      <c r="AC128" s="69"/>
      <c r="AD128" s="69"/>
      <c r="AE128" s="203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</row>
    <row r="129" spans="1:116" ht="13" x14ac:dyDescent="0.3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202"/>
      <c r="V129" s="69"/>
      <c r="W129" s="69"/>
      <c r="X129" s="69"/>
      <c r="Y129" s="69"/>
      <c r="Z129" s="69"/>
      <c r="AA129" s="69"/>
      <c r="AB129" s="203"/>
      <c r="AC129" s="69"/>
      <c r="AD129" s="69"/>
      <c r="AE129" s="203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69"/>
      <c r="CF129" s="69"/>
      <c r="CG129" s="69"/>
      <c r="CH129" s="69"/>
      <c r="CI129" s="69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</row>
    <row r="130" spans="1:116" ht="13" x14ac:dyDescent="0.3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202"/>
      <c r="V130" s="69"/>
      <c r="W130" s="69"/>
      <c r="X130" s="69"/>
      <c r="Y130" s="69"/>
      <c r="Z130" s="69"/>
      <c r="AA130" s="69"/>
      <c r="AB130" s="203"/>
      <c r="AC130" s="69"/>
      <c r="AD130" s="69"/>
      <c r="AE130" s="203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69"/>
      <c r="CF130" s="69"/>
      <c r="CG130" s="69"/>
      <c r="CH130" s="69"/>
      <c r="CI130" s="69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</row>
    <row r="131" spans="1:116" ht="13" x14ac:dyDescent="0.3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202"/>
      <c r="V131" s="69"/>
      <c r="W131" s="69"/>
      <c r="X131" s="69"/>
      <c r="Y131" s="69"/>
      <c r="Z131" s="69"/>
      <c r="AA131" s="69"/>
      <c r="AB131" s="203"/>
      <c r="AC131" s="69"/>
      <c r="AD131" s="69"/>
      <c r="AE131" s="203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69"/>
      <c r="CF131" s="69"/>
      <c r="CG131" s="69"/>
      <c r="CH131" s="69"/>
      <c r="CI131" s="69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</row>
    <row r="132" spans="1:116" ht="13" x14ac:dyDescent="0.3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202"/>
      <c r="V132" s="69"/>
      <c r="W132" s="69"/>
      <c r="X132" s="69"/>
      <c r="Y132" s="69"/>
      <c r="Z132" s="69"/>
      <c r="AA132" s="69"/>
      <c r="AB132" s="203"/>
      <c r="AC132" s="69"/>
      <c r="AD132" s="69"/>
      <c r="AE132" s="203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</row>
    <row r="133" spans="1:116" ht="13" x14ac:dyDescent="0.3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202"/>
      <c r="V133" s="69"/>
      <c r="W133" s="69"/>
      <c r="X133" s="69"/>
      <c r="Y133" s="69"/>
      <c r="Z133" s="69"/>
      <c r="AA133" s="69"/>
      <c r="AB133" s="203"/>
      <c r="AC133" s="69"/>
      <c r="AD133" s="69"/>
      <c r="AE133" s="203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</row>
    <row r="134" spans="1:116" ht="13" x14ac:dyDescent="0.3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202"/>
      <c r="V134" s="69"/>
      <c r="W134" s="69"/>
      <c r="X134" s="69"/>
      <c r="Y134" s="69"/>
      <c r="Z134" s="69"/>
      <c r="AA134" s="69"/>
      <c r="AB134" s="203"/>
      <c r="AC134" s="69"/>
      <c r="AD134" s="69"/>
      <c r="AE134" s="203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</row>
    <row r="135" spans="1:116" ht="13" x14ac:dyDescent="0.3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202"/>
      <c r="V135" s="69"/>
      <c r="W135" s="69"/>
      <c r="X135" s="69"/>
      <c r="Y135" s="69"/>
      <c r="Z135" s="69"/>
      <c r="AA135" s="69"/>
      <c r="AB135" s="203"/>
      <c r="AC135" s="69"/>
      <c r="AD135" s="69"/>
      <c r="AE135" s="203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</row>
    <row r="136" spans="1:116" ht="13" x14ac:dyDescent="0.3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202"/>
      <c r="V136" s="69"/>
      <c r="W136" s="69"/>
      <c r="X136" s="69"/>
      <c r="Y136" s="69"/>
      <c r="Z136" s="69"/>
      <c r="AA136" s="69"/>
      <c r="AB136" s="203"/>
      <c r="AC136" s="69"/>
      <c r="AD136" s="69"/>
      <c r="AE136" s="203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</row>
    <row r="137" spans="1:116" ht="13" x14ac:dyDescent="0.3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202"/>
      <c r="V137" s="69"/>
      <c r="W137" s="69"/>
      <c r="X137" s="69"/>
      <c r="Y137" s="69"/>
      <c r="Z137" s="69"/>
      <c r="AA137" s="69"/>
      <c r="AB137" s="203"/>
      <c r="AC137" s="69"/>
      <c r="AD137" s="69"/>
      <c r="AE137" s="203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</row>
    <row r="138" spans="1:116" ht="13" x14ac:dyDescent="0.3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202"/>
      <c r="V138" s="69"/>
      <c r="W138" s="69"/>
      <c r="X138" s="69"/>
      <c r="Y138" s="69"/>
      <c r="Z138" s="69"/>
      <c r="AA138" s="69"/>
      <c r="AB138" s="203"/>
      <c r="AC138" s="69"/>
      <c r="AD138" s="69"/>
      <c r="AE138" s="203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</row>
    <row r="139" spans="1:116" ht="13" x14ac:dyDescent="0.3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202"/>
      <c r="V139" s="69"/>
      <c r="W139" s="69"/>
      <c r="X139" s="69"/>
      <c r="Y139" s="69"/>
      <c r="Z139" s="69"/>
      <c r="AA139" s="69"/>
      <c r="AB139" s="203"/>
      <c r="AC139" s="69"/>
      <c r="AD139" s="69"/>
      <c r="AE139" s="203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</row>
    <row r="140" spans="1:116" ht="13" x14ac:dyDescent="0.3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202"/>
      <c r="V140" s="69"/>
      <c r="W140" s="69"/>
      <c r="X140" s="69"/>
      <c r="Y140" s="69"/>
      <c r="Z140" s="69"/>
      <c r="AA140" s="69"/>
      <c r="AB140" s="203"/>
      <c r="AC140" s="69"/>
      <c r="AD140" s="69"/>
      <c r="AE140" s="203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</row>
    <row r="141" spans="1:116" ht="13" x14ac:dyDescent="0.3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202"/>
      <c r="V141" s="69"/>
      <c r="W141" s="69"/>
      <c r="X141" s="69"/>
      <c r="Y141" s="69"/>
      <c r="Z141" s="69"/>
      <c r="AA141" s="69"/>
      <c r="AB141" s="203"/>
      <c r="AC141" s="69"/>
      <c r="AD141" s="69"/>
      <c r="AE141" s="203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</row>
    <row r="142" spans="1:116" ht="13" x14ac:dyDescent="0.3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202"/>
      <c r="V142" s="69"/>
      <c r="W142" s="69"/>
      <c r="X142" s="69"/>
      <c r="Y142" s="69"/>
      <c r="Z142" s="69"/>
      <c r="AA142" s="69"/>
      <c r="AB142" s="203"/>
      <c r="AC142" s="69"/>
      <c r="AD142" s="69"/>
      <c r="AE142" s="203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</row>
    <row r="143" spans="1:116" ht="13" x14ac:dyDescent="0.3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202"/>
      <c r="V143" s="69"/>
      <c r="W143" s="69"/>
      <c r="X143" s="69"/>
      <c r="Y143" s="69"/>
      <c r="Z143" s="69"/>
      <c r="AA143" s="69"/>
      <c r="AB143" s="203"/>
      <c r="AC143" s="69"/>
      <c r="AD143" s="69"/>
      <c r="AE143" s="203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</row>
    <row r="144" spans="1:116" ht="13" x14ac:dyDescent="0.3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202"/>
      <c r="V144" s="69"/>
      <c r="W144" s="69"/>
      <c r="X144" s="69"/>
      <c r="Y144" s="69"/>
      <c r="Z144" s="69"/>
      <c r="AA144" s="69"/>
      <c r="AB144" s="203"/>
      <c r="AC144" s="69"/>
      <c r="AD144" s="69"/>
      <c r="AE144" s="203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</row>
    <row r="145" spans="1:116" ht="13" x14ac:dyDescent="0.3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202"/>
      <c r="V145" s="69"/>
      <c r="W145" s="69"/>
      <c r="X145" s="69"/>
      <c r="Y145" s="69"/>
      <c r="Z145" s="69"/>
      <c r="AA145" s="69"/>
      <c r="AB145" s="203"/>
      <c r="AC145" s="69"/>
      <c r="AD145" s="69"/>
      <c r="AE145" s="203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</row>
    <row r="146" spans="1:116" ht="13" x14ac:dyDescent="0.3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202"/>
      <c r="V146" s="69"/>
      <c r="W146" s="69"/>
      <c r="X146" s="69"/>
      <c r="Y146" s="69"/>
      <c r="Z146" s="69"/>
      <c r="AA146" s="69"/>
      <c r="AB146" s="203"/>
      <c r="AC146" s="69"/>
      <c r="AD146" s="69"/>
      <c r="AE146" s="203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</row>
    <row r="147" spans="1:116" ht="13" x14ac:dyDescent="0.3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202"/>
      <c r="V147" s="69"/>
      <c r="W147" s="69"/>
      <c r="X147" s="69"/>
      <c r="Y147" s="69"/>
      <c r="Z147" s="69"/>
      <c r="AA147" s="69"/>
      <c r="AB147" s="203"/>
      <c r="AC147" s="69"/>
      <c r="AD147" s="69"/>
      <c r="AE147" s="203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</row>
    <row r="148" spans="1:116" ht="13" x14ac:dyDescent="0.3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202"/>
      <c r="V148" s="69"/>
      <c r="W148" s="69"/>
      <c r="X148" s="69"/>
      <c r="Y148" s="69"/>
      <c r="Z148" s="69"/>
      <c r="AA148" s="69"/>
      <c r="AB148" s="203"/>
      <c r="AC148" s="69"/>
      <c r="AD148" s="69"/>
      <c r="AE148" s="203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</row>
    <row r="149" spans="1:116" ht="13" x14ac:dyDescent="0.3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202"/>
      <c r="V149" s="69"/>
      <c r="W149" s="69"/>
      <c r="X149" s="69"/>
      <c r="Y149" s="69"/>
      <c r="Z149" s="69"/>
      <c r="AA149" s="69"/>
      <c r="AB149" s="203"/>
      <c r="AC149" s="69"/>
      <c r="AD149" s="69"/>
      <c r="AE149" s="203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</row>
    <row r="150" spans="1:116" ht="13" x14ac:dyDescent="0.3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202"/>
      <c r="V150" s="69"/>
      <c r="W150" s="69"/>
      <c r="X150" s="69"/>
      <c r="Y150" s="69"/>
      <c r="Z150" s="69"/>
      <c r="AA150" s="69"/>
      <c r="AB150" s="203"/>
      <c r="AC150" s="69"/>
      <c r="AD150" s="69"/>
      <c r="AE150" s="203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</row>
    <row r="151" spans="1:116" ht="13" x14ac:dyDescent="0.3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202"/>
      <c r="V151" s="69"/>
      <c r="W151" s="69"/>
      <c r="X151" s="69"/>
      <c r="Y151" s="69"/>
      <c r="Z151" s="69"/>
      <c r="AA151" s="69"/>
      <c r="AB151" s="203"/>
      <c r="AC151" s="69"/>
      <c r="AD151" s="69"/>
      <c r="AE151" s="203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</row>
    <row r="152" spans="1:116" ht="13" x14ac:dyDescent="0.3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202"/>
      <c r="V152" s="69"/>
      <c r="W152" s="69"/>
      <c r="X152" s="69"/>
      <c r="Y152" s="69"/>
      <c r="Z152" s="69"/>
      <c r="AA152" s="69"/>
      <c r="AB152" s="203"/>
      <c r="AC152" s="69"/>
      <c r="AD152" s="69"/>
      <c r="AE152" s="203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</row>
    <row r="153" spans="1:116" ht="13" x14ac:dyDescent="0.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202"/>
      <c r="V153" s="69"/>
      <c r="W153" s="69"/>
      <c r="X153" s="69"/>
      <c r="Y153" s="69"/>
      <c r="Z153" s="69"/>
      <c r="AA153" s="69"/>
      <c r="AB153" s="203"/>
      <c r="AC153" s="69"/>
      <c r="AD153" s="69"/>
      <c r="AE153" s="203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</row>
    <row r="154" spans="1:116" ht="13" x14ac:dyDescent="0.3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202"/>
      <c r="V154" s="69"/>
      <c r="W154" s="69"/>
      <c r="X154" s="69"/>
      <c r="Y154" s="69"/>
      <c r="Z154" s="69"/>
      <c r="AA154" s="69"/>
      <c r="AB154" s="203"/>
      <c r="AC154" s="69"/>
      <c r="AD154" s="69"/>
      <c r="AE154" s="203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</row>
    <row r="155" spans="1:116" ht="13" x14ac:dyDescent="0.3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202"/>
      <c r="V155" s="69"/>
      <c r="W155" s="69"/>
      <c r="X155" s="69"/>
      <c r="Y155" s="69"/>
      <c r="Z155" s="69"/>
      <c r="AA155" s="69"/>
      <c r="AB155" s="203"/>
      <c r="AC155" s="69"/>
      <c r="AD155" s="69"/>
      <c r="AE155" s="203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</row>
    <row r="156" spans="1:116" ht="13" x14ac:dyDescent="0.3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202"/>
      <c r="V156" s="69"/>
      <c r="W156" s="69"/>
      <c r="X156" s="69"/>
      <c r="Y156" s="69"/>
      <c r="Z156" s="69"/>
      <c r="AA156" s="69"/>
      <c r="AB156" s="203"/>
      <c r="AC156" s="69"/>
      <c r="AD156" s="69"/>
      <c r="AE156" s="203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</row>
    <row r="157" spans="1:116" ht="13" x14ac:dyDescent="0.3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202"/>
      <c r="V157" s="69"/>
      <c r="W157" s="69"/>
      <c r="X157" s="69"/>
      <c r="Y157" s="69"/>
      <c r="Z157" s="69"/>
      <c r="AA157" s="69"/>
      <c r="AB157" s="203"/>
      <c r="AC157" s="69"/>
      <c r="AD157" s="69"/>
      <c r="AE157" s="203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</row>
    <row r="158" spans="1:116" ht="13" x14ac:dyDescent="0.3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202"/>
      <c r="V158" s="69"/>
      <c r="W158" s="69"/>
      <c r="X158" s="69"/>
      <c r="Y158" s="69"/>
      <c r="Z158" s="69"/>
      <c r="AA158" s="69"/>
      <c r="AB158" s="203"/>
      <c r="AC158" s="69"/>
      <c r="AD158" s="69"/>
      <c r="AE158" s="203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69"/>
      <c r="CF158" s="69"/>
      <c r="CG158" s="69"/>
      <c r="CH158" s="69"/>
      <c r="CI158" s="69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</row>
    <row r="159" spans="1:116" ht="13" x14ac:dyDescent="0.3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202"/>
      <c r="V159" s="69"/>
      <c r="W159" s="69"/>
      <c r="X159" s="69"/>
      <c r="Y159" s="69"/>
      <c r="Z159" s="69"/>
      <c r="AA159" s="69"/>
      <c r="AB159" s="203"/>
      <c r="AC159" s="69"/>
      <c r="AD159" s="69"/>
      <c r="AE159" s="203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69"/>
      <c r="CI159" s="69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</row>
    <row r="160" spans="1:116" ht="13" x14ac:dyDescent="0.3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202"/>
      <c r="V160" s="69"/>
      <c r="W160" s="69"/>
      <c r="X160" s="69"/>
      <c r="Y160" s="69"/>
      <c r="Z160" s="69"/>
      <c r="AA160" s="69"/>
      <c r="AB160" s="203"/>
      <c r="AC160" s="69"/>
      <c r="AD160" s="69"/>
      <c r="AE160" s="203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</row>
    <row r="161" spans="1:116" ht="13" x14ac:dyDescent="0.3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202"/>
      <c r="V161" s="69"/>
      <c r="W161" s="69"/>
      <c r="X161" s="69"/>
      <c r="Y161" s="69"/>
      <c r="Z161" s="69"/>
      <c r="AA161" s="69"/>
      <c r="AB161" s="203"/>
      <c r="AC161" s="69"/>
      <c r="AD161" s="69"/>
      <c r="AE161" s="203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</row>
    <row r="162" spans="1:116" ht="13" x14ac:dyDescent="0.3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202"/>
      <c r="V162" s="69"/>
      <c r="W162" s="69"/>
      <c r="X162" s="69"/>
      <c r="Y162" s="69"/>
      <c r="Z162" s="69"/>
      <c r="AA162" s="69"/>
      <c r="AB162" s="203"/>
      <c r="AC162" s="69"/>
      <c r="AD162" s="69"/>
      <c r="AE162" s="203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</row>
    <row r="163" spans="1:116" ht="13" x14ac:dyDescent="0.3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202"/>
      <c r="V163" s="69"/>
      <c r="W163" s="69"/>
      <c r="X163" s="69"/>
      <c r="Y163" s="69"/>
      <c r="Z163" s="69"/>
      <c r="AA163" s="69"/>
      <c r="AB163" s="203"/>
      <c r="AC163" s="69"/>
      <c r="AD163" s="69"/>
      <c r="AE163" s="203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</row>
    <row r="164" spans="1:116" ht="13" x14ac:dyDescent="0.3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202"/>
      <c r="V164" s="69"/>
      <c r="W164" s="69"/>
      <c r="X164" s="69"/>
      <c r="Y164" s="69"/>
      <c r="Z164" s="69"/>
      <c r="AA164" s="69"/>
      <c r="AB164" s="203"/>
      <c r="AC164" s="69"/>
      <c r="AD164" s="69"/>
      <c r="AE164" s="203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69"/>
      <c r="CF164" s="69"/>
      <c r="CG164" s="69"/>
      <c r="CH164" s="69"/>
      <c r="CI164" s="69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</row>
    <row r="165" spans="1:116" ht="13" x14ac:dyDescent="0.3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202"/>
      <c r="V165" s="69"/>
      <c r="W165" s="69"/>
      <c r="X165" s="69"/>
      <c r="Y165" s="69"/>
      <c r="Z165" s="69"/>
      <c r="AA165" s="69"/>
      <c r="AB165" s="203"/>
      <c r="AC165" s="69"/>
      <c r="AD165" s="69"/>
      <c r="AE165" s="203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69"/>
      <c r="CF165" s="69"/>
      <c r="CG165" s="69"/>
      <c r="CH165" s="69"/>
      <c r="CI165" s="69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</row>
    <row r="166" spans="1:116" ht="13" x14ac:dyDescent="0.3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202"/>
      <c r="V166" s="69"/>
      <c r="W166" s="69"/>
      <c r="X166" s="69"/>
      <c r="Y166" s="69"/>
      <c r="Z166" s="69"/>
      <c r="AA166" s="69"/>
      <c r="AB166" s="203"/>
      <c r="AC166" s="69"/>
      <c r="AD166" s="69"/>
      <c r="AE166" s="203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69"/>
      <c r="CF166" s="69"/>
      <c r="CG166" s="69"/>
      <c r="CH166" s="69"/>
      <c r="CI166" s="69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</row>
    <row r="167" spans="1:116" ht="13" x14ac:dyDescent="0.3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202"/>
      <c r="V167" s="69"/>
      <c r="W167" s="69"/>
      <c r="X167" s="69"/>
      <c r="Y167" s="69"/>
      <c r="Z167" s="69"/>
      <c r="AA167" s="69"/>
      <c r="AB167" s="203"/>
      <c r="AC167" s="69"/>
      <c r="AD167" s="69"/>
      <c r="AE167" s="203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69"/>
      <c r="CF167" s="69"/>
      <c r="CG167" s="69"/>
      <c r="CH167" s="69"/>
      <c r="CI167" s="69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</row>
    <row r="168" spans="1:116" ht="13" x14ac:dyDescent="0.3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202"/>
      <c r="V168" s="69"/>
      <c r="W168" s="69"/>
      <c r="X168" s="69"/>
      <c r="Y168" s="69"/>
      <c r="Z168" s="69"/>
      <c r="AA168" s="69"/>
      <c r="AB168" s="203"/>
      <c r="AC168" s="69"/>
      <c r="AD168" s="69"/>
      <c r="AE168" s="203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</row>
    <row r="169" spans="1:116" ht="13" x14ac:dyDescent="0.3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202"/>
      <c r="V169" s="69"/>
      <c r="W169" s="69"/>
      <c r="X169" s="69"/>
      <c r="Y169" s="69"/>
      <c r="Z169" s="69"/>
      <c r="AA169" s="69"/>
      <c r="AB169" s="203"/>
      <c r="AC169" s="69"/>
      <c r="AD169" s="69"/>
      <c r="AE169" s="203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69"/>
      <c r="CF169" s="69"/>
      <c r="CG169" s="69"/>
      <c r="CH169" s="69"/>
      <c r="CI169" s="69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</row>
    <row r="170" spans="1:116" ht="13" x14ac:dyDescent="0.3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202"/>
      <c r="V170" s="69"/>
      <c r="W170" s="69"/>
      <c r="X170" s="69"/>
      <c r="Y170" s="69"/>
      <c r="Z170" s="69"/>
      <c r="AA170" s="69"/>
      <c r="AB170" s="203"/>
      <c r="AC170" s="69"/>
      <c r="AD170" s="69"/>
      <c r="AE170" s="203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69"/>
      <c r="CF170" s="69"/>
      <c r="CG170" s="69"/>
      <c r="CH170" s="69"/>
      <c r="CI170" s="69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</row>
    <row r="171" spans="1:116" ht="13" x14ac:dyDescent="0.3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202"/>
      <c r="V171" s="69"/>
      <c r="W171" s="69"/>
      <c r="X171" s="69"/>
      <c r="Y171" s="69"/>
      <c r="Z171" s="69"/>
      <c r="AA171" s="69"/>
      <c r="AB171" s="203"/>
      <c r="AC171" s="69"/>
      <c r="AD171" s="69"/>
      <c r="AE171" s="203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69"/>
      <c r="CF171" s="69"/>
      <c r="CG171" s="69"/>
      <c r="CH171" s="69"/>
      <c r="CI171" s="69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</row>
    <row r="172" spans="1:116" ht="13" x14ac:dyDescent="0.3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202"/>
      <c r="V172" s="69"/>
      <c r="W172" s="69"/>
      <c r="X172" s="69"/>
      <c r="Y172" s="69"/>
      <c r="Z172" s="69"/>
      <c r="AA172" s="69"/>
      <c r="AB172" s="203"/>
      <c r="AC172" s="69"/>
      <c r="AD172" s="69"/>
      <c r="AE172" s="203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</row>
    <row r="173" spans="1:116" ht="13" x14ac:dyDescent="0.3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202"/>
      <c r="V173" s="69"/>
      <c r="W173" s="69"/>
      <c r="X173" s="69"/>
      <c r="Y173" s="69"/>
      <c r="Z173" s="69"/>
      <c r="AA173" s="69"/>
      <c r="AB173" s="203"/>
      <c r="AC173" s="69"/>
      <c r="AD173" s="69"/>
      <c r="AE173" s="203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69"/>
      <c r="CF173" s="69"/>
      <c r="CG173" s="69"/>
      <c r="CH173" s="69"/>
      <c r="CI173" s="69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</row>
    <row r="174" spans="1:116" ht="13" x14ac:dyDescent="0.3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202"/>
      <c r="V174" s="69"/>
      <c r="W174" s="69"/>
      <c r="X174" s="69"/>
      <c r="Y174" s="69"/>
      <c r="Z174" s="69"/>
      <c r="AA174" s="69"/>
      <c r="AB174" s="203"/>
      <c r="AC174" s="69"/>
      <c r="AD174" s="69"/>
      <c r="AE174" s="203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69"/>
      <c r="CF174" s="69"/>
      <c r="CG174" s="69"/>
      <c r="CH174" s="69"/>
      <c r="CI174" s="69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</row>
    <row r="175" spans="1:116" ht="13" x14ac:dyDescent="0.3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202"/>
      <c r="V175" s="69"/>
      <c r="W175" s="69"/>
      <c r="X175" s="69"/>
      <c r="Y175" s="69"/>
      <c r="Z175" s="69"/>
      <c r="AA175" s="69"/>
      <c r="AB175" s="203"/>
      <c r="AC175" s="69"/>
      <c r="AD175" s="69"/>
      <c r="AE175" s="203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</row>
    <row r="176" spans="1:116" ht="13" x14ac:dyDescent="0.3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202"/>
      <c r="V176" s="69"/>
      <c r="W176" s="69"/>
      <c r="X176" s="69"/>
      <c r="Y176" s="69"/>
      <c r="Z176" s="69"/>
      <c r="AA176" s="69"/>
      <c r="AB176" s="203"/>
      <c r="AC176" s="69"/>
      <c r="AD176" s="69"/>
      <c r="AE176" s="203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</row>
    <row r="177" spans="1:116" ht="13" x14ac:dyDescent="0.3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202"/>
      <c r="V177" s="69"/>
      <c r="W177" s="69"/>
      <c r="X177" s="69"/>
      <c r="Y177" s="69"/>
      <c r="Z177" s="69"/>
      <c r="AA177" s="69"/>
      <c r="AB177" s="203"/>
      <c r="AC177" s="69"/>
      <c r="AD177" s="69"/>
      <c r="AE177" s="203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69"/>
      <c r="CF177" s="69"/>
      <c r="CG177" s="69"/>
      <c r="CH177" s="69"/>
      <c r="CI177" s="69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</row>
    <row r="178" spans="1:116" ht="13" x14ac:dyDescent="0.3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202"/>
      <c r="V178" s="69"/>
      <c r="W178" s="69"/>
      <c r="X178" s="69"/>
      <c r="Y178" s="69"/>
      <c r="Z178" s="69"/>
      <c r="AA178" s="69"/>
      <c r="AB178" s="203"/>
      <c r="AC178" s="69"/>
      <c r="AD178" s="69"/>
      <c r="AE178" s="203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69"/>
      <c r="CF178" s="69"/>
      <c r="CG178" s="69"/>
      <c r="CH178" s="69"/>
      <c r="CI178" s="69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</row>
    <row r="179" spans="1:116" ht="13" x14ac:dyDescent="0.3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202"/>
      <c r="V179" s="69"/>
      <c r="W179" s="69"/>
      <c r="X179" s="69"/>
      <c r="Y179" s="69"/>
      <c r="Z179" s="69"/>
      <c r="AA179" s="69"/>
      <c r="AB179" s="203"/>
      <c r="AC179" s="69"/>
      <c r="AD179" s="69"/>
      <c r="AE179" s="203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69"/>
      <c r="CF179" s="69"/>
      <c r="CG179" s="69"/>
      <c r="CH179" s="69"/>
      <c r="CI179" s="69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</row>
    <row r="180" spans="1:116" ht="13" x14ac:dyDescent="0.3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202"/>
      <c r="V180" s="69"/>
      <c r="W180" s="69"/>
      <c r="X180" s="69"/>
      <c r="Y180" s="69"/>
      <c r="Z180" s="69"/>
      <c r="AA180" s="69"/>
      <c r="AB180" s="203"/>
      <c r="AC180" s="69"/>
      <c r="AD180" s="69"/>
      <c r="AE180" s="203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</row>
    <row r="181" spans="1:116" ht="13" x14ac:dyDescent="0.3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202"/>
      <c r="V181" s="69"/>
      <c r="W181" s="69"/>
      <c r="X181" s="69"/>
      <c r="Y181" s="69"/>
      <c r="Z181" s="69"/>
      <c r="AA181" s="69"/>
      <c r="AB181" s="203"/>
      <c r="AC181" s="69"/>
      <c r="AD181" s="69"/>
      <c r="AE181" s="203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69"/>
      <c r="CF181" s="69"/>
      <c r="CG181" s="69"/>
      <c r="CH181" s="69"/>
      <c r="CI181" s="69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</row>
    <row r="182" spans="1:116" ht="13" x14ac:dyDescent="0.3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202"/>
      <c r="V182" s="69"/>
      <c r="W182" s="69"/>
      <c r="X182" s="69"/>
      <c r="Y182" s="69"/>
      <c r="Z182" s="69"/>
      <c r="AA182" s="69"/>
      <c r="AB182" s="203"/>
      <c r="AC182" s="69"/>
      <c r="AD182" s="69"/>
      <c r="AE182" s="203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69"/>
      <c r="CC182" s="69"/>
      <c r="CD182" s="69"/>
      <c r="CE182" s="69"/>
      <c r="CF182" s="69"/>
      <c r="CG182" s="69"/>
      <c r="CH182" s="69"/>
      <c r="CI182" s="69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</row>
    <row r="183" spans="1:116" ht="13" x14ac:dyDescent="0.3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202"/>
      <c r="V183" s="69"/>
      <c r="W183" s="69"/>
      <c r="X183" s="69"/>
      <c r="Y183" s="69"/>
      <c r="Z183" s="69"/>
      <c r="AA183" s="69"/>
      <c r="AB183" s="203"/>
      <c r="AC183" s="69"/>
      <c r="AD183" s="69"/>
      <c r="AE183" s="203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69"/>
      <c r="CF183" s="69"/>
      <c r="CG183" s="69"/>
      <c r="CH183" s="69"/>
      <c r="CI183" s="69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</row>
    <row r="184" spans="1:116" ht="13" x14ac:dyDescent="0.3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202"/>
      <c r="V184" s="69"/>
      <c r="W184" s="69"/>
      <c r="X184" s="69"/>
      <c r="Y184" s="69"/>
      <c r="Z184" s="69"/>
      <c r="AA184" s="69"/>
      <c r="AB184" s="203"/>
      <c r="AC184" s="69"/>
      <c r="AD184" s="69"/>
      <c r="AE184" s="203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</row>
    <row r="185" spans="1:116" ht="13" x14ac:dyDescent="0.3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202"/>
      <c r="V185" s="69"/>
      <c r="W185" s="69"/>
      <c r="X185" s="69"/>
      <c r="Y185" s="69"/>
      <c r="Z185" s="69"/>
      <c r="AA185" s="69"/>
      <c r="AB185" s="203"/>
      <c r="AC185" s="69"/>
      <c r="AD185" s="69"/>
      <c r="AE185" s="203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69"/>
      <c r="CF185" s="69"/>
      <c r="CG185" s="69"/>
      <c r="CH185" s="69"/>
      <c r="CI185" s="69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</row>
    <row r="186" spans="1:116" ht="13" x14ac:dyDescent="0.3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202"/>
      <c r="V186" s="69"/>
      <c r="W186" s="69"/>
      <c r="X186" s="69"/>
      <c r="Y186" s="69"/>
      <c r="Z186" s="69"/>
      <c r="AA186" s="69"/>
      <c r="AB186" s="203"/>
      <c r="AC186" s="69"/>
      <c r="AD186" s="69"/>
      <c r="AE186" s="203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69"/>
      <c r="CF186" s="69"/>
      <c r="CG186" s="69"/>
      <c r="CH186" s="69"/>
      <c r="CI186" s="69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</row>
    <row r="187" spans="1:116" ht="13" x14ac:dyDescent="0.3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202"/>
      <c r="V187" s="69"/>
      <c r="W187" s="69"/>
      <c r="X187" s="69"/>
      <c r="Y187" s="69"/>
      <c r="Z187" s="69"/>
      <c r="AA187" s="69"/>
      <c r="AB187" s="203"/>
      <c r="AC187" s="69"/>
      <c r="AD187" s="69"/>
      <c r="AE187" s="203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69"/>
      <c r="CF187" s="69"/>
      <c r="CG187" s="69"/>
      <c r="CH187" s="69"/>
      <c r="CI187" s="69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</row>
    <row r="188" spans="1:116" ht="13" x14ac:dyDescent="0.3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202"/>
      <c r="V188" s="69"/>
      <c r="W188" s="69"/>
      <c r="X188" s="69"/>
      <c r="Y188" s="69"/>
      <c r="Z188" s="69"/>
      <c r="AA188" s="69"/>
      <c r="AB188" s="203"/>
      <c r="AC188" s="69"/>
      <c r="AD188" s="69"/>
      <c r="AE188" s="203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</row>
    <row r="189" spans="1:116" ht="13" x14ac:dyDescent="0.3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202"/>
      <c r="V189" s="69"/>
      <c r="W189" s="69"/>
      <c r="X189" s="69"/>
      <c r="Y189" s="69"/>
      <c r="Z189" s="69"/>
      <c r="AA189" s="69"/>
      <c r="AB189" s="203"/>
      <c r="AC189" s="69"/>
      <c r="AD189" s="69"/>
      <c r="AE189" s="203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69"/>
      <c r="CF189" s="69"/>
      <c r="CG189" s="69"/>
      <c r="CH189" s="69"/>
      <c r="CI189" s="69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</row>
    <row r="190" spans="1:116" ht="13" x14ac:dyDescent="0.3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202"/>
      <c r="V190" s="69"/>
      <c r="W190" s="69"/>
      <c r="X190" s="69"/>
      <c r="Y190" s="69"/>
      <c r="Z190" s="69"/>
      <c r="AA190" s="69"/>
      <c r="AB190" s="203"/>
      <c r="AC190" s="69"/>
      <c r="AD190" s="69"/>
      <c r="AE190" s="203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69"/>
      <c r="CF190" s="69"/>
      <c r="CG190" s="69"/>
      <c r="CH190" s="69"/>
      <c r="CI190" s="69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</row>
    <row r="191" spans="1:116" ht="13" x14ac:dyDescent="0.3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202"/>
      <c r="V191" s="69"/>
      <c r="W191" s="69"/>
      <c r="X191" s="69"/>
      <c r="Y191" s="69"/>
      <c r="Z191" s="69"/>
      <c r="AA191" s="69"/>
      <c r="AB191" s="203"/>
      <c r="AC191" s="69"/>
      <c r="AD191" s="69"/>
      <c r="AE191" s="203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69"/>
      <c r="CF191" s="69"/>
      <c r="CG191" s="69"/>
      <c r="CH191" s="69"/>
      <c r="CI191" s="69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</row>
    <row r="192" spans="1:116" ht="13" x14ac:dyDescent="0.3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202"/>
      <c r="V192" s="69"/>
      <c r="W192" s="69"/>
      <c r="X192" s="69"/>
      <c r="Y192" s="69"/>
      <c r="Z192" s="69"/>
      <c r="AA192" s="69"/>
      <c r="AB192" s="203"/>
      <c r="AC192" s="69"/>
      <c r="AD192" s="69"/>
      <c r="AE192" s="203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</row>
    <row r="193" spans="1:116" ht="13" x14ac:dyDescent="0.3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202"/>
      <c r="V193" s="69"/>
      <c r="W193" s="69"/>
      <c r="X193" s="69"/>
      <c r="Y193" s="69"/>
      <c r="Z193" s="69"/>
      <c r="AA193" s="69"/>
      <c r="AB193" s="203"/>
      <c r="AC193" s="69"/>
      <c r="AD193" s="69"/>
      <c r="AE193" s="203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69"/>
      <c r="CF193" s="69"/>
      <c r="CG193" s="69"/>
      <c r="CH193" s="69"/>
      <c r="CI193" s="69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</row>
    <row r="194" spans="1:116" ht="13" x14ac:dyDescent="0.3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202"/>
      <c r="V194" s="69"/>
      <c r="W194" s="69"/>
      <c r="X194" s="69"/>
      <c r="Y194" s="69"/>
      <c r="Z194" s="69"/>
      <c r="AA194" s="69"/>
      <c r="AB194" s="203"/>
      <c r="AC194" s="69"/>
      <c r="AD194" s="69"/>
      <c r="AE194" s="203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69"/>
      <c r="CF194" s="69"/>
      <c r="CG194" s="69"/>
      <c r="CH194" s="69"/>
      <c r="CI194" s="69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</row>
    <row r="195" spans="1:116" ht="13" x14ac:dyDescent="0.3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202"/>
      <c r="V195" s="69"/>
      <c r="W195" s="69"/>
      <c r="X195" s="69"/>
      <c r="Y195" s="69"/>
      <c r="Z195" s="69"/>
      <c r="AA195" s="69"/>
      <c r="AB195" s="203"/>
      <c r="AC195" s="69"/>
      <c r="AD195" s="69"/>
      <c r="AE195" s="203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69"/>
      <c r="CF195" s="69"/>
      <c r="CG195" s="69"/>
      <c r="CH195" s="69"/>
      <c r="CI195" s="69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</row>
    <row r="196" spans="1:116" ht="13" x14ac:dyDescent="0.3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202"/>
      <c r="V196" s="69"/>
      <c r="W196" s="69"/>
      <c r="X196" s="69"/>
      <c r="Y196" s="69"/>
      <c r="Z196" s="69"/>
      <c r="AA196" s="69"/>
      <c r="AB196" s="203"/>
      <c r="AC196" s="69"/>
      <c r="AD196" s="69"/>
      <c r="AE196" s="203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69"/>
      <c r="CF196" s="69"/>
      <c r="CG196" s="69"/>
      <c r="CH196" s="69"/>
      <c r="CI196" s="69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</row>
    <row r="197" spans="1:116" ht="13" x14ac:dyDescent="0.3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202"/>
      <c r="V197" s="69"/>
      <c r="W197" s="69"/>
      <c r="X197" s="69"/>
      <c r="Y197" s="69"/>
      <c r="Z197" s="69"/>
      <c r="AA197" s="69"/>
      <c r="AB197" s="203"/>
      <c r="AC197" s="69"/>
      <c r="AD197" s="69"/>
      <c r="AE197" s="203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</row>
    <row r="198" spans="1:116" ht="13" x14ac:dyDescent="0.3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202"/>
      <c r="V198" s="69"/>
      <c r="W198" s="69"/>
      <c r="X198" s="69"/>
      <c r="Y198" s="69"/>
      <c r="Z198" s="69"/>
      <c r="AA198" s="69"/>
      <c r="AB198" s="203"/>
      <c r="AC198" s="69"/>
      <c r="AD198" s="69"/>
      <c r="AE198" s="203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69"/>
      <c r="CF198" s="69"/>
      <c r="CG198" s="69"/>
      <c r="CH198" s="69"/>
      <c r="CI198" s="69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</row>
    <row r="199" spans="1:116" ht="13" x14ac:dyDescent="0.3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202"/>
      <c r="V199" s="69"/>
      <c r="W199" s="69"/>
      <c r="X199" s="69"/>
      <c r="Y199" s="69"/>
      <c r="Z199" s="69"/>
      <c r="AA199" s="69"/>
      <c r="AB199" s="203"/>
      <c r="AC199" s="69"/>
      <c r="AD199" s="69"/>
      <c r="AE199" s="203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</row>
    <row r="200" spans="1:116" ht="13" x14ac:dyDescent="0.3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202"/>
      <c r="V200" s="69"/>
      <c r="W200" s="69"/>
      <c r="X200" s="69"/>
      <c r="Y200" s="69"/>
      <c r="Z200" s="69"/>
      <c r="AA200" s="69"/>
      <c r="AB200" s="203"/>
      <c r="AC200" s="69"/>
      <c r="AD200" s="69"/>
      <c r="AE200" s="203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</row>
    <row r="201" spans="1:116" ht="13" x14ac:dyDescent="0.3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202"/>
      <c r="V201" s="69"/>
      <c r="W201" s="69"/>
      <c r="X201" s="69"/>
      <c r="Y201" s="69"/>
      <c r="Z201" s="69"/>
      <c r="AA201" s="69"/>
      <c r="AB201" s="203"/>
      <c r="AC201" s="69"/>
      <c r="AD201" s="69"/>
      <c r="AE201" s="203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69"/>
      <c r="CF201" s="69"/>
      <c r="CG201" s="69"/>
      <c r="CH201" s="69"/>
      <c r="CI201" s="69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</row>
    <row r="202" spans="1:116" ht="13" x14ac:dyDescent="0.3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202"/>
      <c r="V202" s="69"/>
      <c r="W202" s="69"/>
      <c r="X202" s="69"/>
      <c r="Y202" s="69"/>
      <c r="Z202" s="69"/>
      <c r="AA202" s="69"/>
      <c r="AB202" s="203"/>
      <c r="AC202" s="69"/>
      <c r="AD202" s="69"/>
      <c r="AE202" s="203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69"/>
      <c r="CF202" s="69"/>
      <c r="CG202" s="69"/>
      <c r="CH202" s="69"/>
      <c r="CI202" s="69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</row>
    <row r="203" spans="1:116" ht="13" x14ac:dyDescent="0.3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202"/>
      <c r="V203" s="69"/>
      <c r="W203" s="69"/>
      <c r="X203" s="69"/>
      <c r="Y203" s="69"/>
      <c r="Z203" s="69"/>
      <c r="AA203" s="69"/>
      <c r="AB203" s="203"/>
      <c r="AC203" s="69"/>
      <c r="AD203" s="69"/>
      <c r="AE203" s="203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69"/>
      <c r="CF203" s="69"/>
      <c r="CG203" s="69"/>
      <c r="CH203" s="69"/>
      <c r="CI203" s="69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</row>
    <row r="204" spans="1:116" ht="13" x14ac:dyDescent="0.3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202"/>
      <c r="V204" s="69"/>
      <c r="W204" s="69"/>
      <c r="X204" s="69"/>
      <c r="Y204" s="69"/>
      <c r="Z204" s="69"/>
      <c r="AA204" s="69"/>
      <c r="AB204" s="203"/>
      <c r="AC204" s="69"/>
      <c r="AD204" s="69"/>
      <c r="AE204" s="203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69"/>
      <c r="CF204" s="69"/>
      <c r="CG204" s="69"/>
      <c r="CH204" s="69"/>
      <c r="CI204" s="69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</row>
    <row r="205" spans="1:116" ht="13" x14ac:dyDescent="0.3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202"/>
      <c r="V205" s="69"/>
      <c r="W205" s="69"/>
      <c r="X205" s="69"/>
      <c r="Y205" s="69"/>
      <c r="Z205" s="69"/>
      <c r="AA205" s="69"/>
      <c r="AB205" s="203"/>
      <c r="AC205" s="69"/>
      <c r="AD205" s="69"/>
      <c r="AE205" s="203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69"/>
      <c r="CF205" s="69"/>
      <c r="CG205" s="69"/>
      <c r="CH205" s="69"/>
      <c r="CI205" s="69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</row>
    <row r="206" spans="1:116" ht="13" x14ac:dyDescent="0.3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202"/>
      <c r="V206" s="69"/>
      <c r="W206" s="69"/>
      <c r="X206" s="69"/>
      <c r="Y206" s="69"/>
      <c r="Z206" s="69"/>
      <c r="AA206" s="69"/>
      <c r="AB206" s="203"/>
      <c r="AC206" s="69"/>
      <c r="AD206" s="69"/>
      <c r="AE206" s="203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69"/>
      <c r="CF206" s="69"/>
      <c r="CG206" s="69"/>
      <c r="CH206" s="69"/>
      <c r="CI206" s="69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</row>
    <row r="207" spans="1:116" ht="13" x14ac:dyDescent="0.3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202"/>
      <c r="V207" s="69"/>
      <c r="W207" s="69"/>
      <c r="X207" s="69"/>
      <c r="Y207" s="69"/>
      <c r="Z207" s="69"/>
      <c r="AA207" s="69"/>
      <c r="AB207" s="203"/>
      <c r="AC207" s="69"/>
      <c r="AD207" s="69"/>
      <c r="AE207" s="203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69"/>
      <c r="CF207" s="69"/>
      <c r="CG207" s="69"/>
      <c r="CH207" s="69"/>
      <c r="CI207" s="69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</row>
    <row r="208" spans="1:116" ht="13" x14ac:dyDescent="0.3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202"/>
      <c r="V208" s="69"/>
      <c r="W208" s="69"/>
      <c r="X208" s="69"/>
      <c r="Y208" s="69"/>
      <c r="Z208" s="69"/>
      <c r="AA208" s="69"/>
      <c r="AB208" s="203"/>
      <c r="AC208" s="69"/>
      <c r="AD208" s="69"/>
      <c r="AE208" s="203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69"/>
      <c r="CF208" s="69"/>
      <c r="CG208" s="69"/>
      <c r="CH208" s="69"/>
      <c r="CI208" s="69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</row>
    <row r="209" spans="1:116" ht="13" x14ac:dyDescent="0.3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202"/>
      <c r="V209" s="69"/>
      <c r="W209" s="69"/>
      <c r="X209" s="69"/>
      <c r="Y209" s="69"/>
      <c r="Z209" s="69"/>
      <c r="AA209" s="69"/>
      <c r="AB209" s="203"/>
      <c r="AC209" s="69"/>
      <c r="AD209" s="69"/>
      <c r="AE209" s="203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69"/>
      <c r="CF209" s="69"/>
      <c r="CG209" s="69"/>
      <c r="CH209" s="69"/>
      <c r="CI209" s="69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</row>
    <row r="210" spans="1:116" ht="13" x14ac:dyDescent="0.3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202"/>
      <c r="V210" s="69"/>
      <c r="W210" s="69"/>
      <c r="X210" s="69"/>
      <c r="Y210" s="69"/>
      <c r="Z210" s="69"/>
      <c r="AA210" s="69"/>
      <c r="AB210" s="203"/>
      <c r="AC210" s="69"/>
      <c r="AD210" s="69"/>
      <c r="AE210" s="203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69"/>
      <c r="CF210" s="69"/>
      <c r="CG210" s="69"/>
      <c r="CH210" s="69"/>
      <c r="CI210" s="69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</row>
    <row r="211" spans="1:116" ht="13" x14ac:dyDescent="0.3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202"/>
      <c r="V211" s="69"/>
      <c r="W211" s="69"/>
      <c r="X211" s="69"/>
      <c r="Y211" s="69"/>
      <c r="Z211" s="69"/>
      <c r="AA211" s="69"/>
      <c r="AB211" s="203"/>
      <c r="AC211" s="69"/>
      <c r="AD211" s="69"/>
      <c r="AE211" s="203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69"/>
      <c r="CF211" s="69"/>
      <c r="CG211" s="69"/>
      <c r="CH211" s="69"/>
      <c r="CI211" s="69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</row>
    <row r="212" spans="1:116" ht="13" x14ac:dyDescent="0.3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202"/>
      <c r="V212" s="69"/>
      <c r="W212" s="69"/>
      <c r="X212" s="69"/>
      <c r="Y212" s="69"/>
      <c r="Z212" s="69"/>
      <c r="AA212" s="69"/>
      <c r="AB212" s="203"/>
      <c r="AC212" s="69"/>
      <c r="AD212" s="69"/>
      <c r="AE212" s="203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</row>
    <row r="213" spans="1:116" ht="13" x14ac:dyDescent="0.3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202"/>
      <c r="V213" s="69"/>
      <c r="W213" s="69"/>
      <c r="X213" s="69"/>
      <c r="Y213" s="69"/>
      <c r="Z213" s="69"/>
      <c r="AA213" s="69"/>
      <c r="AB213" s="203"/>
      <c r="AC213" s="69"/>
      <c r="AD213" s="69"/>
      <c r="AE213" s="203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69"/>
      <c r="CF213" s="69"/>
      <c r="CG213" s="69"/>
      <c r="CH213" s="69"/>
      <c r="CI213" s="69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</row>
    <row r="214" spans="1:116" ht="13" x14ac:dyDescent="0.3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202"/>
      <c r="V214" s="69"/>
      <c r="W214" s="69"/>
      <c r="X214" s="69"/>
      <c r="Y214" s="69"/>
      <c r="Z214" s="69"/>
      <c r="AA214" s="69"/>
      <c r="AB214" s="203"/>
      <c r="AC214" s="69"/>
      <c r="AD214" s="69"/>
      <c r="AE214" s="203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69"/>
      <c r="CF214" s="69"/>
      <c r="CG214" s="69"/>
      <c r="CH214" s="69"/>
      <c r="CI214" s="69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</row>
    <row r="215" spans="1:116" ht="13" x14ac:dyDescent="0.3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202"/>
      <c r="V215" s="69"/>
      <c r="W215" s="69"/>
      <c r="X215" s="69"/>
      <c r="Y215" s="69"/>
      <c r="Z215" s="69"/>
      <c r="AA215" s="69"/>
      <c r="AB215" s="203"/>
      <c r="AC215" s="69"/>
      <c r="AD215" s="69"/>
      <c r="AE215" s="203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69"/>
      <c r="CF215" s="69"/>
      <c r="CG215" s="69"/>
      <c r="CH215" s="69"/>
      <c r="CI215" s="69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</row>
    <row r="216" spans="1:116" ht="13" x14ac:dyDescent="0.3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202"/>
      <c r="V216" s="69"/>
      <c r="W216" s="69"/>
      <c r="X216" s="69"/>
      <c r="Y216" s="69"/>
      <c r="Z216" s="69"/>
      <c r="AA216" s="69"/>
      <c r="AB216" s="203"/>
      <c r="AC216" s="69"/>
      <c r="AD216" s="69"/>
      <c r="AE216" s="203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</row>
    <row r="217" spans="1:116" ht="13" x14ac:dyDescent="0.3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202"/>
      <c r="V217" s="69"/>
      <c r="W217" s="69"/>
      <c r="X217" s="69"/>
      <c r="Y217" s="69"/>
      <c r="Z217" s="69"/>
      <c r="AA217" s="69"/>
      <c r="AB217" s="203"/>
      <c r="AC217" s="69"/>
      <c r="AD217" s="69"/>
      <c r="AE217" s="203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69"/>
      <c r="CF217" s="69"/>
      <c r="CG217" s="69"/>
      <c r="CH217" s="69"/>
      <c r="CI217" s="69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</row>
    <row r="218" spans="1:116" ht="13" x14ac:dyDescent="0.3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202"/>
      <c r="V218" s="69"/>
      <c r="W218" s="69"/>
      <c r="X218" s="69"/>
      <c r="Y218" s="69"/>
      <c r="Z218" s="69"/>
      <c r="AA218" s="69"/>
      <c r="AB218" s="203"/>
      <c r="AC218" s="69"/>
      <c r="AD218" s="69"/>
      <c r="AE218" s="203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</row>
    <row r="219" spans="1:116" ht="13" x14ac:dyDescent="0.3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202"/>
      <c r="V219" s="69"/>
      <c r="W219" s="69"/>
      <c r="X219" s="69"/>
      <c r="Y219" s="69"/>
      <c r="Z219" s="69"/>
      <c r="AA219" s="69"/>
      <c r="AB219" s="203"/>
      <c r="AC219" s="69"/>
      <c r="AD219" s="69"/>
      <c r="AE219" s="203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69"/>
      <c r="CF219" s="69"/>
      <c r="CG219" s="69"/>
      <c r="CH219" s="69"/>
      <c r="CI219" s="69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</row>
    <row r="220" spans="1:116" ht="13" x14ac:dyDescent="0.3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202"/>
      <c r="V220" s="69"/>
      <c r="W220" s="69"/>
      <c r="X220" s="69"/>
      <c r="Y220" s="69"/>
      <c r="Z220" s="69"/>
      <c r="AA220" s="69"/>
      <c r="AB220" s="203"/>
      <c r="AC220" s="69"/>
      <c r="AD220" s="69"/>
      <c r="AE220" s="203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</row>
    <row r="221" spans="1:116" ht="13" x14ac:dyDescent="0.3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202"/>
      <c r="V221" s="69"/>
      <c r="W221" s="69"/>
      <c r="X221" s="69"/>
      <c r="Y221" s="69"/>
      <c r="Z221" s="69"/>
      <c r="AA221" s="69"/>
      <c r="AB221" s="203"/>
      <c r="AC221" s="69"/>
      <c r="AD221" s="69"/>
      <c r="AE221" s="203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69"/>
      <c r="CF221" s="69"/>
      <c r="CG221" s="69"/>
      <c r="CH221" s="69"/>
      <c r="CI221" s="69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</row>
    <row r="222" spans="1:116" ht="13" x14ac:dyDescent="0.3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202"/>
      <c r="V222" s="69"/>
      <c r="W222" s="69"/>
      <c r="X222" s="69"/>
      <c r="Y222" s="69"/>
      <c r="Z222" s="69"/>
      <c r="AA222" s="69"/>
      <c r="AB222" s="203"/>
      <c r="AC222" s="69"/>
      <c r="AD222" s="69"/>
      <c r="AE222" s="203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69"/>
      <c r="CF222" s="69"/>
      <c r="CG222" s="69"/>
      <c r="CH222" s="69"/>
      <c r="CI222" s="69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</row>
    <row r="223" spans="1:116" ht="13" x14ac:dyDescent="0.3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202"/>
      <c r="V223" s="69"/>
      <c r="W223" s="69"/>
      <c r="X223" s="69"/>
      <c r="Y223" s="69"/>
      <c r="Z223" s="69"/>
      <c r="AA223" s="69"/>
      <c r="AB223" s="203"/>
      <c r="AC223" s="69"/>
      <c r="AD223" s="69"/>
      <c r="AE223" s="203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69"/>
      <c r="CF223" s="69"/>
      <c r="CG223" s="69"/>
      <c r="CH223" s="69"/>
      <c r="CI223" s="69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</row>
    <row r="224" spans="1:116" ht="13" x14ac:dyDescent="0.3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202"/>
      <c r="V224" s="69"/>
      <c r="W224" s="69"/>
      <c r="X224" s="69"/>
      <c r="Y224" s="69"/>
      <c r="Z224" s="69"/>
      <c r="AA224" s="69"/>
      <c r="AB224" s="203"/>
      <c r="AC224" s="69"/>
      <c r="AD224" s="69"/>
      <c r="AE224" s="203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69"/>
      <c r="CF224" s="69"/>
      <c r="CG224" s="69"/>
      <c r="CH224" s="69"/>
      <c r="CI224" s="69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</row>
    <row r="225" spans="1:116" ht="13" x14ac:dyDescent="0.3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202"/>
      <c r="V225" s="69"/>
      <c r="W225" s="69"/>
      <c r="X225" s="69"/>
      <c r="Y225" s="69"/>
      <c r="Z225" s="69"/>
      <c r="AA225" s="69"/>
      <c r="AB225" s="203"/>
      <c r="AC225" s="69"/>
      <c r="AD225" s="69"/>
      <c r="AE225" s="203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69"/>
      <c r="CF225" s="69"/>
      <c r="CG225" s="69"/>
      <c r="CH225" s="69"/>
      <c r="CI225" s="69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</row>
    <row r="226" spans="1:116" ht="13" x14ac:dyDescent="0.3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202"/>
      <c r="V226" s="69"/>
      <c r="W226" s="69"/>
      <c r="X226" s="69"/>
      <c r="Y226" s="69"/>
      <c r="Z226" s="69"/>
      <c r="AA226" s="69"/>
      <c r="AB226" s="203"/>
      <c r="AC226" s="69"/>
      <c r="AD226" s="69"/>
      <c r="AE226" s="203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69"/>
      <c r="CF226" s="69"/>
      <c r="CG226" s="69"/>
      <c r="CH226" s="69"/>
      <c r="CI226" s="69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</row>
    <row r="227" spans="1:116" ht="13" x14ac:dyDescent="0.3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202"/>
      <c r="V227" s="69"/>
      <c r="W227" s="69"/>
      <c r="X227" s="69"/>
      <c r="Y227" s="69"/>
      <c r="Z227" s="69"/>
      <c r="AA227" s="69"/>
      <c r="AB227" s="203"/>
      <c r="AC227" s="69"/>
      <c r="AD227" s="69"/>
      <c r="AE227" s="203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</row>
    <row r="228" spans="1:116" ht="13" x14ac:dyDescent="0.3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202"/>
      <c r="V228" s="69"/>
      <c r="W228" s="69"/>
      <c r="X228" s="69"/>
      <c r="Y228" s="69"/>
      <c r="Z228" s="69"/>
      <c r="AA228" s="69"/>
      <c r="AB228" s="203"/>
      <c r="AC228" s="69"/>
      <c r="AD228" s="69"/>
      <c r="AE228" s="203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</row>
    <row r="229" spans="1:116" ht="13" x14ac:dyDescent="0.3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202"/>
      <c r="V229" s="69"/>
      <c r="W229" s="69"/>
      <c r="X229" s="69"/>
      <c r="Y229" s="69"/>
      <c r="Z229" s="69"/>
      <c r="AA229" s="69"/>
      <c r="AB229" s="203"/>
      <c r="AC229" s="69"/>
      <c r="AD229" s="69"/>
      <c r="AE229" s="203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69"/>
      <c r="CF229" s="69"/>
      <c r="CG229" s="69"/>
      <c r="CH229" s="69"/>
      <c r="CI229" s="69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</row>
    <row r="230" spans="1:116" ht="13" x14ac:dyDescent="0.3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202"/>
      <c r="V230" s="69"/>
      <c r="W230" s="69"/>
      <c r="X230" s="69"/>
      <c r="Y230" s="69"/>
      <c r="Z230" s="69"/>
      <c r="AA230" s="69"/>
      <c r="AB230" s="203"/>
      <c r="AC230" s="69"/>
      <c r="AD230" s="69"/>
      <c r="AE230" s="203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69"/>
      <c r="CF230" s="69"/>
      <c r="CG230" s="69"/>
      <c r="CH230" s="69"/>
      <c r="CI230" s="69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</row>
    <row r="231" spans="1:116" ht="13" x14ac:dyDescent="0.3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202"/>
      <c r="V231" s="69"/>
      <c r="W231" s="69"/>
      <c r="X231" s="69"/>
      <c r="Y231" s="69"/>
      <c r="Z231" s="69"/>
      <c r="AA231" s="69"/>
      <c r="AB231" s="203"/>
      <c r="AC231" s="69"/>
      <c r="AD231" s="69"/>
      <c r="AE231" s="203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69"/>
      <c r="CF231" s="69"/>
      <c r="CG231" s="69"/>
      <c r="CH231" s="69"/>
      <c r="CI231" s="69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</row>
    <row r="232" spans="1:116" ht="13" x14ac:dyDescent="0.3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202"/>
      <c r="V232" s="69"/>
      <c r="W232" s="69"/>
      <c r="X232" s="69"/>
      <c r="Y232" s="69"/>
      <c r="Z232" s="69"/>
      <c r="AA232" s="69"/>
      <c r="AB232" s="203"/>
      <c r="AC232" s="69"/>
      <c r="AD232" s="69"/>
      <c r="AE232" s="203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</row>
    <row r="233" spans="1:116" ht="13" x14ac:dyDescent="0.3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202"/>
      <c r="V233" s="69"/>
      <c r="W233" s="69"/>
      <c r="X233" s="69"/>
      <c r="Y233" s="69"/>
      <c r="Z233" s="69"/>
      <c r="AA233" s="69"/>
      <c r="AB233" s="203"/>
      <c r="AC233" s="69"/>
      <c r="AD233" s="69"/>
      <c r="AE233" s="203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</row>
    <row r="234" spans="1:116" ht="13" x14ac:dyDescent="0.3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202"/>
      <c r="V234" s="69"/>
      <c r="W234" s="69"/>
      <c r="X234" s="69"/>
      <c r="Y234" s="69"/>
      <c r="Z234" s="69"/>
      <c r="AA234" s="69"/>
      <c r="AB234" s="203"/>
      <c r="AC234" s="69"/>
      <c r="AD234" s="69"/>
      <c r="AE234" s="203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</row>
    <row r="235" spans="1:116" ht="13" x14ac:dyDescent="0.3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202"/>
      <c r="V235" s="69"/>
      <c r="W235" s="69"/>
      <c r="X235" s="69"/>
      <c r="Y235" s="69"/>
      <c r="Z235" s="69"/>
      <c r="AA235" s="69"/>
      <c r="AB235" s="203"/>
      <c r="AC235" s="69"/>
      <c r="AD235" s="69"/>
      <c r="AE235" s="203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</row>
    <row r="236" spans="1:116" ht="13" x14ac:dyDescent="0.3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202"/>
      <c r="V236" s="69"/>
      <c r="W236" s="69"/>
      <c r="X236" s="69"/>
      <c r="Y236" s="69"/>
      <c r="Z236" s="69"/>
      <c r="AA236" s="69"/>
      <c r="AB236" s="203"/>
      <c r="AC236" s="69"/>
      <c r="AD236" s="69"/>
      <c r="AE236" s="203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</row>
    <row r="237" spans="1:116" ht="13" x14ac:dyDescent="0.3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202"/>
      <c r="V237" s="69"/>
      <c r="W237" s="69"/>
      <c r="X237" s="69"/>
      <c r="Y237" s="69"/>
      <c r="Z237" s="69"/>
      <c r="AA237" s="69"/>
      <c r="AB237" s="203"/>
      <c r="AC237" s="69"/>
      <c r="AD237" s="69"/>
      <c r="AE237" s="203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</row>
    <row r="238" spans="1:116" ht="13" x14ac:dyDescent="0.3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202"/>
      <c r="V238" s="69"/>
      <c r="W238" s="69"/>
      <c r="X238" s="69"/>
      <c r="Y238" s="69"/>
      <c r="Z238" s="69"/>
      <c r="AA238" s="69"/>
      <c r="AB238" s="203"/>
      <c r="AC238" s="69"/>
      <c r="AD238" s="69"/>
      <c r="AE238" s="203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</row>
    <row r="239" spans="1:116" ht="13" x14ac:dyDescent="0.3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202"/>
      <c r="V239" s="69"/>
      <c r="W239" s="69"/>
      <c r="X239" s="69"/>
      <c r="Y239" s="69"/>
      <c r="Z239" s="69"/>
      <c r="AA239" s="69"/>
      <c r="AB239" s="203"/>
      <c r="AC239" s="69"/>
      <c r="AD239" s="69"/>
      <c r="AE239" s="203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</row>
    <row r="240" spans="1:116" ht="13" x14ac:dyDescent="0.3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202"/>
      <c r="V240" s="69"/>
      <c r="W240" s="69"/>
      <c r="X240" s="69"/>
      <c r="Y240" s="69"/>
      <c r="Z240" s="69"/>
      <c r="AA240" s="69"/>
      <c r="AB240" s="203"/>
      <c r="AC240" s="69"/>
      <c r="AD240" s="69"/>
      <c r="AE240" s="203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</row>
    <row r="241" spans="1:116" ht="13" x14ac:dyDescent="0.3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202"/>
      <c r="V241" s="69"/>
      <c r="W241" s="69"/>
      <c r="X241" s="69"/>
      <c r="Y241" s="69"/>
      <c r="Z241" s="69"/>
      <c r="AA241" s="69"/>
      <c r="AB241" s="203"/>
      <c r="AC241" s="69"/>
      <c r="AD241" s="69"/>
      <c r="AE241" s="203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</row>
    <row r="242" spans="1:116" ht="13" x14ac:dyDescent="0.3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202"/>
      <c r="V242" s="69"/>
      <c r="W242" s="69"/>
      <c r="X242" s="69"/>
      <c r="Y242" s="69"/>
      <c r="Z242" s="69"/>
      <c r="AA242" s="69"/>
      <c r="AB242" s="203"/>
      <c r="AC242" s="69"/>
      <c r="AD242" s="69"/>
      <c r="AE242" s="203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</row>
    <row r="243" spans="1:116" ht="13" x14ac:dyDescent="0.3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202"/>
      <c r="V243" s="69"/>
      <c r="W243" s="69"/>
      <c r="X243" s="69"/>
      <c r="Y243" s="69"/>
      <c r="Z243" s="69"/>
      <c r="AA243" s="69"/>
      <c r="AB243" s="203"/>
      <c r="AC243" s="69"/>
      <c r="AD243" s="69"/>
      <c r="AE243" s="203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</row>
    <row r="244" spans="1:116" ht="13" x14ac:dyDescent="0.3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202"/>
      <c r="V244" s="69"/>
      <c r="W244" s="69"/>
      <c r="X244" s="69"/>
      <c r="Y244" s="69"/>
      <c r="Z244" s="69"/>
      <c r="AA244" s="69"/>
      <c r="AB244" s="203"/>
      <c r="AC244" s="69"/>
      <c r="AD244" s="69"/>
      <c r="AE244" s="203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</row>
    <row r="245" spans="1:116" ht="13" x14ac:dyDescent="0.3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202"/>
      <c r="V245" s="69"/>
      <c r="W245" s="69"/>
      <c r="X245" s="69"/>
      <c r="Y245" s="69"/>
      <c r="Z245" s="69"/>
      <c r="AA245" s="69"/>
      <c r="AB245" s="203"/>
      <c r="AC245" s="69"/>
      <c r="AD245" s="69"/>
      <c r="AE245" s="203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</row>
    <row r="246" spans="1:116" ht="13" x14ac:dyDescent="0.3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202"/>
      <c r="V246" s="69"/>
      <c r="W246" s="69"/>
      <c r="X246" s="69"/>
      <c r="Y246" s="69"/>
      <c r="Z246" s="69"/>
      <c r="AA246" s="69"/>
      <c r="AB246" s="203"/>
      <c r="AC246" s="69"/>
      <c r="AD246" s="69"/>
      <c r="AE246" s="203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</row>
    <row r="247" spans="1:116" ht="13" x14ac:dyDescent="0.3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202"/>
      <c r="V247" s="69"/>
      <c r="W247" s="69"/>
      <c r="X247" s="69"/>
      <c r="Y247" s="69"/>
      <c r="Z247" s="69"/>
      <c r="AA247" s="69"/>
      <c r="AB247" s="203"/>
      <c r="AC247" s="69"/>
      <c r="AD247" s="69"/>
      <c r="AE247" s="203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</row>
    <row r="248" spans="1:116" ht="13" x14ac:dyDescent="0.3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202"/>
      <c r="V248" s="69"/>
      <c r="W248" s="69"/>
      <c r="X248" s="69"/>
      <c r="Y248" s="69"/>
      <c r="Z248" s="69"/>
      <c r="AA248" s="69"/>
      <c r="AB248" s="203"/>
      <c r="AC248" s="69"/>
      <c r="AD248" s="69"/>
      <c r="AE248" s="203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69"/>
      <c r="CF248" s="69"/>
      <c r="CG248" s="69"/>
      <c r="CH248" s="69"/>
      <c r="CI248" s="69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</row>
    <row r="249" spans="1:116" ht="13" x14ac:dyDescent="0.3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202"/>
      <c r="V249" s="69"/>
      <c r="W249" s="69"/>
      <c r="X249" s="69"/>
      <c r="Y249" s="69"/>
      <c r="Z249" s="69"/>
      <c r="AA249" s="69"/>
      <c r="AB249" s="203"/>
      <c r="AC249" s="69"/>
      <c r="AD249" s="69"/>
      <c r="AE249" s="203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69"/>
      <c r="CF249" s="69"/>
      <c r="CG249" s="69"/>
      <c r="CH249" s="69"/>
      <c r="CI249" s="69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</row>
    <row r="250" spans="1:116" ht="13" x14ac:dyDescent="0.3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202"/>
      <c r="V250" s="69"/>
      <c r="W250" s="69"/>
      <c r="X250" s="69"/>
      <c r="Y250" s="69"/>
      <c r="Z250" s="69"/>
      <c r="AA250" s="69"/>
      <c r="AB250" s="203"/>
      <c r="AC250" s="69"/>
      <c r="AD250" s="69"/>
      <c r="AE250" s="203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69"/>
      <c r="CF250" s="69"/>
      <c r="CG250" s="69"/>
      <c r="CH250" s="69"/>
      <c r="CI250" s="69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</row>
    <row r="251" spans="1:116" ht="13" x14ac:dyDescent="0.3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202"/>
      <c r="V251" s="69"/>
      <c r="W251" s="69"/>
      <c r="X251" s="69"/>
      <c r="Y251" s="69"/>
      <c r="Z251" s="69"/>
      <c r="AA251" s="69"/>
      <c r="AB251" s="203"/>
      <c r="AC251" s="69"/>
      <c r="AD251" s="69"/>
      <c r="AE251" s="203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69"/>
      <c r="CF251" s="69"/>
      <c r="CG251" s="69"/>
      <c r="CH251" s="69"/>
      <c r="CI251" s="69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</row>
    <row r="252" spans="1:116" ht="13" x14ac:dyDescent="0.3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202"/>
      <c r="V252" s="69"/>
      <c r="W252" s="69"/>
      <c r="X252" s="69"/>
      <c r="Y252" s="69"/>
      <c r="Z252" s="69"/>
      <c r="AA252" s="69"/>
      <c r="AB252" s="203"/>
      <c r="AC252" s="69"/>
      <c r="AD252" s="69"/>
      <c r="AE252" s="203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69"/>
      <c r="CF252" s="69"/>
      <c r="CG252" s="69"/>
      <c r="CH252" s="69"/>
      <c r="CI252" s="69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</row>
    <row r="253" spans="1:116" ht="13" x14ac:dyDescent="0.3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202"/>
      <c r="V253" s="69"/>
      <c r="W253" s="69"/>
      <c r="X253" s="69"/>
      <c r="Y253" s="69"/>
      <c r="Z253" s="69"/>
      <c r="AA253" s="69"/>
      <c r="AB253" s="203"/>
      <c r="AC253" s="69"/>
      <c r="AD253" s="69"/>
      <c r="AE253" s="203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69"/>
      <c r="CF253" s="69"/>
      <c r="CG253" s="69"/>
      <c r="CH253" s="69"/>
      <c r="CI253" s="69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</row>
    <row r="254" spans="1:116" ht="13" x14ac:dyDescent="0.3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202"/>
      <c r="V254" s="69"/>
      <c r="W254" s="69"/>
      <c r="X254" s="69"/>
      <c r="Y254" s="69"/>
      <c r="Z254" s="69"/>
      <c r="AA254" s="69"/>
      <c r="AB254" s="203"/>
      <c r="AC254" s="69"/>
      <c r="AD254" s="69"/>
      <c r="AE254" s="203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69"/>
      <c r="CF254" s="69"/>
      <c r="CG254" s="69"/>
      <c r="CH254" s="69"/>
      <c r="CI254" s="69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</row>
    <row r="255" spans="1:116" ht="13" x14ac:dyDescent="0.3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202"/>
      <c r="V255" s="69"/>
      <c r="W255" s="69"/>
      <c r="X255" s="69"/>
      <c r="Y255" s="69"/>
      <c r="Z255" s="69"/>
      <c r="AA255" s="69"/>
      <c r="AB255" s="203"/>
      <c r="AC255" s="69"/>
      <c r="AD255" s="69"/>
      <c r="AE255" s="203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69"/>
      <c r="CF255" s="69"/>
      <c r="CG255" s="69"/>
      <c r="CH255" s="69"/>
      <c r="CI255" s="69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</row>
    <row r="256" spans="1:116" ht="13" x14ac:dyDescent="0.3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202"/>
      <c r="V256" s="69"/>
      <c r="W256" s="69"/>
      <c r="X256" s="69"/>
      <c r="Y256" s="69"/>
      <c r="Z256" s="69"/>
      <c r="AA256" s="69"/>
      <c r="AB256" s="203"/>
      <c r="AC256" s="69"/>
      <c r="AD256" s="69"/>
      <c r="AE256" s="203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</row>
    <row r="257" spans="1:116" ht="13" x14ac:dyDescent="0.3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202"/>
      <c r="V257" s="69"/>
      <c r="W257" s="69"/>
      <c r="X257" s="69"/>
      <c r="Y257" s="69"/>
      <c r="Z257" s="69"/>
      <c r="AA257" s="69"/>
      <c r="AB257" s="203"/>
      <c r="AC257" s="69"/>
      <c r="AD257" s="69"/>
      <c r="AE257" s="203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</row>
    <row r="258" spans="1:116" ht="13" x14ac:dyDescent="0.3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202"/>
      <c r="V258" s="69"/>
      <c r="W258" s="69"/>
      <c r="X258" s="69"/>
      <c r="Y258" s="69"/>
      <c r="Z258" s="69"/>
      <c r="AA258" s="69"/>
      <c r="AB258" s="203"/>
      <c r="AC258" s="69"/>
      <c r="AD258" s="69"/>
      <c r="AE258" s="203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</row>
    <row r="259" spans="1:116" ht="13" x14ac:dyDescent="0.3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202"/>
      <c r="V259" s="69"/>
      <c r="W259" s="69"/>
      <c r="X259" s="69"/>
      <c r="Y259" s="69"/>
      <c r="Z259" s="69"/>
      <c r="AA259" s="69"/>
      <c r="AB259" s="203"/>
      <c r="AC259" s="69"/>
      <c r="AD259" s="69"/>
      <c r="AE259" s="203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</row>
    <row r="260" spans="1:116" ht="13" x14ac:dyDescent="0.3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202"/>
      <c r="V260" s="69"/>
      <c r="W260" s="69"/>
      <c r="X260" s="69"/>
      <c r="Y260" s="69"/>
      <c r="Z260" s="69"/>
      <c r="AA260" s="69"/>
      <c r="AB260" s="203"/>
      <c r="AC260" s="69"/>
      <c r="AD260" s="69"/>
      <c r="AE260" s="203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</row>
    <row r="261" spans="1:116" ht="13" x14ac:dyDescent="0.3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202"/>
      <c r="V261" s="69"/>
      <c r="W261" s="69"/>
      <c r="X261" s="69"/>
      <c r="Y261" s="69"/>
      <c r="Z261" s="69"/>
      <c r="AA261" s="69"/>
      <c r="AB261" s="203"/>
      <c r="AC261" s="69"/>
      <c r="AD261" s="69"/>
      <c r="AE261" s="203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</row>
    <row r="262" spans="1:116" ht="13" x14ac:dyDescent="0.3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202"/>
      <c r="V262" s="69"/>
      <c r="W262" s="69"/>
      <c r="X262" s="69"/>
      <c r="Y262" s="69"/>
      <c r="Z262" s="69"/>
      <c r="AA262" s="69"/>
      <c r="AB262" s="203"/>
      <c r="AC262" s="69"/>
      <c r="AD262" s="69"/>
      <c r="AE262" s="203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</row>
    <row r="263" spans="1:116" ht="13" x14ac:dyDescent="0.3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202"/>
      <c r="V263" s="69"/>
      <c r="W263" s="69"/>
      <c r="X263" s="69"/>
      <c r="Y263" s="69"/>
      <c r="Z263" s="69"/>
      <c r="AA263" s="69"/>
      <c r="AB263" s="203"/>
      <c r="AC263" s="69"/>
      <c r="AD263" s="69"/>
      <c r="AE263" s="203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</row>
    <row r="264" spans="1:116" ht="13" x14ac:dyDescent="0.3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202"/>
      <c r="V264" s="69"/>
      <c r="W264" s="69"/>
      <c r="X264" s="69"/>
      <c r="Y264" s="69"/>
      <c r="Z264" s="69"/>
      <c r="AA264" s="69"/>
      <c r="AB264" s="203"/>
      <c r="AC264" s="69"/>
      <c r="AD264" s="69"/>
      <c r="AE264" s="203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</row>
    <row r="265" spans="1:116" ht="13" x14ac:dyDescent="0.3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202"/>
      <c r="V265" s="69"/>
      <c r="W265" s="69"/>
      <c r="X265" s="69"/>
      <c r="Y265" s="69"/>
      <c r="Z265" s="69"/>
      <c r="AA265" s="69"/>
      <c r="AB265" s="203"/>
      <c r="AC265" s="69"/>
      <c r="AD265" s="69"/>
      <c r="AE265" s="203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</row>
    <row r="266" spans="1:116" ht="13" x14ac:dyDescent="0.3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202"/>
      <c r="V266" s="69"/>
      <c r="W266" s="69"/>
      <c r="X266" s="69"/>
      <c r="Y266" s="69"/>
      <c r="Z266" s="69"/>
      <c r="AA266" s="69"/>
      <c r="AB266" s="203"/>
      <c r="AC266" s="69"/>
      <c r="AD266" s="69"/>
      <c r="AE266" s="203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</row>
    <row r="267" spans="1:116" ht="13" x14ac:dyDescent="0.3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202"/>
      <c r="V267" s="69"/>
      <c r="W267" s="69"/>
      <c r="X267" s="69"/>
      <c r="Y267" s="69"/>
      <c r="Z267" s="69"/>
      <c r="AA267" s="69"/>
      <c r="AB267" s="203"/>
      <c r="AC267" s="69"/>
      <c r="AD267" s="69"/>
      <c r="AE267" s="203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</row>
    <row r="268" spans="1:116" ht="13" x14ac:dyDescent="0.3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202"/>
      <c r="V268" s="69"/>
      <c r="W268" s="69"/>
      <c r="X268" s="69"/>
      <c r="Y268" s="69"/>
      <c r="Z268" s="69"/>
      <c r="AA268" s="69"/>
      <c r="AB268" s="203"/>
      <c r="AC268" s="69"/>
      <c r="AD268" s="69"/>
      <c r="AE268" s="203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</row>
    <row r="269" spans="1:116" ht="13" x14ac:dyDescent="0.3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202"/>
      <c r="V269" s="69"/>
      <c r="W269" s="69"/>
      <c r="X269" s="69"/>
      <c r="Y269" s="69"/>
      <c r="Z269" s="69"/>
      <c r="AA269" s="69"/>
      <c r="AB269" s="203"/>
      <c r="AC269" s="69"/>
      <c r="AD269" s="69"/>
      <c r="AE269" s="203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</row>
    <row r="270" spans="1:116" ht="13" x14ac:dyDescent="0.3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202"/>
      <c r="V270" s="69"/>
      <c r="W270" s="69"/>
      <c r="X270" s="69"/>
      <c r="Y270" s="69"/>
      <c r="Z270" s="69"/>
      <c r="AA270" s="69"/>
      <c r="AB270" s="203"/>
      <c r="AC270" s="69"/>
      <c r="AD270" s="69"/>
      <c r="AE270" s="203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</row>
    <row r="271" spans="1:116" ht="13" x14ac:dyDescent="0.3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202"/>
      <c r="V271" s="69"/>
      <c r="W271" s="69"/>
      <c r="X271" s="69"/>
      <c r="Y271" s="69"/>
      <c r="Z271" s="69"/>
      <c r="AA271" s="69"/>
      <c r="AB271" s="203"/>
      <c r="AC271" s="69"/>
      <c r="AD271" s="69"/>
      <c r="AE271" s="203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</row>
    <row r="272" spans="1:116" ht="13" x14ac:dyDescent="0.3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202"/>
      <c r="V272" s="69"/>
      <c r="W272" s="69"/>
      <c r="X272" s="69"/>
      <c r="Y272" s="69"/>
      <c r="Z272" s="69"/>
      <c r="AA272" s="69"/>
      <c r="AB272" s="203"/>
      <c r="AC272" s="69"/>
      <c r="AD272" s="69"/>
      <c r="AE272" s="203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</row>
    <row r="273" spans="1:116" ht="13" x14ac:dyDescent="0.3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202"/>
      <c r="V273" s="69"/>
      <c r="W273" s="69"/>
      <c r="X273" s="69"/>
      <c r="Y273" s="69"/>
      <c r="Z273" s="69"/>
      <c r="AA273" s="69"/>
      <c r="AB273" s="203"/>
      <c r="AC273" s="69"/>
      <c r="AD273" s="69"/>
      <c r="AE273" s="203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</row>
    <row r="274" spans="1:116" ht="13" x14ac:dyDescent="0.3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202"/>
      <c r="V274" s="69"/>
      <c r="W274" s="69"/>
      <c r="X274" s="69"/>
      <c r="Y274" s="69"/>
      <c r="Z274" s="69"/>
      <c r="AA274" s="69"/>
      <c r="AB274" s="203"/>
      <c r="AC274" s="69"/>
      <c r="AD274" s="69"/>
      <c r="AE274" s="203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</row>
    <row r="275" spans="1:116" ht="13" x14ac:dyDescent="0.3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202"/>
      <c r="V275" s="69"/>
      <c r="W275" s="69"/>
      <c r="X275" s="69"/>
      <c r="Y275" s="69"/>
      <c r="Z275" s="69"/>
      <c r="AA275" s="69"/>
      <c r="AB275" s="203"/>
      <c r="AC275" s="69"/>
      <c r="AD275" s="69"/>
      <c r="AE275" s="203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</row>
    <row r="276" spans="1:116" ht="13" x14ac:dyDescent="0.3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202"/>
      <c r="V276" s="69"/>
      <c r="W276" s="69"/>
      <c r="X276" s="69"/>
      <c r="Y276" s="69"/>
      <c r="Z276" s="69"/>
      <c r="AA276" s="69"/>
      <c r="AB276" s="203"/>
      <c r="AC276" s="69"/>
      <c r="AD276" s="69"/>
      <c r="AE276" s="203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</row>
    <row r="277" spans="1:116" ht="13" x14ac:dyDescent="0.3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202"/>
      <c r="V277" s="69"/>
      <c r="W277" s="69"/>
      <c r="X277" s="69"/>
      <c r="Y277" s="69"/>
      <c r="Z277" s="69"/>
      <c r="AA277" s="69"/>
      <c r="AB277" s="203"/>
      <c r="AC277" s="69"/>
      <c r="AD277" s="69"/>
      <c r="AE277" s="203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</row>
    <row r="278" spans="1:116" ht="13" x14ac:dyDescent="0.3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202"/>
      <c r="V278" s="69"/>
      <c r="W278" s="69"/>
      <c r="X278" s="69"/>
      <c r="Y278" s="69"/>
      <c r="Z278" s="69"/>
      <c r="AA278" s="69"/>
      <c r="AB278" s="203"/>
      <c r="AC278" s="69"/>
      <c r="AD278" s="69"/>
      <c r="AE278" s="203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</row>
    <row r="279" spans="1:116" ht="13" x14ac:dyDescent="0.3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202"/>
      <c r="V279" s="69"/>
      <c r="W279" s="69"/>
      <c r="X279" s="69"/>
      <c r="Y279" s="69"/>
      <c r="Z279" s="69"/>
      <c r="AA279" s="69"/>
      <c r="AB279" s="203"/>
      <c r="AC279" s="69"/>
      <c r="AD279" s="69"/>
      <c r="AE279" s="203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</row>
    <row r="280" spans="1:116" ht="13" x14ac:dyDescent="0.3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202"/>
      <c r="V280" s="69"/>
      <c r="W280" s="69"/>
      <c r="X280" s="69"/>
      <c r="Y280" s="69"/>
      <c r="Z280" s="69"/>
      <c r="AA280" s="69"/>
      <c r="AB280" s="203"/>
      <c r="AC280" s="69"/>
      <c r="AD280" s="69"/>
      <c r="AE280" s="203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</row>
    <row r="281" spans="1:116" ht="13" x14ac:dyDescent="0.3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202"/>
      <c r="V281" s="69"/>
      <c r="W281" s="69"/>
      <c r="X281" s="69"/>
      <c r="Y281" s="69"/>
      <c r="Z281" s="69"/>
      <c r="AA281" s="69"/>
      <c r="AB281" s="203"/>
      <c r="AC281" s="69"/>
      <c r="AD281" s="69"/>
      <c r="AE281" s="203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</row>
    <row r="282" spans="1:116" ht="13" x14ac:dyDescent="0.3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202"/>
      <c r="V282" s="69"/>
      <c r="W282" s="69"/>
      <c r="X282" s="69"/>
      <c r="Y282" s="69"/>
      <c r="Z282" s="69"/>
      <c r="AA282" s="69"/>
      <c r="AB282" s="203"/>
      <c r="AC282" s="69"/>
      <c r="AD282" s="69"/>
      <c r="AE282" s="203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</row>
    <row r="283" spans="1:116" ht="13" x14ac:dyDescent="0.3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202"/>
      <c r="V283" s="69"/>
      <c r="W283" s="69"/>
      <c r="X283" s="69"/>
      <c r="Y283" s="69"/>
      <c r="Z283" s="69"/>
      <c r="AA283" s="69"/>
      <c r="AB283" s="203"/>
      <c r="AC283" s="69"/>
      <c r="AD283" s="69"/>
      <c r="AE283" s="203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</row>
    <row r="284" spans="1:116" ht="13" x14ac:dyDescent="0.3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202"/>
      <c r="V284" s="69"/>
      <c r="W284" s="69"/>
      <c r="X284" s="69"/>
      <c r="Y284" s="69"/>
      <c r="Z284" s="69"/>
      <c r="AA284" s="69"/>
      <c r="AB284" s="203"/>
      <c r="AC284" s="69"/>
      <c r="AD284" s="69"/>
      <c r="AE284" s="203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</row>
    <row r="285" spans="1:116" ht="13" x14ac:dyDescent="0.3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202"/>
      <c r="V285" s="69"/>
      <c r="W285" s="69"/>
      <c r="X285" s="69"/>
      <c r="Y285" s="69"/>
      <c r="Z285" s="69"/>
      <c r="AA285" s="69"/>
      <c r="AB285" s="203"/>
      <c r="AC285" s="69"/>
      <c r="AD285" s="69"/>
      <c r="AE285" s="203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</row>
    <row r="286" spans="1:116" ht="13" x14ac:dyDescent="0.3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202"/>
      <c r="V286" s="69"/>
      <c r="W286" s="69"/>
      <c r="X286" s="69"/>
      <c r="Y286" s="69"/>
      <c r="Z286" s="69"/>
      <c r="AA286" s="69"/>
      <c r="AB286" s="203"/>
      <c r="AC286" s="69"/>
      <c r="AD286" s="69"/>
      <c r="AE286" s="203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  <c r="BC286" s="69"/>
      <c r="BD286" s="69"/>
      <c r="BE286" s="69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9"/>
      <c r="BY286" s="69"/>
      <c r="BZ286" s="69"/>
      <c r="CA286" s="69"/>
      <c r="CB286" s="69"/>
      <c r="CC286" s="69"/>
      <c r="CD286" s="69"/>
      <c r="CE286" s="69"/>
      <c r="CF286" s="69"/>
      <c r="CG286" s="69"/>
      <c r="CH286" s="69"/>
      <c r="CI286" s="69"/>
      <c r="CJ286" s="69"/>
      <c r="CK286" s="69"/>
      <c r="CL286" s="69"/>
      <c r="CM286" s="69"/>
      <c r="CN286" s="69"/>
      <c r="CO286" s="69"/>
      <c r="CP286" s="69"/>
      <c r="CQ286" s="69"/>
      <c r="CR286" s="69"/>
      <c r="CS286" s="69"/>
      <c r="CT286" s="69"/>
      <c r="CU286" s="69"/>
      <c r="CV286" s="69"/>
      <c r="CW286" s="69"/>
      <c r="CX286" s="69"/>
      <c r="CY286" s="69"/>
      <c r="CZ286" s="69"/>
      <c r="DA286" s="69"/>
      <c r="DB286" s="69"/>
      <c r="DC286" s="69"/>
      <c r="DD286" s="69"/>
      <c r="DE286" s="69"/>
      <c r="DF286" s="69"/>
      <c r="DG286" s="69"/>
      <c r="DH286" s="69"/>
      <c r="DI286" s="69"/>
      <c r="DJ286" s="69"/>
      <c r="DK286" s="69"/>
      <c r="DL286" s="69"/>
    </row>
    <row r="287" spans="1:116" ht="13" x14ac:dyDescent="0.3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202"/>
      <c r="V287" s="69"/>
      <c r="W287" s="69"/>
      <c r="X287" s="69"/>
      <c r="Y287" s="69"/>
      <c r="Z287" s="69"/>
      <c r="AA287" s="69"/>
      <c r="AB287" s="203"/>
      <c r="AC287" s="69"/>
      <c r="AD287" s="69"/>
      <c r="AE287" s="203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  <c r="BC287" s="69"/>
      <c r="BD287" s="69"/>
      <c r="BE287" s="69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9"/>
      <c r="BY287" s="69"/>
      <c r="BZ287" s="69"/>
      <c r="CA287" s="69"/>
      <c r="CB287" s="69"/>
      <c r="CC287" s="69"/>
      <c r="CD287" s="69"/>
      <c r="CE287" s="69"/>
      <c r="CF287" s="69"/>
      <c r="CG287" s="69"/>
      <c r="CH287" s="69"/>
      <c r="CI287" s="69"/>
      <c r="CJ287" s="69"/>
      <c r="CK287" s="69"/>
      <c r="CL287" s="69"/>
      <c r="CM287" s="69"/>
      <c r="CN287" s="69"/>
      <c r="CO287" s="69"/>
      <c r="CP287" s="69"/>
      <c r="CQ287" s="69"/>
      <c r="CR287" s="69"/>
      <c r="CS287" s="69"/>
      <c r="CT287" s="69"/>
      <c r="CU287" s="69"/>
      <c r="CV287" s="69"/>
      <c r="CW287" s="69"/>
      <c r="CX287" s="69"/>
      <c r="CY287" s="69"/>
      <c r="CZ287" s="69"/>
      <c r="DA287" s="69"/>
      <c r="DB287" s="69"/>
      <c r="DC287" s="69"/>
      <c r="DD287" s="69"/>
      <c r="DE287" s="69"/>
      <c r="DF287" s="69"/>
      <c r="DG287" s="69"/>
      <c r="DH287" s="69"/>
      <c r="DI287" s="69"/>
      <c r="DJ287" s="69"/>
      <c r="DK287" s="69"/>
      <c r="DL287" s="69"/>
    </row>
    <row r="288" spans="1:116" ht="13" x14ac:dyDescent="0.3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202"/>
      <c r="V288" s="69"/>
      <c r="W288" s="69"/>
      <c r="X288" s="69"/>
      <c r="Y288" s="69"/>
      <c r="Z288" s="69"/>
      <c r="AA288" s="69"/>
      <c r="AB288" s="203"/>
      <c r="AC288" s="69"/>
      <c r="AD288" s="69"/>
      <c r="AE288" s="203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  <c r="BC288" s="69"/>
      <c r="BD288" s="69"/>
      <c r="BE288" s="69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9"/>
      <c r="BY288" s="69"/>
      <c r="BZ288" s="69"/>
      <c r="CA288" s="69"/>
      <c r="CB288" s="69"/>
      <c r="CC288" s="69"/>
      <c r="CD288" s="69"/>
      <c r="CE288" s="69"/>
      <c r="CF288" s="69"/>
      <c r="CG288" s="69"/>
      <c r="CH288" s="69"/>
      <c r="CI288" s="69"/>
      <c r="CJ288" s="69"/>
      <c r="CK288" s="69"/>
      <c r="CL288" s="69"/>
      <c r="CM288" s="69"/>
      <c r="CN288" s="69"/>
      <c r="CO288" s="69"/>
      <c r="CP288" s="69"/>
      <c r="CQ288" s="69"/>
      <c r="CR288" s="69"/>
      <c r="CS288" s="69"/>
      <c r="CT288" s="69"/>
      <c r="CU288" s="69"/>
      <c r="CV288" s="69"/>
      <c r="CW288" s="69"/>
      <c r="CX288" s="69"/>
      <c r="CY288" s="69"/>
      <c r="CZ288" s="69"/>
      <c r="DA288" s="69"/>
      <c r="DB288" s="69"/>
      <c r="DC288" s="69"/>
      <c r="DD288" s="69"/>
      <c r="DE288" s="69"/>
      <c r="DF288" s="69"/>
      <c r="DG288" s="69"/>
      <c r="DH288" s="69"/>
      <c r="DI288" s="69"/>
      <c r="DJ288" s="69"/>
      <c r="DK288" s="69"/>
      <c r="DL288" s="69"/>
    </row>
    <row r="289" spans="1:116" ht="13" x14ac:dyDescent="0.3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202"/>
      <c r="V289" s="69"/>
      <c r="W289" s="69"/>
      <c r="X289" s="69"/>
      <c r="Y289" s="69"/>
      <c r="Z289" s="69"/>
      <c r="AA289" s="69"/>
      <c r="AB289" s="203"/>
      <c r="AC289" s="69"/>
      <c r="AD289" s="69"/>
      <c r="AE289" s="203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  <c r="BC289" s="69"/>
      <c r="BD289" s="69"/>
      <c r="BE289" s="69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9"/>
      <c r="BY289" s="69"/>
      <c r="BZ289" s="69"/>
      <c r="CA289" s="69"/>
      <c r="CB289" s="69"/>
      <c r="CC289" s="69"/>
      <c r="CD289" s="69"/>
      <c r="CE289" s="69"/>
      <c r="CF289" s="69"/>
      <c r="CG289" s="69"/>
      <c r="CH289" s="69"/>
      <c r="CI289" s="69"/>
      <c r="CJ289" s="69"/>
      <c r="CK289" s="69"/>
      <c r="CL289" s="69"/>
      <c r="CM289" s="69"/>
      <c r="CN289" s="69"/>
      <c r="CO289" s="69"/>
      <c r="CP289" s="69"/>
      <c r="CQ289" s="69"/>
      <c r="CR289" s="69"/>
      <c r="CS289" s="69"/>
      <c r="CT289" s="69"/>
      <c r="CU289" s="69"/>
      <c r="CV289" s="69"/>
      <c r="CW289" s="69"/>
      <c r="CX289" s="69"/>
      <c r="CY289" s="69"/>
      <c r="CZ289" s="69"/>
      <c r="DA289" s="69"/>
      <c r="DB289" s="69"/>
      <c r="DC289" s="69"/>
      <c r="DD289" s="69"/>
      <c r="DE289" s="69"/>
      <c r="DF289" s="69"/>
      <c r="DG289" s="69"/>
      <c r="DH289" s="69"/>
      <c r="DI289" s="69"/>
      <c r="DJ289" s="69"/>
      <c r="DK289" s="69"/>
      <c r="DL289" s="69"/>
    </row>
    <row r="290" spans="1:116" ht="13" x14ac:dyDescent="0.3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202"/>
      <c r="V290" s="69"/>
      <c r="W290" s="69"/>
      <c r="X290" s="69"/>
      <c r="Y290" s="69"/>
      <c r="Z290" s="69"/>
      <c r="AA290" s="69"/>
      <c r="AB290" s="203"/>
      <c r="AC290" s="69"/>
      <c r="AD290" s="69"/>
      <c r="AE290" s="203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9"/>
      <c r="BY290" s="69"/>
      <c r="BZ290" s="69"/>
      <c r="CA290" s="69"/>
      <c r="CB290" s="69"/>
      <c r="CC290" s="69"/>
      <c r="CD290" s="69"/>
      <c r="CE290" s="69"/>
      <c r="CF290" s="69"/>
      <c r="CG290" s="69"/>
      <c r="CH290" s="69"/>
      <c r="CI290" s="69"/>
      <c r="CJ290" s="69"/>
      <c r="CK290" s="69"/>
      <c r="CL290" s="69"/>
      <c r="CM290" s="69"/>
      <c r="CN290" s="69"/>
      <c r="CO290" s="69"/>
      <c r="CP290" s="69"/>
      <c r="CQ290" s="69"/>
      <c r="CR290" s="69"/>
      <c r="CS290" s="69"/>
      <c r="CT290" s="69"/>
      <c r="CU290" s="69"/>
      <c r="CV290" s="69"/>
      <c r="CW290" s="69"/>
      <c r="CX290" s="69"/>
      <c r="CY290" s="69"/>
      <c r="CZ290" s="69"/>
      <c r="DA290" s="69"/>
      <c r="DB290" s="69"/>
      <c r="DC290" s="69"/>
      <c r="DD290" s="69"/>
      <c r="DE290" s="69"/>
      <c r="DF290" s="69"/>
      <c r="DG290" s="69"/>
      <c r="DH290" s="69"/>
      <c r="DI290" s="69"/>
      <c r="DJ290" s="69"/>
      <c r="DK290" s="69"/>
      <c r="DL290" s="69"/>
    </row>
    <row r="291" spans="1:116" ht="13" x14ac:dyDescent="0.3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202"/>
      <c r="V291" s="69"/>
      <c r="W291" s="69"/>
      <c r="X291" s="69"/>
      <c r="Y291" s="69"/>
      <c r="Z291" s="69"/>
      <c r="AA291" s="69"/>
      <c r="AB291" s="203"/>
      <c r="AC291" s="69"/>
      <c r="AD291" s="69"/>
      <c r="AE291" s="203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  <c r="BC291" s="69"/>
      <c r="BD291" s="69"/>
      <c r="BE291" s="69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9"/>
      <c r="BY291" s="69"/>
      <c r="BZ291" s="69"/>
      <c r="CA291" s="69"/>
      <c r="CB291" s="69"/>
      <c r="CC291" s="69"/>
      <c r="CD291" s="69"/>
      <c r="CE291" s="69"/>
      <c r="CF291" s="69"/>
      <c r="CG291" s="69"/>
      <c r="CH291" s="69"/>
      <c r="CI291" s="69"/>
      <c r="CJ291" s="69"/>
      <c r="CK291" s="69"/>
      <c r="CL291" s="69"/>
      <c r="CM291" s="69"/>
      <c r="CN291" s="69"/>
      <c r="CO291" s="69"/>
      <c r="CP291" s="69"/>
      <c r="CQ291" s="69"/>
      <c r="CR291" s="69"/>
      <c r="CS291" s="69"/>
      <c r="CT291" s="69"/>
      <c r="CU291" s="69"/>
      <c r="CV291" s="69"/>
      <c r="CW291" s="69"/>
      <c r="CX291" s="69"/>
      <c r="CY291" s="69"/>
      <c r="CZ291" s="69"/>
      <c r="DA291" s="69"/>
      <c r="DB291" s="69"/>
      <c r="DC291" s="69"/>
      <c r="DD291" s="69"/>
      <c r="DE291" s="69"/>
      <c r="DF291" s="69"/>
      <c r="DG291" s="69"/>
      <c r="DH291" s="69"/>
      <c r="DI291" s="69"/>
      <c r="DJ291" s="69"/>
      <c r="DK291" s="69"/>
      <c r="DL291" s="69"/>
    </row>
    <row r="292" spans="1:116" ht="13" x14ac:dyDescent="0.3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202"/>
      <c r="V292" s="69"/>
      <c r="W292" s="69"/>
      <c r="X292" s="69"/>
      <c r="Y292" s="69"/>
      <c r="Z292" s="69"/>
      <c r="AA292" s="69"/>
      <c r="AB292" s="203"/>
      <c r="AC292" s="69"/>
      <c r="AD292" s="69"/>
      <c r="AE292" s="203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  <c r="BC292" s="69"/>
      <c r="BD292" s="69"/>
      <c r="BE292" s="69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9"/>
      <c r="BY292" s="69"/>
      <c r="BZ292" s="69"/>
      <c r="CA292" s="69"/>
      <c r="CB292" s="69"/>
      <c r="CC292" s="69"/>
      <c r="CD292" s="69"/>
      <c r="CE292" s="69"/>
      <c r="CF292" s="69"/>
      <c r="CG292" s="69"/>
      <c r="CH292" s="69"/>
      <c r="CI292" s="69"/>
      <c r="CJ292" s="69"/>
      <c r="CK292" s="69"/>
      <c r="CL292" s="69"/>
      <c r="CM292" s="69"/>
      <c r="CN292" s="69"/>
      <c r="CO292" s="69"/>
      <c r="CP292" s="69"/>
      <c r="CQ292" s="69"/>
      <c r="CR292" s="69"/>
      <c r="CS292" s="69"/>
      <c r="CT292" s="69"/>
      <c r="CU292" s="69"/>
      <c r="CV292" s="69"/>
      <c r="CW292" s="69"/>
      <c r="CX292" s="69"/>
      <c r="CY292" s="69"/>
      <c r="CZ292" s="69"/>
      <c r="DA292" s="69"/>
      <c r="DB292" s="69"/>
      <c r="DC292" s="69"/>
      <c r="DD292" s="69"/>
      <c r="DE292" s="69"/>
      <c r="DF292" s="69"/>
      <c r="DG292" s="69"/>
      <c r="DH292" s="69"/>
      <c r="DI292" s="69"/>
      <c r="DJ292" s="69"/>
      <c r="DK292" s="69"/>
      <c r="DL292" s="69"/>
    </row>
    <row r="293" spans="1:116" ht="13" x14ac:dyDescent="0.3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202"/>
      <c r="V293" s="69"/>
      <c r="W293" s="69"/>
      <c r="X293" s="69"/>
      <c r="Y293" s="69"/>
      <c r="Z293" s="69"/>
      <c r="AA293" s="69"/>
      <c r="AB293" s="203"/>
      <c r="AC293" s="69"/>
      <c r="AD293" s="69"/>
      <c r="AE293" s="203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  <c r="BC293" s="69"/>
      <c r="BD293" s="69"/>
      <c r="BE293" s="69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9"/>
      <c r="BY293" s="69"/>
      <c r="BZ293" s="69"/>
      <c r="CA293" s="69"/>
      <c r="CB293" s="69"/>
      <c r="CC293" s="69"/>
      <c r="CD293" s="69"/>
      <c r="CE293" s="69"/>
      <c r="CF293" s="69"/>
      <c r="CG293" s="69"/>
      <c r="CH293" s="69"/>
      <c r="CI293" s="69"/>
      <c r="CJ293" s="69"/>
      <c r="CK293" s="69"/>
      <c r="CL293" s="69"/>
      <c r="CM293" s="69"/>
      <c r="CN293" s="69"/>
      <c r="CO293" s="69"/>
      <c r="CP293" s="69"/>
      <c r="CQ293" s="69"/>
      <c r="CR293" s="69"/>
      <c r="CS293" s="69"/>
      <c r="CT293" s="69"/>
      <c r="CU293" s="69"/>
      <c r="CV293" s="69"/>
      <c r="CW293" s="69"/>
      <c r="CX293" s="69"/>
      <c r="CY293" s="69"/>
      <c r="CZ293" s="69"/>
      <c r="DA293" s="69"/>
      <c r="DB293" s="69"/>
      <c r="DC293" s="69"/>
      <c r="DD293" s="69"/>
      <c r="DE293" s="69"/>
      <c r="DF293" s="69"/>
      <c r="DG293" s="69"/>
      <c r="DH293" s="69"/>
      <c r="DI293" s="69"/>
      <c r="DJ293" s="69"/>
      <c r="DK293" s="69"/>
      <c r="DL293" s="69"/>
    </row>
    <row r="294" spans="1:116" ht="13" x14ac:dyDescent="0.3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202"/>
      <c r="V294" s="69"/>
      <c r="W294" s="69"/>
      <c r="X294" s="69"/>
      <c r="Y294" s="69"/>
      <c r="Z294" s="69"/>
      <c r="AA294" s="69"/>
      <c r="AB294" s="203"/>
      <c r="AC294" s="69"/>
      <c r="AD294" s="69"/>
      <c r="AE294" s="203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  <c r="BC294" s="69"/>
      <c r="BD294" s="69"/>
      <c r="BE294" s="69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9"/>
      <c r="BY294" s="69"/>
      <c r="BZ294" s="69"/>
      <c r="CA294" s="69"/>
      <c r="CB294" s="69"/>
      <c r="CC294" s="69"/>
      <c r="CD294" s="69"/>
      <c r="CE294" s="69"/>
      <c r="CF294" s="69"/>
      <c r="CG294" s="69"/>
      <c r="CH294" s="69"/>
      <c r="CI294" s="69"/>
      <c r="CJ294" s="69"/>
      <c r="CK294" s="69"/>
      <c r="CL294" s="69"/>
      <c r="CM294" s="69"/>
      <c r="CN294" s="69"/>
      <c r="CO294" s="69"/>
      <c r="CP294" s="69"/>
      <c r="CQ294" s="69"/>
      <c r="CR294" s="69"/>
      <c r="CS294" s="69"/>
      <c r="CT294" s="69"/>
      <c r="CU294" s="69"/>
      <c r="CV294" s="69"/>
      <c r="CW294" s="69"/>
      <c r="CX294" s="69"/>
      <c r="CY294" s="69"/>
      <c r="CZ294" s="69"/>
      <c r="DA294" s="69"/>
      <c r="DB294" s="69"/>
      <c r="DC294" s="69"/>
      <c r="DD294" s="69"/>
      <c r="DE294" s="69"/>
      <c r="DF294" s="69"/>
      <c r="DG294" s="69"/>
      <c r="DH294" s="69"/>
      <c r="DI294" s="69"/>
      <c r="DJ294" s="69"/>
      <c r="DK294" s="69"/>
      <c r="DL294" s="69"/>
    </row>
    <row r="295" spans="1:116" ht="13" x14ac:dyDescent="0.3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202"/>
      <c r="V295" s="69"/>
      <c r="W295" s="69"/>
      <c r="X295" s="69"/>
      <c r="Y295" s="69"/>
      <c r="Z295" s="69"/>
      <c r="AA295" s="69"/>
      <c r="AB295" s="203"/>
      <c r="AC295" s="69"/>
      <c r="AD295" s="69"/>
      <c r="AE295" s="203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  <c r="BC295" s="69"/>
      <c r="BD295" s="69"/>
      <c r="BE295" s="69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9"/>
      <c r="BY295" s="69"/>
      <c r="BZ295" s="69"/>
      <c r="CA295" s="69"/>
      <c r="CB295" s="69"/>
      <c r="CC295" s="69"/>
      <c r="CD295" s="69"/>
      <c r="CE295" s="69"/>
      <c r="CF295" s="69"/>
      <c r="CG295" s="69"/>
      <c r="CH295" s="69"/>
      <c r="CI295" s="69"/>
      <c r="CJ295" s="69"/>
      <c r="CK295" s="69"/>
      <c r="CL295" s="69"/>
      <c r="CM295" s="69"/>
      <c r="CN295" s="69"/>
      <c r="CO295" s="69"/>
      <c r="CP295" s="69"/>
      <c r="CQ295" s="69"/>
      <c r="CR295" s="69"/>
      <c r="CS295" s="69"/>
      <c r="CT295" s="69"/>
      <c r="CU295" s="69"/>
      <c r="CV295" s="69"/>
      <c r="CW295" s="69"/>
      <c r="CX295" s="69"/>
      <c r="CY295" s="69"/>
      <c r="CZ295" s="69"/>
      <c r="DA295" s="69"/>
      <c r="DB295" s="69"/>
      <c r="DC295" s="69"/>
      <c r="DD295" s="69"/>
      <c r="DE295" s="69"/>
      <c r="DF295" s="69"/>
      <c r="DG295" s="69"/>
      <c r="DH295" s="69"/>
      <c r="DI295" s="69"/>
      <c r="DJ295" s="69"/>
      <c r="DK295" s="69"/>
      <c r="DL295" s="69"/>
    </row>
    <row r="296" spans="1:116" ht="13" x14ac:dyDescent="0.3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202"/>
      <c r="V296" s="69"/>
      <c r="W296" s="69"/>
      <c r="X296" s="69"/>
      <c r="Y296" s="69"/>
      <c r="Z296" s="69"/>
      <c r="AA296" s="69"/>
      <c r="AB296" s="203"/>
      <c r="AC296" s="69"/>
      <c r="AD296" s="69"/>
      <c r="AE296" s="203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  <c r="BC296" s="69"/>
      <c r="BD296" s="69"/>
      <c r="BE296" s="69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9"/>
      <c r="BY296" s="69"/>
      <c r="BZ296" s="69"/>
      <c r="CA296" s="69"/>
      <c r="CB296" s="69"/>
      <c r="CC296" s="69"/>
      <c r="CD296" s="69"/>
      <c r="CE296" s="69"/>
      <c r="CF296" s="69"/>
      <c r="CG296" s="69"/>
      <c r="CH296" s="69"/>
      <c r="CI296" s="69"/>
      <c r="CJ296" s="69"/>
      <c r="CK296" s="69"/>
      <c r="CL296" s="69"/>
      <c r="CM296" s="69"/>
      <c r="CN296" s="69"/>
      <c r="CO296" s="69"/>
      <c r="CP296" s="69"/>
      <c r="CQ296" s="69"/>
      <c r="CR296" s="69"/>
      <c r="CS296" s="69"/>
      <c r="CT296" s="69"/>
      <c r="CU296" s="69"/>
      <c r="CV296" s="69"/>
      <c r="CW296" s="69"/>
      <c r="CX296" s="69"/>
      <c r="CY296" s="69"/>
      <c r="CZ296" s="69"/>
      <c r="DA296" s="69"/>
      <c r="DB296" s="69"/>
      <c r="DC296" s="69"/>
      <c r="DD296" s="69"/>
      <c r="DE296" s="69"/>
      <c r="DF296" s="69"/>
      <c r="DG296" s="69"/>
      <c r="DH296" s="69"/>
      <c r="DI296" s="69"/>
      <c r="DJ296" s="69"/>
      <c r="DK296" s="69"/>
      <c r="DL296" s="69"/>
    </row>
    <row r="297" spans="1:116" ht="13" x14ac:dyDescent="0.3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202"/>
      <c r="V297" s="69"/>
      <c r="W297" s="69"/>
      <c r="X297" s="69"/>
      <c r="Y297" s="69"/>
      <c r="Z297" s="69"/>
      <c r="AA297" s="69"/>
      <c r="AB297" s="203"/>
      <c r="AC297" s="69"/>
      <c r="AD297" s="69"/>
      <c r="AE297" s="203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  <c r="BC297" s="69"/>
      <c r="BD297" s="69"/>
      <c r="BE297" s="69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9"/>
      <c r="BY297" s="69"/>
      <c r="BZ297" s="69"/>
      <c r="CA297" s="69"/>
      <c r="CB297" s="69"/>
      <c r="CC297" s="69"/>
      <c r="CD297" s="69"/>
      <c r="CE297" s="69"/>
      <c r="CF297" s="69"/>
      <c r="CG297" s="69"/>
      <c r="CH297" s="69"/>
      <c r="CI297" s="69"/>
      <c r="CJ297" s="69"/>
      <c r="CK297" s="69"/>
      <c r="CL297" s="69"/>
      <c r="CM297" s="69"/>
      <c r="CN297" s="69"/>
      <c r="CO297" s="69"/>
      <c r="CP297" s="69"/>
      <c r="CQ297" s="69"/>
      <c r="CR297" s="69"/>
      <c r="CS297" s="69"/>
      <c r="CT297" s="69"/>
      <c r="CU297" s="69"/>
      <c r="CV297" s="69"/>
      <c r="CW297" s="69"/>
      <c r="CX297" s="69"/>
      <c r="CY297" s="69"/>
      <c r="CZ297" s="69"/>
      <c r="DA297" s="69"/>
      <c r="DB297" s="69"/>
      <c r="DC297" s="69"/>
      <c r="DD297" s="69"/>
      <c r="DE297" s="69"/>
      <c r="DF297" s="69"/>
      <c r="DG297" s="69"/>
      <c r="DH297" s="69"/>
      <c r="DI297" s="69"/>
      <c r="DJ297" s="69"/>
      <c r="DK297" s="69"/>
      <c r="DL297" s="69"/>
    </row>
    <row r="298" spans="1:116" ht="13" x14ac:dyDescent="0.3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202"/>
      <c r="V298" s="69"/>
      <c r="W298" s="69"/>
      <c r="X298" s="69"/>
      <c r="Y298" s="69"/>
      <c r="Z298" s="69"/>
      <c r="AA298" s="69"/>
      <c r="AB298" s="203"/>
      <c r="AC298" s="69"/>
      <c r="AD298" s="69"/>
      <c r="AE298" s="203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  <c r="BC298" s="69"/>
      <c r="BD298" s="69"/>
      <c r="BE298" s="69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9"/>
      <c r="BY298" s="69"/>
      <c r="BZ298" s="69"/>
      <c r="CA298" s="69"/>
      <c r="CB298" s="69"/>
      <c r="CC298" s="69"/>
      <c r="CD298" s="69"/>
      <c r="CE298" s="69"/>
      <c r="CF298" s="69"/>
      <c r="CG298" s="69"/>
      <c r="CH298" s="69"/>
      <c r="CI298" s="69"/>
      <c r="CJ298" s="69"/>
      <c r="CK298" s="69"/>
      <c r="CL298" s="69"/>
      <c r="CM298" s="69"/>
      <c r="CN298" s="69"/>
      <c r="CO298" s="69"/>
      <c r="CP298" s="69"/>
      <c r="CQ298" s="69"/>
      <c r="CR298" s="69"/>
      <c r="CS298" s="69"/>
      <c r="CT298" s="69"/>
      <c r="CU298" s="69"/>
      <c r="CV298" s="69"/>
      <c r="CW298" s="69"/>
      <c r="CX298" s="69"/>
      <c r="CY298" s="69"/>
      <c r="CZ298" s="69"/>
      <c r="DA298" s="69"/>
      <c r="DB298" s="69"/>
      <c r="DC298" s="69"/>
      <c r="DD298" s="69"/>
      <c r="DE298" s="69"/>
      <c r="DF298" s="69"/>
      <c r="DG298" s="69"/>
      <c r="DH298" s="69"/>
      <c r="DI298" s="69"/>
      <c r="DJ298" s="69"/>
      <c r="DK298" s="69"/>
      <c r="DL298" s="69"/>
    </row>
    <row r="299" spans="1:116" ht="13" x14ac:dyDescent="0.3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202"/>
      <c r="V299" s="69"/>
      <c r="W299" s="69"/>
      <c r="X299" s="69"/>
      <c r="Y299" s="69"/>
      <c r="Z299" s="69"/>
      <c r="AA299" s="69"/>
      <c r="AB299" s="203"/>
      <c r="AC299" s="69"/>
      <c r="AD299" s="69"/>
      <c r="AE299" s="203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9"/>
      <c r="BY299" s="69"/>
      <c r="BZ299" s="69"/>
      <c r="CA299" s="69"/>
      <c r="CB299" s="69"/>
      <c r="CC299" s="69"/>
      <c r="CD299" s="69"/>
      <c r="CE299" s="69"/>
      <c r="CF299" s="69"/>
      <c r="CG299" s="69"/>
      <c r="CH299" s="69"/>
      <c r="CI299" s="69"/>
      <c r="CJ299" s="69"/>
      <c r="CK299" s="69"/>
      <c r="CL299" s="69"/>
      <c r="CM299" s="69"/>
      <c r="CN299" s="69"/>
      <c r="CO299" s="69"/>
      <c r="CP299" s="69"/>
      <c r="CQ299" s="69"/>
      <c r="CR299" s="69"/>
      <c r="CS299" s="69"/>
      <c r="CT299" s="69"/>
      <c r="CU299" s="69"/>
      <c r="CV299" s="69"/>
      <c r="CW299" s="69"/>
      <c r="CX299" s="69"/>
      <c r="CY299" s="69"/>
      <c r="CZ299" s="69"/>
      <c r="DA299" s="69"/>
      <c r="DB299" s="69"/>
      <c r="DC299" s="69"/>
      <c r="DD299" s="69"/>
      <c r="DE299" s="69"/>
      <c r="DF299" s="69"/>
      <c r="DG299" s="69"/>
      <c r="DH299" s="69"/>
      <c r="DI299" s="69"/>
      <c r="DJ299" s="69"/>
      <c r="DK299" s="69"/>
      <c r="DL299" s="69"/>
    </row>
    <row r="300" spans="1:116" ht="13" x14ac:dyDescent="0.3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202"/>
      <c r="V300" s="69"/>
      <c r="W300" s="69"/>
      <c r="X300" s="69"/>
      <c r="Y300" s="69"/>
      <c r="Z300" s="69"/>
      <c r="AA300" s="69"/>
      <c r="AB300" s="203"/>
      <c r="AC300" s="69"/>
      <c r="AD300" s="69"/>
      <c r="AE300" s="203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  <c r="BC300" s="69"/>
      <c r="BD300" s="69"/>
      <c r="BE300" s="69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9"/>
      <c r="BY300" s="69"/>
      <c r="BZ300" s="69"/>
      <c r="CA300" s="69"/>
      <c r="CB300" s="69"/>
      <c r="CC300" s="69"/>
      <c r="CD300" s="69"/>
      <c r="CE300" s="69"/>
      <c r="CF300" s="69"/>
      <c r="CG300" s="69"/>
      <c r="CH300" s="69"/>
      <c r="CI300" s="69"/>
      <c r="CJ300" s="69"/>
      <c r="CK300" s="69"/>
      <c r="CL300" s="69"/>
      <c r="CM300" s="69"/>
      <c r="CN300" s="69"/>
      <c r="CO300" s="69"/>
      <c r="CP300" s="69"/>
      <c r="CQ300" s="69"/>
      <c r="CR300" s="69"/>
      <c r="CS300" s="69"/>
      <c r="CT300" s="69"/>
      <c r="CU300" s="69"/>
      <c r="CV300" s="69"/>
      <c r="CW300" s="69"/>
      <c r="CX300" s="69"/>
      <c r="CY300" s="69"/>
      <c r="CZ300" s="69"/>
      <c r="DA300" s="69"/>
      <c r="DB300" s="69"/>
      <c r="DC300" s="69"/>
      <c r="DD300" s="69"/>
      <c r="DE300" s="69"/>
      <c r="DF300" s="69"/>
      <c r="DG300" s="69"/>
      <c r="DH300" s="69"/>
      <c r="DI300" s="69"/>
      <c r="DJ300" s="69"/>
      <c r="DK300" s="69"/>
      <c r="DL300" s="69"/>
    </row>
    <row r="301" spans="1:116" ht="13" x14ac:dyDescent="0.3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202"/>
      <c r="V301" s="69"/>
      <c r="W301" s="69"/>
      <c r="X301" s="69"/>
      <c r="Y301" s="69"/>
      <c r="Z301" s="69"/>
      <c r="AA301" s="69"/>
      <c r="AB301" s="203"/>
      <c r="AC301" s="69"/>
      <c r="AD301" s="69"/>
      <c r="AE301" s="203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  <c r="BC301" s="69"/>
      <c r="BD301" s="69"/>
      <c r="BE301" s="69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9"/>
      <c r="BY301" s="69"/>
      <c r="BZ301" s="69"/>
      <c r="CA301" s="69"/>
      <c r="CB301" s="69"/>
      <c r="CC301" s="69"/>
      <c r="CD301" s="69"/>
      <c r="CE301" s="69"/>
      <c r="CF301" s="69"/>
      <c r="CG301" s="69"/>
      <c r="CH301" s="69"/>
      <c r="CI301" s="69"/>
      <c r="CJ301" s="69"/>
      <c r="CK301" s="69"/>
      <c r="CL301" s="69"/>
      <c r="CM301" s="69"/>
      <c r="CN301" s="69"/>
      <c r="CO301" s="69"/>
      <c r="CP301" s="69"/>
      <c r="CQ301" s="69"/>
      <c r="CR301" s="69"/>
      <c r="CS301" s="69"/>
      <c r="CT301" s="69"/>
      <c r="CU301" s="69"/>
      <c r="CV301" s="69"/>
      <c r="CW301" s="69"/>
      <c r="CX301" s="69"/>
      <c r="CY301" s="69"/>
      <c r="CZ301" s="69"/>
      <c r="DA301" s="69"/>
      <c r="DB301" s="69"/>
      <c r="DC301" s="69"/>
      <c r="DD301" s="69"/>
      <c r="DE301" s="69"/>
      <c r="DF301" s="69"/>
      <c r="DG301" s="69"/>
      <c r="DH301" s="69"/>
      <c r="DI301" s="69"/>
      <c r="DJ301" s="69"/>
      <c r="DK301" s="69"/>
      <c r="DL301" s="69"/>
    </row>
    <row r="302" spans="1:116" ht="13" x14ac:dyDescent="0.3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202"/>
      <c r="V302" s="69"/>
      <c r="W302" s="69"/>
      <c r="X302" s="69"/>
      <c r="Y302" s="69"/>
      <c r="Z302" s="69"/>
      <c r="AA302" s="69"/>
      <c r="AB302" s="203"/>
      <c r="AC302" s="69"/>
      <c r="AD302" s="69"/>
      <c r="AE302" s="203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9"/>
      <c r="BY302" s="69"/>
      <c r="BZ302" s="69"/>
      <c r="CA302" s="69"/>
      <c r="CB302" s="69"/>
      <c r="CC302" s="69"/>
      <c r="CD302" s="69"/>
      <c r="CE302" s="69"/>
      <c r="CF302" s="69"/>
      <c r="CG302" s="69"/>
      <c r="CH302" s="69"/>
      <c r="CI302" s="69"/>
      <c r="CJ302" s="69"/>
      <c r="CK302" s="69"/>
      <c r="CL302" s="69"/>
      <c r="CM302" s="69"/>
      <c r="CN302" s="69"/>
      <c r="CO302" s="69"/>
      <c r="CP302" s="69"/>
      <c r="CQ302" s="69"/>
      <c r="CR302" s="69"/>
      <c r="CS302" s="69"/>
      <c r="CT302" s="69"/>
      <c r="CU302" s="69"/>
      <c r="CV302" s="69"/>
      <c r="CW302" s="69"/>
      <c r="CX302" s="69"/>
      <c r="CY302" s="69"/>
      <c r="CZ302" s="69"/>
      <c r="DA302" s="69"/>
      <c r="DB302" s="69"/>
      <c r="DC302" s="69"/>
      <c r="DD302" s="69"/>
      <c r="DE302" s="69"/>
      <c r="DF302" s="69"/>
      <c r="DG302" s="69"/>
      <c r="DH302" s="69"/>
      <c r="DI302" s="69"/>
      <c r="DJ302" s="69"/>
      <c r="DK302" s="69"/>
      <c r="DL302" s="69"/>
    </row>
    <row r="303" spans="1:116" ht="13" x14ac:dyDescent="0.3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202"/>
      <c r="V303" s="69"/>
      <c r="W303" s="69"/>
      <c r="X303" s="69"/>
      <c r="Y303" s="69"/>
      <c r="Z303" s="69"/>
      <c r="AA303" s="69"/>
      <c r="AB303" s="203"/>
      <c r="AC303" s="69"/>
      <c r="AD303" s="69"/>
      <c r="AE303" s="203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  <c r="BC303" s="69"/>
      <c r="BD303" s="69"/>
      <c r="BE303" s="69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9"/>
      <c r="BY303" s="69"/>
      <c r="BZ303" s="69"/>
      <c r="CA303" s="69"/>
      <c r="CB303" s="69"/>
      <c r="CC303" s="69"/>
      <c r="CD303" s="69"/>
      <c r="CE303" s="69"/>
      <c r="CF303" s="69"/>
      <c r="CG303" s="69"/>
      <c r="CH303" s="69"/>
      <c r="CI303" s="69"/>
      <c r="CJ303" s="69"/>
      <c r="CK303" s="69"/>
      <c r="CL303" s="69"/>
      <c r="CM303" s="69"/>
      <c r="CN303" s="69"/>
      <c r="CO303" s="69"/>
      <c r="CP303" s="69"/>
      <c r="CQ303" s="69"/>
      <c r="CR303" s="69"/>
      <c r="CS303" s="69"/>
      <c r="CT303" s="69"/>
      <c r="CU303" s="69"/>
      <c r="CV303" s="69"/>
      <c r="CW303" s="69"/>
      <c r="CX303" s="69"/>
      <c r="CY303" s="69"/>
      <c r="CZ303" s="69"/>
      <c r="DA303" s="69"/>
      <c r="DB303" s="69"/>
      <c r="DC303" s="69"/>
      <c r="DD303" s="69"/>
      <c r="DE303" s="69"/>
      <c r="DF303" s="69"/>
      <c r="DG303" s="69"/>
      <c r="DH303" s="69"/>
      <c r="DI303" s="69"/>
      <c r="DJ303" s="69"/>
      <c r="DK303" s="69"/>
      <c r="DL303" s="69"/>
    </row>
    <row r="304" spans="1:116" ht="13" x14ac:dyDescent="0.3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202"/>
      <c r="V304" s="69"/>
      <c r="W304" s="69"/>
      <c r="X304" s="69"/>
      <c r="Y304" s="69"/>
      <c r="Z304" s="69"/>
      <c r="AA304" s="69"/>
      <c r="AB304" s="203"/>
      <c r="AC304" s="69"/>
      <c r="AD304" s="69"/>
      <c r="AE304" s="203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  <c r="BC304" s="69"/>
      <c r="BD304" s="69"/>
      <c r="BE304" s="69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9"/>
      <c r="BY304" s="69"/>
      <c r="BZ304" s="69"/>
      <c r="CA304" s="69"/>
      <c r="CB304" s="69"/>
      <c r="CC304" s="69"/>
      <c r="CD304" s="69"/>
      <c r="CE304" s="69"/>
      <c r="CF304" s="69"/>
      <c r="CG304" s="69"/>
      <c r="CH304" s="69"/>
      <c r="CI304" s="69"/>
      <c r="CJ304" s="69"/>
      <c r="CK304" s="69"/>
      <c r="CL304" s="69"/>
      <c r="CM304" s="69"/>
      <c r="CN304" s="69"/>
      <c r="CO304" s="69"/>
      <c r="CP304" s="69"/>
      <c r="CQ304" s="69"/>
      <c r="CR304" s="69"/>
      <c r="CS304" s="69"/>
      <c r="CT304" s="69"/>
      <c r="CU304" s="69"/>
      <c r="CV304" s="69"/>
      <c r="CW304" s="69"/>
      <c r="CX304" s="69"/>
      <c r="CY304" s="69"/>
      <c r="CZ304" s="69"/>
      <c r="DA304" s="69"/>
      <c r="DB304" s="69"/>
      <c r="DC304" s="69"/>
      <c r="DD304" s="69"/>
      <c r="DE304" s="69"/>
      <c r="DF304" s="69"/>
      <c r="DG304" s="69"/>
      <c r="DH304" s="69"/>
      <c r="DI304" s="69"/>
      <c r="DJ304" s="69"/>
      <c r="DK304" s="69"/>
      <c r="DL304" s="69"/>
    </row>
    <row r="305" spans="1:116" ht="13" x14ac:dyDescent="0.3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202"/>
      <c r="V305" s="69"/>
      <c r="W305" s="69"/>
      <c r="X305" s="69"/>
      <c r="Y305" s="69"/>
      <c r="Z305" s="69"/>
      <c r="AA305" s="69"/>
      <c r="AB305" s="203"/>
      <c r="AC305" s="69"/>
      <c r="AD305" s="69"/>
      <c r="AE305" s="203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9"/>
      <c r="BY305" s="69"/>
      <c r="BZ305" s="69"/>
      <c r="CA305" s="69"/>
      <c r="CB305" s="69"/>
      <c r="CC305" s="69"/>
      <c r="CD305" s="69"/>
      <c r="CE305" s="69"/>
      <c r="CF305" s="69"/>
      <c r="CG305" s="69"/>
      <c r="CH305" s="69"/>
      <c r="CI305" s="69"/>
      <c r="CJ305" s="69"/>
      <c r="CK305" s="69"/>
      <c r="CL305" s="69"/>
      <c r="CM305" s="69"/>
      <c r="CN305" s="69"/>
      <c r="CO305" s="69"/>
      <c r="CP305" s="69"/>
      <c r="CQ305" s="69"/>
      <c r="CR305" s="69"/>
      <c r="CS305" s="69"/>
      <c r="CT305" s="69"/>
      <c r="CU305" s="69"/>
      <c r="CV305" s="69"/>
      <c r="CW305" s="69"/>
      <c r="CX305" s="69"/>
      <c r="CY305" s="69"/>
      <c r="CZ305" s="69"/>
      <c r="DA305" s="69"/>
      <c r="DB305" s="69"/>
      <c r="DC305" s="69"/>
      <c r="DD305" s="69"/>
      <c r="DE305" s="69"/>
      <c r="DF305" s="69"/>
      <c r="DG305" s="69"/>
      <c r="DH305" s="69"/>
      <c r="DI305" s="69"/>
      <c r="DJ305" s="69"/>
      <c r="DK305" s="69"/>
      <c r="DL305" s="69"/>
    </row>
    <row r="306" spans="1:116" ht="13" x14ac:dyDescent="0.3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202"/>
      <c r="V306" s="69"/>
      <c r="W306" s="69"/>
      <c r="X306" s="69"/>
      <c r="Y306" s="69"/>
      <c r="Z306" s="69"/>
      <c r="AA306" s="69"/>
      <c r="AB306" s="203"/>
      <c r="AC306" s="69"/>
      <c r="AD306" s="69"/>
      <c r="AE306" s="203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9"/>
      <c r="BY306" s="69"/>
      <c r="BZ306" s="69"/>
      <c r="CA306" s="69"/>
      <c r="CB306" s="69"/>
      <c r="CC306" s="69"/>
      <c r="CD306" s="69"/>
      <c r="CE306" s="69"/>
      <c r="CF306" s="69"/>
      <c r="CG306" s="69"/>
      <c r="CH306" s="69"/>
      <c r="CI306" s="69"/>
      <c r="CJ306" s="69"/>
      <c r="CK306" s="69"/>
      <c r="CL306" s="69"/>
      <c r="CM306" s="69"/>
      <c r="CN306" s="69"/>
      <c r="CO306" s="69"/>
      <c r="CP306" s="69"/>
      <c r="CQ306" s="69"/>
      <c r="CR306" s="69"/>
      <c r="CS306" s="69"/>
      <c r="CT306" s="69"/>
      <c r="CU306" s="69"/>
      <c r="CV306" s="69"/>
      <c r="CW306" s="69"/>
      <c r="CX306" s="69"/>
      <c r="CY306" s="69"/>
      <c r="CZ306" s="69"/>
      <c r="DA306" s="69"/>
      <c r="DB306" s="69"/>
      <c r="DC306" s="69"/>
      <c r="DD306" s="69"/>
      <c r="DE306" s="69"/>
      <c r="DF306" s="69"/>
      <c r="DG306" s="69"/>
      <c r="DH306" s="69"/>
      <c r="DI306" s="69"/>
      <c r="DJ306" s="69"/>
      <c r="DK306" s="69"/>
      <c r="DL306" s="69"/>
    </row>
    <row r="307" spans="1:116" ht="13" x14ac:dyDescent="0.3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202"/>
      <c r="V307" s="69"/>
      <c r="W307" s="69"/>
      <c r="X307" s="69"/>
      <c r="Y307" s="69"/>
      <c r="Z307" s="69"/>
      <c r="AA307" s="69"/>
      <c r="AB307" s="203"/>
      <c r="AC307" s="69"/>
      <c r="AD307" s="69"/>
      <c r="AE307" s="203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9"/>
      <c r="BY307" s="69"/>
      <c r="BZ307" s="69"/>
      <c r="CA307" s="69"/>
      <c r="CB307" s="69"/>
      <c r="CC307" s="69"/>
      <c r="CD307" s="69"/>
      <c r="CE307" s="69"/>
      <c r="CF307" s="69"/>
      <c r="CG307" s="69"/>
      <c r="CH307" s="69"/>
      <c r="CI307" s="69"/>
      <c r="CJ307" s="69"/>
      <c r="CK307" s="69"/>
      <c r="CL307" s="69"/>
      <c r="CM307" s="69"/>
      <c r="CN307" s="69"/>
      <c r="CO307" s="69"/>
      <c r="CP307" s="69"/>
      <c r="CQ307" s="69"/>
      <c r="CR307" s="69"/>
      <c r="CS307" s="69"/>
      <c r="CT307" s="69"/>
      <c r="CU307" s="69"/>
      <c r="CV307" s="69"/>
      <c r="CW307" s="69"/>
      <c r="CX307" s="69"/>
      <c r="CY307" s="69"/>
      <c r="CZ307" s="69"/>
      <c r="DA307" s="69"/>
      <c r="DB307" s="69"/>
      <c r="DC307" s="69"/>
      <c r="DD307" s="69"/>
      <c r="DE307" s="69"/>
      <c r="DF307" s="69"/>
      <c r="DG307" s="69"/>
      <c r="DH307" s="69"/>
      <c r="DI307" s="69"/>
      <c r="DJ307" s="69"/>
      <c r="DK307" s="69"/>
      <c r="DL307" s="69"/>
    </row>
    <row r="308" spans="1:116" ht="13" x14ac:dyDescent="0.3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202"/>
      <c r="V308" s="69"/>
      <c r="W308" s="69"/>
      <c r="X308" s="69"/>
      <c r="Y308" s="69"/>
      <c r="Z308" s="69"/>
      <c r="AA308" s="69"/>
      <c r="AB308" s="203"/>
      <c r="AC308" s="69"/>
      <c r="AD308" s="69"/>
      <c r="AE308" s="203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9"/>
      <c r="BY308" s="69"/>
      <c r="BZ308" s="69"/>
      <c r="CA308" s="69"/>
      <c r="CB308" s="69"/>
      <c r="CC308" s="69"/>
      <c r="CD308" s="69"/>
      <c r="CE308" s="69"/>
      <c r="CF308" s="69"/>
      <c r="CG308" s="69"/>
      <c r="CH308" s="69"/>
      <c r="CI308" s="69"/>
      <c r="CJ308" s="69"/>
      <c r="CK308" s="69"/>
      <c r="CL308" s="69"/>
      <c r="CM308" s="69"/>
      <c r="CN308" s="69"/>
      <c r="CO308" s="69"/>
      <c r="CP308" s="69"/>
      <c r="CQ308" s="69"/>
      <c r="CR308" s="69"/>
      <c r="CS308" s="69"/>
      <c r="CT308" s="69"/>
      <c r="CU308" s="69"/>
      <c r="CV308" s="69"/>
      <c r="CW308" s="69"/>
      <c r="CX308" s="69"/>
      <c r="CY308" s="69"/>
      <c r="CZ308" s="69"/>
      <c r="DA308" s="69"/>
      <c r="DB308" s="69"/>
      <c r="DC308" s="69"/>
      <c r="DD308" s="69"/>
      <c r="DE308" s="69"/>
      <c r="DF308" s="69"/>
      <c r="DG308" s="69"/>
      <c r="DH308" s="69"/>
      <c r="DI308" s="69"/>
      <c r="DJ308" s="69"/>
      <c r="DK308" s="69"/>
      <c r="DL308" s="69"/>
    </row>
    <row r="309" spans="1:116" ht="13" x14ac:dyDescent="0.3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202"/>
      <c r="V309" s="69"/>
      <c r="W309" s="69"/>
      <c r="X309" s="69"/>
      <c r="Y309" s="69"/>
      <c r="Z309" s="69"/>
      <c r="AA309" s="69"/>
      <c r="AB309" s="203"/>
      <c r="AC309" s="69"/>
      <c r="AD309" s="69"/>
      <c r="AE309" s="203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9"/>
      <c r="BY309" s="69"/>
      <c r="BZ309" s="69"/>
      <c r="CA309" s="69"/>
      <c r="CB309" s="69"/>
      <c r="CC309" s="69"/>
      <c r="CD309" s="69"/>
      <c r="CE309" s="69"/>
      <c r="CF309" s="69"/>
      <c r="CG309" s="69"/>
      <c r="CH309" s="69"/>
      <c r="CI309" s="69"/>
      <c r="CJ309" s="69"/>
      <c r="CK309" s="69"/>
      <c r="CL309" s="69"/>
      <c r="CM309" s="69"/>
      <c r="CN309" s="69"/>
      <c r="CO309" s="69"/>
      <c r="CP309" s="69"/>
      <c r="CQ309" s="69"/>
      <c r="CR309" s="69"/>
      <c r="CS309" s="69"/>
      <c r="CT309" s="69"/>
      <c r="CU309" s="69"/>
      <c r="CV309" s="69"/>
      <c r="CW309" s="69"/>
      <c r="CX309" s="69"/>
      <c r="CY309" s="69"/>
      <c r="CZ309" s="69"/>
      <c r="DA309" s="69"/>
      <c r="DB309" s="69"/>
      <c r="DC309" s="69"/>
      <c r="DD309" s="69"/>
      <c r="DE309" s="69"/>
      <c r="DF309" s="69"/>
      <c r="DG309" s="69"/>
      <c r="DH309" s="69"/>
      <c r="DI309" s="69"/>
      <c r="DJ309" s="69"/>
      <c r="DK309" s="69"/>
      <c r="DL309" s="69"/>
    </row>
    <row r="310" spans="1:116" ht="13" x14ac:dyDescent="0.3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202"/>
      <c r="V310" s="69"/>
      <c r="W310" s="69"/>
      <c r="X310" s="69"/>
      <c r="Y310" s="69"/>
      <c r="Z310" s="69"/>
      <c r="AA310" s="69"/>
      <c r="AB310" s="203"/>
      <c r="AC310" s="69"/>
      <c r="AD310" s="69"/>
      <c r="AE310" s="203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9"/>
      <c r="BY310" s="69"/>
      <c r="BZ310" s="69"/>
      <c r="CA310" s="69"/>
      <c r="CB310" s="69"/>
      <c r="CC310" s="69"/>
      <c r="CD310" s="69"/>
      <c r="CE310" s="69"/>
      <c r="CF310" s="69"/>
      <c r="CG310" s="69"/>
      <c r="CH310" s="69"/>
      <c r="CI310" s="69"/>
      <c r="CJ310" s="69"/>
      <c r="CK310" s="69"/>
      <c r="CL310" s="69"/>
      <c r="CM310" s="69"/>
      <c r="CN310" s="69"/>
      <c r="CO310" s="69"/>
      <c r="CP310" s="69"/>
      <c r="CQ310" s="69"/>
      <c r="CR310" s="69"/>
      <c r="CS310" s="69"/>
      <c r="CT310" s="69"/>
      <c r="CU310" s="69"/>
      <c r="CV310" s="69"/>
      <c r="CW310" s="69"/>
      <c r="CX310" s="69"/>
      <c r="CY310" s="69"/>
      <c r="CZ310" s="69"/>
      <c r="DA310" s="69"/>
      <c r="DB310" s="69"/>
      <c r="DC310" s="69"/>
      <c r="DD310" s="69"/>
      <c r="DE310" s="69"/>
      <c r="DF310" s="69"/>
      <c r="DG310" s="69"/>
      <c r="DH310" s="69"/>
      <c r="DI310" s="69"/>
      <c r="DJ310" s="69"/>
      <c r="DK310" s="69"/>
      <c r="DL310" s="69"/>
    </row>
    <row r="311" spans="1:116" ht="13" x14ac:dyDescent="0.3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202"/>
      <c r="V311" s="69"/>
      <c r="W311" s="69"/>
      <c r="X311" s="69"/>
      <c r="Y311" s="69"/>
      <c r="Z311" s="69"/>
      <c r="AA311" s="69"/>
      <c r="AB311" s="203"/>
      <c r="AC311" s="69"/>
      <c r="AD311" s="69"/>
      <c r="AE311" s="203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9"/>
      <c r="BY311" s="69"/>
      <c r="BZ311" s="69"/>
      <c r="CA311" s="69"/>
      <c r="CB311" s="69"/>
      <c r="CC311" s="69"/>
      <c r="CD311" s="69"/>
      <c r="CE311" s="69"/>
      <c r="CF311" s="69"/>
      <c r="CG311" s="69"/>
      <c r="CH311" s="69"/>
      <c r="CI311" s="69"/>
      <c r="CJ311" s="69"/>
      <c r="CK311" s="69"/>
      <c r="CL311" s="69"/>
      <c r="CM311" s="69"/>
      <c r="CN311" s="69"/>
      <c r="CO311" s="69"/>
      <c r="CP311" s="69"/>
      <c r="CQ311" s="69"/>
      <c r="CR311" s="69"/>
      <c r="CS311" s="69"/>
      <c r="CT311" s="69"/>
      <c r="CU311" s="69"/>
      <c r="CV311" s="69"/>
      <c r="CW311" s="69"/>
      <c r="CX311" s="69"/>
      <c r="CY311" s="69"/>
      <c r="CZ311" s="69"/>
      <c r="DA311" s="69"/>
      <c r="DB311" s="69"/>
      <c r="DC311" s="69"/>
      <c r="DD311" s="69"/>
      <c r="DE311" s="69"/>
      <c r="DF311" s="69"/>
      <c r="DG311" s="69"/>
      <c r="DH311" s="69"/>
      <c r="DI311" s="69"/>
      <c r="DJ311" s="69"/>
      <c r="DK311" s="69"/>
      <c r="DL311" s="69"/>
    </row>
    <row r="312" spans="1:116" ht="13" x14ac:dyDescent="0.3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202"/>
      <c r="V312" s="69"/>
      <c r="W312" s="69"/>
      <c r="X312" s="69"/>
      <c r="Y312" s="69"/>
      <c r="Z312" s="69"/>
      <c r="AA312" s="69"/>
      <c r="AB312" s="203"/>
      <c r="AC312" s="69"/>
      <c r="AD312" s="69"/>
      <c r="AE312" s="203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  <c r="BC312" s="69"/>
      <c r="BD312" s="69"/>
      <c r="BE312" s="69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9"/>
      <c r="BY312" s="69"/>
      <c r="BZ312" s="69"/>
      <c r="CA312" s="69"/>
      <c r="CB312" s="69"/>
      <c r="CC312" s="69"/>
      <c r="CD312" s="69"/>
      <c r="CE312" s="69"/>
      <c r="CF312" s="69"/>
      <c r="CG312" s="69"/>
      <c r="CH312" s="69"/>
      <c r="CI312" s="69"/>
      <c r="CJ312" s="69"/>
      <c r="CK312" s="69"/>
      <c r="CL312" s="69"/>
      <c r="CM312" s="69"/>
      <c r="CN312" s="69"/>
      <c r="CO312" s="69"/>
      <c r="CP312" s="69"/>
      <c r="CQ312" s="69"/>
      <c r="CR312" s="69"/>
      <c r="CS312" s="69"/>
      <c r="CT312" s="69"/>
      <c r="CU312" s="69"/>
      <c r="CV312" s="69"/>
      <c r="CW312" s="69"/>
      <c r="CX312" s="69"/>
      <c r="CY312" s="69"/>
      <c r="CZ312" s="69"/>
      <c r="DA312" s="69"/>
      <c r="DB312" s="69"/>
      <c r="DC312" s="69"/>
      <c r="DD312" s="69"/>
      <c r="DE312" s="69"/>
      <c r="DF312" s="69"/>
      <c r="DG312" s="69"/>
      <c r="DH312" s="69"/>
      <c r="DI312" s="69"/>
      <c r="DJ312" s="69"/>
      <c r="DK312" s="69"/>
      <c r="DL312" s="69"/>
    </row>
    <row r="313" spans="1:116" ht="13" x14ac:dyDescent="0.3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202"/>
      <c r="V313" s="69"/>
      <c r="W313" s="69"/>
      <c r="X313" s="69"/>
      <c r="Y313" s="69"/>
      <c r="Z313" s="69"/>
      <c r="AA313" s="69"/>
      <c r="AB313" s="203"/>
      <c r="AC313" s="69"/>
      <c r="AD313" s="69"/>
      <c r="AE313" s="203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  <c r="BC313" s="69"/>
      <c r="BD313" s="69"/>
      <c r="BE313" s="69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9"/>
      <c r="BY313" s="69"/>
      <c r="BZ313" s="69"/>
      <c r="CA313" s="69"/>
      <c r="CB313" s="69"/>
      <c r="CC313" s="69"/>
      <c r="CD313" s="69"/>
      <c r="CE313" s="69"/>
      <c r="CF313" s="69"/>
      <c r="CG313" s="69"/>
      <c r="CH313" s="69"/>
      <c r="CI313" s="69"/>
      <c r="CJ313" s="69"/>
      <c r="CK313" s="69"/>
      <c r="CL313" s="69"/>
      <c r="CM313" s="69"/>
      <c r="CN313" s="69"/>
      <c r="CO313" s="69"/>
      <c r="CP313" s="69"/>
      <c r="CQ313" s="69"/>
      <c r="CR313" s="69"/>
      <c r="CS313" s="69"/>
      <c r="CT313" s="69"/>
      <c r="CU313" s="69"/>
      <c r="CV313" s="69"/>
      <c r="CW313" s="69"/>
      <c r="CX313" s="69"/>
      <c r="CY313" s="69"/>
      <c r="CZ313" s="69"/>
      <c r="DA313" s="69"/>
      <c r="DB313" s="69"/>
      <c r="DC313" s="69"/>
      <c r="DD313" s="69"/>
      <c r="DE313" s="69"/>
      <c r="DF313" s="69"/>
      <c r="DG313" s="69"/>
      <c r="DH313" s="69"/>
      <c r="DI313" s="69"/>
      <c r="DJ313" s="69"/>
      <c r="DK313" s="69"/>
      <c r="DL313" s="69"/>
    </row>
    <row r="314" spans="1:116" ht="13" x14ac:dyDescent="0.3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202"/>
      <c r="V314" s="69"/>
      <c r="W314" s="69"/>
      <c r="X314" s="69"/>
      <c r="Y314" s="69"/>
      <c r="Z314" s="69"/>
      <c r="AA314" s="69"/>
      <c r="AB314" s="203"/>
      <c r="AC314" s="69"/>
      <c r="AD314" s="69"/>
      <c r="AE314" s="203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9"/>
      <c r="BY314" s="69"/>
      <c r="BZ314" s="69"/>
      <c r="CA314" s="69"/>
      <c r="CB314" s="69"/>
      <c r="CC314" s="69"/>
      <c r="CD314" s="69"/>
      <c r="CE314" s="69"/>
      <c r="CF314" s="69"/>
      <c r="CG314" s="69"/>
      <c r="CH314" s="69"/>
      <c r="CI314" s="69"/>
      <c r="CJ314" s="69"/>
      <c r="CK314" s="69"/>
      <c r="CL314" s="69"/>
      <c r="CM314" s="69"/>
      <c r="CN314" s="69"/>
      <c r="CO314" s="69"/>
      <c r="CP314" s="69"/>
      <c r="CQ314" s="69"/>
      <c r="CR314" s="69"/>
      <c r="CS314" s="69"/>
      <c r="CT314" s="69"/>
      <c r="CU314" s="69"/>
      <c r="CV314" s="69"/>
      <c r="CW314" s="69"/>
      <c r="CX314" s="69"/>
      <c r="CY314" s="69"/>
      <c r="CZ314" s="69"/>
      <c r="DA314" s="69"/>
      <c r="DB314" s="69"/>
      <c r="DC314" s="69"/>
      <c r="DD314" s="69"/>
      <c r="DE314" s="69"/>
      <c r="DF314" s="69"/>
      <c r="DG314" s="69"/>
      <c r="DH314" s="69"/>
      <c r="DI314" s="69"/>
      <c r="DJ314" s="69"/>
      <c r="DK314" s="69"/>
      <c r="DL314" s="69"/>
    </row>
    <row r="315" spans="1:116" ht="13" x14ac:dyDescent="0.3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202"/>
      <c r="V315" s="69"/>
      <c r="W315" s="69"/>
      <c r="X315" s="69"/>
      <c r="Y315" s="69"/>
      <c r="Z315" s="69"/>
      <c r="AA315" s="69"/>
      <c r="AB315" s="203"/>
      <c r="AC315" s="69"/>
      <c r="AD315" s="69"/>
      <c r="AE315" s="203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9"/>
      <c r="BY315" s="69"/>
      <c r="BZ315" s="69"/>
      <c r="CA315" s="69"/>
      <c r="CB315" s="69"/>
      <c r="CC315" s="69"/>
      <c r="CD315" s="69"/>
      <c r="CE315" s="69"/>
      <c r="CF315" s="69"/>
      <c r="CG315" s="69"/>
      <c r="CH315" s="69"/>
      <c r="CI315" s="69"/>
      <c r="CJ315" s="69"/>
      <c r="CK315" s="69"/>
      <c r="CL315" s="69"/>
      <c r="CM315" s="69"/>
      <c r="CN315" s="69"/>
      <c r="CO315" s="69"/>
      <c r="CP315" s="69"/>
      <c r="CQ315" s="69"/>
      <c r="CR315" s="69"/>
      <c r="CS315" s="69"/>
      <c r="CT315" s="69"/>
      <c r="CU315" s="69"/>
      <c r="CV315" s="69"/>
      <c r="CW315" s="69"/>
      <c r="CX315" s="69"/>
      <c r="CY315" s="69"/>
      <c r="CZ315" s="69"/>
      <c r="DA315" s="69"/>
      <c r="DB315" s="69"/>
      <c r="DC315" s="69"/>
      <c r="DD315" s="69"/>
      <c r="DE315" s="69"/>
      <c r="DF315" s="69"/>
      <c r="DG315" s="69"/>
      <c r="DH315" s="69"/>
      <c r="DI315" s="69"/>
      <c r="DJ315" s="69"/>
      <c r="DK315" s="69"/>
      <c r="DL315" s="69"/>
    </row>
    <row r="316" spans="1:116" ht="13" x14ac:dyDescent="0.3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202"/>
      <c r="V316" s="69"/>
      <c r="W316" s="69"/>
      <c r="X316" s="69"/>
      <c r="Y316" s="69"/>
      <c r="Z316" s="69"/>
      <c r="AA316" s="69"/>
      <c r="AB316" s="203"/>
      <c r="AC316" s="69"/>
      <c r="AD316" s="69"/>
      <c r="AE316" s="203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  <c r="BC316" s="69"/>
      <c r="BD316" s="69"/>
      <c r="BE316" s="69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9"/>
      <c r="BY316" s="69"/>
      <c r="BZ316" s="69"/>
      <c r="CA316" s="69"/>
      <c r="CB316" s="69"/>
      <c r="CC316" s="69"/>
      <c r="CD316" s="69"/>
      <c r="CE316" s="69"/>
      <c r="CF316" s="69"/>
      <c r="CG316" s="69"/>
      <c r="CH316" s="69"/>
      <c r="CI316" s="69"/>
      <c r="CJ316" s="69"/>
      <c r="CK316" s="69"/>
      <c r="CL316" s="69"/>
      <c r="CM316" s="69"/>
      <c r="CN316" s="69"/>
      <c r="CO316" s="69"/>
      <c r="CP316" s="69"/>
      <c r="CQ316" s="69"/>
      <c r="CR316" s="69"/>
      <c r="CS316" s="69"/>
      <c r="CT316" s="69"/>
      <c r="CU316" s="69"/>
      <c r="CV316" s="69"/>
      <c r="CW316" s="69"/>
      <c r="CX316" s="69"/>
      <c r="CY316" s="69"/>
      <c r="CZ316" s="69"/>
      <c r="DA316" s="69"/>
      <c r="DB316" s="69"/>
      <c r="DC316" s="69"/>
      <c r="DD316" s="69"/>
      <c r="DE316" s="69"/>
      <c r="DF316" s="69"/>
      <c r="DG316" s="69"/>
      <c r="DH316" s="69"/>
      <c r="DI316" s="69"/>
      <c r="DJ316" s="69"/>
      <c r="DK316" s="69"/>
      <c r="DL316" s="69"/>
    </row>
    <row r="317" spans="1:116" ht="13" x14ac:dyDescent="0.3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202"/>
      <c r="V317" s="69"/>
      <c r="W317" s="69"/>
      <c r="X317" s="69"/>
      <c r="Y317" s="69"/>
      <c r="Z317" s="69"/>
      <c r="AA317" s="69"/>
      <c r="AB317" s="203"/>
      <c r="AC317" s="69"/>
      <c r="AD317" s="69"/>
      <c r="AE317" s="203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9"/>
      <c r="BY317" s="69"/>
      <c r="BZ317" s="69"/>
      <c r="CA317" s="69"/>
      <c r="CB317" s="69"/>
      <c r="CC317" s="69"/>
      <c r="CD317" s="69"/>
      <c r="CE317" s="69"/>
      <c r="CF317" s="69"/>
      <c r="CG317" s="69"/>
      <c r="CH317" s="69"/>
      <c r="CI317" s="69"/>
      <c r="CJ317" s="69"/>
      <c r="CK317" s="69"/>
      <c r="CL317" s="69"/>
      <c r="CM317" s="69"/>
      <c r="CN317" s="69"/>
      <c r="CO317" s="69"/>
      <c r="CP317" s="69"/>
      <c r="CQ317" s="69"/>
      <c r="CR317" s="69"/>
      <c r="CS317" s="69"/>
      <c r="CT317" s="69"/>
      <c r="CU317" s="69"/>
      <c r="CV317" s="69"/>
      <c r="CW317" s="69"/>
      <c r="CX317" s="69"/>
      <c r="CY317" s="69"/>
      <c r="CZ317" s="69"/>
      <c r="DA317" s="69"/>
      <c r="DB317" s="69"/>
      <c r="DC317" s="69"/>
      <c r="DD317" s="69"/>
      <c r="DE317" s="69"/>
      <c r="DF317" s="69"/>
      <c r="DG317" s="69"/>
      <c r="DH317" s="69"/>
      <c r="DI317" s="69"/>
      <c r="DJ317" s="69"/>
      <c r="DK317" s="69"/>
      <c r="DL317" s="69"/>
    </row>
    <row r="318" spans="1:116" ht="13" x14ac:dyDescent="0.3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202"/>
      <c r="V318" s="69"/>
      <c r="W318" s="69"/>
      <c r="X318" s="69"/>
      <c r="Y318" s="69"/>
      <c r="Z318" s="69"/>
      <c r="AA318" s="69"/>
      <c r="AB318" s="203"/>
      <c r="AC318" s="69"/>
      <c r="AD318" s="69"/>
      <c r="AE318" s="203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  <c r="BC318" s="69"/>
      <c r="BD318" s="69"/>
      <c r="BE318" s="69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9"/>
      <c r="BY318" s="69"/>
      <c r="BZ318" s="69"/>
      <c r="CA318" s="69"/>
      <c r="CB318" s="69"/>
      <c r="CC318" s="69"/>
      <c r="CD318" s="69"/>
      <c r="CE318" s="69"/>
      <c r="CF318" s="69"/>
      <c r="CG318" s="69"/>
      <c r="CH318" s="69"/>
      <c r="CI318" s="69"/>
      <c r="CJ318" s="69"/>
      <c r="CK318" s="69"/>
      <c r="CL318" s="69"/>
      <c r="CM318" s="69"/>
      <c r="CN318" s="69"/>
      <c r="CO318" s="69"/>
      <c r="CP318" s="69"/>
      <c r="CQ318" s="69"/>
      <c r="CR318" s="69"/>
      <c r="CS318" s="69"/>
      <c r="CT318" s="69"/>
      <c r="CU318" s="69"/>
      <c r="CV318" s="69"/>
      <c r="CW318" s="69"/>
      <c r="CX318" s="69"/>
      <c r="CY318" s="69"/>
      <c r="CZ318" s="69"/>
      <c r="DA318" s="69"/>
      <c r="DB318" s="69"/>
      <c r="DC318" s="69"/>
      <c r="DD318" s="69"/>
      <c r="DE318" s="69"/>
      <c r="DF318" s="69"/>
      <c r="DG318" s="69"/>
      <c r="DH318" s="69"/>
      <c r="DI318" s="69"/>
      <c r="DJ318" s="69"/>
      <c r="DK318" s="69"/>
      <c r="DL318" s="69"/>
    </row>
    <row r="319" spans="1:116" ht="13" x14ac:dyDescent="0.3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202"/>
      <c r="V319" s="69"/>
      <c r="W319" s="69"/>
      <c r="X319" s="69"/>
      <c r="Y319" s="69"/>
      <c r="Z319" s="69"/>
      <c r="AA319" s="69"/>
      <c r="AB319" s="203"/>
      <c r="AC319" s="69"/>
      <c r="AD319" s="69"/>
      <c r="AE319" s="203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  <c r="BC319" s="69"/>
      <c r="BD319" s="69"/>
      <c r="BE319" s="69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9"/>
      <c r="BY319" s="69"/>
      <c r="BZ319" s="69"/>
      <c r="CA319" s="69"/>
      <c r="CB319" s="69"/>
      <c r="CC319" s="69"/>
      <c r="CD319" s="69"/>
      <c r="CE319" s="69"/>
      <c r="CF319" s="69"/>
      <c r="CG319" s="69"/>
      <c r="CH319" s="69"/>
      <c r="CI319" s="69"/>
      <c r="CJ319" s="69"/>
      <c r="CK319" s="69"/>
      <c r="CL319" s="69"/>
      <c r="CM319" s="69"/>
      <c r="CN319" s="69"/>
      <c r="CO319" s="69"/>
      <c r="CP319" s="69"/>
      <c r="CQ319" s="69"/>
      <c r="CR319" s="69"/>
      <c r="CS319" s="69"/>
      <c r="CT319" s="69"/>
      <c r="CU319" s="69"/>
      <c r="CV319" s="69"/>
      <c r="CW319" s="69"/>
      <c r="CX319" s="69"/>
      <c r="CY319" s="69"/>
      <c r="CZ319" s="69"/>
      <c r="DA319" s="69"/>
      <c r="DB319" s="69"/>
      <c r="DC319" s="69"/>
      <c r="DD319" s="69"/>
      <c r="DE319" s="69"/>
      <c r="DF319" s="69"/>
      <c r="DG319" s="69"/>
      <c r="DH319" s="69"/>
      <c r="DI319" s="69"/>
      <c r="DJ319" s="69"/>
      <c r="DK319" s="69"/>
      <c r="DL319" s="69"/>
    </row>
    <row r="320" spans="1:116" ht="13" x14ac:dyDescent="0.3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202"/>
      <c r="V320" s="69"/>
      <c r="W320" s="69"/>
      <c r="X320" s="69"/>
      <c r="Y320" s="69"/>
      <c r="Z320" s="69"/>
      <c r="AA320" s="69"/>
      <c r="AB320" s="203"/>
      <c r="AC320" s="69"/>
      <c r="AD320" s="69"/>
      <c r="AE320" s="203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69"/>
      <c r="CF320" s="69"/>
      <c r="CG320" s="69"/>
      <c r="CH320" s="69"/>
      <c r="CI320" s="69"/>
      <c r="CJ320" s="69"/>
      <c r="CK320" s="69"/>
      <c r="CL320" s="69"/>
      <c r="CM320" s="69"/>
      <c r="CN320" s="69"/>
      <c r="CO320" s="69"/>
      <c r="CP320" s="69"/>
      <c r="CQ320" s="69"/>
      <c r="CR320" s="69"/>
      <c r="CS320" s="69"/>
      <c r="CT320" s="69"/>
      <c r="CU320" s="69"/>
      <c r="CV320" s="69"/>
      <c r="CW320" s="69"/>
      <c r="CX320" s="69"/>
      <c r="CY320" s="69"/>
      <c r="CZ320" s="69"/>
      <c r="DA320" s="69"/>
      <c r="DB320" s="69"/>
      <c r="DC320" s="69"/>
      <c r="DD320" s="69"/>
      <c r="DE320" s="69"/>
      <c r="DF320" s="69"/>
      <c r="DG320" s="69"/>
      <c r="DH320" s="69"/>
      <c r="DI320" s="69"/>
      <c r="DJ320" s="69"/>
      <c r="DK320" s="69"/>
      <c r="DL320" s="69"/>
    </row>
    <row r="321" spans="1:116" ht="13" x14ac:dyDescent="0.3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202"/>
      <c r="V321" s="69"/>
      <c r="W321" s="69"/>
      <c r="X321" s="69"/>
      <c r="Y321" s="69"/>
      <c r="Z321" s="69"/>
      <c r="AA321" s="69"/>
      <c r="AB321" s="203"/>
      <c r="AC321" s="69"/>
      <c r="AD321" s="69"/>
      <c r="AE321" s="203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  <c r="BC321" s="69"/>
      <c r="BD321" s="69"/>
      <c r="BE321" s="69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9"/>
      <c r="BY321" s="69"/>
      <c r="BZ321" s="69"/>
      <c r="CA321" s="69"/>
      <c r="CB321" s="69"/>
      <c r="CC321" s="69"/>
      <c r="CD321" s="69"/>
      <c r="CE321" s="69"/>
      <c r="CF321" s="69"/>
      <c r="CG321" s="69"/>
      <c r="CH321" s="69"/>
      <c r="CI321" s="69"/>
      <c r="CJ321" s="69"/>
      <c r="CK321" s="69"/>
      <c r="CL321" s="69"/>
      <c r="CM321" s="69"/>
      <c r="CN321" s="69"/>
      <c r="CO321" s="69"/>
      <c r="CP321" s="69"/>
      <c r="CQ321" s="69"/>
      <c r="CR321" s="69"/>
      <c r="CS321" s="69"/>
      <c r="CT321" s="69"/>
      <c r="CU321" s="69"/>
      <c r="CV321" s="69"/>
      <c r="CW321" s="69"/>
      <c r="CX321" s="69"/>
      <c r="CY321" s="69"/>
      <c r="CZ321" s="69"/>
      <c r="DA321" s="69"/>
      <c r="DB321" s="69"/>
      <c r="DC321" s="69"/>
      <c r="DD321" s="69"/>
      <c r="DE321" s="69"/>
      <c r="DF321" s="69"/>
      <c r="DG321" s="69"/>
      <c r="DH321" s="69"/>
      <c r="DI321" s="69"/>
      <c r="DJ321" s="69"/>
      <c r="DK321" s="69"/>
      <c r="DL321" s="69"/>
    </row>
    <row r="322" spans="1:116" ht="13" x14ac:dyDescent="0.3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202"/>
      <c r="V322" s="69"/>
      <c r="W322" s="69"/>
      <c r="X322" s="69"/>
      <c r="Y322" s="69"/>
      <c r="Z322" s="69"/>
      <c r="AA322" s="69"/>
      <c r="AB322" s="203"/>
      <c r="AC322" s="69"/>
      <c r="AD322" s="69"/>
      <c r="AE322" s="203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  <c r="BC322" s="69"/>
      <c r="BD322" s="69"/>
      <c r="BE322" s="69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9"/>
      <c r="BY322" s="69"/>
      <c r="BZ322" s="69"/>
      <c r="CA322" s="69"/>
      <c r="CB322" s="69"/>
      <c r="CC322" s="69"/>
      <c r="CD322" s="69"/>
      <c r="CE322" s="69"/>
      <c r="CF322" s="69"/>
      <c r="CG322" s="69"/>
      <c r="CH322" s="69"/>
      <c r="CI322" s="69"/>
      <c r="CJ322" s="69"/>
      <c r="CK322" s="69"/>
      <c r="CL322" s="69"/>
      <c r="CM322" s="69"/>
      <c r="CN322" s="69"/>
      <c r="CO322" s="69"/>
      <c r="CP322" s="69"/>
      <c r="CQ322" s="69"/>
      <c r="CR322" s="69"/>
      <c r="CS322" s="69"/>
      <c r="CT322" s="69"/>
      <c r="CU322" s="69"/>
      <c r="CV322" s="69"/>
      <c r="CW322" s="69"/>
      <c r="CX322" s="69"/>
      <c r="CY322" s="69"/>
      <c r="CZ322" s="69"/>
      <c r="DA322" s="69"/>
      <c r="DB322" s="69"/>
      <c r="DC322" s="69"/>
      <c r="DD322" s="69"/>
      <c r="DE322" s="69"/>
      <c r="DF322" s="69"/>
      <c r="DG322" s="69"/>
      <c r="DH322" s="69"/>
      <c r="DI322" s="69"/>
      <c r="DJ322" s="69"/>
      <c r="DK322" s="69"/>
      <c r="DL322" s="69"/>
    </row>
    <row r="323" spans="1:116" ht="13" x14ac:dyDescent="0.3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202"/>
      <c r="V323" s="69"/>
      <c r="W323" s="69"/>
      <c r="X323" s="69"/>
      <c r="Y323" s="69"/>
      <c r="Z323" s="69"/>
      <c r="AA323" s="69"/>
      <c r="AB323" s="203"/>
      <c r="AC323" s="69"/>
      <c r="AD323" s="69"/>
      <c r="AE323" s="203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  <c r="BC323" s="69"/>
      <c r="BD323" s="69"/>
      <c r="BE323" s="69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9"/>
      <c r="BY323" s="69"/>
      <c r="BZ323" s="69"/>
      <c r="CA323" s="69"/>
      <c r="CB323" s="69"/>
      <c r="CC323" s="69"/>
      <c r="CD323" s="69"/>
      <c r="CE323" s="69"/>
      <c r="CF323" s="69"/>
      <c r="CG323" s="69"/>
      <c r="CH323" s="69"/>
      <c r="CI323" s="69"/>
      <c r="CJ323" s="69"/>
      <c r="CK323" s="69"/>
      <c r="CL323" s="69"/>
      <c r="CM323" s="69"/>
      <c r="CN323" s="69"/>
      <c r="CO323" s="69"/>
      <c r="CP323" s="69"/>
      <c r="CQ323" s="69"/>
      <c r="CR323" s="69"/>
      <c r="CS323" s="69"/>
      <c r="CT323" s="69"/>
      <c r="CU323" s="69"/>
      <c r="CV323" s="69"/>
      <c r="CW323" s="69"/>
      <c r="CX323" s="69"/>
      <c r="CY323" s="69"/>
      <c r="CZ323" s="69"/>
      <c r="DA323" s="69"/>
      <c r="DB323" s="69"/>
      <c r="DC323" s="69"/>
      <c r="DD323" s="69"/>
      <c r="DE323" s="69"/>
      <c r="DF323" s="69"/>
      <c r="DG323" s="69"/>
      <c r="DH323" s="69"/>
      <c r="DI323" s="69"/>
      <c r="DJ323" s="69"/>
      <c r="DK323" s="69"/>
      <c r="DL323" s="69"/>
    </row>
    <row r="324" spans="1:116" ht="13" x14ac:dyDescent="0.3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202"/>
      <c r="V324" s="69"/>
      <c r="W324" s="69"/>
      <c r="X324" s="69"/>
      <c r="Y324" s="69"/>
      <c r="Z324" s="69"/>
      <c r="AA324" s="69"/>
      <c r="AB324" s="203"/>
      <c r="AC324" s="69"/>
      <c r="AD324" s="69"/>
      <c r="AE324" s="203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  <c r="BC324" s="69"/>
      <c r="BD324" s="69"/>
      <c r="BE324" s="69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9"/>
      <c r="BY324" s="69"/>
      <c r="BZ324" s="69"/>
      <c r="CA324" s="69"/>
      <c r="CB324" s="69"/>
      <c r="CC324" s="69"/>
      <c r="CD324" s="69"/>
      <c r="CE324" s="69"/>
      <c r="CF324" s="69"/>
      <c r="CG324" s="69"/>
      <c r="CH324" s="69"/>
      <c r="CI324" s="69"/>
      <c r="CJ324" s="69"/>
      <c r="CK324" s="69"/>
      <c r="CL324" s="69"/>
      <c r="CM324" s="69"/>
      <c r="CN324" s="69"/>
      <c r="CO324" s="69"/>
      <c r="CP324" s="69"/>
      <c r="CQ324" s="69"/>
      <c r="CR324" s="69"/>
      <c r="CS324" s="69"/>
      <c r="CT324" s="69"/>
      <c r="CU324" s="69"/>
      <c r="CV324" s="69"/>
      <c r="CW324" s="69"/>
      <c r="CX324" s="69"/>
      <c r="CY324" s="69"/>
      <c r="CZ324" s="69"/>
      <c r="DA324" s="69"/>
      <c r="DB324" s="69"/>
      <c r="DC324" s="69"/>
      <c r="DD324" s="69"/>
      <c r="DE324" s="69"/>
      <c r="DF324" s="69"/>
      <c r="DG324" s="69"/>
      <c r="DH324" s="69"/>
      <c r="DI324" s="69"/>
      <c r="DJ324" s="69"/>
      <c r="DK324" s="69"/>
      <c r="DL324" s="69"/>
    </row>
    <row r="325" spans="1:116" ht="13" x14ac:dyDescent="0.3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202"/>
      <c r="V325" s="69"/>
      <c r="W325" s="69"/>
      <c r="X325" s="69"/>
      <c r="Y325" s="69"/>
      <c r="Z325" s="69"/>
      <c r="AA325" s="69"/>
      <c r="AB325" s="203"/>
      <c r="AC325" s="69"/>
      <c r="AD325" s="69"/>
      <c r="AE325" s="203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  <c r="BC325" s="69"/>
      <c r="BD325" s="69"/>
      <c r="BE325" s="69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9"/>
      <c r="BY325" s="69"/>
      <c r="BZ325" s="69"/>
      <c r="CA325" s="69"/>
      <c r="CB325" s="69"/>
      <c r="CC325" s="69"/>
      <c r="CD325" s="69"/>
      <c r="CE325" s="69"/>
      <c r="CF325" s="69"/>
      <c r="CG325" s="69"/>
      <c r="CH325" s="69"/>
      <c r="CI325" s="69"/>
      <c r="CJ325" s="69"/>
      <c r="CK325" s="69"/>
      <c r="CL325" s="69"/>
      <c r="CM325" s="69"/>
      <c r="CN325" s="69"/>
      <c r="CO325" s="69"/>
      <c r="CP325" s="69"/>
      <c r="CQ325" s="69"/>
      <c r="CR325" s="69"/>
      <c r="CS325" s="69"/>
      <c r="CT325" s="69"/>
      <c r="CU325" s="69"/>
      <c r="CV325" s="69"/>
      <c r="CW325" s="69"/>
      <c r="CX325" s="69"/>
      <c r="CY325" s="69"/>
      <c r="CZ325" s="69"/>
      <c r="DA325" s="69"/>
      <c r="DB325" s="69"/>
      <c r="DC325" s="69"/>
      <c r="DD325" s="69"/>
      <c r="DE325" s="69"/>
      <c r="DF325" s="69"/>
      <c r="DG325" s="69"/>
      <c r="DH325" s="69"/>
      <c r="DI325" s="69"/>
      <c r="DJ325" s="69"/>
      <c r="DK325" s="69"/>
      <c r="DL325" s="69"/>
    </row>
    <row r="326" spans="1:116" ht="13" x14ac:dyDescent="0.3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202"/>
      <c r="V326" s="69"/>
      <c r="W326" s="69"/>
      <c r="X326" s="69"/>
      <c r="Y326" s="69"/>
      <c r="Z326" s="69"/>
      <c r="AA326" s="69"/>
      <c r="AB326" s="203"/>
      <c r="AC326" s="69"/>
      <c r="AD326" s="69"/>
      <c r="AE326" s="203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  <c r="BC326" s="69"/>
      <c r="BD326" s="69"/>
      <c r="BE326" s="69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9"/>
      <c r="BY326" s="69"/>
      <c r="BZ326" s="69"/>
      <c r="CA326" s="69"/>
      <c r="CB326" s="69"/>
      <c r="CC326" s="69"/>
      <c r="CD326" s="69"/>
      <c r="CE326" s="69"/>
      <c r="CF326" s="69"/>
      <c r="CG326" s="69"/>
      <c r="CH326" s="69"/>
      <c r="CI326" s="69"/>
      <c r="CJ326" s="69"/>
      <c r="CK326" s="69"/>
      <c r="CL326" s="69"/>
      <c r="CM326" s="69"/>
      <c r="CN326" s="69"/>
      <c r="CO326" s="69"/>
      <c r="CP326" s="69"/>
      <c r="CQ326" s="69"/>
      <c r="CR326" s="69"/>
      <c r="CS326" s="69"/>
      <c r="CT326" s="69"/>
      <c r="CU326" s="69"/>
      <c r="CV326" s="69"/>
      <c r="CW326" s="69"/>
      <c r="CX326" s="69"/>
      <c r="CY326" s="69"/>
      <c r="CZ326" s="69"/>
      <c r="DA326" s="69"/>
      <c r="DB326" s="69"/>
      <c r="DC326" s="69"/>
      <c r="DD326" s="69"/>
      <c r="DE326" s="69"/>
      <c r="DF326" s="69"/>
      <c r="DG326" s="69"/>
      <c r="DH326" s="69"/>
      <c r="DI326" s="69"/>
      <c r="DJ326" s="69"/>
      <c r="DK326" s="69"/>
      <c r="DL326" s="69"/>
    </row>
    <row r="327" spans="1:116" ht="13" x14ac:dyDescent="0.3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202"/>
      <c r="V327" s="69"/>
      <c r="W327" s="69"/>
      <c r="X327" s="69"/>
      <c r="Y327" s="69"/>
      <c r="Z327" s="69"/>
      <c r="AA327" s="69"/>
      <c r="AB327" s="203"/>
      <c r="AC327" s="69"/>
      <c r="AD327" s="69"/>
      <c r="AE327" s="203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  <c r="BC327" s="69"/>
      <c r="BD327" s="69"/>
      <c r="BE327" s="69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9"/>
      <c r="BY327" s="69"/>
      <c r="BZ327" s="69"/>
      <c r="CA327" s="69"/>
      <c r="CB327" s="69"/>
      <c r="CC327" s="69"/>
      <c r="CD327" s="69"/>
      <c r="CE327" s="69"/>
      <c r="CF327" s="69"/>
      <c r="CG327" s="69"/>
      <c r="CH327" s="69"/>
      <c r="CI327" s="69"/>
      <c r="CJ327" s="69"/>
      <c r="CK327" s="69"/>
      <c r="CL327" s="69"/>
      <c r="CM327" s="69"/>
      <c r="CN327" s="69"/>
      <c r="CO327" s="69"/>
      <c r="CP327" s="69"/>
      <c r="CQ327" s="69"/>
      <c r="CR327" s="69"/>
      <c r="CS327" s="69"/>
      <c r="CT327" s="69"/>
      <c r="CU327" s="69"/>
      <c r="CV327" s="69"/>
      <c r="CW327" s="69"/>
      <c r="CX327" s="69"/>
      <c r="CY327" s="69"/>
      <c r="CZ327" s="69"/>
      <c r="DA327" s="69"/>
      <c r="DB327" s="69"/>
      <c r="DC327" s="69"/>
      <c r="DD327" s="69"/>
      <c r="DE327" s="69"/>
      <c r="DF327" s="69"/>
      <c r="DG327" s="69"/>
      <c r="DH327" s="69"/>
      <c r="DI327" s="69"/>
      <c r="DJ327" s="69"/>
      <c r="DK327" s="69"/>
      <c r="DL327" s="69"/>
    </row>
    <row r="328" spans="1:116" ht="13" x14ac:dyDescent="0.3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202"/>
      <c r="V328" s="69"/>
      <c r="W328" s="69"/>
      <c r="X328" s="69"/>
      <c r="Y328" s="69"/>
      <c r="Z328" s="69"/>
      <c r="AA328" s="69"/>
      <c r="AB328" s="203"/>
      <c r="AC328" s="69"/>
      <c r="AD328" s="69"/>
      <c r="AE328" s="203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  <c r="BC328" s="69"/>
      <c r="BD328" s="69"/>
      <c r="BE328" s="69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9"/>
      <c r="BY328" s="69"/>
      <c r="BZ328" s="69"/>
      <c r="CA328" s="69"/>
      <c r="CB328" s="69"/>
      <c r="CC328" s="69"/>
      <c r="CD328" s="69"/>
      <c r="CE328" s="69"/>
      <c r="CF328" s="69"/>
      <c r="CG328" s="69"/>
      <c r="CH328" s="69"/>
      <c r="CI328" s="69"/>
      <c r="CJ328" s="69"/>
      <c r="CK328" s="69"/>
      <c r="CL328" s="69"/>
      <c r="CM328" s="69"/>
      <c r="CN328" s="69"/>
      <c r="CO328" s="69"/>
      <c r="CP328" s="69"/>
      <c r="CQ328" s="69"/>
      <c r="CR328" s="69"/>
      <c r="CS328" s="69"/>
      <c r="CT328" s="69"/>
      <c r="CU328" s="69"/>
      <c r="CV328" s="69"/>
      <c r="CW328" s="69"/>
      <c r="CX328" s="69"/>
      <c r="CY328" s="69"/>
      <c r="CZ328" s="69"/>
      <c r="DA328" s="69"/>
      <c r="DB328" s="69"/>
      <c r="DC328" s="69"/>
      <c r="DD328" s="69"/>
      <c r="DE328" s="69"/>
      <c r="DF328" s="69"/>
      <c r="DG328" s="69"/>
      <c r="DH328" s="69"/>
      <c r="DI328" s="69"/>
      <c r="DJ328" s="69"/>
      <c r="DK328" s="69"/>
      <c r="DL328" s="69"/>
    </row>
    <row r="329" spans="1:116" ht="13" x14ac:dyDescent="0.3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202"/>
      <c r="V329" s="69"/>
      <c r="W329" s="69"/>
      <c r="X329" s="69"/>
      <c r="Y329" s="69"/>
      <c r="Z329" s="69"/>
      <c r="AA329" s="69"/>
      <c r="AB329" s="203"/>
      <c r="AC329" s="69"/>
      <c r="AD329" s="69"/>
      <c r="AE329" s="203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  <c r="BC329" s="69"/>
      <c r="BD329" s="69"/>
      <c r="BE329" s="69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9"/>
      <c r="BY329" s="69"/>
      <c r="BZ329" s="69"/>
      <c r="CA329" s="69"/>
      <c r="CB329" s="69"/>
      <c r="CC329" s="69"/>
      <c r="CD329" s="69"/>
      <c r="CE329" s="69"/>
      <c r="CF329" s="69"/>
      <c r="CG329" s="69"/>
      <c r="CH329" s="69"/>
      <c r="CI329" s="69"/>
      <c r="CJ329" s="69"/>
      <c r="CK329" s="69"/>
      <c r="CL329" s="69"/>
      <c r="CM329" s="69"/>
      <c r="CN329" s="69"/>
      <c r="CO329" s="69"/>
      <c r="CP329" s="69"/>
      <c r="CQ329" s="69"/>
      <c r="CR329" s="69"/>
      <c r="CS329" s="69"/>
      <c r="CT329" s="69"/>
      <c r="CU329" s="69"/>
      <c r="CV329" s="69"/>
      <c r="CW329" s="69"/>
      <c r="CX329" s="69"/>
      <c r="CY329" s="69"/>
      <c r="CZ329" s="69"/>
      <c r="DA329" s="69"/>
      <c r="DB329" s="69"/>
      <c r="DC329" s="69"/>
      <c r="DD329" s="69"/>
      <c r="DE329" s="69"/>
      <c r="DF329" s="69"/>
      <c r="DG329" s="69"/>
      <c r="DH329" s="69"/>
      <c r="DI329" s="69"/>
      <c r="DJ329" s="69"/>
      <c r="DK329" s="69"/>
      <c r="DL329" s="69"/>
    </row>
    <row r="330" spans="1:116" ht="13" x14ac:dyDescent="0.3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202"/>
      <c r="V330" s="69"/>
      <c r="W330" s="69"/>
      <c r="X330" s="69"/>
      <c r="Y330" s="69"/>
      <c r="Z330" s="69"/>
      <c r="AA330" s="69"/>
      <c r="AB330" s="203"/>
      <c r="AC330" s="69"/>
      <c r="AD330" s="69"/>
      <c r="AE330" s="203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  <c r="BC330" s="69"/>
      <c r="BD330" s="69"/>
      <c r="BE330" s="69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9"/>
      <c r="BY330" s="69"/>
      <c r="BZ330" s="69"/>
      <c r="CA330" s="69"/>
      <c r="CB330" s="69"/>
      <c r="CC330" s="69"/>
      <c r="CD330" s="69"/>
      <c r="CE330" s="69"/>
      <c r="CF330" s="69"/>
      <c r="CG330" s="69"/>
      <c r="CH330" s="69"/>
      <c r="CI330" s="69"/>
      <c r="CJ330" s="69"/>
      <c r="CK330" s="69"/>
      <c r="CL330" s="69"/>
      <c r="CM330" s="69"/>
      <c r="CN330" s="69"/>
      <c r="CO330" s="69"/>
      <c r="CP330" s="69"/>
      <c r="CQ330" s="69"/>
      <c r="CR330" s="69"/>
      <c r="CS330" s="69"/>
      <c r="CT330" s="69"/>
      <c r="CU330" s="69"/>
      <c r="CV330" s="69"/>
      <c r="CW330" s="69"/>
      <c r="CX330" s="69"/>
      <c r="CY330" s="69"/>
      <c r="CZ330" s="69"/>
      <c r="DA330" s="69"/>
      <c r="DB330" s="69"/>
      <c r="DC330" s="69"/>
      <c r="DD330" s="69"/>
      <c r="DE330" s="69"/>
      <c r="DF330" s="69"/>
      <c r="DG330" s="69"/>
      <c r="DH330" s="69"/>
      <c r="DI330" s="69"/>
      <c r="DJ330" s="69"/>
      <c r="DK330" s="69"/>
      <c r="DL330" s="69"/>
    </row>
    <row r="331" spans="1:116" ht="13" x14ac:dyDescent="0.3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202"/>
      <c r="V331" s="69"/>
      <c r="W331" s="69"/>
      <c r="X331" s="69"/>
      <c r="Y331" s="69"/>
      <c r="Z331" s="69"/>
      <c r="AA331" s="69"/>
      <c r="AB331" s="203"/>
      <c r="AC331" s="69"/>
      <c r="AD331" s="69"/>
      <c r="AE331" s="203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  <c r="BC331" s="69"/>
      <c r="BD331" s="69"/>
      <c r="BE331" s="69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9"/>
      <c r="BY331" s="69"/>
      <c r="BZ331" s="69"/>
      <c r="CA331" s="69"/>
      <c r="CB331" s="69"/>
      <c r="CC331" s="69"/>
      <c r="CD331" s="69"/>
      <c r="CE331" s="69"/>
      <c r="CF331" s="69"/>
      <c r="CG331" s="69"/>
      <c r="CH331" s="69"/>
      <c r="CI331" s="69"/>
      <c r="CJ331" s="69"/>
      <c r="CK331" s="69"/>
      <c r="CL331" s="69"/>
      <c r="CM331" s="69"/>
      <c r="CN331" s="69"/>
      <c r="CO331" s="69"/>
      <c r="CP331" s="69"/>
      <c r="CQ331" s="69"/>
      <c r="CR331" s="69"/>
      <c r="CS331" s="69"/>
      <c r="CT331" s="69"/>
      <c r="CU331" s="69"/>
      <c r="CV331" s="69"/>
      <c r="CW331" s="69"/>
      <c r="CX331" s="69"/>
      <c r="CY331" s="69"/>
      <c r="CZ331" s="69"/>
      <c r="DA331" s="69"/>
      <c r="DB331" s="69"/>
      <c r="DC331" s="69"/>
      <c r="DD331" s="69"/>
      <c r="DE331" s="69"/>
      <c r="DF331" s="69"/>
      <c r="DG331" s="69"/>
      <c r="DH331" s="69"/>
      <c r="DI331" s="69"/>
      <c r="DJ331" s="69"/>
      <c r="DK331" s="69"/>
      <c r="DL331" s="69"/>
    </row>
    <row r="332" spans="1:116" ht="13" x14ac:dyDescent="0.3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202"/>
      <c r="V332" s="69"/>
      <c r="W332" s="69"/>
      <c r="X332" s="69"/>
      <c r="Y332" s="69"/>
      <c r="Z332" s="69"/>
      <c r="AA332" s="69"/>
      <c r="AB332" s="203"/>
      <c r="AC332" s="69"/>
      <c r="AD332" s="69"/>
      <c r="AE332" s="203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  <c r="BC332" s="69"/>
      <c r="BD332" s="69"/>
      <c r="BE332" s="69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9"/>
      <c r="BY332" s="69"/>
      <c r="BZ332" s="69"/>
      <c r="CA332" s="69"/>
      <c r="CB332" s="69"/>
      <c r="CC332" s="69"/>
      <c r="CD332" s="69"/>
      <c r="CE332" s="69"/>
      <c r="CF332" s="69"/>
      <c r="CG332" s="69"/>
      <c r="CH332" s="69"/>
      <c r="CI332" s="69"/>
      <c r="CJ332" s="69"/>
      <c r="CK332" s="69"/>
      <c r="CL332" s="69"/>
      <c r="CM332" s="69"/>
      <c r="CN332" s="69"/>
      <c r="CO332" s="69"/>
      <c r="CP332" s="69"/>
      <c r="CQ332" s="69"/>
      <c r="CR332" s="69"/>
      <c r="CS332" s="69"/>
      <c r="CT332" s="69"/>
      <c r="CU332" s="69"/>
      <c r="CV332" s="69"/>
      <c r="CW332" s="69"/>
      <c r="CX332" s="69"/>
      <c r="CY332" s="69"/>
      <c r="CZ332" s="69"/>
      <c r="DA332" s="69"/>
      <c r="DB332" s="69"/>
      <c r="DC332" s="69"/>
      <c r="DD332" s="69"/>
      <c r="DE332" s="69"/>
      <c r="DF332" s="69"/>
      <c r="DG332" s="69"/>
      <c r="DH332" s="69"/>
      <c r="DI332" s="69"/>
      <c r="DJ332" s="69"/>
      <c r="DK332" s="69"/>
      <c r="DL332" s="69"/>
    </row>
    <row r="333" spans="1:116" ht="13" x14ac:dyDescent="0.3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202"/>
      <c r="V333" s="69"/>
      <c r="W333" s="69"/>
      <c r="X333" s="69"/>
      <c r="Y333" s="69"/>
      <c r="Z333" s="69"/>
      <c r="AA333" s="69"/>
      <c r="AB333" s="203"/>
      <c r="AC333" s="69"/>
      <c r="AD333" s="69"/>
      <c r="AE333" s="203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  <c r="BC333" s="69"/>
      <c r="BD333" s="69"/>
      <c r="BE333" s="69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9"/>
      <c r="BY333" s="69"/>
      <c r="BZ333" s="69"/>
      <c r="CA333" s="69"/>
      <c r="CB333" s="69"/>
      <c r="CC333" s="69"/>
      <c r="CD333" s="69"/>
      <c r="CE333" s="69"/>
      <c r="CF333" s="69"/>
      <c r="CG333" s="69"/>
      <c r="CH333" s="69"/>
      <c r="CI333" s="69"/>
      <c r="CJ333" s="69"/>
      <c r="CK333" s="69"/>
      <c r="CL333" s="69"/>
      <c r="CM333" s="69"/>
      <c r="CN333" s="69"/>
      <c r="CO333" s="69"/>
      <c r="CP333" s="69"/>
      <c r="CQ333" s="69"/>
      <c r="CR333" s="69"/>
      <c r="CS333" s="69"/>
      <c r="CT333" s="69"/>
      <c r="CU333" s="69"/>
      <c r="CV333" s="69"/>
      <c r="CW333" s="69"/>
      <c r="CX333" s="69"/>
      <c r="CY333" s="69"/>
      <c r="CZ333" s="69"/>
      <c r="DA333" s="69"/>
      <c r="DB333" s="69"/>
      <c r="DC333" s="69"/>
      <c r="DD333" s="69"/>
      <c r="DE333" s="69"/>
      <c r="DF333" s="69"/>
      <c r="DG333" s="69"/>
      <c r="DH333" s="69"/>
      <c r="DI333" s="69"/>
      <c r="DJ333" s="69"/>
      <c r="DK333" s="69"/>
      <c r="DL333" s="69"/>
    </row>
    <row r="334" spans="1:116" ht="13" x14ac:dyDescent="0.3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202"/>
      <c r="V334" s="69"/>
      <c r="W334" s="69"/>
      <c r="X334" s="69"/>
      <c r="Y334" s="69"/>
      <c r="Z334" s="69"/>
      <c r="AA334" s="69"/>
      <c r="AB334" s="203"/>
      <c r="AC334" s="69"/>
      <c r="AD334" s="69"/>
      <c r="AE334" s="203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  <c r="BC334" s="69"/>
      <c r="BD334" s="69"/>
      <c r="BE334" s="69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9"/>
      <c r="BY334" s="69"/>
      <c r="BZ334" s="69"/>
      <c r="CA334" s="69"/>
      <c r="CB334" s="69"/>
      <c r="CC334" s="69"/>
      <c r="CD334" s="69"/>
      <c r="CE334" s="69"/>
      <c r="CF334" s="69"/>
      <c r="CG334" s="69"/>
      <c r="CH334" s="69"/>
      <c r="CI334" s="69"/>
      <c r="CJ334" s="69"/>
      <c r="CK334" s="69"/>
      <c r="CL334" s="69"/>
      <c r="CM334" s="69"/>
      <c r="CN334" s="69"/>
      <c r="CO334" s="69"/>
      <c r="CP334" s="69"/>
      <c r="CQ334" s="69"/>
      <c r="CR334" s="69"/>
      <c r="CS334" s="69"/>
      <c r="CT334" s="69"/>
      <c r="CU334" s="69"/>
      <c r="CV334" s="69"/>
      <c r="CW334" s="69"/>
      <c r="CX334" s="69"/>
      <c r="CY334" s="69"/>
      <c r="CZ334" s="69"/>
      <c r="DA334" s="69"/>
      <c r="DB334" s="69"/>
      <c r="DC334" s="69"/>
      <c r="DD334" s="69"/>
      <c r="DE334" s="69"/>
      <c r="DF334" s="69"/>
      <c r="DG334" s="69"/>
      <c r="DH334" s="69"/>
      <c r="DI334" s="69"/>
      <c r="DJ334" s="69"/>
      <c r="DK334" s="69"/>
      <c r="DL334" s="69"/>
    </row>
    <row r="335" spans="1:116" ht="13" x14ac:dyDescent="0.3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202"/>
      <c r="V335" s="69"/>
      <c r="W335" s="69"/>
      <c r="X335" s="69"/>
      <c r="Y335" s="69"/>
      <c r="Z335" s="69"/>
      <c r="AA335" s="69"/>
      <c r="AB335" s="203"/>
      <c r="AC335" s="69"/>
      <c r="AD335" s="69"/>
      <c r="AE335" s="203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9"/>
      <c r="BY335" s="69"/>
      <c r="BZ335" s="69"/>
      <c r="CA335" s="69"/>
      <c r="CB335" s="69"/>
      <c r="CC335" s="69"/>
      <c r="CD335" s="69"/>
      <c r="CE335" s="69"/>
      <c r="CF335" s="69"/>
      <c r="CG335" s="69"/>
      <c r="CH335" s="69"/>
      <c r="CI335" s="69"/>
      <c r="CJ335" s="69"/>
      <c r="CK335" s="69"/>
      <c r="CL335" s="69"/>
      <c r="CM335" s="69"/>
      <c r="CN335" s="69"/>
      <c r="CO335" s="69"/>
      <c r="CP335" s="69"/>
      <c r="CQ335" s="69"/>
      <c r="CR335" s="69"/>
      <c r="CS335" s="69"/>
      <c r="CT335" s="69"/>
      <c r="CU335" s="69"/>
      <c r="CV335" s="69"/>
      <c r="CW335" s="69"/>
      <c r="CX335" s="69"/>
      <c r="CY335" s="69"/>
      <c r="CZ335" s="69"/>
      <c r="DA335" s="69"/>
      <c r="DB335" s="69"/>
      <c r="DC335" s="69"/>
      <c r="DD335" s="69"/>
      <c r="DE335" s="69"/>
      <c r="DF335" s="69"/>
      <c r="DG335" s="69"/>
      <c r="DH335" s="69"/>
      <c r="DI335" s="69"/>
      <c r="DJ335" s="69"/>
      <c r="DK335" s="69"/>
      <c r="DL335" s="69"/>
    </row>
    <row r="336" spans="1:116" ht="13" x14ac:dyDescent="0.3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202"/>
      <c r="V336" s="69"/>
      <c r="W336" s="69"/>
      <c r="X336" s="69"/>
      <c r="Y336" s="69"/>
      <c r="Z336" s="69"/>
      <c r="AA336" s="69"/>
      <c r="AB336" s="203"/>
      <c r="AC336" s="69"/>
      <c r="AD336" s="69"/>
      <c r="AE336" s="203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  <c r="BC336" s="69"/>
      <c r="BD336" s="69"/>
      <c r="BE336" s="69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9"/>
      <c r="BY336" s="69"/>
      <c r="BZ336" s="69"/>
      <c r="CA336" s="69"/>
      <c r="CB336" s="69"/>
      <c r="CC336" s="69"/>
      <c r="CD336" s="69"/>
      <c r="CE336" s="69"/>
      <c r="CF336" s="69"/>
      <c r="CG336" s="69"/>
      <c r="CH336" s="69"/>
      <c r="CI336" s="69"/>
      <c r="CJ336" s="69"/>
      <c r="CK336" s="69"/>
      <c r="CL336" s="69"/>
      <c r="CM336" s="69"/>
      <c r="CN336" s="69"/>
      <c r="CO336" s="69"/>
      <c r="CP336" s="69"/>
      <c r="CQ336" s="69"/>
      <c r="CR336" s="69"/>
      <c r="CS336" s="69"/>
      <c r="CT336" s="69"/>
      <c r="CU336" s="69"/>
      <c r="CV336" s="69"/>
      <c r="CW336" s="69"/>
      <c r="CX336" s="69"/>
      <c r="CY336" s="69"/>
      <c r="CZ336" s="69"/>
      <c r="DA336" s="69"/>
      <c r="DB336" s="69"/>
      <c r="DC336" s="69"/>
      <c r="DD336" s="69"/>
      <c r="DE336" s="69"/>
      <c r="DF336" s="69"/>
      <c r="DG336" s="69"/>
      <c r="DH336" s="69"/>
      <c r="DI336" s="69"/>
      <c r="DJ336" s="69"/>
      <c r="DK336" s="69"/>
      <c r="DL336" s="69"/>
    </row>
    <row r="337" spans="1:116" ht="13" x14ac:dyDescent="0.3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202"/>
      <c r="V337" s="69"/>
      <c r="W337" s="69"/>
      <c r="X337" s="69"/>
      <c r="Y337" s="69"/>
      <c r="Z337" s="69"/>
      <c r="AA337" s="69"/>
      <c r="AB337" s="203"/>
      <c r="AC337" s="69"/>
      <c r="AD337" s="69"/>
      <c r="AE337" s="203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9"/>
      <c r="BY337" s="69"/>
      <c r="BZ337" s="69"/>
      <c r="CA337" s="69"/>
      <c r="CB337" s="69"/>
      <c r="CC337" s="69"/>
      <c r="CD337" s="69"/>
      <c r="CE337" s="69"/>
      <c r="CF337" s="69"/>
      <c r="CG337" s="69"/>
      <c r="CH337" s="69"/>
      <c r="CI337" s="69"/>
      <c r="CJ337" s="69"/>
      <c r="CK337" s="69"/>
      <c r="CL337" s="69"/>
      <c r="CM337" s="69"/>
      <c r="CN337" s="69"/>
      <c r="CO337" s="69"/>
      <c r="CP337" s="69"/>
      <c r="CQ337" s="69"/>
      <c r="CR337" s="69"/>
      <c r="CS337" s="69"/>
      <c r="CT337" s="69"/>
      <c r="CU337" s="69"/>
      <c r="CV337" s="69"/>
      <c r="CW337" s="69"/>
      <c r="CX337" s="69"/>
      <c r="CY337" s="69"/>
      <c r="CZ337" s="69"/>
      <c r="DA337" s="69"/>
      <c r="DB337" s="69"/>
      <c r="DC337" s="69"/>
      <c r="DD337" s="69"/>
      <c r="DE337" s="69"/>
      <c r="DF337" s="69"/>
      <c r="DG337" s="69"/>
      <c r="DH337" s="69"/>
      <c r="DI337" s="69"/>
      <c r="DJ337" s="69"/>
      <c r="DK337" s="69"/>
      <c r="DL337" s="69"/>
    </row>
    <row r="338" spans="1:116" ht="13" x14ac:dyDescent="0.3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202"/>
      <c r="V338" s="69"/>
      <c r="W338" s="69"/>
      <c r="X338" s="69"/>
      <c r="Y338" s="69"/>
      <c r="Z338" s="69"/>
      <c r="AA338" s="69"/>
      <c r="AB338" s="203"/>
      <c r="AC338" s="69"/>
      <c r="AD338" s="69"/>
      <c r="AE338" s="203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9"/>
      <c r="BY338" s="69"/>
      <c r="BZ338" s="69"/>
      <c r="CA338" s="69"/>
      <c r="CB338" s="69"/>
      <c r="CC338" s="69"/>
      <c r="CD338" s="69"/>
      <c r="CE338" s="69"/>
      <c r="CF338" s="69"/>
      <c r="CG338" s="69"/>
      <c r="CH338" s="69"/>
      <c r="CI338" s="69"/>
      <c r="CJ338" s="69"/>
      <c r="CK338" s="69"/>
      <c r="CL338" s="69"/>
      <c r="CM338" s="69"/>
      <c r="CN338" s="69"/>
      <c r="CO338" s="69"/>
      <c r="CP338" s="69"/>
      <c r="CQ338" s="69"/>
      <c r="CR338" s="69"/>
      <c r="CS338" s="69"/>
      <c r="CT338" s="69"/>
      <c r="CU338" s="69"/>
      <c r="CV338" s="69"/>
      <c r="CW338" s="69"/>
      <c r="CX338" s="69"/>
      <c r="CY338" s="69"/>
      <c r="CZ338" s="69"/>
      <c r="DA338" s="69"/>
      <c r="DB338" s="69"/>
      <c r="DC338" s="69"/>
      <c r="DD338" s="69"/>
      <c r="DE338" s="69"/>
      <c r="DF338" s="69"/>
      <c r="DG338" s="69"/>
      <c r="DH338" s="69"/>
      <c r="DI338" s="69"/>
      <c r="DJ338" s="69"/>
      <c r="DK338" s="69"/>
      <c r="DL338" s="69"/>
    </row>
    <row r="339" spans="1:116" ht="13" x14ac:dyDescent="0.3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202"/>
      <c r="V339" s="69"/>
      <c r="W339" s="69"/>
      <c r="X339" s="69"/>
      <c r="Y339" s="69"/>
      <c r="Z339" s="69"/>
      <c r="AA339" s="69"/>
      <c r="AB339" s="203"/>
      <c r="AC339" s="69"/>
      <c r="AD339" s="69"/>
      <c r="AE339" s="203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9"/>
      <c r="BY339" s="69"/>
      <c r="BZ339" s="69"/>
      <c r="CA339" s="69"/>
      <c r="CB339" s="69"/>
      <c r="CC339" s="69"/>
      <c r="CD339" s="69"/>
      <c r="CE339" s="69"/>
      <c r="CF339" s="69"/>
      <c r="CG339" s="69"/>
      <c r="CH339" s="69"/>
      <c r="CI339" s="69"/>
      <c r="CJ339" s="69"/>
      <c r="CK339" s="69"/>
      <c r="CL339" s="69"/>
      <c r="CM339" s="69"/>
      <c r="CN339" s="69"/>
      <c r="CO339" s="69"/>
      <c r="CP339" s="69"/>
      <c r="CQ339" s="69"/>
      <c r="CR339" s="69"/>
      <c r="CS339" s="69"/>
      <c r="CT339" s="69"/>
      <c r="CU339" s="69"/>
      <c r="CV339" s="69"/>
      <c r="CW339" s="69"/>
      <c r="CX339" s="69"/>
      <c r="CY339" s="69"/>
      <c r="CZ339" s="69"/>
      <c r="DA339" s="69"/>
      <c r="DB339" s="69"/>
      <c r="DC339" s="69"/>
      <c r="DD339" s="69"/>
      <c r="DE339" s="69"/>
      <c r="DF339" s="69"/>
      <c r="DG339" s="69"/>
      <c r="DH339" s="69"/>
      <c r="DI339" s="69"/>
      <c r="DJ339" s="69"/>
      <c r="DK339" s="69"/>
      <c r="DL339" s="69"/>
    </row>
    <row r="340" spans="1:116" ht="13" x14ac:dyDescent="0.3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202"/>
      <c r="V340" s="69"/>
      <c r="W340" s="69"/>
      <c r="X340" s="69"/>
      <c r="Y340" s="69"/>
      <c r="Z340" s="69"/>
      <c r="AA340" s="69"/>
      <c r="AB340" s="203"/>
      <c r="AC340" s="69"/>
      <c r="AD340" s="69"/>
      <c r="AE340" s="203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9"/>
      <c r="BY340" s="69"/>
      <c r="BZ340" s="69"/>
      <c r="CA340" s="69"/>
      <c r="CB340" s="69"/>
      <c r="CC340" s="69"/>
      <c r="CD340" s="69"/>
      <c r="CE340" s="69"/>
      <c r="CF340" s="69"/>
      <c r="CG340" s="69"/>
      <c r="CH340" s="69"/>
      <c r="CI340" s="69"/>
      <c r="CJ340" s="69"/>
      <c r="CK340" s="69"/>
      <c r="CL340" s="69"/>
      <c r="CM340" s="69"/>
      <c r="CN340" s="69"/>
      <c r="CO340" s="69"/>
      <c r="CP340" s="69"/>
      <c r="CQ340" s="69"/>
      <c r="CR340" s="69"/>
      <c r="CS340" s="69"/>
      <c r="CT340" s="69"/>
      <c r="CU340" s="69"/>
      <c r="CV340" s="69"/>
      <c r="CW340" s="69"/>
      <c r="CX340" s="69"/>
      <c r="CY340" s="69"/>
      <c r="CZ340" s="69"/>
      <c r="DA340" s="69"/>
      <c r="DB340" s="69"/>
      <c r="DC340" s="69"/>
      <c r="DD340" s="69"/>
      <c r="DE340" s="69"/>
      <c r="DF340" s="69"/>
      <c r="DG340" s="69"/>
      <c r="DH340" s="69"/>
      <c r="DI340" s="69"/>
      <c r="DJ340" s="69"/>
      <c r="DK340" s="69"/>
      <c r="DL340" s="69"/>
    </row>
    <row r="341" spans="1:116" ht="13" x14ac:dyDescent="0.3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202"/>
      <c r="V341" s="69"/>
      <c r="W341" s="69"/>
      <c r="X341" s="69"/>
      <c r="Y341" s="69"/>
      <c r="Z341" s="69"/>
      <c r="AA341" s="69"/>
      <c r="AB341" s="203"/>
      <c r="AC341" s="69"/>
      <c r="AD341" s="69"/>
      <c r="AE341" s="203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  <c r="BC341" s="69"/>
      <c r="BD341" s="69"/>
      <c r="BE341" s="69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9"/>
      <c r="BY341" s="69"/>
      <c r="BZ341" s="69"/>
      <c r="CA341" s="69"/>
      <c r="CB341" s="69"/>
      <c r="CC341" s="69"/>
      <c r="CD341" s="69"/>
      <c r="CE341" s="69"/>
      <c r="CF341" s="69"/>
      <c r="CG341" s="69"/>
      <c r="CH341" s="69"/>
      <c r="CI341" s="69"/>
      <c r="CJ341" s="69"/>
      <c r="CK341" s="69"/>
      <c r="CL341" s="69"/>
      <c r="CM341" s="69"/>
      <c r="CN341" s="69"/>
      <c r="CO341" s="69"/>
      <c r="CP341" s="69"/>
      <c r="CQ341" s="69"/>
      <c r="CR341" s="69"/>
      <c r="CS341" s="69"/>
      <c r="CT341" s="69"/>
      <c r="CU341" s="69"/>
      <c r="CV341" s="69"/>
      <c r="CW341" s="69"/>
      <c r="CX341" s="69"/>
      <c r="CY341" s="69"/>
      <c r="CZ341" s="69"/>
      <c r="DA341" s="69"/>
      <c r="DB341" s="69"/>
      <c r="DC341" s="69"/>
      <c r="DD341" s="69"/>
      <c r="DE341" s="69"/>
      <c r="DF341" s="69"/>
      <c r="DG341" s="69"/>
      <c r="DH341" s="69"/>
      <c r="DI341" s="69"/>
      <c r="DJ341" s="69"/>
      <c r="DK341" s="69"/>
      <c r="DL341" s="69"/>
    </row>
    <row r="342" spans="1:116" ht="13" x14ac:dyDescent="0.3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202"/>
      <c r="V342" s="69"/>
      <c r="W342" s="69"/>
      <c r="X342" s="69"/>
      <c r="Y342" s="69"/>
      <c r="Z342" s="69"/>
      <c r="AA342" s="69"/>
      <c r="AB342" s="203"/>
      <c r="AC342" s="69"/>
      <c r="AD342" s="69"/>
      <c r="AE342" s="203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  <c r="BC342" s="69"/>
      <c r="BD342" s="69"/>
      <c r="BE342" s="69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9"/>
      <c r="BY342" s="69"/>
      <c r="BZ342" s="69"/>
      <c r="CA342" s="69"/>
      <c r="CB342" s="69"/>
      <c r="CC342" s="69"/>
      <c r="CD342" s="69"/>
      <c r="CE342" s="69"/>
      <c r="CF342" s="69"/>
      <c r="CG342" s="69"/>
      <c r="CH342" s="69"/>
      <c r="CI342" s="69"/>
      <c r="CJ342" s="69"/>
      <c r="CK342" s="69"/>
      <c r="CL342" s="69"/>
      <c r="CM342" s="69"/>
      <c r="CN342" s="69"/>
      <c r="CO342" s="69"/>
      <c r="CP342" s="69"/>
      <c r="CQ342" s="69"/>
      <c r="CR342" s="69"/>
      <c r="CS342" s="69"/>
      <c r="CT342" s="69"/>
      <c r="CU342" s="69"/>
      <c r="CV342" s="69"/>
      <c r="CW342" s="69"/>
      <c r="CX342" s="69"/>
      <c r="CY342" s="69"/>
      <c r="CZ342" s="69"/>
      <c r="DA342" s="69"/>
      <c r="DB342" s="69"/>
      <c r="DC342" s="69"/>
      <c r="DD342" s="69"/>
      <c r="DE342" s="69"/>
      <c r="DF342" s="69"/>
      <c r="DG342" s="69"/>
      <c r="DH342" s="69"/>
      <c r="DI342" s="69"/>
      <c r="DJ342" s="69"/>
      <c r="DK342" s="69"/>
      <c r="DL342" s="69"/>
    </row>
    <row r="343" spans="1:116" ht="13" x14ac:dyDescent="0.3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202"/>
      <c r="V343" s="69"/>
      <c r="W343" s="69"/>
      <c r="X343" s="69"/>
      <c r="Y343" s="69"/>
      <c r="Z343" s="69"/>
      <c r="AA343" s="69"/>
      <c r="AB343" s="203"/>
      <c r="AC343" s="69"/>
      <c r="AD343" s="69"/>
      <c r="AE343" s="203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  <c r="BC343" s="69"/>
      <c r="BD343" s="69"/>
      <c r="BE343" s="69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9"/>
      <c r="BY343" s="69"/>
      <c r="BZ343" s="69"/>
      <c r="CA343" s="69"/>
      <c r="CB343" s="69"/>
      <c r="CC343" s="69"/>
      <c r="CD343" s="69"/>
      <c r="CE343" s="69"/>
      <c r="CF343" s="69"/>
      <c r="CG343" s="69"/>
      <c r="CH343" s="69"/>
      <c r="CI343" s="69"/>
      <c r="CJ343" s="69"/>
      <c r="CK343" s="69"/>
      <c r="CL343" s="69"/>
      <c r="CM343" s="69"/>
      <c r="CN343" s="69"/>
      <c r="CO343" s="69"/>
      <c r="CP343" s="69"/>
      <c r="CQ343" s="69"/>
      <c r="CR343" s="69"/>
      <c r="CS343" s="69"/>
      <c r="CT343" s="69"/>
      <c r="CU343" s="69"/>
      <c r="CV343" s="69"/>
      <c r="CW343" s="69"/>
      <c r="CX343" s="69"/>
      <c r="CY343" s="69"/>
      <c r="CZ343" s="69"/>
      <c r="DA343" s="69"/>
      <c r="DB343" s="69"/>
      <c r="DC343" s="69"/>
      <c r="DD343" s="69"/>
      <c r="DE343" s="69"/>
      <c r="DF343" s="69"/>
      <c r="DG343" s="69"/>
      <c r="DH343" s="69"/>
      <c r="DI343" s="69"/>
      <c r="DJ343" s="69"/>
      <c r="DK343" s="69"/>
      <c r="DL343" s="69"/>
    </row>
    <row r="344" spans="1:116" ht="13" x14ac:dyDescent="0.3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202"/>
      <c r="V344" s="69"/>
      <c r="W344" s="69"/>
      <c r="X344" s="69"/>
      <c r="Y344" s="69"/>
      <c r="Z344" s="69"/>
      <c r="AA344" s="69"/>
      <c r="AB344" s="203"/>
      <c r="AC344" s="69"/>
      <c r="AD344" s="69"/>
      <c r="AE344" s="203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  <c r="BC344" s="69"/>
      <c r="BD344" s="69"/>
      <c r="BE344" s="69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9"/>
      <c r="BY344" s="69"/>
      <c r="BZ344" s="69"/>
      <c r="CA344" s="69"/>
      <c r="CB344" s="69"/>
      <c r="CC344" s="69"/>
      <c r="CD344" s="69"/>
      <c r="CE344" s="69"/>
      <c r="CF344" s="69"/>
      <c r="CG344" s="69"/>
      <c r="CH344" s="69"/>
      <c r="CI344" s="69"/>
      <c r="CJ344" s="69"/>
      <c r="CK344" s="69"/>
      <c r="CL344" s="69"/>
      <c r="CM344" s="69"/>
      <c r="CN344" s="69"/>
      <c r="CO344" s="69"/>
      <c r="CP344" s="69"/>
      <c r="CQ344" s="69"/>
      <c r="CR344" s="69"/>
      <c r="CS344" s="69"/>
      <c r="CT344" s="69"/>
      <c r="CU344" s="69"/>
      <c r="CV344" s="69"/>
      <c r="CW344" s="69"/>
      <c r="CX344" s="69"/>
      <c r="CY344" s="69"/>
      <c r="CZ344" s="69"/>
      <c r="DA344" s="69"/>
      <c r="DB344" s="69"/>
      <c r="DC344" s="69"/>
      <c r="DD344" s="69"/>
      <c r="DE344" s="69"/>
      <c r="DF344" s="69"/>
      <c r="DG344" s="69"/>
      <c r="DH344" s="69"/>
      <c r="DI344" s="69"/>
      <c r="DJ344" s="69"/>
      <c r="DK344" s="69"/>
      <c r="DL344" s="69"/>
    </row>
    <row r="345" spans="1:116" ht="13" x14ac:dyDescent="0.3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202"/>
      <c r="V345" s="69"/>
      <c r="W345" s="69"/>
      <c r="X345" s="69"/>
      <c r="Y345" s="69"/>
      <c r="Z345" s="69"/>
      <c r="AA345" s="69"/>
      <c r="AB345" s="203"/>
      <c r="AC345" s="69"/>
      <c r="AD345" s="69"/>
      <c r="AE345" s="203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  <c r="BC345" s="69"/>
      <c r="BD345" s="69"/>
      <c r="BE345" s="69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9"/>
      <c r="BY345" s="69"/>
      <c r="BZ345" s="69"/>
      <c r="CA345" s="69"/>
      <c r="CB345" s="69"/>
      <c r="CC345" s="69"/>
      <c r="CD345" s="69"/>
      <c r="CE345" s="69"/>
      <c r="CF345" s="69"/>
      <c r="CG345" s="69"/>
      <c r="CH345" s="69"/>
      <c r="CI345" s="69"/>
      <c r="CJ345" s="69"/>
      <c r="CK345" s="69"/>
      <c r="CL345" s="69"/>
      <c r="CM345" s="69"/>
      <c r="CN345" s="69"/>
      <c r="CO345" s="69"/>
      <c r="CP345" s="69"/>
      <c r="CQ345" s="69"/>
      <c r="CR345" s="69"/>
      <c r="CS345" s="69"/>
      <c r="CT345" s="69"/>
      <c r="CU345" s="69"/>
      <c r="CV345" s="69"/>
      <c r="CW345" s="69"/>
      <c r="CX345" s="69"/>
      <c r="CY345" s="69"/>
      <c r="CZ345" s="69"/>
      <c r="DA345" s="69"/>
      <c r="DB345" s="69"/>
      <c r="DC345" s="69"/>
      <c r="DD345" s="69"/>
      <c r="DE345" s="69"/>
      <c r="DF345" s="69"/>
      <c r="DG345" s="69"/>
      <c r="DH345" s="69"/>
      <c r="DI345" s="69"/>
      <c r="DJ345" s="69"/>
      <c r="DK345" s="69"/>
      <c r="DL345" s="69"/>
    </row>
    <row r="346" spans="1:116" ht="13" x14ac:dyDescent="0.3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202"/>
      <c r="V346" s="69"/>
      <c r="W346" s="69"/>
      <c r="X346" s="69"/>
      <c r="Y346" s="69"/>
      <c r="Z346" s="69"/>
      <c r="AA346" s="69"/>
      <c r="AB346" s="203"/>
      <c r="AC346" s="69"/>
      <c r="AD346" s="69"/>
      <c r="AE346" s="203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  <c r="BC346" s="69"/>
      <c r="BD346" s="69"/>
      <c r="BE346" s="69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9"/>
      <c r="BY346" s="69"/>
      <c r="BZ346" s="69"/>
      <c r="CA346" s="69"/>
      <c r="CB346" s="69"/>
      <c r="CC346" s="69"/>
      <c r="CD346" s="69"/>
      <c r="CE346" s="69"/>
      <c r="CF346" s="69"/>
      <c r="CG346" s="69"/>
      <c r="CH346" s="69"/>
      <c r="CI346" s="69"/>
      <c r="CJ346" s="69"/>
      <c r="CK346" s="69"/>
      <c r="CL346" s="69"/>
      <c r="CM346" s="69"/>
      <c r="CN346" s="69"/>
      <c r="CO346" s="69"/>
      <c r="CP346" s="69"/>
      <c r="CQ346" s="69"/>
      <c r="CR346" s="69"/>
      <c r="CS346" s="69"/>
      <c r="CT346" s="69"/>
      <c r="CU346" s="69"/>
      <c r="CV346" s="69"/>
      <c r="CW346" s="69"/>
      <c r="CX346" s="69"/>
      <c r="CY346" s="69"/>
      <c r="CZ346" s="69"/>
      <c r="DA346" s="69"/>
      <c r="DB346" s="69"/>
      <c r="DC346" s="69"/>
      <c r="DD346" s="69"/>
      <c r="DE346" s="69"/>
      <c r="DF346" s="69"/>
      <c r="DG346" s="69"/>
      <c r="DH346" s="69"/>
      <c r="DI346" s="69"/>
      <c r="DJ346" s="69"/>
      <c r="DK346" s="69"/>
      <c r="DL346" s="69"/>
    </row>
    <row r="347" spans="1:116" ht="13" x14ac:dyDescent="0.3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202"/>
      <c r="V347" s="69"/>
      <c r="W347" s="69"/>
      <c r="X347" s="69"/>
      <c r="Y347" s="69"/>
      <c r="Z347" s="69"/>
      <c r="AA347" s="69"/>
      <c r="AB347" s="203"/>
      <c r="AC347" s="69"/>
      <c r="AD347" s="69"/>
      <c r="AE347" s="203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  <c r="BC347" s="69"/>
      <c r="BD347" s="69"/>
      <c r="BE347" s="69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9"/>
      <c r="BY347" s="69"/>
      <c r="BZ347" s="69"/>
      <c r="CA347" s="69"/>
      <c r="CB347" s="69"/>
      <c r="CC347" s="69"/>
      <c r="CD347" s="69"/>
      <c r="CE347" s="69"/>
      <c r="CF347" s="69"/>
      <c r="CG347" s="69"/>
      <c r="CH347" s="69"/>
      <c r="CI347" s="69"/>
      <c r="CJ347" s="69"/>
      <c r="CK347" s="69"/>
      <c r="CL347" s="69"/>
      <c r="CM347" s="69"/>
      <c r="CN347" s="69"/>
      <c r="CO347" s="69"/>
      <c r="CP347" s="69"/>
      <c r="CQ347" s="69"/>
      <c r="CR347" s="69"/>
      <c r="CS347" s="69"/>
      <c r="CT347" s="69"/>
      <c r="CU347" s="69"/>
      <c r="CV347" s="69"/>
      <c r="CW347" s="69"/>
      <c r="CX347" s="69"/>
      <c r="CY347" s="69"/>
      <c r="CZ347" s="69"/>
      <c r="DA347" s="69"/>
      <c r="DB347" s="69"/>
      <c r="DC347" s="69"/>
      <c r="DD347" s="69"/>
      <c r="DE347" s="69"/>
      <c r="DF347" s="69"/>
      <c r="DG347" s="69"/>
      <c r="DH347" s="69"/>
      <c r="DI347" s="69"/>
      <c r="DJ347" s="69"/>
      <c r="DK347" s="69"/>
      <c r="DL347" s="69"/>
    </row>
    <row r="348" spans="1:116" ht="13" x14ac:dyDescent="0.3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202"/>
      <c r="V348" s="69"/>
      <c r="W348" s="69"/>
      <c r="X348" s="69"/>
      <c r="Y348" s="69"/>
      <c r="Z348" s="69"/>
      <c r="AA348" s="69"/>
      <c r="AB348" s="203"/>
      <c r="AC348" s="69"/>
      <c r="AD348" s="69"/>
      <c r="AE348" s="203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  <c r="BC348" s="69"/>
      <c r="BD348" s="69"/>
      <c r="BE348" s="69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9"/>
      <c r="BY348" s="69"/>
      <c r="BZ348" s="69"/>
      <c r="CA348" s="69"/>
      <c r="CB348" s="69"/>
      <c r="CC348" s="69"/>
      <c r="CD348" s="69"/>
      <c r="CE348" s="69"/>
      <c r="CF348" s="69"/>
      <c r="CG348" s="69"/>
      <c r="CH348" s="69"/>
      <c r="CI348" s="69"/>
      <c r="CJ348" s="69"/>
      <c r="CK348" s="69"/>
      <c r="CL348" s="69"/>
      <c r="CM348" s="69"/>
      <c r="CN348" s="69"/>
      <c r="CO348" s="69"/>
      <c r="CP348" s="69"/>
      <c r="CQ348" s="69"/>
      <c r="CR348" s="69"/>
      <c r="CS348" s="69"/>
      <c r="CT348" s="69"/>
      <c r="CU348" s="69"/>
      <c r="CV348" s="69"/>
      <c r="CW348" s="69"/>
      <c r="CX348" s="69"/>
      <c r="CY348" s="69"/>
      <c r="CZ348" s="69"/>
      <c r="DA348" s="69"/>
      <c r="DB348" s="69"/>
      <c r="DC348" s="69"/>
      <c r="DD348" s="69"/>
      <c r="DE348" s="69"/>
      <c r="DF348" s="69"/>
      <c r="DG348" s="69"/>
      <c r="DH348" s="69"/>
      <c r="DI348" s="69"/>
      <c r="DJ348" s="69"/>
      <c r="DK348" s="69"/>
      <c r="DL348" s="69"/>
    </row>
    <row r="349" spans="1:116" ht="13" x14ac:dyDescent="0.3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202"/>
      <c r="V349" s="69"/>
      <c r="W349" s="69"/>
      <c r="X349" s="69"/>
      <c r="Y349" s="69"/>
      <c r="Z349" s="69"/>
      <c r="AA349" s="69"/>
      <c r="AB349" s="203"/>
      <c r="AC349" s="69"/>
      <c r="AD349" s="69"/>
      <c r="AE349" s="203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  <c r="BC349" s="69"/>
      <c r="BD349" s="69"/>
      <c r="BE349" s="69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9"/>
      <c r="BY349" s="69"/>
      <c r="BZ349" s="69"/>
      <c r="CA349" s="69"/>
      <c r="CB349" s="69"/>
      <c r="CC349" s="69"/>
      <c r="CD349" s="69"/>
      <c r="CE349" s="69"/>
      <c r="CF349" s="69"/>
      <c r="CG349" s="69"/>
      <c r="CH349" s="69"/>
      <c r="CI349" s="69"/>
      <c r="CJ349" s="69"/>
      <c r="CK349" s="69"/>
      <c r="CL349" s="69"/>
      <c r="CM349" s="69"/>
      <c r="CN349" s="69"/>
      <c r="CO349" s="69"/>
      <c r="CP349" s="69"/>
      <c r="CQ349" s="69"/>
      <c r="CR349" s="69"/>
      <c r="CS349" s="69"/>
      <c r="CT349" s="69"/>
      <c r="CU349" s="69"/>
      <c r="CV349" s="69"/>
      <c r="CW349" s="69"/>
      <c r="CX349" s="69"/>
      <c r="CY349" s="69"/>
      <c r="CZ349" s="69"/>
      <c r="DA349" s="69"/>
      <c r="DB349" s="69"/>
      <c r="DC349" s="69"/>
      <c r="DD349" s="69"/>
      <c r="DE349" s="69"/>
      <c r="DF349" s="69"/>
      <c r="DG349" s="69"/>
      <c r="DH349" s="69"/>
      <c r="DI349" s="69"/>
      <c r="DJ349" s="69"/>
      <c r="DK349" s="69"/>
      <c r="DL349" s="69"/>
    </row>
    <row r="350" spans="1:116" ht="13" x14ac:dyDescent="0.3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202"/>
      <c r="V350" s="69"/>
      <c r="W350" s="69"/>
      <c r="X350" s="69"/>
      <c r="Y350" s="69"/>
      <c r="Z350" s="69"/>
      <c r="AA350" s="69"/>
      <c r="AB350" s="203"/>
      <c r="AC350" s="69"/>
      <c r="AD350" s="69"/>
      <c r="AE350" s="203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  <c r="BC350" s="69"/>
      <c r="BD350" s="69"/>
      <c r="BE350" s="69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9"/>
      <c r="BY350" s="69"/>
      <c r="BZ350" s="69"/>
      <c r="CA350" s="69"/>
      <c r="CB350" s="69"/>
      <c r="CC350" s="69"/>
      <c r="CD350" s="69"/>
      <c r="CE350" s="69"/>
      <c r="CF350" s="69"/>
      <c r="CG350" s="69"/>
      <c r="CH350" s="69"/>
      <c r="CI350" s="69"/>
      <c r="CJ350" s="69"/>
      <c r="CK350" s="69"/>
      <c r="CL350" s="69"/>
      <c r="CM350" s="69"/>
      <c r="CN350" s="69"/>
      <c r="CO350" s="69"/>
      <c r="CP350" s="69"/>
      <c r="CQ350" s="69"/>
      <c r="CR350" s="69"/>
      <c r="CS350" s="69"/>
      <c r="CT350" s="69"/>
      <c r="CU350" s="69"/>
      <c r="CV350" s="69"/>
      <c r="CW350" s="69"/>
      <c r="CX350" s="69"/>
      <c r="CY350" s="69"/>
      <c r="CZ350" s="69"/>
      <c r="DA350" s="69"/>
      <c r="DB350" s="69"/>
      <c r="DC350" s="69"/>
      <c r="DD350" s="69"/>
      <c r="DE350" s="69"/>
      <c r="DF350" s="69"/>
      <c r="DG350" s="69"/>
      <c r="DH350" s="69"/>
      <c r="DI350" s="69"/>
      <c r="DJ350" s="69"/>
      <c r="DK350" s="69"/>
      <c r="DL350" s="69"/>
    </row>
    <row r="351" spans="1:116" ht="13" x14ac:dyDescent="0.3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202"/>
      <c r="V351" s="69"/>
      <c r="W351" s="69"/>
      <c r="X351" s="69"/>
      <c r="Y351" s="69"/>
      <c r="Z351" s="69"/>
      <c r="AA351" s="69"/>
      <c r="AB351" s="203"/>
      <c r="AC351" s="69"/>
      <c r="AD351" s="69"/>
      <c r="AE351" s="203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  <c r="BC351" s="69"/>
      <c r="BD351" s="69"/>
      <c r="BE351" s="69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9"/>
      <c r="BY351" s="69"/>
      <c r="BZ351" s="69"/>
      <c r="CA351" s="69"/>
      <c r="CB351" s="69"/>
      <c r="CC351" s="69"/>
      <c r="CD351" s="69"/>
      <c r="CE351" s="69"/>
      <c r="CF351" s="69"/>
      <c r="CG351" s="69"/>
      <c r="CH351" s="69"/>
      <c r="CI351" s="69"/>
      <c r="CJ351" s="69"/>
      <c r="CK351" s="69"/>
      <c r="CL351" s="69"/>
      <c r="CM351" s="69"/>
      <c r="CN351" s="69"/>
      <c r="CO351" s="69"/>
      <c r="CP351" s="69"/>
      <c r="CQ351" s="69"/>
      <c r="CR351" s="69"/>
      <c r="CS351" s="69"/>
      <c r="CT351" s="69"/>
      <c r="CU351" s="69"/>
      <c r="CV351" s="69"/>
      <c r="CW351" s="69"/>
      <c r="CX351" s="69"/>
      <c r="CY351" s="69"/>
      <c r="CZ351" s="69"/>
      <c r="DA351" s="69"/>
      <c r="DB351" s="69"/>
      <c r="DC351" s="69"/>
      <c r="DD351" s="69"/>
      <c r="DE351" s="69"/>
      <c r="DF351" s="69"/>
      <c r="DG351" s="69"/>
      <c r="DH351" s="69"/>
      <c r="DI351" s="69"/>
      <c r="DJ351" s="69"/>
      <c r="DK351" s="69"/>
      <c r="DL351" s="69"/>
    </row>
    <row r="352" spans="1:116" ht="13" x14ac:dyDescent="0.3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202"/>
      <c r="V352" s="69"/>
      <c r="W352" s="69"/>
      <c r="X352" s="69"/>
      <c r="Y352" s="69"/>
      <c r="Z352" s="69"/>
      <c r="AA352" s="69"/>
      <c r="AB352" s="203"/>
      <c r="AC352" s="69"/>
      <c r="AD352" s="69"/>
      <c r="AE352" s="203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  <c r="BC352" s="69"/>
      <c r="BD352" s="69"/>
      <c r="BE352" s="69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9"/>
      <c r="BY352" s="69"/>
      <c r="BZ352" s="69"/>
      <c r="CA352" s="69"/>
      <c r="CB352" s="69"/>
      <c r="CC352" s="69"/>
      <c r="CD352" s="69"/>
      <c r="CE352" s="69"/>
      <c r="CF352" s="69"/>
      <c r="CG352" s="69"/>
      <c r="CH352" s="69"/>
      <c r="CI352" s="69"/>
      <c r="CJ352" s="69"/>
      <c r="CK352" s="69"/>
      <c r="CL352" s="69"/>
      <c r="CM352" s="69"/>
      <c r="CN352" s="69"/>
      <c r="CO352" s="69"/>
      <c r="CP352" s="69"/>
      <c r="CQ352" s="69"/>
      <c r="CR352" s="69"/>
      <c r="CS352" s="69"/>
      <c r="CT352" s="69"/>
      <c r="CU352" s="69"/>
      <c r="CV352" s="69"/>
      <c r="CW352" s="69"/>
      <c r="CX352" s="69"/>
      <c r="CY352" s="69"/>
      <c r="CZ352" s="69"/>
      <c r="DA352" s="69"/>
      <c r="DB352" s="69"/>
      <c r="DC352" s="69"/>
      <c r="DD352" s="69"/>
      <c r="DE352" s="69"/>
      <c r="DF352" s="69"/>
      <c r="DG352" s="69"/>
      <c r="DH352" s="69"/>
      <c r="DI352" s="69"/>
      <c r="DJ352" s="69"/>
      <c r="DK352" s="69"/>
      <c r="DL352" s="69"/>
    </row>
    <row r="353" spans="1:116" ht="13" x14ac:dyDescent="0.3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202"/>
      <c r="V353" s="69"/>
      <c r="W353" s="69"/>
      <c r="X353" s="69"/>
      <c r="Y353" s="69"/>
      <c r="Z353" s="69"/>
      <c r="AA353" s="69"/>
      <c r="AB353" s="203"/>
      <c r="AC353" s="69"/>
      <c r="AD353" s="69"/>
      <c r="AE353" s="203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9"/>
      <c r="BY353" s="69"/>
      <c r="BZ353" s="69"/>
      <c r="CA353" s="69"/>
      <c r="CB353" s="69"/>
      <c r="CC353" s="69"/>
      <c r="CD353" s="69"/>
      <c r="CE353" s="69"/>
      <c r="CF353" s="69"/>
      <c r="CG353" s="69"/>
      <c r="CH353" s="69"/>
      <c r="CI353" s="69"/>
      <c r="CJ353" s="69"/>
      <c r="CK353" s="69"/>
      <c r="CL353" s="69"/>
      <c r="CM353" s="69"/>
      <c r="CN353" s="69"/>
      <c r="CO353" s="69"/>
      <c r="CP353" s="69"/>
      <c r="CQ353" s="69"/>
      <c r="CR353" s="69"/>
      <c r="CS353" s="69"/>
      <c r="CT353" s="69"/>
      <c r="CU353" s="69"/>
      <c r="CV353" s="69"/>
      <c r="CW353" s="69"/>
      <c r="CX353" s="69"/>
      <c r="CY353" s="69"/>
      <c r="CZ353" s="69"/>
      <c r="DA353" s="69"/>
      <c r="DB353" s="69"/>
      <c r="DC353" s="69"/>
      <c r="DD353" s="69"/>
      <c r="DE353" s="69"/>
      <c r="DF353" s="69"/>
      <c r="DG353" s="69"/>
      <c r="DH353" s="69"/>
      <c r="DI353" s="69"/>
      <c r="DJ353" s="69"/>
      <c r="DK353" s="69"/>
      <c r="DL353" s="69"/>
    </row>
    <row r="354" spans="1:116" ht="13" x14ac:dyDescent="0.3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202"/>
      <c r="V354" s="69"/>
      <c r="W354" s="69"/>
      <c r="X354" s="69"/>
      <c r="Y354" s="69"/>
      <c r="Z354" s="69"/>
      <c r="AA354" s="69"/>
      <c r="AB354" s="203"/>
      <c r="AC354" s="69"/>
      <c r="AD354" s="69"/>
      <c r="AE354" s="203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9"/>
      <c r="CB354" s="69"/>
      <c r="CC354" s="69"/>
      <c r="CD354" s="69"/>
      <c r="CE354" s="69"/>
      <c r="CF354" s="69"/>
      <c r="CG354" s="69"/>
      <c r="CH354" s="69"/>
      <c r="CI354" s="69"/>
      <c r="CJ354" s="69"/>
      <c r="CK354" s="69"/>
      <c r="CL354" s="69"/>
      <c r="CM354" s="69"/>
      <c r="CN354" s="69"/>
      <c r="CO354" s="69"/>
      <c r="CP354" s="69"/>
      <c r="CQ354" s="69"/>
      <c r="CR354" s="69"/>
      <c r="CS354" s="69"/>
      <c r="CT354" s="69"/>
      <c r="CU354" s="69"/>
      <c r="CV354" s="69"/>
      <c r="CW354" s="69"/>
      <c r="CX354" s="69"/>
      <c r="CY354" s="69"/>
      <c r="CZ354" s="69"/>
      <c r="DA354" s="69"/>
      <c r="DB354" s="69"/>
      <c r="DC354" s="69"/>
      <c r="DD354" s="69"/>
      <c r="DE354" s="69"/>
      <c r="DF354" s="69"/>
      <c r="DG354" s="69"/>
      <c r="DH354" s="69"/>
      <c r="DI354" s="69"/>
      <c r="DJ354" s="69"/>
      <c r="DK354" s="69"/>
      <c r="DL354" s="69"/>
    </row>
    <row r="355" spans="1:116" ht="13" x14ac:dyDescent="0.3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202"/>
      <c r="V355" s="69"/>
      <c r="W355" s="69"/>
      <c r="X355" s="69"/>
      <c r="Y355" s="69"/>
      <c r="Z355" s="69"/>
      <c r="AA355" s="69"/>
      <c r="AB355" s="203"/>
      <c r="AC355" s="69"/>
      <c r="AD355" s="69"/>
      <c r="AE355" s="203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  <c r="BC355" s="69"/>
      <c r="BD355" s="69"/>
      <c r="BE355" s="69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9"/>
      <c r="BY355" s="69"/>
      <c r="BZ355" s="69"/>
      <c r="CA355" s="69"/>
      <c r="CB355" s="69"/>
      <c r="CC355" s="69"/>
      <c r="CD355" s="69"/>
      <c r="CE355" s="69"/>
      <c r="CF355" s="69"/>
      <c r="CG355" s="69"/>
      <c r="CH355" s="69"/>
      <c r="CI355" s="69"/>
      <c r="CJ355" s="69"/>
      <c r="CK355" s="69"/>
      <c r="CL355" s="69"/>
      <c r="CM355" s="69"/>
      <c r="CN355" s="69"/>
      <c r="CO355" s="69"/>
      <c r="CP355" s="69"/>
      <c r="CQ355" s="69"/>
      <c r="CR355" s="69"/>
      <c r="CS355" s="69"/>
      <c r="CT355" s="69"/>
      <c r="CU355" s="69"/>
      <c r="CV355" s="69"/>
      <c r="CW355" s="69"/>
      <c r="CX355" s="69"/>
      <c r="CY355" s="69"/>
      <c r="CZ355" s="69"/>
      <c r="DA355" s="69"/>
      <c r="DB355" s="69"/>
      <c r="DC355" s="69"/>
      <c r="DD355" s="69"/>
      <c r="DE355" s="69"/>
      <c r="DF355" s="69"/>
      <c r="DG355" s="69"/>
      <c r="DH355" s="69"/>
      <c r="DI355" s="69"/>
      <c r="DJ355" s="69"/>
      <c r="DK355" s="69"/>
      <c r="DL355" s="69"/>
    </row>
    <row r="356" spans="1:116" ht="13" x14ac:dyDescent="0.3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202"/>
      <c r="V356" s="69"/>
      <c r="W356" s="69"/>
      <c r="X356" s="69"/>
      <c r="Y356" s="69"/>
      <c r="Z356" s="69"/>
      <c r="AA356" s="69"/>
      <c r="AB356" s="203"/>
      <c r="AC356" s="69"/>
      <c r="AD356" s="69"/>
      <c r="AE356" s="203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  <c r="BC356" s="69"/>
      <c r="BD356" s="69"/>
      <c r="BE356" s="69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9"/>
      <c r="BY356" s="69"/>
      <c r="BZ356" s="69"/>
      <c r="CA356" s="69"/>
      <c r="CB356" s="69"/>
      <c r="CC356" s="69"/>
      <c r="CD356" s="69"/>
      <c r="CE356" s="69"/>
      <c r="CF356" s="69"/>
      <c r="CG356" s="69"/>
      <c r="CH356" s="69"/>
      <c r="CI356" s="69"/>
      <c r="CJ356" s="69"/>
      <c r="CK356" s="69"/>
      <c r="CL356" s="69"/>
      <c r="CM356" s="69"/>
      <c r="CN356" s="69"/>
      <c r="CO356" s="69"/>
      <c r="CP356" s="69"/>
      <c r="CQ356" s="69"/>
      <c r="CR356" s="69"/>
      <c r="CS356" s="69"/>
      <c r="CT356" s="69"/>
      <c r="CU356" s="69"/>
      <c r="CV356" s="69"/>
      <c r="CW356" s="69"/>
      <c r="CX356" s="69"/>
      <c r="CY356" s="69"/>
      <c r="CZ356" s="69"/>
      <c r="DA356" s="69"/>
      <c r="DB356" s="69"/>
      <c r="DC356" s="69"/>
      <c r="DD356" s="69"/>
      <c r="DE356" s="69"/>
      <c r="DF356" s="69"/>
      <c r="DG356" s="69"/>
      <c r="DH356" s="69"/>
      <c r="DI356" s="69"/>
      <c r="DJ356" s="69"/>
      <c r="DK356" s="69"/>
      <c r="DL356" s="69"/>
    </row>
    <row r="357" spans="1:116" ht="13" x14ac:dyDescent="0.3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202"/>
      <c r="V357" s="69"/>
      <c r="W357" s="69"/>
      <c r="X357" s="69"/>
      <c r="Y357" s="69"/>
      <c r="Z357" s="69"/>
      <c r="AA357" s="69"/>
      <c r="AB357" s="203"/>
      <c r="AC357" s="69"/>
      <c r="AD357" s="69"/>
      <c r="AE357" s="203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  <c r="BC357" s="69"/>
      <c r="BD357" s="69"/>
      <c r="BE357" s="69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9"/>
      <c r="BY357" s="69"/>
      <c r="BZ357" s="69"/>
      <c r="CA357" s="69"/>
      <c r="CB357" s="69"/>
      <c r="CC357" s="69"/>
      <c r="CD357" s="69"/>
      <c r="CE357" s="69"/>
      <c r="CF357" s="69"/>
      <c r="CG357" s="69"/>
      <c r="CH357" s="69"/>
      <c r="CI357" s="69"/>
      <c r="CJ357" s="69"/>
      <c r="CK357" s="69"/>
      <c r="CL357" s="69"/>
      <c r="CM357" s="69"/>
      <c r="CN357" s="69"/>
      <c r="CO357" s="69"/>
      <c r="CP357" s="69"/>
      <c r="CQ357" s="69"/>
      <c r="CR357" s="69"/>
      <c r="CS357" s="69"/>
      <c r="CT357" s="69"/>
      <c r="CU357" s="69"/>
      <c r="CV357" s="69"/>
      <c r="CW357" s="69"/>
      <c r="CX357" s="69"/>
      <c r="CY357" s="69"/>
      <c r="CZ357" s="69"/>
      <c r="DA357" s="69"/>
      <c r="DB357" s="69"/>
      <c r="DC357" s="69"/>
      <c r="DD357" s="69"/>
      <c r="DE357" s="69"/>
      <c r="DF357" s="69"/>
      <c r="DG357" s="69"/>
      <c r="DH357" s="69"/>
      <c r="DI357" s="69"/>
      <c r="DJ357" s="69"/>
      <c r="DK357" s="69"/>
      <c r="DL357" s="69"/>
    </row>
    <row r="358" spans="1:116" ht="13" x14ac:dyDescent="0.3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202"/>
      <c r="V358" s="69"/>
      <c r="W358" s="69"/>
      <c r="X358" s="69"/>
      <c r="Y358" s="69"/>
      <c r="Z358" s="69"/>
      <c r="AA358" s="69"/>
      <c r="AB358" s="203"/>
      <c r="AC358" s="69"/>
      <c r="AD358" s="69"/>
      <c r="AE358" s="203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  <c r="BC358" s="69"/>
      <c r="BD358" s="69"/>
      <c r="BE358" s="69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9"/>
      <c r="BY358" s="69"/>
      <c r="BZ358" s="69"/>
      <c r="CA358" s="69"/>
      <c r="CB358" s="69"/>
      <c r="CC358" s="69"/>
      <c r="CD358" s="69"/>
      <c r="CE358" s="69"/>
      <c r="CF358" s="69"/>
      <c r="CG358" s="69"/>
      <c r="CH358" s="69"/>
      <c r="CI358" s="69"/>
      <c r="CJ358" s="69"/>
      <c r="CK358" s="69"/>
      <c r="CL358" s="69"/>
      <c r="CM358" s="69"/>
      <c r="CN358" s="69"/>
      <c r="CO358" s="69"/>
      <c r="CP358" s="69"/>
      <c r="CQ358" s="69"/>
      <c r="CR358" s="69"/>
      <c r="CS358" s="69"/>
      <c r="CT358" s="69"/>
      <c r="CU358" s="69"/>
      <c r="CV358" s="69"/>
      <c r="CW358" s="69"/>
      <c r="CX358" s="69"/>
      <c r="CY358" s="69"/>
      <c r="CZ358" s="69"/>
      <c r="DA358" s="69"/>
      <c r="DB358" s="69"/>
      <c r="DC358" s="69"/>
      <c r="DD358" s="69"/>
      <c r="DE358" s="69"/>
      <c r="DF358" s="69"/>
      <c r="DG358" s="69"/>
      <c r="DH358" s="69"/>
      <c r="DI358" s="69"/>
      <c r="DJ358" s="69"/>
      <c r="DK358" s="69"/>
      <c r="DL358" s="69"/>
    </row>
    <row r="359" spans="1:116" ht="13" x14ac:dyDescent="0.3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202"/>
      <c r="V359" s="69"/>
      <c r="W359" s="69"/>
      <c r="X359" s="69"/>
      <c r="Y359" s="69"/>
      <c r="Z359" s="69"/>
      <c r="AA359" s="69"/>
      <c r="AB359" s="203"/>
      <c r="AC359" s="69"/>
      <c r="AD359" s="69"/>
      <c r="AE359" s="203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  <c r="BC359" s="69"/>
      <c r="BD359" s="69"/>
      <c r="BE359" s="69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9"/>
      <c r="BY359" s="69"/>
      <c r="BZ359" s="69"/>
      <c r="CA359" s="69"/>
      <c r="CB359" s="69"/>
      <c r="CC359" s="69"/>
      <c r="CD359" s="69"/>
      <c r="CE359" s="69"/>
      <c r="CF359" s="69"/>
      <c r="CG359" s="69"/>
      <c r="CH359" s="69"/>
      <c r="CI359" s="69"/>
      <c r="CJ359" s="69"/>
      <c r="CK359" s="69"/>
      <c r="CL359" s="69"/>
      <c r="CM359" s="69"/>
      <c r="CN359" s="69"/>
      <c r="CO359" s="69"/>
      <c r="CP359" s="69"/>
      <c r="CQ359" s="69"/>
      <c r="CR359" s="69"/>
      <c r="CS359" s="69"/>
      <c r="CT359" s="69"/>
      <c r="CU359" s="69"/>
      <c r="CV359" s="69"/>
      <c r="CW359" s="69"/>
      <c r="CX359" s="69"/>
      <c r="CY359" s="69"/>
      <c r="CZ359" s="69"/>
      <c r="DA359" s="69"/>
      <c r="DB359" s="69"/>
      <c r="DC359" s="69"/>
      <c r="DD359" s="69"/>
      <c r="DE359" s="69"/>
      <c r="DF359" s="69"/>
      <c r="DG359" s="69"/>
      <c r="DH359" s="69"/>
      <c r="DI359" s="69"/>
      <c r="DJ359" s="69"/>
      <c r="DK359" s="69"/>
      <c r="DL359" s="69"/>
    </row>
    <row r="360" spans="1:116" ht="13" x14ac:dyDescent="0.3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202"/>
      <c r="V360" s="69"/>
      <c r="W360" s="69"/>
      <c r="X360" s="69"/>
      <c r="Y360" s="69"/>
      <c r="Z360" s="69"/>
      <c r="AA360" s="69"/>
      <c r="AB360" s="203"/>
      <c r="AC360" s="69"/>
      <c r="AD360" s="69"/>
      <c r="AE360" s="203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69"/>
      <c r="CC360" s="69"/>
      <c r="CD360" s="69"/>
      <c r="CE360" s="69"/>
      <c r="CF360" s="69"/>
      <c r="CG360" s="69"/>
      <c r="CH360" s="69"/>
      <c r="CI360" s="69"/>
      <c r="CJ360" s="69"/>
      <c r="CK360" s="69"/>
      <c r="CL360" s="69"/>
      <c r="CM360" s="69"/>
      <c r="CN360" s="69"/>
      <c r="CO360" s="69"/>
      <c r="CP360" s="69"/>
      <c r="CQ360" s="69"/>
      <c r="CR360" s="69"/>
      <c r="CS360" s="69"/>
      <c r="CT360" s="69"/>
      <c r="CU360" s="69"/>
      <c r="CV360" s="69"/>
      <c r="CW360" s="69"/>
      <c r="CX360" s="69"/>
      <c r="CY360" s="69"/>
      <c r="CZ360" s="69"/>
      <c r="DA360" s="69"/>
      <c r="DB360" s="69"/>
      <c r="DC360" s="69"/>
      <c r="DD360" s="69"/>
      <c r="DE360" s="69"/>
      <c r="DF360" s="69"/>
      <c r="DG360" s="69"/>
      <c r="DH360" s="69"/>
      <c r="DI360" s="69"/>
      <c r="DJ360" s="69"/>
      <c r="DK360" s="69"/>
      <c r="DL360" s="69"/>
    </row>
    <row r="361" spans="1:116" ht="13" x14ac:dyDescent="0.3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202"/>
      <c r="V361" s="69"/>
      <c r="W361" s="69"/>
      <c r="X361" s="69"/>
      <c r="Y361" s="69"/>
      <c r="Z361" s="69"/>
      <c r="AA361" s="69"/>
      <c r="AB361" s="203"/>
      <c r="AC361" s="69"/>
      <c r="AD361" s="69"/>
      <c r="AE361" s="203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  <c r="BC361" s="69"/>
      <c r="BD361" s="69"/>
      <c r="BE361" s="69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9"/>
      <c r="BY361" s="69"/>
      <c r="BZ361" s="69"/>
      <c r="CA361" s="69"/>
      <c r="CB361" s="69"/>
      <c r="CC361" s="69"/>
      <c r="CD361" s="69"/>
      <c r="CE361" s="69"/>
      <c r="CF361" s="69"/>
      <c r="CG361" s="69"/>
      <c r="CH361" s="69"/>
      <c r="CI361" s="69"/>
      <c r="CJ361" s="69"/>
      <c r="CK361" s="69"/>
      <c r="CL361" s="69"/>
      <c r="CM361" s="69"/>
      <c r="CN361" s="69"/>
      <c r="CO361" s="69"/>
      <c r="CP361" s="69"/>
      <c r="CQ361" s="69"/>
      <c r="CR361" s="69"/>
      <c r="CS361" s="69"/>
      <c r="CT361" s="69"/>
      <c r="CU361" s="69"/>
      <c r="CV361" s="69"/>
      <c r="CW361" s="69"/>
      <c r="CX361" s="69"/>
      <c r="CY361" s="69"/>
      <c r="CZ361" s="69"/>
      <c r="DA361" s="69"/>
      <c r="DB361" s="69"/>
      <c r="DC361" s="69"/>
      <c r="DD361" s="69"/>
      <c r="DE361" s="69"/>
      <c r="DF361" s="69"/>
      <c r="DG361" s="69"/>
      <c r="DH361" s="69"/>
      <c r="DI361" s="69"/>
      <c r="DJ361" s="69"/>
      <c r="DK361" s="69"/>
      <c r="DL361" s="69"/>
    </row>
    <row r="362" spans="1:116" ht="13" x14ac:dyDescent="0.3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202"/>
      <c r="V362" s="69"/>
      <c r="W362" s="69"/>
      <c r="X362" s="69"/>
      <c r="Y362" s="69"/>
      <c r="Z362" s="69"/>
      <c r="AA362" s="69"/>
      <c r="AB362" s="203"/>
      <c r="AC362" s="69"/>
      <c r="AD362" s="69"/>
      <c r="AE362" s="203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  <c r="BC362" s="69"/>
      <c r="BD362" s="69"/>
      <c r="BE362" s="69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9"/>
      <c r="BY362" s="69"/>
      <c r="BZ362" s="69"/>
      <c r="CA362" s="69"/>
      <c r="CB362" s="69"/>
      <c r="CC362" s="69"/>
      <c r="CD362" s="69"/>
      <c r="CE362" s="69"/>
      <c r="CF362" s="69"/>
      <c r="CG362" s="69"/>
      <c r="CH362" s="69"/>
      <c r="CI362" s="69"/>
      <c r="CJ362" s="69"/>
      <c r="CK362" s="69"/>
      <c r="CL362" s="69"/>
      <c r="CM362" s="69"/>
      <c r="CN362" s="69"/>
      <c r="CO362" s="69"/>
      <c r="CP362" s="69"/>
      <c r="CQ362" s="69"/>
      <c r="CR362" s="69"/>
      <c r="CS362" s="69"/>
      <c r="CT362" s="69"/>
      <c r="CU362" s="69"/>
      <c r="CV362" s="69"/>
      <c r="CW362" s="69"/>
      <c r="CX362" s="69"/>
      <c r="CY362" s="69"/>
      <c r="CZ362" s="69"/>
      <c r="DA362" s="69"/>
      <c r="DB362" s="69"/>
      <c r="DC362" s="69"/>
      <c r="DD362" s="69"/>
      <c r="DE362" s="69"/>
      <c r="DF362" s="69"/>
      <c r="DG362" s="69"/>
      <c r="DH362" s="69"/>
      <c r="DI362" s="69"/>
      <c r="DJ362" s="69"/>
      <c r="DK362" s="69"/>
      <c r="DL362" s="69"/>
    </row>
    <row r="363" spans="1:116" ht="13" x14ac:dyDescent="0.3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202"/>
      <c r="V363" s="69"/>
      <c r="W363" s="69"/>
      <c r="X363" s="69"/>
      <c r="Y363" s="69"/>
      <c r="Z363" s="69"/>
      <c r="AA363" s="69"/>
      <c r="AB363" s="203"/>
      <c r="AC363" s="69"/>
      <c r="AD363" s="69"/>
      <c r="AE363" s="203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9"/>
      <c r="BY363" s="69"/>
      <c r="BZ363" s="69"/>
      <c r="CA363" s="69"/>
      <c r="CB363" s="69"/>
      <c r="CC363" s="69"/>
      <c r="CD363" s="69"/>
      <c r="CE363" s="69"/>
      <c r="CF363" s="69"/>
      <c r="CG363" s="69"/>
      <c r="CH363" s="69"/>
      <c r="CI363" s="69"/>
      <c r="CJ363" s="69"/>
      <c r="CK363" s="69"/>
      <c r="CL363" s="69"/>
      <c r="CM363" s="69"/>
      <c r="CN363" s="69"/>
      <c r="CO363" s="69"/>
      <c r="CP363" s="69"/>
      <c r="CQ363" s="69"/>
      <c r="CR363" s="69"/>
      <c r="CS363" s="69"/>
      <c r="CT363" s="69"/>
      <c r="CU363" s="69"/>
      <c r="CV363" s="69"/>
      <c r="CW363" s="69"/>
      <c r="CX363" s="69"/>
      <c r="CY363" s="69"/>
      <c r="CZ363" s="69"/>
      <c r="DA363" s="69"/>
      <c r="DB363" s="69"/>
      <c r="DC363" s="69"/>
      <c r="DD363" s="69"/>
      <c r="DE363" s="69"/>
      <c r="DF363" s="69"/>
      <c r="DG363" s="69"/>
      <c r="DH363" s="69"/>
      <c r="DI363" s="69"/>
      <c r="DJ363" s="69"/>
      <c r="DK363" s="69"/>
      <c r="DL363" s="69"/>
    </row>
    <row r="364" spans="1:116" ht="13" x14ac:dyDescent="0.3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202"/>
      <c r="V364" s="69"/>
      <c r="W364" s="69"/>
      <c r="X364" s="69"/>
      <c r="Y364" s="69"/>
      <c r="Z364" s="69"/>
      <c r="AA364" s="69"/>
      <c r="AB364" s="203"/>
      <c r="AC364" s="69"/>
      <c r="AD364" s="69"/>
      <c r="AE364" s="203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  <c r="BC364" s="69"/>
      <c r="BD364" s="69"/>
      <c r="BE364" s="69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9"/>
      <c r="BY364" s="69"/>
      <c r="BZ364" s="69"/>
      <c r="CA364" s="69"/>
      <c r="CB364" s="69"/>
      <c r="CC364" s="69"/>
      <c r="CD364" s="69"/>
      <c r="CE364" s="69"/>
      <c r="CF364" s="69"/>
      <c r="CG364" s="69"/>
      <c r="CH364" s="69"/>
      <c r="CI364" s="69"/>
      <c r="CJ364" s="69"/>
      <c r="CK364" s="69"/>
      <c r="CL364" s="69"/>
      <c r="CM364" s="69"/>
      <c r="CN364" s="69"/>
      <c r="CO364" s="69"/>
      <c r="CP364" s="69"/>
      <c r="CQ364" s="69"/>
      <c r="CR364" s="69"/>
      <c r="CS364" s="69"/>
      <c r="CT364" s="69"/>
      <c r="CU364" s="69"/>
      <c r="CV364" s="69"/>
      <c r="CW364" s="69"/>
      <c r="CX364" s="69"/>
      <c r="CY364" s="69"/>
      <c r="CZ364" s="69"/>
      <c r="DA364" s="69"/>
      <c r="DB364" s="69"/>
      <c r="DC364" s="69"/>
      <c r="DD364" s="69"/>
      <c r="DE364" s="69"/>
      <c r="DF364" s="69"/>
      <c r="DG364" s="69"/>
      <c r="DH364" s="69"/>
      <c r="DI364" s="69"/>
      <c r="DJ364" s="69"/>
      <c r="DK364" s="69"/>
      <c r="DL364" s="69"/>
    </row>
    <row r="365" spans="1:116" ht="13" x14ac:dyDescent="0.3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202"/>
      <c r="V365" s="69"/>
      <c r="W365" s="69"/>
      <c r="X365" s="69"/>
      <c r="Y365" s="69"/>
      <c r="Z365" s="69"/>
      <c r="AA365" s="69"/>
      <c r="AB365" s="203"/>
      <c r="AC365" s="69"/>
      <c r="AD365" s="69"/>
      <c r="AE365" s="203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  <c r="BC365" s="69"/>
      <c r="BD365" s="69"/>
      <c r="BE365" s="69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9"/>
      <c r="BY365" s="69"/>
      <c r="BZ365" s="69"/>
      <c r="CA365" s="69"/>
      <c r="CB365" s="69"/>
      <c r="CC365" s="69"/>
      <c r="CD365" s="69"/>
      <c r="CE365" s="69"/>
      <c r="CF365" s="69"/>
      <c r="CG365" s="69"/>
      <c r="CH365" s="69"/>
      <c r="CI365" s="69"/>
      <c r="CJ365" s="69"/>
      <c r="CK365" s="69"/>
      <c r="CL365" s="69"/>
      <c r="CM365" s="69"/>
      <c r="CN365" s="69"/>
      <c r="CO365" s="69"/>
      <c r="CP365" s="69"/>
      <c r="CQ365" s="69"/>
      <c r="CR365" s="69"/>
      <c r="CS365" s="69"/>
      <c r="CT365" s="69"/>
      <c r="CU365" s="69"/>
      <c r="CV365" s="69"/>
      <c r="CW365" s="69"/>
      <c r="CX365" s="69"/>
      <c r="CY365" s="69"/>
      <c r="CZ365" s="69"/>
      <c r="DA365" s="69"/>
      <c r="DB365" s="69"/>
      <c r="DC365" s="69"/>
      <c r="DD365" s="69"/>
      <c r="DE365" s="69"/>
      <c r="DF365" s="69"/>
      <c r="DG365" s="69"/>
      <c r="DH365" s="69"/>
      <c r="DI365" s="69"/>
      <c r="DJ365" s="69"/>
      <c r="DK365" s="69"/>
      <c r="DL365" s="69"/>
    </row>
    <row r="366" spans="1:116" ht="13" x14ac:dyDescent="0.3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202"/>
      <c r="V366" s="69"/>
      <c r="W366" s="69"/>
      <c r="X366" s="69"/>
      <c r="Y366" s="69"/>
      <c r="Z366" s="69"/>
      <c r="AA366" s="69"/>
      <c r="AB366" s="203"/>
      <c r="AC366" s="69"/>
      <c r="AD366" s="69"/>
      <c r="AE366" s="203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  <c r="BC366" s="69"/>
      <c r="BD366" s="69"/>
      <c r="BE366" s="69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9"/>
      <c r="BY366" s="69"/>
      <c r="BZ366" s="69"/>
      <c r="CA366" s="69"/>
      <c r="CB366" s="69"/>
      <c r="CC366" s="69"/>
      <c r="CD366" s="69"/>
      <c r="CE366" s="69"/>
      <c r="CF366" s="69"/>
      <c r="CG366" s="69"/>
      <c r="CH366" s="69"/>
      <c r="CI366" s="69"/>
      <c r="CJ366" s="69"/>
      <c r="CK366" s="69"/>
      <c r="CL366" s="69"/>
      <c r="CM366" s="69"/>
      <c r="CN366" s="69"/>
      <c r="CO366" s="69"/>
      <c r="CP366" s="69"/>
      <c r="CQ366" s="69"/>
      <c r="CR366" s="69"/>
      <c r="CS366" s="69"/>
      <c r="CT366" s="69"/>
      <c r="CU366" s="69"/>
      <c r="CV366" s="69"/>
      <c r="CW366" s="69"/>
      <c r="CX366" s="69"/>
      <c r="CY366" s="69"/>
      <c r="CZ366" s="69"/>
      <c r="DA366" s="69"/>
      <c r="DB366" s="69"/>
      <c r="DC366" s="69"/>
      <c r="DD366" s="69"/>
      <c r="DE366" s="69"/>
      <c r="DF366" s="69"/>
      <c r="DG366" s="69"/>
      <c r="DH366" s="69"/>
      <c r="DI366" s="69"/>
      <c r="DJ366" s="69"/>
      <c r="DK366" s="69"/>
      <c r="DL366" s="69"/>
    </row>
    <row r="367" spans="1:116" ht="13" x14ac:dyDescent="0.3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202"/>
      <c r="V367" s="69"/>
      <c r="W367" s="69"/>
      <c r="X367" s="69"/>
      <c r="Y367" s="69"/>
      <c r="Z367" s="69"/>
      <c r="AA367" s="69"/>
      <c r="AB367" s="203"/>
      <c r="AC367" s="69"/>
      <c r="AD367" s="69"/>
      <c r="AE367" s="203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  <c r="BC367" s="69"/>
      <c r="BD367" s="69"/>
      <c r="BE367" s="69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9"/>
      <c r="BY367" s="69"/>
      <c r="BZ367" s="69"/>
      <c r="CA367" s="69"/>
      <c r="CB367" s="69"/>
      <c r="CC367" s="69"/>
      <c r="CD367" s="69"/>
      <c r="CE367" s="69"/>
      <c r="CF367" s="69"/>
      <c r="CG367" s="69"/>
      <c r="CH367" s="69"/>
      <c r="CI367" s="69"/>
      <c r="CJ367" s="69"/>
      <c r="CK367" s="69"/>
      <c r="CL367" s="69"/>
      <c r="CM367" s="69"/>
      <c r="CN367" s="69"/>
      <c r="CO367" s="69"/>
      <c r="CP367" s="69"/>
      <c r="CQ367" s="69"/>
      <c r="CR367" s="69"/>
      <c r="CS367" s="69"/>
      <c r="CT367" s="69"/>
      <c r="CU367" s="69"/>
      <c r="CV367" s="69"/>
      <c r="CW367" s="69"/>
      <c r="CX367" s="69"/>
      <c r="CY367" s="69"/>
      <c r="CZ367" s="69"/>
      <c r="DA367" s="69"/>
      <c r="DB367" s="69"/>
      <c r="DC367" s="69"/>
      <c r="DD367" s="69"/>
      <c r="DE367" s="69"/>
      <c r="DF367" s="69"/>
      <c r="DG367" s="69"/>
      <c r="DH367" s="69"/>
      <c r="DI367" s="69"/>
      <c r="DJ367" s="69"/>
      <c r="DK367" s="69"/>
      <c r="DL367" s="69"/>
    </row>
    <row r="368" spans="1:116" ht="13" x14ac:dyDescent="0.3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202"/>
      <c r="V368" s="69"/>
      <c r="W368" s="69"/>
      <c r="X368" s="69"/>
      <c r="Y368" s="69"/>
      <c r="Z368" s="69"/>
      <c r="AA368" s="69"/>
      <c r="AB368" s="203"/>
      <c r="AC368" s="69"/>
      <c r="AD368" s="69"/>
      <c r="AE368" s="203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  <c r="BC368" s="69"/>
      <c r="BD368" s="69"/>
      <c r="BE368" s="69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9"/>
      <c r="BY368" s="69"/>
      <c r="BZ368" s="69"/>
      <c r="CA368" s="69"/>
      <c r="CB368" s="69"/>
      <c r="CC368" s="69"/>
      <c r="CD368" s="69"/>
      <c r="CE368" s="69"/>
      <c r="CF368" s="69"/>
      <c r="CG368" s="69"/>
      <c r="CH368" s="69"/>
      <c r="CI368" s="69"/>
      <c r="CJ368" s="69"/>
      <c r="CK368" s="69"/>
      <c r="CL368" s="69"/>
      <c r="CM368" s="69"/>
      <c r="CN368" s="69"/>
      <c r="CO368" s="69"/>
      <c r="CP368" s="69"/>
      <c r="CQ368" s="69"/>
      <c r="CR368" s="69"/>
      <c r="CS368" s="69"/>
      <c r="CT368" s="69"/>
      <c r="CU368" s="69"/>
      <c r="CV368" s="69"/>
      <c r="CW368" s="69"/>
      <c r="CX368" s="69"/>
      <c r="CY368" s="69"/>
      <c r="CZ368" s="69"/>
      <c r="DA368" s="69"/>
      <c r="DB368" s="69"/>
      <c r="DC368" s="69"/>
      <c r="DD368" s="69"/>
      <c r="DE368" s="69"/>
      <c r="DF368" s="69"/>
      <c r="DG368" s="69"/>
      <c r="DH368" s="69"/>
      <c r="DI368" s="69"/>
      <c r="DJ368" s="69"/>
      <c r="DK368" s="69"/>
      <c r="DL368" s="69"/>
    </row>
    <row r="369" spans="1:116" ht="13" x14ac:dyDescent="0.3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202"/>
      <c r="V369" s="69"/>
      <c r="W369" s="69"/>
      <c r="X369" s="69"/>
      <c r="Y369" s="69"/>
      <c r="Z369" s="69"/>
      <c r="AA369" s="69"/>
      <c r="AB369" s="203"/>
      <c r="AC369" s="69"/>
      <c r="AD369" s="69"/>
      <c r="AE369" s="203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  <c r="BC369" s="69"/>
      <c r="BD369" s="69"/>
      <c r="BE369" s="69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9"/>
      <c r="BY369" s="69"/>
      <c r="BZ369" s="69"/>
      <c r="CA369" s="69"/>
      <c r="CB369" s="69"/>
      <c r="CC369" s="69"/>
      <c r="CD369" s="69"/>
      <c r="CE369" s="69"/>
      <c r="CF369" s="69"/>
      <c r="CG369" s="69"/>
      <c r="CH369" s="69"/>
      <c r="CI369" s="69"/>
      <c r="CJ369" s="69"/>
      <c r="CK369" s="69"/>
      <c r="CL369" s="69"/>
      <c r="CM369" s="69"/>
      <c r="CN369" s="69"/>
      <c r="CO369" s="69"/>
      <c r="CP369" s="69"/>
      <c r="CQ369" s="69"/>
      <c r="CR369" s="69"/>
      <c r="CS369" s="69"/>
      <c r="CT369" s="69"/>
      <c r="CU369" s="69"/>
      <c r="CV369" s="69"/>
      <c r="CW369" s="69"/>
      <c r="CX369" s="69"/>
      <c r="CY369" s="69"/>
      <c r="CZ369" s="69"/>
      <c r="DA369" s="69"/>
      <c r="DB369" s="69"/>
      <c r="DC369" s="69"/>
      <c r="DD369" s="69"/>
      <c r="DE369" s="69"/>
      <c r="DF369" s="69"/>
      <c r="DG369" s="69"/>
      <c r="DH369" s="69"/>
      <c r="DI369" s="69"/>
      <c r="DJ369" s="69"/>
      <c r="DK369" s="69"/>
      <c r="DL369" s="69"/>
    </row>
    <row r="370" spans="1:116" ht="13" x14ac:dyDescent="0.3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202"/>
      <c r="V370" s="69"/>
      <c r="W370" s="69"/>
      <c r="X370" s="69"/>
      <c r="Y370" s="69"/>
      <c r="Z370" s="69"/>
      <c r="AA370" s="69"/>
      <c r="AB370" s="203"/>
      <c r="AC370" s="69"/>
      <c r="AD370" s="69"/>
      <c r="AE370" s="203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  <c r="BC370" s="69"/>
      <c r="BD370" s="69"/>
      <c r="BE370" s="69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9"/>
      <c r="BY370" s="69"/>
      <c r="BZ370" s="69"/>
      <c r="CA370" s="69"/>
      <c r="CB370" s="69"/>
      <c r="CC370" s="69"/>
      <c r="CD370" s="69"/>
      <c r="CE370" s="69"/>
      <c r="CF370" s="69"/>
      <c r="CG370" s="69"/>
      <c r="CH370" s="69"/>
      <c r="CI370" s="69"/>
      <c r="CJ370" s="69"/>
      <c r="CK370" s="69"/>
      <c r="CL370" s="69"/>
      <c r="CM370" s="69"/>
      <c r="CN370" s="69"/>
      <c r="CO370" s="69"/>
      <c r="CP370" s="69"/>
      <c r="CQ370" s="69"/>
      <c r="CR370" s="69"/>
      <c r="CS370" s="69"/>
      <c r="CT370" s="69"/>
      <c r="CU370" s="69"/>
      <c r="CV370" s="69"/>
      <c r="CW370" s="69"/>
      <c r="CX370" s="69"/>
      <c r="CY370" s="69"/>
      <c r="CZ370" s="69"/>
      <c r="DA370" s="69"/>
      <c r="DB370" s="69"/>
      <c r="DC370" s="69"/>
      <c r="DD370" s="69"/>
      <c r="DE370" s="69"/>
      <c r="DF370" s="69"/>
      <c r="DG370" s="69"/>
      <c r="DH370" s="69"/>
      <c r="DI370" s="69"/>
      <c r="DJ370" s="69"/>
      <c r="DK370" s="69"/>
      <c r="DL370" s="69"/>
    </row>
    <row r="371" spans="1:116" ht="13" x14ac:dyDescent="0.3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202"/>
      <c r="V371" s="69"/>
      <c r="W371" s="69"/>
      <c r="X371" s="69"/>
      <c r="Y371" s="69"/>
      <c r="Z371" s="69"/>
      <c r="AA371" s="69"/>
      <c r="AB371" s="203"/>
      <c r="AC371" s="69"/>
      <c r="AD371" s="69"/>
      <c r="AE371" s="203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  <c r="BC371" s="69"/>
      <c r="BD371" s="69"/>
      <c r="BE371" s="69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9"/>
      <c r="BY371" s="69"/>
      <c r="BZ371" s="69"/>
      <c r="CA371" s="69"/>
      <c r="CB371" s="69"/>
      <c r="CC371" s="69"/>
      <c r="CD371" s="69"/>
      <c r="CE371" s="69"/>
      <c r="CF371" s="69"/>
      <c r="CG371" s="69"/>
      <c r="CH371" s="69"/>
      <c r="CI371" s="69"/>
      <c r="CJ371" s="69"/>
      <c r="CK371" s="69"/>
      <c r="CL371" s="69"/>
      <c r="CM371" s="69"/>
      <c r="CN371" s="69"/>
      <c r="CO371" s="69"/>
      <c r="CP371" s="69"/>
      <c r="CQ371" s="69"/>
      <c r="CR371" s="69"/>
      <c r="CS371" s="69"/>
      <c r="CT371" s="69"/>
      <c r="CU371" s="69"/>
      <c r="CV371" s="69"/>
      <c r="CW371" s="69"/>
      <c r="CX371" s="69"/>
      <c r="CY371" s="69"/>
      <c r="CZ371" s="69"/>
      <c r="DA371" s="69"/>
      <c r="DB371" s="69"/>
      <c r="DC371" s="69"/>
      <c r="DD371" s="69"/>
      <c r="DE371" s="69"/>
      <c r="DF371" s="69"/>
      <c r="DG371" s="69"/>
      <c r="DH371" s="69"/>
      <c r="DI371" s="69"/>
      <c r="DJ371" s="69"/>
      <c r="DK371" s="69"/>
      <c r="DL371" s="69"/>
    </row>
    <row r="372" spans="1:116" ht="13" x14ac:dyDescent="0.3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202"/>
      <c r="V372" s="69"/>
      <c r="W372" s="69"/>
      <c r="X372" s="69"/>
      <c r="Y372" s="69"/>
      <c r="Z372" s="69"/>
      <c r="AA372" s="69"/>
      <c r="AB372" s="203"/>
      <c r="AC372" s="69"/>
      <c r="AD372" s="69"/>
      <c r="AE372" s="203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9"/>
      <c r="BY372" s="69"/>
      <c r="BZ372" s="69"/>
      <c r="CA372" s="69"/>
      <c r="CB372" s="69"/>
      <c r="CC372" s="69"/>
      <c r="CD372" s="69"/>
      <c r="CE372" s="69"/>
      <c r="CF372" s="69"/>
      <c r="CG372" s="69"/>
      <c r="CH372" s="69"/>
      <c r="CI372" s="69"/>
      <c r="CJ372" s="69"/>
      <c r="CK372" s="69"/>
      <c r="CL372" s="69"/>
      <c r="CM372" s="69"/>
      <c r="CN372" s="69"/>
      <c r="CO372" s="69"/>
      <c r="CP372" s="69"/>
      <c r="CQ372" s="69"/>
      <c r="CR372" s="69"/>
      <c r="CS372" s="69"/>
      <c r="CT372" s="69"/>
      <c r="CU372" s="69"/>
      <c r="CV372" s="69"/>
      <c r="CW372" s="69"/>
      <c r="CX372" s="69"/>
      <c r="CY372" s="69"/>
      <c r="CZ372" s="69"/>
      <c r="DA372" s="69"/>
      <c r="DB372" s="69"/>
      <c r="DC372" s="69"/>
      <c r="DD372" s="69"/>
      <c r="DE372" s="69"/>
      <c r="DF372" s="69"/>
      <c r="DG372" s="69"/>
      <c r="DH372" s="69"/>
      <c r="DI372" s="69"/>
      <c r="DJ372" s="69"/>
      <c r="DK372" s="69"/>
      <c r="DL372" s="69"/>
    </row>
    <row r="373" spans="1:116" ht="13" x14ac:dyDescent="0.3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202"/>
      <c r="V373" s="69"/>
      <c r="W373" s="69"/>
      <c r="X373" s="69"/>
      <c r="Y373" s="69"/>
      <c r="Z373" s="69"/>
      <c r="AA373" s="69"/>
      <c r="AB373" s="203"/>
      <c r="AC373" s="69"/>
      <c r="AD373" s="69"/>
      <c r="AE373" s="203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  <c r="BC373" s="69"/>
      <c r="BD373" s="69"/>
      <c r="BE373" s="69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9"/>
      <c r="BY373" s="69"/>
      <c r="BZ373" s="69"/>
      <c r="CA373" s="69"/>
      <c r="CB373" s="69"/>
      <c r="CC373" s="69"/>
      <c r="CD373" s="69"/>
      <c r="CE373" s="69"/>
      <c r="CF373" s="69"/>
      <c r="CG373" s="69"/>
      <c r="CH373" s="69"/>
      <c r="CI373" s="69"/>
      <c r="CJ373" s="69"/>
      <c r="CK373" s="69"/>
      <c r="CL373" s="69"/>
      <c r="CM373" s="69"/>
      <c r="CN373" s="69"/>
      <c r="CO373" s="69"/>
      <c r="CP373" s="69"/>
      <c r="CQ373" s="69"/>
      <c r="CR373" s="69"/>
      <c r="CS373" s="69"/>
      <c r="CT373" s="69"/>
      <c r="CU373" s="69"/>
      <c r="CV373" s="69"/>
      <c r="CW373" s="69"/>
      <c r="CX373" s="69"/>
      <c r="CY373" s="69"/>
      <c r="CZ373" s="69"/>
      <c r="DA373" s="69"/>
      <c r="DB373" s="69"/>
      <c r="DC373" s="69"/>
      <c r="DD373" s="69"/>
      <c r="DE373" s="69"/>
      <c r="DF373" s="69"/>
      <c r="DG373" s="69"/>
      <c r="DH373" s="69"/>
      <c r="DI373" s="69"/>
      <c r="DJ373" s="69"/>
      <c r="DK373" s="69"/>
      <c r="DL373" s="69"/>
    </row>
    <row r="374" spans="1:116" ht="13" x14ac:dyDescent="0.3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202"/>
      <c r="V374" s="69"/>
      <c r="W374" s="69"/>
      <c r="X374" s="69"/>
      <c r="Y374" s="69"/>
      <c r="Z374" s="69"/>
      <c r="AA374" s="69"/>
      <c r="AB374" s="203"/>
      <c r="AC374" s="69"/>
      <c r="AD374" s="69"/>
      <c r="AE374" s="203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  <c r="BC374" s="69"/>
      <c r="BD374" s="69"/>
      <c r="BE374" s="69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9"/>
      <c r="BY374" s="69"/>
      <c r="BZ374" s="69"/>
      <c r="CA374" s="69"/>
      <c r="CB374" s="69"/>
      <c r="CC374" s="69"/>
      <c r="CD374" s="69"/>
      <c r="CE374" s="69"/>
      <c r="CF374" s="69"/>
      <c r="CG374" s="69"/>
      <c r="CH374" s="69"/>
      <c r="CI374" s="69"/>
      <c r="CJ374" s="69"/>
      <c r="CK374" s="69"/>
      <c r="CL374" s="69"/>
      <c r="CM374" s="69"/>
      <c r="CN374" s="69"/>
      <c r="CO374" s="69"/>
      <c r="CP374" s="69"/>
      <c r="CQ374" s="69"/>
      <c r="CR374" s="69"/>
      <c r="CS374" s="69"/>
      <c r="CT374" s="69"/>
      <c r="CU374" s="69"/>
      <c r="CV374" s="69"/>
      <c r="CW374" s="69"/>
      <c r="CX374" s="69"/>
      <c r="CY374" s="69"/>
      <c r="CZ374" s="69"/>
      <c r="DA374" s="69"/>
      <c r="DB374" s="69"/>
      <c r="DC374" s="69"/>
      <c r="DD374" s="69"/>
      <c r="DE374" s="69"/>
      <c r="DF374" s="69"/>
      <c r="DG374" s="69"/>
      <c r="DH374" s="69"/>
      <c r="DI374" s="69"/>
      <c r="DJ374" s="69"/>
      <c r="DK374" s="69"/>
      <c r="DL374" s="69"/>
    </row>
    <row r="375" spans="1:116" ht="13" x14ac:dyDescent="0.3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202"/>
      <c r="V375" s="69"/>
      <c r="W375" s="69"/>
      <c r="X375" s="69"/>
      <c r="Y375" s="69"/>
      <c r="Z375" s="69"/>
      <c r="AA375" s="69"/>
      <c r="AB375" s="203"/>
      <c r="AC375" s="69"/>
      <c r="AD375" s="69"/>
      <c r="AE375" s="203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  <c r="BC375" s="69"/>
      <c r="BD375" s="69"/>
      <c r="BE375" s="69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9"/>
      <c r="BY375" s="69"/>
      <c r="BZ375" s="69"/>
      <c r="CA375" s="69"/>
      <c r="CB375" s="69"/>
      <c r="CC375" s="69"/>
      <c r="CD375" s="69"/>
      <c r="CE375" s="69"/>
      <c r="CF375" s="69"/>
      <c r="CG375" s="69"/>
      <c r="CH375" s="69"/>
      <c r="CI375" s="69"/>
      <c r="CJ375" s="69"/>
      <c r="CK375" s="69"/>
      <c r="CL375" s="69"/>
      <c r="CM375" s="69"/>
      <c r="CN375" s="69"/>
      <c r="CO375" s="69"/>
      <c r="CP375" s="69"/>
      <c r="CQ375" s="69"/>
      <c r="CR375" s="69"/>
      <c r="CS375" s="69"/>
      <c r="CT375" s="69"/>
      <c r="CU375" s="69"/>
      <c r="CV375" s="69"/>
      <c r="CW375" s="69"/>
      <c r="CX375" s="69"/>
      <c r="CY375" s="69"/>
      <c r="CZ375" s="69"/>
      <c r="DA375" s="69"/>
      <c r="DB375" s="69"/>
      <c r="DC375" s="69"/>
      <c r="DD375" s="69"/>
      <c r="DE375" s="69"/>
      <c r="DF375" s="69"/>
      <c r="DG375" s="69"/>
      <c r="DH375" s="69"/>
      <c r="DI375" s="69"/>
      <c r="DJ375" s="69"/>
      <c r="DK375" s="69"/>
      <c r="DL375" s="69"/>
    </row>
    <row r="376" spans="1:116" ht="13" x14ac:dyDescent="0.3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202"/>
      <c r="V376" s="69"/>
      <c r="W376" s="69"/>
      <c r="X376" s="69"/>
      <c r="Y376" s="69"/>
      <c r="Z376" s="69"/>
      <c r="AA376" s="69"/>
      <c r="AB376" s="203"/>
      <c r="AC376" s="69"/>
      <c r="AD376" s="69"/>
      <c r="AE376" s="203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9"/>
      <c r="BY376" s="69"/>
      <c r="BZ376" s="69"/>
      <c r="CA376" s="69"/>
      <c r="CB376" s="69"/>
      <c r="CC376" s="69"/>
      <c r="CD376" s="69"/>
      <c r="CE376" s="69"/>
      <c r="CF376" s="69"/>
      <c r="CG376" s="69"/>
      <c r="CH376" s="69"/>
      <c r="CI376" s="69"/>
      <c r="CJ376" s="69"/>
      <c r="CK376" s="69"/>
      <c r="CL376" s="69"/>
      <c r="CM376" s="69"/>
      <c r="CN376" s="69"/>
      <c r="CO376" s="69"/>
      <c r="CP376" s="69"/>
      <c r="CQ376" s="69"/>
      <c r="CR376" s="69"/>
      <c r="CS376" s="69"/>
      <c r="CT376" s="69"/>
      <c r="CU376" s="69"/>
      <c r="CV376" s="69"/>
      <c r="CW376" s="69"/>
      <c r="CX376" s="69"/>
      <c r="CY376" s="69"/>
      <c r="CZ376" s="69"/>
      <c r="DA376" s="69"/>
      <c r="DB376" s="69"/>
      <c r="DC376" s="69"/>
      <c r="DD376" s="69"/>
      <c r="DE376" s="69"/>
      <c r="DF376" s="69"/>
      <c r="DG376" s="69"/>
      <c r="DH376" s="69"/>
      <c r="DI376" s="69"/>
      <c r="DJ376" s="69"/>
      <c r="DK376" s="69"/>
      <c r="DL376" s="69"/>
    </row>
    <row r="377" spans="1:116" ht="13" x14ac:dyDescent="0.3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202"/>
      <c r="V377" s="69"/>
      <c r="W377" s="69"/>
      <c r="X377" s="69"/>
      <c r="Y377" s="69"/>
      <c r="Z377" s="69"/>
      <c r="AA377" s="69"/>
      <c r="AB377" s="203"/>
      <c r="AC377" s="69"/>
      <c r="AD377" s="69"/>
      <c r="AE377" s="203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9"/>
      <c r="BY377" s="69"/>
      <c r="BZ377" s="69"/>
      <c r="CA377" s="69"/>
      <c r="CB377" s="69"/>
      <c r="CC377" s="69"/>
      <c r="CD377" s="69"/>
      <c r="CE377" s="69"/>
      <c r="CF377" s="69"/>
      <c r="CG377" s="69"/>
      <c r="CH377" s="69"/>
      <c r="CI377" s="69"/>
      <c r="CJ377" s="69"/>
      <c r="CK377" s="69"/>
      <c r="CL377" s="69"/>
      <c r="CM377" s="69"/>
      <c r="CN377" s="69"/>
      <c r="CO377" s="69"/>
      <c r="CP377" s="69"/>
      <c r="CQ377" s="69"/>
      <c r="CR377" s="69"/>
      <c r="CS377" s="69"/>
      <c r="CT377" s="69"/>
      <c r="CU377" s="69"/>
      <c r="CV377" s="69"/>
      <c r="CW377" s="69"/>
      <c r="CX377" s="69"/>
      <c r="CY377" s="69"/>
      <c r="CZ377" s="69"/>
      <c r="DA377" s="69"/>
      <c r="DB377" s="69"/>
      <c r="DC377" s="69"/>
      <c r="DD377" s="69"/>
      <c r="DE377" s="69"/>
      <c r="DF377" s="69"/>
      <c r="DG377" s="69"/>
      <c r="DH377" s="69"/>
      <c r="DI377" s="69"/>
      <c r="DJ377" s="69"/>
      <c r="DK377" s="69"/>
      <c r="DL377" s="69"/>
    </row>
    <row r="378" spans="1:116" ht="13" x14ac:dyDescent="0.3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202"/>
      <c r="V378" s="69"/>
      <c r="W378" s="69"/>
      <c r="X378" s="69"/>
      <c r="Y378" s="69"/>
      <c r="Z378" s="69"/>
      <c r="AA378" s="69"/>
      <c r="AB378" s="203"/>
      <c r="AC378" s="69"/>
      <c r="AD378" s="69"/>
      <c r="AE378" s="203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  <c r="BC378" s="69"/>
      <c r="BD378" s="69"/>
      <c r="BE378" s="69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9"/>
      <c r="BY378" s="69"/>
      <c r="BZ378" s="69"/>
      <c r="CA378" s="69"/>
      <c r="CB378" s="69"/>
      <c r="CC378" s="69"/>
      <c r="CD378" s="69"/>
      <c r="CE378" s="69"/>
      <c r="CF378" s="69"/>
      <c r="CG378" s="69"/>
      <c r="CH378" s="69"/>
      <c r="CI378" s="69"/>
      <c r="CJ378" s="69"/>
      <c r="CK378" s="69"/>
      <c r="CL378" s="69"/>
      <c r="CM378" s="69"/>
      <c r="CN378" s="69"/>
      <c r="CO378" s="69"/>
      <c r="CP378" s="69"/>
      <c r="CQ378" s="69"/>
      <c r="CR378" s="69"/>
      <c r="CS378" s="69"/>
      <c r="CT378" s="69"/>
      <c r="CU378" s="69"/>
      <c r="CV378" s="69"/>
      <c r="CW378" s="69"/>
      <c r="CX378" s="69"/>
      <c r="CY378" s="69"/>
      <c r="CZ378" s="69"/>
      <c r="DA378" s="69"/>
      <c r="DB378" s="69"/>
      <c r="DC378" s="69"/>
      <c r="DD378" s="69"/>
      <c r="DE378" s="69"/>
      <c r="DF378" s="69"/>
      <c r="DG378" s="69"/>
      <c r="DH378" s="69"/>
      <c r="DI378" s="69"/>
      <c r="DJ378" s="69"/>
      <c r="DK378" s="69"/>
      <c r="DL378" s="69"/>
    </row>
    <row r="379" spans="1:116" ht="13" x14ac:dyDescent="0.3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202"/>
      <c r="V379" s="69"/>
      <c r="W379" s="69"/>
      <c r="X379" s="69"/>
      <c r="Y379" s="69"/>
      <c r="Z379" s="69"/>
      <c r="AA379" s="69"/>
      <c r="AB379" s="203"/>
      <c r="AC379" s="69"/>
      <c r="AD379" s="69"/>
      <c r="AE379" s="203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  <c r="BC379" s="69"/>
      <c r="BD379" s="69"/>
      <c r="BE379" s="69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9"/>
      <c r="BY379" s="69"/>
      <c r="BZ379" s="69"/>
      <c r="CA379" s="69"/>
      <c r="CB379" s="69"/>
      <c r="CC379" s="69"/>
      <c r="CD379" s="69"/>
      <c r="CE379" s="69"/>
      <c r="CF379" s="69"/>
      <c r="CG379" s="69"/>
      <c r="CH379" s="69"/>
      <c r="CI379" s="69"/>
      <c r="CJ379" s="69"/>
      <c r="CK379" s="69"/>
      <c r="CL379" s="69"/>
      <c r="CM379" s="69"/>
      <c r="CN379" s="69"/>
      <c r="CO379" s="69"/>
      <c r="CP379" s="69"/>
      <c r="CQ379" s="69"/>
      <c r="CR379" s="69"/>
      <c r="CS379" s="69"/>
      <c r="CT379" s="69"/>
      <c r="CU379" s="69"/>
      <c r="CV379" s="69"/>
      <c r="CW379" s="69"/>
      <c r="CX379" s="69"/>
      <c r="CY379" s="69"/>
      <c r="CZ379" s="69"/>
      <c r="DA379" s="69"/>
      <c r="DB379" s="69"/>
      <c r="DC379" s="69"/>
      <c r="DD379" s="69"/>
      <c r="DE379" s="69"/>
      <c r="DF379" s="69"/>
      <c r="DG379" s="69"/>
      <c r="DH379" s="69"/>
      <c r="DI379" s="69"/>
      <c r="DJ379" s="69"/>
      <c r="DK379" s="69"/>
      <c r="DL379" s="69"/>
    </row>
    <row r="380" spans="1:116" ht="13" x14ac:dyDescent="0.3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202"/>
      <c r="V380" s="69"/>
      <c r="W380" s="69"/>
      <c r="X380" s="69"/>
      <c r="Y380" s="69"/>
      <c r="Z380" s="69"/>
      <c r="AA380" s="69"/>
      <c r="AB380" s="203"/>
      <c r="AC380" s="69"/>
      <c r="AD380" s="69"/>
      <c r="AE380" s="203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  <c r="BC380" s="69"/>
      <c r="BD380" s="69"/>
      <c r="BE380" s="69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9"/>
      <c r="BY380" s="69"/>
      <c r="BZ380" s="69"/>
      <c r="CA380" s="69"/>
      <c r="CB380" s="69"/>
      <c r="CC380" s="69"/>
      <c r="CD380" s="69"/>
      <c r="CE380" s="69"/>
      <c r="CF380" s="69"/>
      <c r="CG380" s="69"/>
      <c r="CH380" s="69"/>
      <c r="CI380" s="69"/>
      <c r="CJ380" s="69"/>
      <c r="CK380" s="69"/>
      <c r="CL380" s="69"/>
      <c r="CM380" s="69"/>
      <c r="CN380" s="69"/>
      <c r="CO380" s="69"/>
      <c r="CP380" s="69"/>
      <c r="CQ380" s="69"/>
      <c r="CR380" s="69"/>
      <c r="CS380" s="69"/>
      <c r="CT380" s="69"/>
      <c r="CU380" s="69"/>
      <c r="CV380" s="69"/>
      <c r="CW380" s="69"/>
      <c r="CX380" s="69"/>
      <c r="CY380" s="69"/>
      <c r="CZ380" s="69"/>
      <c r="DA380" s="69"/>
      <c r="DB380" s="69"/>
      <c r="DC380" s="69"/>
      <c r="DD380" s="69"/>
      <c r="DE380" s="69"/>
      <c r="DF380" s="69"/>
      <c r="DG380" s="69"/>
      <c r="DH380" s="69"/>
      <c r="DI380" s="69"/>
      <c r="DJ380" s="69"/>
      <c r="DK380" s="69"/>
      <c r="DL380" s="69"/>
    </row>
    <row r="381" spans="1:116" ht="13" x14ac:dyDescent="0.3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202"/>
      <c r="V381" s="69"/>
      <c r="W381" s="69"/>
      <c r="X381" s="69"/>
      <c r="Y381" s="69"/>
      <c r="Z381" s="69"/>
      <c r="AA381" s="69"/>
      <c r="AB381" s="203"/>
      <c r="AC381" s="69"/>
      <c r="AD381" s="69"/>
      <c r="AE381" s="203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  <c r="BC381" s="69"/>
      <c r="BD381" s="69"/>
      <c r="BE381" s="69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9"/>
      <c r="BY381" s="69"/>
      <c r="BZ381" s="69"/>
      <c r="CA381" s="69"/>
      <c r="CB381" s="69"/>
      <c r="CC381" s="69"/>
      <c r="CD381" s="69"/>
      <c r="CE381" s="69"/>
      <c r="CF381" s="69"/>
      <c r="CG381" s="69"/>
      <c r="CH381" s="69"/>
      <c r="CI381" s="69"/>
      <c r="CJ381" s="69"/>
      <c r="CK381" s="69"/>
      <c r="CL381" s="69"/>
      <c r="CM381" s="69"/>
      <c r="CN381" s="69"/>
      <c r="CO381" s="69"/>
      <c r="CP381" s="69"/>
      <c r="CQ381" s="69"/>
      <c r="CR381" s="69"/>
      <c r="CS381" s="69"/>
      <c r="CT381" s="69"/>
      <c r="CU381" s="69"/>
      <c r="CV381" s="69"/>
      <c r="CW381" s="69"/>
      <c r="CX381" s="69"/>
      <c r="CY381" s="69"/>
      <c r="CZ381" s="69"/>
      <c r="DA381" s="69"/>
      <c r="DB381" s="69"/>
      <c r="DC381" s="69"/>
      <c r="DD381" s="69"/>
      <c r="DE381" s="69"/>
      <c r="DF381" s="69"/>
      <c r="DG381" s="69"/>
      <c r="DH381" s="69"/>
      <c r="DI381" s="69"/>
      <c r="DJ381" s="69"/>
      <c r="DK381" s="69"/>
      <c r="DL381" s="69"/>
    </row>
    <row r="382" spans="1:116" ht="13" x14ac:dyDescent="0.3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202"/>
      <c r="V382" s="69"/>
      <c r="W382" s="69"/>
      <c r="X382" s="69"/>
      <c r="Y382" s="69"/>
      <c r="Z382" s="69"/>
      <c r="AA382" s="69"/>
      <c r="AB382" s="203"/>
      <c r="AC382" s="69"/>
      <c r="AD382" s="69"/>
      <c r="AE382" s="203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9"/>
      <c r="BY382" s="69"/>
      <c r="BZ382" s="69"/>
      <c r="CA382" s="69"/>
      <c r="CB382" s="69"/>
      <c r="CC382" s="69"/>
      <c r="CD382" s="69"/>
      <c r="CE382" s="69"/>
      <c r="CF382" s="69"/>
      <c r="CG382" s="69"/>
      <c r="CH382" s="69"/>
      <c r="CI382" s="69"/>
      <c r="CJ382" s="69"/>
      <c r="CK382" s="69"/>
      <c r="CL382" s="69"/>
      <c r="CM382" s="69"/>
      <c r="CN382" s="69"/>
      <c r="CO382" s="69"/>
      <c r="CP382" s="69"/>
      <c r="CQ382" s="69"/>
      <c r="CR382" s="69"/>
      <c r="CS382" s="69"/>
      <c r="CT382" s="69"/>
      <c r="CU382" s="69"/>
      <c r="CV382" s="69"/>
      <c r="CW382" s="69"/>
      <c r="CX382" s="69"/>
      <c r="CY382" s="69"/>
      <c r="CZ382" s="69"/>
      <c r="DA382" s="69"/>
      <c r="DB382" s="69"/>
      <c r="DC382" s="69"/>
      <c r="DD382" s="69"/>
      <c r="DE382" s="69"/>
      <c r="DF382" s="69"/>
      <c r="DG382" s="69"/>
      <c r="DH382" s="69"/>
      <c r="DI382" s="69"/>
      <c r="DJ382" s="69"/>
      <c r="DK382" s="69"/>
      <c r="DL382" s="69"/>
    </row>
    <row r="383" spans="1:116" ht="13" x14ac:dyDescent="0.3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202"/>
      <c r="V383" s="69"/>
      <c r="W383" s="69"/>
      <c r="X383" s="69"/>
      <c r="Y383" s="69"/>
      <c r="Z383" s="69"/>
      <c r="AA383" s="69"/>
      <c r="AB383" s="203"/>
      <c r="AC383" s="69"/>
      <c r="AD383" s="69"/>
      <c r="AE383" s="203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  <c r="BC383" s="69"/>
      <c r="BD383" s="69"/>
      <c r="BE383" s="69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9"/>
      <c r="BY383" s="69"/>
      <c r="BZ383" s="69"/>
      <c r="CA383" s="69"/>
      <c r="CB383" s="69"/>
      <c r="CC383" s="69"/>
      <c r="CD383" s="69"/>
      <c r="CE383" s="69"/>
      <c r="CF383" s="69"/>
      <c r="CG383" s="69"/>
      <c r="CH383" s="69"/>
      <c r="CI383" s="69"/>
      <c r="CJ383" s="69"/>
      <c r="CK383" s="69"/>
      <c r="CL383" s="69"/>
      <c r="CM383" s="69"/>
      <c r="CN383" s="69"/>
      <c r="CO383" s="69"/>
      <c r="CP383" s="69"/>
      <c r="CQ383" s="69"/>
      <c r="CR383" s="69"/>
      <c r="CS383" s="69"/>
      <c r="CT383" s="69"/>
      <c r="CU383" s="69"/>
      <c r="CV383" s="69"/>
      <c r="CW383" s="69"/>
      <c r="CX383" s="69"/>
      <c r="CY383" s="69"/>
      <c r="CZ383" s="69"/>
      <c r="DA383" s="69"/>
      <c r="DB383" s="69"/>
      <c r="DC383" s="69"/>
      <c r="DD383" s="69"/>
      <c r="DE383" s="69"/>
      <c r="DF383" s="69"/>
      <c r="DG383" s="69"/>
      <c r="DH383" s="69"/>
      <c r="DI383" s="69"/>
      <c r="DJ383" s="69"/>
      <c r="DK383" s="69"/>
      <c r="DL383" s="69"/>
    </row>
    <row r="384" spans="1:116" ht="13" x14ac:dyDescent="0.3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202"/>
      <c r="V384" s="69"/>
      <c r="W384" s="69"/>
      <c r="X384" s="69"/>
      <c r="Y384" s="69"/>
      <c r="Z384" s="69"/>
      <c r="AA384" s="69"/>
      <c r="AB384" s="203"/>
      <c r="AC384" s="69"/>
      <c r="AD384" s="69"/>
      <c r="AE384" s="203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  <c r="BC384" s="69"/>
      <c r="BD384" s="69"/>
      <c r="BE384" s="69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9"/>
      <c r="BY384" s="69"/>
      <c r="BZ384" s="69"/>
      <c r="CA384" s="69"/>
      <c r="CB384" s="69"/>
      <c r="CC384" s="69"/>
      <c r="CD384" s="69"/>
      <c r="CE384" s="69"/>
      <c r="CF384" s="69"/>
      <c r="CG384" s="69"/>
      <c r="CH384" s="69"/>
      <c r="CI384" s="69"/>
      <c r="CJ384" s="69"/>
      <c r="CK384" s="69"/>
      <c r="CL384" s="69"/>
      <c r="CM384" s="69"/>
      <c r="CN384" s="69"/>
      <c r="CO384" s="69"/>
      <c r="CP384" s="69"/>
      <c r="CQ384" s="69"/>
      <c r="CR384" s="69"/>
      <c r="CS384" s="69"/>
      <c r="CT384" s="69"/>
      <c r="CU384" s="69"/>
      <c r="CV384" s="69"/>
      <c r="CW384" s="69"/>
      <c r="CX384" s="69"/>
      <c r="CY384" s="69"/>
      <c r="CZ384" s="69"/>
      <c r="DA384" s="69"/>
      <c r="DB384" s="69"/>
      <c r="DC384" s="69"/>
      <c r="DD384" s="69"/>
      <c r="DE384" s="69"/>
      <c r="DF384" s="69"/>
      <c r="DG384" s="69"/>
      <c r="DH384" s="69"/>
      <c r="DI384" s="69"/>
      <c r="DJ384" s="69"/>
      <c r="DK384" s="69"/>
      <c r="DL384" s="69"/>
    </row>
    <row r="385" spans="1:116" ht="13" x14ac:dyDescent="0.3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202"/>
      <c r="V385" s="69"/>
      <c r="W385" s="69"/>
      <c r="X385" s="69"/>
      <c r="Y385" s="69"/>
      <c r="Z385" s="69"/>
      <c r="AA385" s="69"/>
      <c r="AB385" s="203"/>
      <c r="AC385" s="69"/>
      <c r="AD385" s="69"/>
      <c r="AE385" s="203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  <c r="BC385" s="69"/>
      <c r="BD385" s="69"/>
      <c r="BE385" s="69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9"/>
      <c r="BY385" s="69"/>
      <c r="BZ385" s="69"/>
      <c r="CA385" s="69"/>
      <c r="CB385" s="69"/>
      <c r="CC385" s="69"/>
      <c r="CD385" s="69"/>
      <c r="CE385" s="69"/>
      <c r="CF385" s="69"/>
      <c r="CG385" s="69"/>
      <c r="CH385" s="69"/>
      <c r="CI385" s="69"/>
      <c r="CJ385" s="69"/>
      <c r="CK385" s="69"/>
      <c r="CL385" s="69"/>
      <c r="CM385" s="69"/>
      <c r="CN385" s="69"/>
      <c r="CO385" s="69"/>
      <c r="CP385" s="69"/>
      <c r="CQ385" s="69"/>
      <c r="CR385" s="69"/>
      <c r="CS385" s="69"/>
      <c r="CT385" s="69"/>
      <c r="CU385" s="69"/>
      <c r="CV385" s="69"/>
      <c r="CW385" s="69"/>
      <c r="CX385" s="69"/>
      <c r="CY385" s="69"/>
      <c r="CZ385" s="69"/>
      <c r="DA385" s="69"/>
      <c r="DB385" s="69"/>
      <c r="DC385" s="69"/>
      <c r="DD385" s="69"/>
      <c r="DE385" s="69"/>
      <c r="DF385" s="69"/>
      <c r="DG385" s="69"/>
      <c r="DH385" s="69"/>
      <c r="DI385" s="69"/>
      <c r="DJ385" s="69"/>
      <c r="DK385" s="69"/>
      <c r="DL385" s="69"/>
    </row>
    <row r="386" spans="1:116" ht="13" x14ac:dyDescent="0.3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202"/>
      <c r="V386" s="69"/>
      <c r="W386" s="69"/>
      <c r="X386" s="69"/>
      <c r="Y386" s="69"/>
      <c r="Z386" s="69"/>
      <c r="AA386" s="69"/>
      <c r="AB386" s="203"/>
      <c r="AC386" s="69"/>
      <c r="AD386" s="69"/>
      <c r="AE386" s="203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  <c r="BC386" s="69"/>
      <c r="BD386" s="69"/>
      <c r="BE386" s="69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9"/>
      <c r="BY386" s="69"/>
      <c r="BZ386" s="69"/>
      <c r="CA386" s="69"/>
      <c r="CB386" s="69"/>
      <c r="CC386" s="69"/>
      <c r="CD386" s="69"/>
      <c r="CE386" s="69"/>
      <c r="CF386" s="69"/>
      <c r="CG386" s="69"/>
      <c r="CH386" s="69"/>
      <c r="CI386" s="69"/>
      <c r="CJ386" s="69"/>
      <c r="CK386" s="69"/>
      <c r="CL386" s="69"/>
      <c r="CM386" s="69"/>
      <c r="CN386" s="69"/>
      <c r="CO386" s="69"/>
      <c r="CP386" s="69"/>
      <c r="CQ386" s="69"/>
      <c r="CR386" s="69"/>
      <c r="CS386" s="69"/>
      <c r="CT386" s="69"/>
      <c r="CU386" s="69"/>
      <c r="CV386" s="69"/>
      <c r="CW386" s="69"/>
      <c r="CX386" s="69"/>
      <c r="CY386" s="69"/>
      <c r="CZ386" s="69"/>
      <c r="DA386" s="69"/>
      <c r="DB386" s="69"/>
      <c r="DC386" s="69"/>
      <c r="DD386" s="69"/>
      <c r="DE386" s="69"/>
      <c r="DF386" s="69"/>
      <c r="DG386" s="69"/>
      <c r="DH386" s="69"/>
      <c r="DI386" s="69"/>
      <c r="DJ386" s="69"/>
      <c r="DK386" s="69"/>
      <c r="DL386" s="69"/>
    </row>
    <row r="387" spans="1:116" ht="13" x14ac:dyDescent="0.3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202"/>
      <c r="V387" s="69"/>
      <c r="W387" s="69"/>
      <c r="X387" s="69"/>
      <c r="Y387" s="69"/>
      <c r="Z387" s="69"/>
      <c r="AA387" s="69"/>
      <c r="AB387" s="203"/>
      <c r="AC387" s="69"/>
      <c r="AD387" s="69"/>
      <c r="AE387" s="203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  <c r="BD387" s="69"/>
      <c r="BE387" s="69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9"/>
      <c r="BY387" s="69"/>
      <c r="BZ387" s="69"/>
      <c r="CA387" s="69"/>
      <c r="CB387" s="69"/>
      <c r="CC387" s="69"/>
      <c r="CD387" s="69"/>
      <c r="CE387" s="69"/>
      <c r="CF387" s="69"/>
      <c r="CG387" s="69"/>
      <c r="CH387" s="69"/>
      <c r="CI387" s="69"/>
      <c r="CJ387" s="69"/>
      <c r="CK387" s="69"/>
      <c r="CL387" s="69"/>
      <c r="CM387" s="69"/>
      <c r="CN387" s="69"/>
      <c r="CO387" s="69"/>
      <c r="CP387" s="69"/>
      <c r="CQ387" s="69"/>
      <c r="CR387" s="69"/>
      <c r="CS387" s="69"/>
      <c r="CT387" s="69"/>
      <c r="CU387" s="69"/>
      <c r="CV387" s="69"/>
      <c r="CW387" s="69"/>
      <c r="CX387" s="69"/>
      <c r="CY387" s="69"/>
      <c r="CZ387" s="69"/>
      <c r="DA387" s="69"/>
      <c r="DB387" s="69"/>
      <c r="DC387" s="69"/>
      <c r="DD387" s="69"/>
      <c r="DE387" s="69"/>
      <c r="DF387" s="69"/>
      <c r="DG387" s="69"/>
      <c r="DH387" s="69"/>
      <c r="DI387" s="69"/>
      <c r="DJ387" s="69"/>
      <c r="DK387" s="69"/>
      <c r="DL387" s="69"/>
    </row>
    <row r="388" spans="1:116" ht="13" x14ac:dyDescent="0.3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202"/>
      <c r="V388" s="69"/>
      <c r="W388" s="69"/>
      <c r="X388" s="69"/>
      <c r="Y388" s="69"/>
      <c r="Z388" s="69"/>
      <c r="AA388" s="69"/>
      <c r="AB388" s="203"/>
      <c r="AC388" s="69"/>
      <c r="AD388" s="69"/>
      <c r="AE388" s="203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  <c r="BC388" s="69"/>
      <c r="BD388" s="69"/>
      <c r="BE388" s="69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9"/>
      <c r="BY388" s="69"/>
      <c r="BZ388" s="69"/>
      <c r="CA388" s="69"/>
      <c r="CB388" s="69"/>
      <c r="CC388" s="69"/>
      <c r="CD388" s="69"/>
      <c r="CE388" s="69"/>
      <c r="CF388" s="69"/>
      <c r="CG388" s="69"/>
      <c r="CH388" s="69"/>
      <c r="CI388" s="69"/>
      <c r="CJ388" s="69"/>
      <c r="CK388" s="69"/>
      <c r="CL388" s="69"/>
      <c r="CM388" s="69"/>
      <c r="CN388" s="69"/>
      <c r="CO388" s="69"/>
      <c r="CP388" s="69"/>
      <c r="CQ388" s="69"/>
      <c r="CR388" s="69"/>
      <c r="CS388" s="69"/>
      <c r="CT388" s="69"/>
      <c r="CU388" s="69"/>
      <c r="CV388" s="69"/>
      <c r="CW388" s="69"/>
      <c r="CX388" s="69"/>
      <c r="CY388" s="69"/>
      <c r="CZ388" s="69"/>
      <c r="DA388" s="69"/>
      <c r="DB388" s="69"/>
      <c r="DC388" s="69"/>
      <c r="DD388" s="69"/>
      <c r="DE388" s="69"/>
      <c r="DF388" s="69"/>
      <c r="DG388" s="69"/>
      <c r="DH388" s="69"/>
      <c r="DI388" s="69"/>
      <c r="DJ388" s="69"/>
      <c r="DK388" s="69"/>
      <c r="DL388" s="69"/>
    </row>
    <row r="389" spans="1:116" ht="13" x14ac:dyDescent="0.3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202"/>
      <c r="V389" s="69"/>
      <c r="W389" s="69"/>
      <c r="X389" s="69"/>
      <c r="Y389" s="69"/>
      <c r="Z389" s="69"/>
      <c r="AA389" s="69"/>
      <c r="AB389" s="203"/>
      <c r="AC389" s="69"/>
      <c r="AD389" s="69"/>
      <c r="AE389" s="203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9"/>
      <c r="BY389" s="69"/>
      <c r="BZ389" s="69"/>
      <c r="CA389" s="69"/>
      <c r="CB389" s="69"/>
      <c r="CC389" s="69"/>
      <c r="CD389" s="69"/>
      <c r="CE389" s="69"/>
      <c r="CF389" s="69"/>
      <c r="CG389" s="69"/>
      <c r="CH389" s="69"/>
      <c r="CI389" s="69"/>
      <c r="CJ389" s="69"/>
      <c r="CK389" s="69"/>
      <c r="CL389" s="69"/>
      <c r="CM389" s="69"/>
      <c r="CN389" s="69"/>
      <c r="CO389" s="69"/>
      <c r="CP389" s="69"/>
      <c r="CQ389" s="69"/>
      <c r="CR389" s="69"/>
      <c r="CS389" s="69"/>
      <c r="CT389" s="69"/>
      <c r="CU389" s="69"/>
      <c r="CV389" s="69"/>
      <c r="CW389" s="69"/>
      <c r="CX389" s="69"/>
      <c r="CY389" s="69"/>
      <c r="CZ389" s="69"/>
      <c r="DA389" s="69"/>
      <c r="DB389" s="69"/>
      <c r="DC389" s="69"/>
      <c r="DD389" s="69"/>
      <c r="DE389" s="69"/>
      <c r="DF389" s="69"/>
      <c r="DG389" s="69"/>
      <c r="DH389" s="69"/>
      <c r="DI389" s="69"/>
      <c r="DJ389" s="69"/>
      <c r="DK389" s="69"/>
      <c r="DL389" s="69"/>
    </row>
    <row r="390" spans="1:116" ht="13" x14ac:dyDescent="0.3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202"/>
      <c r="V390" s="69"/>
      <c r="W390" s="69"/>
      <c r="X390" s="69"/>
      <c r="Y390" s="69"/>
      <c r="Z390" s="69"/>
      <c r="AA390" s="69"/>
      <c r="AB390" s="203"/>
      <c r="AC390" s="69"/>
      <c r="AD390" s="69"/>
      <c r="AE390" s="203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9"/>
      <c r="BY390" s="69"/>
      <c r="BZ390" s="69"/>
      <c r="CA390" s="69"/>
      <c r="CB390" s="69"/>
      <c r="CC390" s="69"/>
      <c r="CD390" s="69"/>
      <c r="CE390" s="69"/>
      <c r="CF390" s="69"/>
      <c r="CG390" s="69"/>
      <c r="CH390" s="69"/>
      <c r="CI390" s="69"/>
      <c r="CJ390" s="69"/>
      <c r="CK390" s="69"/>
      <c r="CL390" s="69"/>
      <c r="CM390" s="69"/>
      <c r="CN390" s="69"/>
      <c r="CO390" s="69"/>
      <c r="CP390" s="69"/>
      <c r="CQ390" s="69"/>
      <c r="CR390" s="69"/>
      <c r="CS390" s="69"/>
      <c r="CT390" s="69"/>
      <c r="CU390" s="69"/>
      <c r="CV390" s="69"/>
      <c r="CW390" s="69"/>
      <c r="CX390" s="69"/>
      <c r="CY390" s="69"/>
      <c r="CZ390" s="69"/>
      <c r="DA390" s="69"/>
      <c r="DB390" s="69"/>
      <c r="DC390" s="69"/>
      <c r="DD390" s="69"/>
      <c r="DE390" s="69"/>
      <c r="DF390" s="69"/>
      <c r="DG390" s="69"/>
      <c r="DH390" s="69"/>
      <c r="DI390" s="69"/>
      <c r="DJ390" s="69"/>
      <c r="DK390" s="69"/>
      <c r="DL390" s="69"/>
    </row>
    <row r="391" spans="1:116" ht="13" x14ac:dyDescent="0.3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202"/>
      <c r="V391" s="69"/>
      <c r="W391" s="69"/>
      <c r="X391" s="69"/>
      <c r="Y391" s="69"/>
      <c r="Z391" s="69"/>
      <c r="AA391" s="69"/>
      <c r="AB391" s="203"/>
      <c r="AC391" s="69"/>
      <c r="AD391" s="69"/>
      <c r="AE391" s="203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  <c r="BD391" s="69"/>
      <c r="BE391" s="69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9"/>
      <c r="BY391" s="69"/>
      <c r="BZ391" s="69"/>
      <c r="CA391" s="69"/>
      <c r="CB391" s="69"/>
      <c r="CC391" s="69"/>
      <c r="CD391" s="69"/>
      <c r="CE391" s="69"/>
      <c r="CF391" s="69"/>
      <c r="CG391" s="69"/>
      <c r="CH391" s="69"/>
      <c r="CI391" s="69"/>
      <c r="CJ391" s="69"/>
      <c r="CK391" s="69"/>
      <c r="CL391" s="69"/>
      <c r="CM391" s="69"/>
      <c r="CN391" s="69"/>
      <c r="CO391" s="69"/>
      <c r="CP391" s="69"/>
      <c r="CQ391" s="69"/>
      <c r="CR391" s="69"/>
      <c r="CS391" s="69"/>
      <c r="CT391" s="69"/>
      <c r="CU391" s="69"/>
      <c r="CV391" s="69"/>
      <c r="CW391" s="69"/>
      <c r="CX391" s="69"/>
      <c r="CY391" s="69"/>
      <c r="CZ391" s="69"/>
      <c r="DA391" s="69"/>
      <c r="DB391" s="69"/>
      <c r="DC391" s="69"/>
      <c r="DD391" s="69"/>
      <c r="DE391" s="69"/>
      <c r="DF391" s="69"/>
      <c r="DG391" s="69"/>
      <c r="DH391" s="69"/>
      <c r="DI391" s="69"/>
      <c r="DJ391" s="69"/>
      <c r="DK391" s="69"/>
      <c r="DL391" s="69"/>
    </row>
    <row r="392" spans="1:116" ht="13" x14ac:dyDescent="0.3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202"/>
      <c r="V392" s="69"/>
      <c r="W392" s="69"/>
      <c r="X392" s="69"/>
      <c r="Y392" s="69"/>
      <c r="Z392" s="69"/>
      <c r="AA392" s="69"/>
      <c r="AB392" s="203"/>
      <c r="AC392" s="69"/>
      <c r="AD392" s="69"/>
      <c r="AE392" s="203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9"/>
      <c r="BY392" s="69"/>
      <c r="BZ392" s="69"/>
      <c r="CA392" s="69"/>
      <c r="CB392" s="69"/>
      <c r="CC392" s="69"/>
      <c r="CD392" s="69"/>
      <c r="CE392" s="69"/>
      <c r="CF392" s="69"/>
      <c r="CG392" s="69"/>
      <c r="CH392" s="69"/>
      <c r="CI392" s="69"/>
      <c r="CJ392" s="69"/>
      <c r="CK392" s="69"/>
      <c r="CL392" s="69"/>
      <c r="CM392" s="69"/>
      <c r="CN392" s="69"/>
      <c r="CO392" s="69"/>
      <c r="CP392" s="69"/>
      <c r="CQ392" s="69"/>
      <c r="CR392" s="69"/>
      <c r="CS392" s="69"/>
      <c r="CT392" s="69"/>
      <c r="CU392" s="69"/>
      <c r="CV392" s="69"/>
      <c r="CW392" s="69"/>
      <c r="CX392" s="69"/>
      <c r="CY392" s="69"/>
      <c r="CZ392" s="69"/>
      <c r="DA392" s="69"/>
      <c r="DB392" s="69"/>
      <c r="DC392" s="69"/>
      <c r="DD392" s="69"/>
      <c r="DE392" s="69"/>
      <c r="DF392" s="69"/>
      <c r="DG392" s="69"/>
      <c r="DH392" s="69"/>
      <c r="DI392" s="69"/>
      <c r="DJ392" s="69"/>
      <c r="DK392" s="69"/>
      <c r="DL392" s="69"/>
    </row>
    <row r="393" spans="1:116" ht="13" x14ac:dyDescent="0.3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202"/>
      <c r="V393" s="69"/>
      <c r="W393" s="69"/>
      <c r="X393" s="69"/>
      <c r="Y393" s="69"/>
      <c r="Z393" s="69"/>
      <c r="AA393" s="69"/>
      <c r="AB393" s="203"/>
      <c r="AC393" s="69"/>
      <c r="AD393" s="69"/>
      <c r="AE393" s="203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  <c r="BC393" s="69"/>
      <c r="BD393" s="69"/>
      <c r="BE393" s="69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9"/>
      <c r="BY393" s="69"/>
      <c r="BZ393" s="69"/>
      <c r="CA393" s="69"/>
      <c r="CB393" s="69"/>
      <c r="CC393" s="69"/>
      <c r="CD393" s="69"/>
      <c r="CE393" s="69"/>
      <c r="CF393" s="69"/>
      <c r="CG393" s="69"/>
      <c r="CH393" s="69"/>
      <c r="CI393" s="69"/>
      <c r="CJ393" s="69"/>
      <c r="CK393" s="69"/>
      <c r="CL393" s="69"/>
      <c r="CM393" s="69"/>
      <c r="CN393" s="69"/>
      <c r="CO393" s="69"/>
      <c r="CP393" s="69"/>
      <c r="CQ393" s="69"/>
      <c r="CR393" s="69"/>
      <c r="CS393" s="69"/>
      <c r="CT393" s="69"/>
      <c r="CU393" s="69"/>
      <c r="CV393" s="69"/>
      <c r="CW393" s="69"/>
      <c r="CX393" s="69"/>
      <c r="CY393" s="69"/>
      <c r="CZ393" s="69"/>
      <c r="DA393" s="69"/>
      <c r="DB393" s="69"/>
      <c r="DC393" s="69"/>
      <c r="DD393" s="69"/>
      <c r="DE393" s="69"/>
      <c r="DF393" s="69"/>
      <c r="DG393" s="69"/>
      <c r="DH393" s="69"/>
      <c r="DI393" s="69"/>
      <c r="DJ393" s="69"/>
      <c r="DK393" s="69"/>
      <c r="DL393" s="69"/>
    </row>
    <row r="394" spans="1:116" ht="13" x14ac:dyDescent="0.3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202"/>
      <c r="V394" s="69"/>
      <c r="W394" s="69"/>
      <c r="X394" s="69"/>
      <c r="Y394" s="69"/>
      <c r="Z394" s="69"/>
      <c r="AA394" s="69"/>
      <c r="AB394" s="203"/>
      <c r="AC394" s="69"/>
      <c r="AD394" s="69"/>
      <c r="AE394" s="203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9"/>
      <c r="BY394" s="69"/>
      <c r="BZ394" s="69"/>
      <c r="CA394" s="69"/>
      <c r="CB394" s="69"/>
      <c r="CC394" s="69"/>
      <c r="CD394" s="69"/>
      <c r="CE394" s="69"/>
      <c r="CF394" s="69"/>
      <c r="CG394" s="69"/>
      <c r="CH394" s="69"/>
      <c r="CI394" s="69"/>
      <c r="CJ394" s="69"/>
      <c r="CK394" s="69"/>
      <c r="CL394" s="69"/>
      <c r="CM394" s="69"/>
      <c r="CN394" s="69"/>
      <c r="CO394" s="69"/>
      <c r="CP394" s="69"/>
      <c r="CQ394" s="69"/>
      <c r="CR394" s="69"/>
      <c r="CS394" s="69"/>
      <c r="CT394" s="69"/>
      <c r="CU394" s="69"/>
      <c r="CV394" s="69"/>
      <c r="CW394" s="69"/>
      <c r="CX394" s="69"/>
      <c r="CY394" s="69"/>
      <c r="CZ394" s="69"/>
      <c r="DA394" s="69"/>
      <c r="DB394" s="69"/>
      <c r="DC394" s="69"/>
      <c r="DD394" s="69"/>
      <c r="DE394" s="69"/>
      <c r="DF394" s="69"/>
      <c r="DG394" s="69"/>
      <c r="DH394" s="69"/>
      <c r="DI394" s="69"/>
      <c r="DJ394" s="69"/>
      <c r="DK394" s="69"/>
      <c r="DL394" s="69"/>
    </row>
    <row r="395" spans="1:116" ht="13" x14ac:dyDescent="0.3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202"/>
      <c r="V395" s="69"/>
      <c r="W395" s="69"/>
      <c r="X395" s="69"/>
      <c r="Y395" s="69"/>
      <c r="Z395" s="69"/>
      <c r="AA395" s="69"/>
      <c r="AB395" s="203"/>
      <c r="AC395" s="69"/>
      <c r="AD395" s="69"/>
      <c r="AE395" s="203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9"/>
      <c r="BN395" s="69"/>
      <c r="BO395" s="69"/>
      <c r="BP395" s="69"/>
      <c r="BQ395" s="69"/>
      <c r="BR395" s="69"/>
      <c r="BS395" s="69"/>
      <c r="BT395" s="69"/>
      <c r="BU395" s="69"/>
      <c r="BV395" s="69"/>
      <c r="BW395" s="69"/>
      <c r="BX395" s="69"/>
      <c r="BY395" s="69"/>
      <c r="BZ395" s="69"/>
      <c r="CA395" s="69"/>
      <c r="CB395" s="69"/>
      <c r="CC395" s="69"/>
      <c r="CD395" s="69"/>
      <c r="CE395" s="69"/>
      <c r="CF395" s="69"/>
      <c r="CG395" s="69"/>
      <c r="CH395" s="69"/>
      <c r="CI395" s="69"/>
      <c r="CJ395" s="69"/>
      <c r="CK395" s="69"/>
      <c r="CL395" s="69"/>
      <c r="CM395" s="69"/>
      <c r="CN395" s="69"/>
      <c r="CO395" s="69"/>
      <c r="CP395" s="69"/>
      <c r="CQ395" s="69"/>
      <c r="CR395" s="69"/>
      <c r="CS395" s="69"/>
      <c r="CT395" s="69"/>
      <c r="CU395" s="69"/>
      <c r="CV395" s="69"/>
      <c r="CW395" s="69"/>
      <c r="CX395" s="69"/>
      <c r="CY395" s="69"/>
      <c r="CZ395" s="69"/>
      <c r="DA395" s="69"/>
      <c r="DB395" s="69"/>
      <c r="DC395" s="69"/>
      <c r="DD395" s="69"/>
      <c r="DE395" s="69"/>
      <c r="DF395" s="69"/>
      <c r="DG395" s="69"/>
      <c r="DH395" s="69"/>
      <c r="DI395" s="69"/>
      <c r="DJ395" s="69"/>
      <c r="DK395" s="69"/>
      <c r="DL395" s="69"/>
    </row>
    <row r="396" spans="1:116" ht="13" x14ac:dyDescent="0.3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202"/>
      <c r="V396" s="69"/>
      <c r="W396" s="69"/>
      <c r="X396" s="69"/>
      <c r="Y396" s="69"/>
      <c r="Z396" s="69"/>
      <c r="AA396" s="69"/>
      <c r="AB396" s="203"/>
      <c r="AC396" s="69"/>
      <c r="AD396" s="69"/>
      <c r="AE396" s="203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9"/>
      <c r="BY396" s="69"/>
      <c r="BZ396" s="69"/>
      <c r="CA396" s="69"/>
      <c r="CB396" s="69"/>
      <c r="CC396" s="69"/>
      <c r="CD396" s="69"/>
      <c r="CE396" s="69"/>
      <c r="CF396" s="69"/>
      <c r="CG396" s="69"/>
      <c r="CH396" s="69"/>
      <c r="CI396" s="69"/>
      <c r="CJ396" s="69"/>
      <c r="CK396" s="69"/>
      <c r="CL396" s="69"/>
      <c r="CM396" s="69"/>
      <c r="CN396" s="69"/>
      <c r="CO396" s="69"/>
      <c r="CP396" s="69"/>
      <c r="CQ396" s="69"/>
      <c r="CR396" s="69"/>
      <c r="CS396" s="69"/>
      <c r="CT396" s="69"/>
      <c r="CU396" s="69"/>
      <c r="CV396" s="69"/>
      <c r="CW396" s="69"/>
      <c r="CX396" s="69"/>
      <c r="CY396" s="69"/>
      <c r="CZ396" s="69"/>
      <c r="DA396" s="69"/>
      <c r="DB396" s="69"/>
      <c r="DC396" s="69"/>
      <c r="DD396" s="69"/>
      <c r="DE396" s="69"/>
      <c r="DF396" s="69"/>
      <c r="DG396" s="69"/>
      <c r="DH396" s="69"/>
      <c r="DI396" s="69"/>
      <c r="DJ396" s="69"/>
      <c r="DK396" s="69"/>
      <c r="DL396" s="69"/>
    </row>
    <row r="397" spans="1:116" ht="13" x14ac:dyDescent="0.3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202"/>
      <c r="V397" s="69"/>
      <c r="W397" s="69"/>
      <c r="X397" s="69"/>
      <c r="Y397" s="69"/>
      <c r="Z397" s="69"/>
      <c r="AA397" s="69"/>
      <c r="AB397" s="203"/>
      <c r="AC397" s="69"/>
      <c r="AD397" s="69"/>
      <c r="AE397" s="203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  <c r="BC397" s="69"/>
      <c r="BD397" s="69"/>
      <c r="BE397" s="69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9"/>
      <c r="BY397" s="69"/>
      <c r="BZ397" s="69"/>
      <c r="CA397" s="69"/>
      <c r="CB397" s="69"/>
      <c r="CC397" s="69"/>
      <c r="CD397" s="69"/>
      <c r="CE397" s="69"/>
      <c r="CF397" s="69"/>
      <c r="CG397" s="69"/>
      <c r="CH397" s="69"/>
      <c r="CI397" s="69"/>
      <c r="CJ397" s="69"/>
      <c r="CK397" s="69"/>
      <c r="CL397" s="69"/>
      <c r="CM397" s="69"/>
      <c r="CN397" s="69"/>
      <c r="CO397" s="69"/>
      <c r="CP397" s="69"/>
      <c r="CQ397" s="69"/>
      <c r="CR397" s="69"/>
      <c r="CS397" s="69"/>
      <c r="CT397" s="69"/>
      <c r="CU397" s="69"/>
      <c r="CV397" s="69"/>
      <c r="CW397" s="69"/>
      <c r="CX397" s="69"/>
      <c r="CY397" s="69"/>
      <c r="CZ397" s="69"/>
      <c r="DA397" s="69"/>
      <c r="DB397" s="69"/>
      <c r="DC397" s="69"/>
      <c r="DD397" s="69"/>
      <c r="DE397" s="69"/>
      <c r="DF397" s="69"/>
      <c r="DG397" s="69"/>
      <c r="DH397" s="69"/>
      <c r="DI397" s="69"/>
      <c r="DJ397" s="69"/>
      <c r="DK397" s="69"/>
      <c r="DL397" s="69"/>
    </row>
    <row r="398" spans="1:116" ht="13" x14ac:dyDescent="0.3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202"/>
      <c r="V398" s="69"/>
      <c r="W398" s="69"/>
      <c r="X398" s="69"/>
      <c r="Y398" s="69"/>
      <c r="Z398" s="69"/>
      <c r="AA398" s="69"/>
      <c r="AB398" s="203"/>
      <c r="AC398" s="69"/>
      <c r="AD398" s="69"/>
      <c r="AE398" s="203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  <c r="BC398" s="69"/>
      <c r="BD398" s="69"/>
      <c r="BE398" s="69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9"/>
      <c r="BY398" s="69"/>
      <c r="BZ398" s="69"/>
      <c r="CA398" s="69"/>
      <c r="CB398" s="69"/>
      <c r="CC398" s="69"/>
      <c r="CD398" s="69"/>
      <c r="CE398" s="69"/>
      <c r="CF398" s="69"/>
      <c r="CG398" s="69"/>
      <c r="CH398" s="69"/>
      <c r="CI398" s="69"/>
      <c r="CJ398" s="69"/>
      <c r="CK398" s="69"/>
      <c r="CL398" s="69"/>
      <c r="CM398" s="69"/>
      <c r="CN398" s="69"/>
      <c r="CO398" s="69"/>
      <c r="CP398" s="69"/>
      <c r="CQ398" s="69"/>
      <c r="CR398" s="69"/>
      <c r="CS398" s="69"/>
      <c r="CT398" s="69"/>
      <c r="CU398" s="69"/>
      <c r="CV398" s="69"/>
      <c r="CW398" s="69"/>
      <c r="CX398" s="69"/>
      <c r="CY398" s="69"/>
      <c r="CZ398" s="69"/>
      <c r="DA398" s="69"/>
      <c r="DB398" s="69"/>
      <c r="DC398" s="69"/>
      <c r="DD398" s="69"/>
      <c r="DE398" s="69"/>
      <c r="DF398" s="69"/>
      <c r="DG398" s="69"/>
      <c r="DH398" s="69"/>
      <c r="DI398" s="69"/>
      <c r="DJ398" s="69"/>
      <c r="DK398" s="69"/>
      <c r="DL398" s="69"/>
    </row>
    <row r="399" spans="1:116" ht="13" x14ac:dyDescent="0.3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202"/>
      <c r="V399" s="69"/>
      <c r="W399" s="69"/>
      <c r="X399" s="69"/>
      <c r="Y399" s="69"/>
      <c r="Z399" s="69"/>
      <c r="AA399" s="69"/>
      <c r="AB399" s="203"/>
      <c r="AC399" s="69"/>
      <c r="AD399" s="69"/>
      <c r="AE399" s="203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9"/>
      <c r="BY399" s="69"/>
      <c r="BZ399" s="69"/>
      <c r="CA399" s="69"/>
      <c r="CB399" s="69"/>
      <c r="CC399" s="69"/>
      <c r="CD399" s="69"/>
      <c r="CE399" s="69"/>
      <c r="CF399" s="69"/>
      <c r="CG399" s="69"/>
      <c r="CH399" s="69"/>
      <c r="CI399" s="69"/>
      <c r="CJ399" s="69"/>
      <c r="CK399" s="69"/>
      <c r="CL399" s="69"/>
      <c r="CM399" s="69"/>
      <c r="CN399" s="69"/>
      <c r="CO399" s="69"/>
      <c r="CP399" s="69"/>
      <c r="CQ399" s="69"/>
      <c r="CR399" s="69"/>
      <c r="CS399" s="69"/>
      <c r="CT399" s="69"/>
      <c r="CU399" s="69"/>
      <c r="CV399" s="69"/>
      <c r="CW399" s="69"/>
      <c r="CX399" s="69"/>
      <c r="CY399" s="69"/>
      <c r="CZ399" s="69"/>
      <c r="DA399" s="69"/>
      <c r="DB399" s="69"/>
      <c r="DC399" s="69"/>
      <c r="DD399" s="69"/>
      <c r="DE399" s="69"/>
      <c r="DF399" s="69"/>
      <c r="DG399" s="69"/>
      <c r="DH399" s="69"/>
      <c r="DI399" s="69"/>
      <c r="DJ399" s="69"/>
      <c r="DK399" s="69"/>
      <c r="DL399" s="69"/>
    </row>
    <row r="400" spans="1:116" ht="13" x14ac:dyDescent="0.3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202"/>
      <c r="V400" s="69"/>
      <c r="W400" s="69"/>
      <c r="X400" s="69"/>
      <c r="Y400" s="69"/>
      <c r="Z400" s="69"/>
      <c r="AA400" s="69"/>
      <c r="AB400" s="203"/>
      <c r="AC400" s="69"/>
      <c r="AD400" s="69"/>
      <c r="AE400" s="203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  <c r="BC400" s="69"/>
      <c r="BD400" s="69"/>
      <c r="BE400" s="69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9"/>
      <c r="BY400" s="69"/>
      <c r="BZ400" s="69"/>
      <c r="CA400" s="69"/>
      <c r="CB400" s="69"/>
      <c r="CC400" s="69"/>
      <c r="CD400" s="69"/>
      <c r="CE400" s="69"/>
      <c r="CF400" s="69"/>
      <c r="CG400" s="69"/>
      <c r="CH400" s="69"/>
      <c r="CI400" s="69"/>
      <c r="CJ400" s="69"/>
      <c r="CK400" s="69"/>
      <c r="CL400" s="69"/>
      <c r="CM400" s="69"/>
      <c r="CN400" s="69"/>
      <c r="CO400" s="69"/>
      <c r="CP400" s="69"/>
      <c r="CQ400" s="69"/>
      <c r="CR400" s="69"/>
      <c r="CS400" s="69"/>
      <c r="CT400" s="69"/>
      <c r="CU400" s="69"/>
      <c r="CV400" s="69"/>
      <c r="CW400" s="69"/>
      <c r="CX400" s="69"/>
      <c r="CY400" s="69"/>
      <c r="CZ400" s="69"/>
      <c r="DA400" s="69"/>
      <c r="DB400" s="69"/>
      <c r="DC400" s="69"/>
      <c r="DD400" s="69"/>
      <c r="DE400" s="69"/>
      <c r="DF400" s="69"/>
      <c r="DG400" s="69"/>
      <c r="DH400" s="69"/>
      <c r="DI400" s="69"/>
      <c r="DJ400" s="69"/>
      <c r="DK400" s="69"/>
      <c r="DL400" s="69"/>
    </row>
    <row r="401" spans="1:116" ht="13" x14ac:dyDescent="0.3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202"/>
      <c r="V401" s="69"/>
      <c r="W401" s="69"/>
      <c r="X401" s="69"/>
      <c r="Y401" s="69"/>
      <c r="Z401" s="69"/>
      <c r="AA401" s="69"/>
      <c r="AB401" s="203"/>
      <c r="AC401" s="69"/>
      <c r="AD401" s="69"/>
      <c r="AE401" s="203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  <c r="BC401" s="69"/>
      <c r="BD401" s="69"/>
      <c r="BE401" s="69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9"/>
      <c r="BY401" s="69"/>
      <c r="BZ401" s="69"/>
      <c r="CA401" s="69"/>
      <c r="CB401" s="69"/>
      <c r="CC401" s="69"/>
      <c r="CD401" s="69"/>
      <c r="CE401" s="69"/>
      <c r="CF401" s="69"/>
      <c r="CG401" s="69"/>
      <c r="CH401" s="69"/>
      <c r="CI401" s="69"/>
      <c r="CJ401" s="69"/>
      <c r="CK401" s="69"/>
      <c r="CL401" s="69"/>
      <c r="CM401" s="69"/>
      <c r="CN401" s="69"/>
      <c r="CO401" s="69"/>
      <c r="CP401" s="69"/>
      <c r="CQ401" s="69"/>
      <c r="CR401" s="69"/>
      <c r="CS401" s="69"/>
      <c r="CT401" s="69"/>
      <c r="CU401" s="69"/>
      <c r="CV401" s="69"/>
      <c r="CW401" s="69"/>
      <c r="CX401" s="69"/>
      <c r="CY401" s="69"/>
      <c r="CZ401" s="69"/>
      <c r="DA401" s="69"/>
      <c r="DB401" s="69"/>
      <c r="DC401" s="69"/>
      <c r="DD401" s="69"/>
      <c r="DE401" s="69"/>
      <c r="DF401" s="69"/>
      <c r="DG401" s="69"/>
      <c r="DH401" s="69"/>
      <c r="DI401" s="69"/>
      <c r="DJ401" s="69"/>
      <c r="DK401" s="69"/>
      <c r="DL401" s="69"/>
    </row>
    <row r="402" spans="1:116" ht="13" x14ac:dyDescent="0.3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202"/>
      <c r="V402" s="69"/>
      <c r="W402" s="69"/>
      <c r="X402" s="69"/>
      <c r="Y402" s="69"/>
      <c r="Z402" s="69"/>
      <c r="AA402" s="69"/>
      <c r="AB402" s="203"/>
      <c r="AC402" s="69"/>
      <c r="AD402" s="69"/>
      <c r="AE402" s="203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  <c r="BC402" s="69"/>
      <c r="BD402" s="69"/>
      <c r="BE402" s="69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9"/>
      <c r="BY402" s="69"/>
      <c r="BZ402" s="69"/>
      <c r="CA402" s="69"/>
      <c r="CB402" s="69"/>
      <c r="CC402" s="69"/>
      <c r="CD402" s="69"/>
      <c r="CE402" s="69"/>
      <c r="CF402" s="69"/>
      <c r="CG402" s="69"/>
      <c r="CH402" s="69"/>
      <c r="CI402" s="69"/>
      <c r="CJ402" s="69"/>
      <c r="CK402" s="69"/>
      <c r="CL402" s="69"/>
      <c r="CM402" s="69"/>
      <c r="CN402" s="69"/>
      <c r="CO402" s="69"/>
      <c r="CP402" s="69"/>
      <c r="CQ402" s="69"/>
      <c r="CR402" s="69"/>
      <c r="CS402" s="69"/>
      <c r="CT402" s="69"/>
      <c r="CU402" s="69"/>
      <c r="CV402" s="69"/>
      <c r="CW402" s="69"/>
      <c r="CX402" s="69"/>
      <c r="CY402" s="69"/>
      <c r="CZ402" s="69"/>
      <c r="DA402" s="69"/>
      <c r="DB402" s="69"/>
      <c r="DC402" s="69"/>
      <c r="DD402" s="69"/>
      <c r="DE402" s="69"/>
      <c r="DF402" s="69"/>
      <c r="DG402" s="69"/>
      <c r="DH402" s="69"/>
      <c r="DI402" s="69"/>
      <c r="DJ402" s="69"/>
      <c r="DK402" s="69"/>
      <c r="DL402" s="69"/>
    </row>
    <row r="403" spans="1:116" ht="13" x14ac:dyDescent="0.3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202"/>
      <c r="V403" s="69"/>
      <c r="W403" s="69"/>
      <c r="X403" s="69"/>
      <c r="Y403" s="69"/>
      <c r="Z403" s="69"/>
      <c r="AA403" s="69"/>
      <c r="AB403" s="203"/>
      <c r="AC403" s="69"/>
      <c r="AD403" s="69"/>
      <c r="AE403" s="203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  <c r="BC403" s="69"/>
      <c r="BD403" s="69"/>
      <c r="BE403" s="69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9"/>
      <c r="BY403" s="69"/>
      <c r="BZ403" s="69"/>
      <c r="CA403" s="69"/>
      <c r="CB403" s="69"/>
      <c r="CC403" s="69"/>
      <c r="CD403" s="69"/>
      <c r="CE403" s="69"/>
      <c r="CF403" s="69"/>
      <c r="CG403" s="69"/>
      <c r="CH403" s="69"/>
      <c r="CI403" s="69"/>
      <c r="CJ403" s="69"/>
      <c r="CK403" s="69"/>
      <c r="CL403" s="69"/>
      <c r="CM403" s="69"/>
      <c r="CN403" s="69"/>
      <c r="CO403" s="69"/>
      <c r="CP403" s="69"/>
      <c r="CQ403" s="69"/>
      <c r="CR403" s="69"/>
      <c r="CS403" s="69"/>
      <c r="CT403" s="69"/>
      <c r="CU403" s="69"/>
      <c r="CV403" s="69"/>
      <c r="CW403" s="69"/>
      <c r="CX403" s="69"/>
      <c r="CY403" s="69"/>
      <c r="CZ403" s="69"/>
      <c r="DA403" s="69"/>
      <c r="DB403" s="69"/>
      <c r="DC403" s="69"/>
      <c r="DD403" s="69"/>
      <c r="DE403" s="69"/>
      <c r="DF403" s="69"/>
      <c r="DG403" s="69"/>
      <c r="DH403" s="69"/>
      <c r="DI403" s="69"/>
      <c r="DJ403" s="69"/>
      <c r="DK403" s="69"/>
      <c r="DL403" s="69"/>
    </row>
    <row r="404" spans="1:116" ht="13" x14ac:dyDescent="0.3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202"/>
      <c r="V404" s="69"/>
      <c r="W404" s="69"/>
      <c r="X404" s="69"/>
      <c r="Y404" s="69"/>
      <c r="Z404" s="69"/>
      <c r="AA404" s="69"/>
      <c r="AB404" s="203"/>
      <c r="AC404" s="69"/>
      <c r="AD404" s="69"/>
      <c r="AE404" s="203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  <c r="BC404" s="69"/>
      <c r="BD404" s="69"/>
      <c r="BE404" s="69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9"/>
      <c r="BY404" s="69"/>
      <c r="BZ404" s="69"/>
      <c r="CA404" s="69"/>
      <c r="CB404" s="69"/>
      <c r="CC404" s="69"/>
      <c r="CD404" s="69"/>
      <c r="CE404" s="69"/>
      <c r="CF404" s="69"/>
      <c r="CG404" s="69"/>
      <c r="CH404" s="69"/>
      <c r="CI404" s="69"/>
      <c r="CJ404" s="69"/>
      <c r="CK404" s="69"/>
      <c r="CL404" s="69"/>
      <c r="CM404" s="69"/>
      <c r="CN404" s="69"/>
      <c r="CO404" s="69"/>
      <c r="CP404" s="69"/>
      <c r="CQ404" s="69"/>
      <c r="CR404" s="69"/>
      <c r="CS404" s="69"/>
      <c r="CT404" s="69"/>
      <c r="CU404" s="69"/>
      <c r="CV404" s="69"/>
      <c r="CW404" s="69"/>
      <c r="CX404" s="69"/>
      <c r="CY404" s="69"/>
      <c r="CZ404" s="69"/>
      <c r="DA404" s="69"/>
      <c r="DB404" s="69"/>
      <c r="DC404" s="69"/>
      <c r="DD404" s="69"/>
      <c r="DE404" s="69"/>
      <c r="DF404" s="69"/>
      <c r="DG404" s="69"/>
      <c r="DH404" s="69"/>
      <c r="DI404" s="69"/>
      <c r="DJ404" s="69"/>
      <c r="DK404" s="69"/>
      <c r="DL404" s="69"/>
    </row>
    <row r="405" spans="1:116" ht="13" x14ac:dyDescent="0.3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202"/>
      <c r="V405" s="69"/>
      <c r="W405" s="69"/>
      <c r="X405" s="69"/>
      <c r="Y405" s="69"/>
      <c r="Z405" s="69"/>
      <c r="AA405" s="69"/>
      <c r="AB405" s="203"/>
      <c r="AC405" s="69"/>
      <c r="AD405" s="69"/>
      <c r="AE405" s="203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  <c r="BC405" s="69"/>
      <c r="BD405" s="69"/>
      <c r="BE405" s="69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9"/>
      <c r="BY405" s="69"/>
      <c r="BZ405" s="69"/>
      <c r="CA405" s="69"/>
      <c r="CB405" s="69"/>
      <c r="CC405" s="69"/>
      <c r="CD405" s="69"/>
      <c r="CE405" s="69"/>
      <c r="CF405" s="69"/>
      <c r="CG405" s="69"/>
      <c r="CH405" s="69"/>
      <c r="CI405" s="69"/>
      <c r="CJ405" s="69"/>
      <c r="CK405" s="69"/>
      <c r="CL405" s="69"/>
      <c r="CM405" s="69"/>
      <c r="CN405" s="69"/>
      <c r="CO405" s="69"/>
      <c r="CP405" s="69"/>
      <c r="CQ405" s="69"/>
      <c r="CR405" s="69"/>
      <c r="CS405" s="69"/>
      <c r="CT405" s="69"/>
      <c r="CU405" s="69"/>
      <c r="CV405" s="69"/>
      <c r="CW405" s="69"/>
      <c r="CX405" s="69"/>
      <c r="CY405" s="69"/>
      <c r="CZ405" s="69"/>
      <c r="DA405" s="69"/>
      <c r="DB405" s="69"/>
      <c r="DC405" s="69"/>
      <c r="DD405" s="69"/>
      <c r="DE405" s="69"/>
      <c r="DF405" s="69"/>
      <c r="DG405" s="69"/>
      <c r="DH405" s="69"/>
      <c r="DI405" s="69"/>
      <c r="DJ405" s="69"/>
      <c r="DK405" s="69"/>
      <c r="DL405" s="69"/>
    </row>
    <row r="406" spans="1:116" ht="13" x14ac:dyDescent="0.3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202"/>
      <c r="V406" s="69"/>
      <c r="W406" s="69"/>
      <c r="X406" s="69"/>
      <c r="Y406" s="69"/>
      <c r="Z406" s="69"/>
      <c r="AA406" s="69"/>
      <c r="AB406" s="203"/>
      <c r="AC406" s="69"/>
      <c r="AD406" s="69"/>
      <c r="AE406" s="203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  <c r="BC406" s="69"/>
      <c r="BD406" s="69"/>
      <c r="BE406" s="69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9"/>
      <c r="BY406" s="69"/>
      <c r="BZ406" s="69"/>
      <c r="CA406" s="69"/>
      <c r="CB406" s="69"/>
      <c r="CC406" s="69"/>
      <c r="CD406" s="69"/>
      <c r="CE406" s="69"/>
      <c r="CF406" s="69"/>
      <c r="CG406" s="69"/>
      <c r="CH406" s="69"/>
      <c r="CI406" s="69"/>
      <c r="CJ406" s="69"/>
      <c r="CK406" s="69"/>
      <c r="CL406" s="69"/>
      <c r="CM406" s="69"/>
      <c r="CN406" s="69"/>
      <c r="CO406" s="69"/>
      <c r="CP406" s="69"/>
      <c r="CQ406" s="69"/>
      <c r="CR406" s="69"/>
      <c r="CS406" s="69"/>
      <c r="CT406" s="69"/>
      <c r="CU406" s="69"/>
      <c r="CV406" s="69"/>
      <c r="CW406" s="69"/>
      <c r="CX406" s="69"/>
      <c r="CY406" s="69"/>
      <c r="CZ406" s="69"/>
      <c r="DA406" s="69"/>
      <c r="DB406" s="69"/>
      <c r="DC406" s="69"/>
      <c r="DD406" s="69"/>
      <c r="DE406" s="69"/>
      <c r="DF406" s="69"/>
      <c r="DG406" s="69"/>
      <c r="DH406" s="69"/>
      <c r="DI406" s="69"/>
      <c r="DJ406" s="69"/>
      <c r="DK406" s="69"/>
      <c r="DL406" s="69"/>
    </row>
    <row r="407" spans="1:116" ht="13" x14ac:dyDescent="0.3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202"/>
      <c r="V407" s="69"/>
      <c r="W407" s="69"/>
      <c r="X407" s="69"/>
      <c r="Y407" s="69"/>
      <c r="Z407" s="69"/>
      <c r="AA407" s="69"/>
      <c r="AB407" s="203"/>
      <c r="AC407" s="69"/>
      <c r="AD407" s="69"/>
      <c r="AE407" s="203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  <c r="BC407" s="69"/>
      <c r="BD407" s="69"/>
      <c r="BE407" s="69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9"/>
      <c r="BY407" s="69"/>
      <c r="BZ407" s="69"/>
      <c r="CA407" s="69"/>
      <c r="CB407" s="69"/>
      <c r="CC407" s="69"/>
      <c r="CD407" s="69"/>
      <c r="CE407" s="69"/>
      <c r="CF407" s="69"/>
      <c r="CG407" s="69"/>
      <c r="CH407" s="69"/>
      <c r="CI407" s="69"/>
      <c r="CJ407" s="69"/>
      <c r="CK407" s="69"/>
      <c r="CL407" s="69"/>
      <c r="CM407" s="69"/>
      <c r="CN407" s="69"/>
      <c r="CO407" s="69"/>
      <c r="CP407" s="69"/>
      <c r="CQ407" s="69"/>
      <c r="CR407" s="69"/>
      <c r="CS407" s="69"/>
      <c r="CT407" s="69"/>
      <c r="CU407" s="69"/>
      <c r="CV407" s="69"/>
      <c r="CW407" s="69"/>
      <c r="CX407" s="69"/>
      <c r="CY407" s="69"/>
      <c r="CZ407" s="69"/>
      <c r="DA407" s="69"/>
      <c r="DB407" s="69"/>
      <c r="DC407" s="69"/>
      <c r="DD407" s="69"/>
      <c r="DE407" s="69"/>
      <c r="DF407" s="69"/>
      <c r="DG407" s="69"/>
      <c r="DH407" s="69"/>
      <c r="DI407" s="69"/>
      <c r="DJ407" s="69"/>
      <c r="DK407" s="69"/>
      <c r="DL407" s="69"/>
    </row>
    <row r="408" spans="1:116" ht="13" x14ac:dyDescent="0.3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202"/>
      <c r="V408" s="69"/>
      <c r="W408" s="69"/>
      <c r="X408" s="69"/>
      <c r="Y408" s="69"/>
      <c r="Z408" s="69"/>
      <c r="AA408" s="69"/>
      <c r="AB408" s="203"/>
      <c r="AC408" s="69"/>
      <c r="AD408" s="69"/>
      <c r="AE408" s="203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  <c r="AW408" s="69"/>
      <c r="AX408" s="69"/>
      <c r="AY408" s="69"/>
      <c r="AZ408" s="69"/>
      <c r="BA408" s="69"/>
      <c r="BB408" s="69"/>
      <c r="BC408" s="69"/>
      <c r="BD408" s="69"/>
      <c r="BE408" s="69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9"/>
      <c r="BY408" s="69"/>
      <c r="BZ408" s="69"/>
      <c r="CA408" s="69"/>
      <c r="CB408" s="69"/>
      <c r="CC408" s="69"/>
      <c r="CD408" s="69"/>
      <c r="CE408" s="69"/>
      <c r="CF408" s="69"/>
      <c r="CG408" s="69"/>
      <c r="CH408" s="69"/>
      <c r="CI408" s="69"/>
      <c r="CJ408" s="69"/>
      <c r="CK408" s="69"/>
      <c r="CL408" s="69"/>
      <c r="CM408" s="69"/>
      <c r="CN408" s="69"/>
      <c r="CO408" s="69"/>
      <c r="CP408" s="69"/>
      <c r="CQ408" s="69"/>
      <c r="CR408" s="69"/>
      <c r="CS408" s="69"/>
      <c r="CT408" s="69"/>
      <c r="CU408" s="69"/>
      <c r="CV408" s="69"/>
      <c r="CW408" s="69"/>
      <c r="CX408" s="69"/>
      <c r="CY408" s="69"/>
      <c r="CZ408" s="69"/>
      <c r="DA408" s="69"/>
      <c r="DB408" s="69"/>
      <c r="DC408" s="69"/>
      <c r="DD408" s="69"/>
      <c r="DE408" s="69"/>
      <c r="DF408" s="69"/>
      <c r="DG408" s="69"/>
      <c r="DH408" s="69"/>
      <c r="DI408" s="69"/>
      <c r="DJ408" s="69"/>
      <c r="DK408" s="69"/>
      <c r="DL408" s="69"/>
    </row>
    <row r="409" spans="1:116" ht="13" x14ac:dyDescent="0.3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202"/>
      <c r="V409" s="69"/>
      <c r="W409" s="69"/>
      <c r="X409" s="69"/>
      <c r="Y409" s="69"/>
      <c r="Z409" s="69"/>
      <c r="AA409" s="69"/>
      <c r="AB409" s="203"/>
      <c r="AC409" s="69"/>
      <c r="AD409" s="69"/>
      <c r="AE409" s="203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  <c r="AW409" s="69"/>
      <c r="AX409" s="69"/>
      <c r="AY409" s="69"/>
      <c r="AZ409" s="69"/>
      <c r="BA409" s="69"/>
      <c r="BB409" s="69"/>
      <c r="BC409" s="69"/>
      <c r="BD409" s="69"/>
      <c r="BE409" s="69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9"/>
      <c r="BY409" s="69"/>
      <c r="BZ409" s="69"/>
      <c r="CA409" s="69"/>
      <c r="CB409" s="69"/>
      <c r="CC409" s="69"/>
      <c r="CD409" s="69"/>
      <c r="CE409" s="69"/>
      <c r="CF409" s="69"/>
      <c r="CG409" s="69"/>
      <c r="CH409" s="69"/>
      <c r="CI409" s="69"/>
      <c r="CJ409" s="69"/>
      <c r="CK409" s="69"/>
      <c r="CL409" s="69"/>
      <c r="CM409" s="69"/>
      <c r="CN409" s="69"/>
      <c r="CO409" s="69"/>
      <c r="CP409" s="69"/>
      <c r="CQ409" s="69"/>
      <c r="CR409" s="69"/>
      <c r="CS409" s="69"/>
      <c r="CT409" s="69"/>
      <c r="CU409" s="69"/>
      <c r="CV409" s="69"/>
      <c r="CW409" s="69"/>
      <c r="CX409" s="69"/>
      <c r="CY409" s="69"/>
      <c r="CZ409" s="69"/>
      <c r="DA409" s="69"/>
      <c r="DB409" s="69"/>
      <c r="DC409" s="69"/>
      <c r="DD409" s="69"/>
      <c r="DE409" s="69"/>
      <c r="DF409" s="69"/>
      <c r="DG409" s="69"/>
      <c r="DH409" s="69"/>
      <c r="DI409" s="69"/>
      <c r="DJ409" s="69"/>
      <c r="DK409" s="69"/>
      <c r="DL409" s="69"/>
    </row>
    <row r="410" spans="1:116" ht="13" x14ac:dyDescent="0.3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202"/>
      <c r="V410" s="69"/>
      <c r="W410" s="69"/>
      <c r="X410" s="69"/>
      <c r="Y410" s="69"/>
      <c r="Z410" s="69"/>
      <c r="AA410" s="69"/>
      <c r="AB410" s="203"/>
      <c r="AC410" s="69"/>
      <c r="AD410" s="69"/>
      <c r="AE410" s="203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  <c r="AW410" s="69"/>
      <c r="AX410" s="69"/>
      <c r="AY410" s="69"/>
      <c r="AZ410" s="69"/>
      <c r="BA410" s="69"/>
      <c r="BB410" s="69"/>
      <c r="BC410" s="69"/>
      <c r="BD410" s="69"/>
      <c r="BE410" s="69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9"/>
      <c r="BY410" s="69"/>
      <c r="BZ410" s="69"/>
      <c r="CA410" s="69"/>
      <c r="CB410" s="69"/>
      <c r="CC410" s="69"/>
      <c r="CD410" s="69"/>
      <c r="CE410" s="69"/>
      <c r="CF410" s="69"/>
      <c r="CG410" s="69"/>
      <c r="CH410" s="69"/>
      <c r="CI410" s="69"/>
      <c r="CJ410" s="69"/>
      <c r="CK410" s="69"/>
      <c r="CL410" s="69"/>
      <c r="CM410" s="69"/>
      <c r="CN410" s="69"/>
      <c r="CO410" s="69"/>
      <c r="CP410" s="69"/>
      <c r="CQ410" s="69"/>
      <c r="CR410" s="69"/>
      <c r="CS410" s="69"/>
      <c r="CT410" s="69"/>
      <c r="CU410" s="69"/>
      <c r="CV410" s="69"/>
      <c r="CW410" s="69"/>
      <c r="CX410" s="69"/>
      <c r="CY410" s="69"/>
      <c r="CZ410" s="69"/>
      <c r="DA410" s="69"/>
      <c r="DB410" s="69"/>
      <c r="DC410" s="69"/>
      <c r="DD410" s="69"/>
      <c r="DE410" s="69"/>
      <c r="DF410" s="69"/>
      <c r="DG410" s="69"/>
      <c r="DH410" s="69"/>
      <c r="DI410" s="69"/>
      <c r="DJ410" s="69"/>
      <c r="DK410" s="69"/>
      <c r="DL410" s="69"/>
    </row>
    <row r="411" spans="1:116" ht="13" x14ac:dyDescent="0.3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202"/>
      <c r="V411" s="69"/>
      <c r="W411" s="69"/>
      <c r="X411" s="69"/>
      <c r="Y411" s="69"/>
      <c r="Z411" s="69"/>
      <c r="AA411" s="69"/>
      <c r="AB411" s="203"/>
      <c r="AC411" s="69"/>
      <c r="AD411" s="69"/>
      <c r="AE411" s="203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  <c r="AW411" s="69"/>
      <c r="AX411" s="69"/>
      <c r="AY411" s="69"/>
      <c r="AZ411" s="69"/>
      <c r="BA411" s="69"/>
      <c r="BB411" s="69"/>
      <c r="BC411" s="69"/>
      <c r="BD411" s="69"/>
      <c r="BE411" s="69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9"/>
      <c r="BY411" s="69"/>
      <c r="BZ411" s="69"/>
      <c r="CA411" s="69"/>
      <c r="CB411" s="69"/>
      <c r="CC411" s="69"/>
      <c r="CD411" s="69"/>
      <c r="CE411" s="69"/>
      <c r="CF411" s="69"/>
      <c r="CG411" s="69"/>
      <c r="CH411" s="69"/>
      <c r="CI411" s="69"/>
      <c r="CJ411" s="69"/>
      <c r="CK411" s="69"/>
      <c r="CL411" s="69"/>
      <c r="CM411" s="69"/>
      <c r="CN411" s="69"/>
      <c r="CO411" s="69"/>
      <c r="CP411" s="69"/>
      <c r="CQ411" s="69"/>
      <c r="CR411" s="69"/>
      <c r="CS411" s="69"/>
      <c r="CT411" s="69"/>
      <c r="CU411" s="69"/>
      <c r="CV411" s="69"/>
      <c r="CW411" s="69"/>
      <c r="CX411" s="69"/>
      <c r="CY411" s="69"/>
      <c r="CZ411" s="69"/>
      <c r="DA411" s="69"/>
      <c r="DB411" s="69"/>
      <c r="DC411" s="69"/>
      <c r="DD411" s="69"/>
      <c r="DE411" s="69"/>
      <c r="DF411" s="69"/>
      <c r="DG411" s="69"/>
      <c r="DH411" s="69"/>
      <c r="DI411" s="69"/>
      <c r="DJ411" s="69"/>
      <c r="DK411" s="69"/>
      <c r="DL411" s="69"/>
    </row>
    <row r="412" spans="1:116" ht="13" x14ac:dyDescent="0.3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202"/>
      <c r="V412" s="69"/>
      <c r="W412" s="69"/>
      <c r="X412" s="69"/>
      <c r="Y412" s="69"/>
      <c r="Z412" s="69"/>
      <c r="AA412" s="69"/>
      <c r="AB412" s="203"/>
      <c r="AC412" s="69"/>
      <c r="AD412" s="69"/>
      <c r="AE412" s="203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  <c r="AW412" s="69"/>
      <c r="AX412" s="69"/>
      <c r="AY412" s="69"/>
      <c r="AZ412" s="69"/>
      <c r="BA412" s="69"/>
      <c r="BB412" s="69"/>
      <c r="BC412" s="69"/>
      <c r="BD412" s="69"/>
      <c r="BE412" s="69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9"/>
      <c r="BY412" s="69"/>
      <c r="BZ412" s="69"/>
      <c r="CA412" s="69"/>
      <c r="CB412" s="69"/>
      <c r="CC412" s="69"/>
      <c r="CD412" s="69"/>
      <c r="CE412" s="69"/>
      <c r="CF412" s="69"/>
      <c r="CG412" s="69"/>
      <c r="CH412" s="69"/>
      <c r="CI412" s="69"/>
      <c r="CJ412" s="69"/>
      <c r="CK412" s="69"/>
      <c r="CL412" s="69"/>
      <c r="CM412" s="69"/>
      <c r="CN412" s="69"/>
      <c r="CO412" s="69"/>
      <c r="CP412" s="69"/>
      <c r="CQ412" s="69"/>
      <c r="CR412" s="69"/>
      <c r="CS412" s="69"/>
      <c r="CT412" s="69"/>
      <c r="CU412" s="69"/>
      <c r="CV412" s="69"/>
      <c r="CW412" s="69"/>
      <c r="CX412" s="69"/>
      <c r="CY412" s="69"/>
      <c r="CZ412" s="69"/>
      <c r="DA412" s="69"/>
      <c r="DB412" s="69"/>
      <c r="DC412" s="69"/>
      <c r="DD412" s="69"/>
      <c r="DE412" s="69"/>
      <c r="DF412" s="69"/>
      <c r="DG412" s="69"/>
      <c r="DH412" s="69"/>
      <c r="DI412" s="69"/>
      <c r="DJ412" s="69"/>
      <c r="DK412" s="69"/>
      <c r="DL412" s="69"/>
    </row>
    <row r="413" spans="1:116" ht="13" x14ac:dyDescent="0.3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202"/>
      <c r="V413" s="69"/>
      <c r="W413" s="69"/>
      <c r="X413" s="69"/>
      <c r="Y413" s="69"/>
      <c r="Z413" s="69"/>
      <c r="AA413" s="69"/>
      <c r="AB413" s="203"/>
      <c r="AC413" s="69"/>
      <c r="AD413" s="69"/>
      <c r="AE413" s="203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  <c r="AW413" s="69"/>
      <c r="AX413" s="69"/>
      <c r="AY413" s="69"/>
      <c r="AZ413" s="69"/>
      <c r="BA413" s="69"/>
      <c r="BB413" s="69"/>
      <c r="BC413" s="69"/>
      <c r="BD413" s="69"/>
      <c r="BE413" s="69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9"/>
      <c r="BY413" s="69"/>
      <c r="BZ413" s="69"/>
      <c r="CA413" s="69"/>
      <c r="CB413" s="69"/>
      <c r="CC413" s="69"/>
      <c r="CD413" s="69"/>
      <c r="CE413" s="69"/>
      <c r="CF413" s="69"/>
      <c r="CG413" s="69"/>
      <c r="CH413" s="69"/>
      <c r="CI413" s="69"/>
      <c r="CJ413" s="69"/>
      <c r="CK413" s="69"/>
      <c r="CL413" s="69"/>
      <c r="CM413" s="69"/>
      <c r="CN413" s="69"/>
      <c r="CO413" s="69"/>
      <c r="CP413" s="69"/>
      <c r="CQ413" s="69"/>
      <c r="CR413" s="69"/>
      <c r="CS413" s="69"/>
      <c r="CT413" s="69"/>
      <c r="CU413" s="69"/>
      <c r="CV413" s="69"/>
      <c r="CW413" s="69"/>
      <c r="CX413" s="69"/>
      <c r="CY413" s="69"/>
      <c r="CZ413" s="69"/>
      <c r="DA413" s="69"/>
      <c r="DB413" s="69"/>
      <c r="DC413" s="69"/>
      <c r="DD413" s="69"/>
      <c r="DE413" s="69"/>
      <c r="DF413" s="69"/>
      <c r="DG413" s="69"/>
      <c r="DH413" s="69"/>
      <c r="DI413" s="69"/>
      <c r="DJ413" s="69"/>
      <c r="DK413" s="69"/>
      <c r="DL413" s="69"/>
    </row>
    <row r="414" spans="1:116" ht="13" x14ac:dyDescent="0.3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202"/>
      <c r="V414" s="69"/>
      <c r="W414" s="69"/>
      <c r="X414" s="69"/>
      <c r="Y414" s="69"/>
      <c r="Z414" s="69"/>
      <c r="AA414" s="69"/>
      <c r="AB414" s="203"/>
      <c r="AC414" s="69"/>
      <c r="AD414" s="69"/>
      <c r="AE414" s="203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  <c r="AW414" s="69"/>
      <c r="AX414" s="69"/>
      <c r="AY414" s="69"/>
      <c r="AZ414" s="69"/>
      <c r="BA414" s="69"/>
      <c r="BB414" s="69"/>
      <c r="BC414" s="69"/>
      <c r="BD414" s="69"/>
      <c r="BE414" s="69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9"/>
      <c r="BY414" s="69"/>
      <c r="BZ414" s="69"/>
      <c r="CA414" s="69"/>
      <c r="CB414" s="69"/>
      <c r="CC414" s="69"/>
      <c r="CD414" s="69"/>
      <c r="CE414" s="69"/>
      <c r="CF414" s="69"/>
      <c r="CG414" s="69"/>
      <c r="CH414" s="69"/>
      <c r="CI414" s="69"/>
      <c r="CJ414" s="69"/>
      <c r="CK414" s="69"/>
      <c r="CL414" s="69"/>
      <c r="CM414" s="69"/>
      <c r="CN414" s="69"/>
      <c r="CO414" s="69"/>
      <c r="CP414" s="69"/>
      <c r="CQ414" s="69"/>
      <c r="CR414" s="69"/>
      <c r="CS414" s="69"/>
      <c r="CT414" s="69"/>
      <c r="CU414" s="69"/>
      <c r="CV414" s="69"/>
      <c r="CW414" s="69"/>
      <c r="CX414" s="69"/>
      <c r="CY414" s="69"/>
      <c r="CZ414" s="69"/>
      <c r="DA414" s="69"/>
      <c r="DB414" s="69"/>
      <c r="DC414" s="69"/>
      <c r="DD414" s="69"/>
      <c r="DE414" s="69"/>
      <c r="DF414" s="69"/>
      <c r="DG414" s="69"/>
      <c r="DH414" s="69"/>
      <c r="DI414" s="69"/>
      <c r="DJ414" s="69"/>
      <c r="DK414" s="69"/>
      <c r="DL414" s="69"/>
    </row>
    <row r="415" spans="1:116" ht="13" x14ac:dyDescent="0.3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202"/>
      <c r="V415" s="69"/>
      <c r="W415" s="69"/>
      <c r="X415" s="69"/>
      <c r="Y415" s="69"/>
      <c r="Z415" s="69"/>
      <c r="AA415" s="69"/>
      <c r="AB415" s="203"/>
      <c r="AC415" s="69"/>
      <c r="AD415" s="69"/>
      <c r="AE415" s="203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  <c r="BD415" s="69"/>
      <c r="BE415" s="69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9"/>
      <c r="BY415" s="69"/>
      <c r="BZ415" s="69"/>
      <c r="CA415" s="69"/>
      <c r="CB415" s="69"/>
      <c r="CC415" s="69"/>
      <c r="CD415" s="69"/>
      <c r="CE415" s="69"/>
      <c r="CF415" s="69"/>
      <c r="CG415" s="69"/>
      <c r="CH415" s="69"/>
      <c r="CI415" s="69"/>
      <c r="CJ415" s="69"/>
      <c r="CK415" s="69"/>
      <c r="CL415" s="69"/>
      <c r="CM415" s="69"/>
      <c r="CN415" s="69"/>
      <c r="CO415" s="69"/>
      <c r="CP415" s="69"/>
      <c r="CQ415" s="69"/>
      <c r="CR415" s="69"/>
      <c r="CS415" s="69"/>
      <c r="CT415" s="69"/>
      <c r="CU415" s="69"/>
      <c r="CV415" s="69"/>
      <c r="CW415" s="69"/>
      <c r="CX415" s="69"/>
      <c r="CY415" s="69"/>
      <c r="CZ415" s="69"/>
      <c r="DA415" s="69"/>
      <c r="DB415" s="69"/>
      <c r="DC415" s="69"/>
      <c r="DD415" s="69"/>
      <c r="DE415" s="69"/>
      <c r="DF415" s="69"/>
      <c r="DG415" s="69"/>
      <c r="DH415" s="69"/>
      <c r="DI415" s="69"/>
      <c r="DJ415" s="69"/>
      <c r="DK415" s="69"/>
      <c r="DL415" s="69"/>
    </row>
    <row r="416" spans="1:116" ht="13" x14ac:dyDescent="0.3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202"/>
      <c r="V416" s="69"/>
      <c r="W416" s="69"/>
      <c r="X416" s="69"/>
      <c r="Y416" s="69"/>
      <c r="Z416" s="69"/>
      <c r="AA416" s="69"/>
      <c r="AB416" s="203"/>
      <c r="AC416" s="69"/>
      <c r="AD416" s="69"/>
      <c r="AE416" s="203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  <c r="AW416" s="69"/>
      <c r="AX416" s="69"/>
      <c r="AY416" s="69"/>
      <c r="AZ416" s="69"/>
      <c r="BA416" s="69"/>
      <c r="BB416" s="69"/>
      <c r="BC416" s="69"/>
      <c r="BD416" s="69"/>
      <c r="BE416" s="69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9"/>
      <c r="BY416" s="69"/>
      <c r="BZ416" s="69"/>
      <c r="CA416" s="69"/>
      <c r="CB416" s="69"/>
      <c r="CC416" s="69"/>
      <c r="CD416" s="69"/>
      <c r="CE416" s="69"/>
      <c r="CF416" s="69"/>
      <c r="CG416" s="69"/>
      <c r="CH416" s="69"/>
      <c r="CI416" s="69"/>
      <c r="CJ416" s="69"/>
      <c r="CK416" s="69"/>
      <c r="CL416" s="69"/>
      <c r="CM416" s="69"/>
      <c r="CN416" s="69"/>
      <c r="CO416" s="69"/>
      <c r="CP416" s="69"/>
      <c r="CQ416" s="69"/>
      <c r="CR416" s="69"/>
      <c r="CS416" s="69"/>
      <c r="CT416" s="69"/>
      <c r="CU416" s="69"/>
      <c r="CV416" s="69"/>
      <c r="CW416" s="69"/>
      <c r="CX416" s="69"/>
      <c r="CY416" s="69"/>
      <c r="CZ416" s="69"/>
      <c r="DA416" s="69"/>
      <c r="DB416" s="69"/>
      <c r="DC416" s="69"/>
      <c r="DD416" s="69"/>
      <c r="DE416" s="69"/>
      <c r="DF416" s="69"/>
      <c r="DG416" s="69"/>
      <c r="DH416" s="69"/>
      <c r="DI416" s="69"/>
      <c r="DJ416" s="69"/>
      <c r="DK416" s="69"/>
      <c r="DL416" s="69"/>
    </row>
    <row r="417" spans="1:116" ht="13" x14ac:dyDescent="0.3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202"/>
      <c r="V417" s="69"/>
      <c r="W417" s="69"/>
      <c r="X417" s="69"/>
      <c r="Y417" s="69"/>
      <c r="Z417" s="69"/>
      <c r="AA417" s="69"/>
      <c r="AB417" s="203"/>
      <c r="AC417" s="69"/>
      <c r="AD417" s="69"/>
      <c r="AE417" s="203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  <c r="AW417" s="69"/>
      <c r="AX417" s="69"/>
      <c r="AY417" s="69"/>
      <c r="AZ417" s="69"/>
      <c r="BA417" s="69"/>
      <c r="BB417" s="69"/>
      <c r="BC417" s="69"/>
      <c r="BD417" s="69"/>
      <c r="BE417" s="69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9"/>
      <c r="BY417" s="69"/>
      <c r="BZ417" s="69"/>
      <c r="CA417" s="69"/>
      <c r="CB417" s="69"/>
      <c r="CC417" s="69"/>
      <c r="CD417" s="69"/>
      <c r="CE417" s="69"/>
      <c r="CF417" s="69"/>
      <c r="CG417" s="69"/>
      <c r="CH417" s="69"/>
      <c r="CI417" s="69"/>
      <c r="CJ417" s="69"/>
      <c r="CK417" s="69"/>
      <c r="CL417" s="69"/>
      <c r="CM417" s="69"/>
      <c r="CN417" s="69"/>
      <c r="CO417" s="69"/>
      <c r="CP417" s="69"/>
      <c r="CQ417" s="69"/>
      <c r="CR417" s="69"/>
      <c r="CS417" s="69"/>
      <c r="CT417" s="69"/>
      <c r="CU417" s="69"/>
      <c r="CV417" s="69"/>
      <c r="CW417" s="69"/>
      <c r="CX417" s="69"/>
      <c r="CY417" s="69"/>
      <c r="CZ417" s="69"/>
      <c r="DA417" s="69"/>
      <c r="DB417" s="69"/>
      <c r="DC417" s="69"/>
      <c r="DD417" s="69"/>
      <c r="DE417" s="69"/>
      <c r="DF417" s="69"/>
      <c r="DG417" s="69"/>
      <c r="DH417" s="69"/>
      <c r="DI417" s="69"/>
      <c r="DJ417" s="69"/>
      <c r="DK417" s="69"/>
      <c r="DL417" s="69"/>
    </row>
    <row r="418" spans="1:116" ht="13" x14ac:dyDescent="0.3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202"/>
      <c r="V418" s="69"/>
      <c r="W418" s="69"/>
      <c r="X418" s="69"/>
      <c r="Y418" s="69"/>
      <c r="Z418" s="69"/>
      <c r="AA418" s="69"/>
      <c r="AB418" s="203"/>
      <c r="AC418" s="69"/>
      <c r="AD418" s="69"/>
      <c r="AE418" s="203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  <c r="AW418" s="69"/>
      <c r="AX418" s="69"/>
      <c r="AY418" s="69"/>
      <c r="AZ418" s="69"/>
      <c r="BA418" s="69"/>
      <c r="BB418" s="69"/>
      <c r="BC418" s="69"/>
      <c r="BD418" s="69"/>
      <c r="BE418" s="69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9"/>
      <c r="BY418" s="69"/>
      <c r="BZ418" s="69"/>
      <c r="CA418" s="69"/>
      <c r="CB418" s="69"/>
      <c r="CC418" s="69"/>
      <c r="CD418" s="69"/>
      <c r="CE418" s="69"/>
      <c r="CF418" s="69"/>
      <c r="CG418" s="69"/>
      <c r="CH418" s="69"/>
      <c r="CI418" s="69"/>
      <c r="CJ418" s="69"/>
      <c r="CK418" s="69"/>
      <c r="CL418" s="69"/>
      <c r="CM418" s="69"/>
      <c r="CN418" s="69"/>
      <c r="CO418" s="69"/>
      <c r="CP418" s="69"/>
      <c r="CQ418" s="69"/>
      <c r="CR418" s="69"/>
      <c r="CS418" s="69"/>
      <c r="CT418" s="69"/>
      <c r="CU418" s="69"/>
      <c r="CV418" s="69"/>
      <c r="CW418" s="69"/>
      <c r="CX418" s="69"/>
      <c r="CY418" s="69"/>
      <c r="CZ418" s="69"/>
      <c r="DA418" s="69"/>
      <c r="DB418" s="69"/>
      <c r="DC418" s="69"/>
      <c r="DD418" s="69"/>
      <c r="DE418" s="69"/>
      <c r="DF418" s="69"/>
      <c r="DG418" s="69"/>
      <c r="DH418" s="69"/>
      <c r="DI418" s="69"/>
      <c r="DJ418" s="69"/>
      <c r="DK418" s="69"/>
      <c r="DL418" s="69"/>
    </row>
    <row r="419" spans="1:116" ht="13" x14ac:dyDescent="0.3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202"/>
      <c r="V419" s="69"/>
      <c r="W419" s="69"/>
      <c r="X419" s="69"/>
      <c r="Y419" s="69"/>
      <c r="Z419" s="69"/>
      <c r="AA419" s="69"/>
      <c r="AB419" s="203"/>
      <c r="AC419" s="69"/>
      <c r="AD419" s="69"/>
      <c r="AE419" s="203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  <c r="AW419" s="69"/>
      <c r="AX419" s="69"/>
      <c r="AY419" s="69"/>
      <c r="AZ419" s="69"/>
      <c r="BA419" s="69"/>
      <c r="BB419" s="69"/>
      <c r="BC419" s="69"/>
      <c r="BD419" s="69"/>
      <c r="BE419" s="69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9"/>
      <c r="BY419" s="69"/>
      <c r="BZ419" s="69"/>
      <c r="CA419" s="69"/>
      <c r="CB419" s="69"/>
      <c r="CC419" s="69"/>
      <c r="CD419" s="69"/>
      <c r="CE419" s="69"/>
      <c r="CF419" s="69"/>
      <c r="CG419" s="69"/>
      <c r="CH419" s="69"/>
      <c r="CI419" s="69"/>
      <c r="CJ419" s="69"/>
      <c r="CK419" s="69"/>
      <c r="CL419" s="69"/>
      <c r="CM419" s="69"/>
      <c r="CN419" s="69"/>
      <c r="CO419" s="69"/>
      <c r="CP419" s="69"/>
      <c r="CQ419" s="69"/>
      <c r="CR419" s="69"/>
      <c r="CS419" s="69"/>
      <c r="CT419" s="69"/>
      <c r="CU419" s="69"/>
      <c r="CV419" s="69"/>
      <c r="CW419" s="69"/>
      <c r="CX419" s="69"/>
      <c r="CY419" s="69"/>
      <c r="CZ419" s="69"/>
      <c r="DA419" s="69"/>
      <c r="DB419" s="69"/>
      <c r="DC419" s="69"/>
      <c r="DD419" s="69"/>
      <c r="DE419" s="69"/>
      <c r="DF419" s="69"/>
      <c r="DG419" s="69"/>
      <c r="DH419" s="69"/>
      <c r="DI419" s="69"/>
      <c r="DJ419" s="69"/>
      <c r="DK419" s="69"/>
      <c r="DL419" s="69"/>
    </row>
    <row r="420" spans="1:116" ht="13" x14ac:dyDescent="0.3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202"/>
      <c r="V420" s="69"/>
      <c r="W420" s="69"/>
      <c r="X420" s="69"/>
      <c r="Y420" s="69"/>
      <c r="Z420" s="69"/>
      <c r="AA420" s="69"/>
      <c r="AB420" s="203"/>
      <c r="AC420" s="69"/>
      <c r="AD420" s="69"/>
      <c r="AE420" s="203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  <c r="AW420" s="69"/>
      <c r="AX420" s="69"/>
      <c r="AY420" s="69"/>
      <c r="AZ420" s="69"/>
      <c r="BA420" s="69"/>
      <c r="BB420" s="69"/>
      <c r="BC420" s="69"/>
      <c r="BD420" s="69"/>
      <c r="BE420" s="69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9"/>
      <c r="BY420" s="69"/>
      <c r="BZ420" s="69"/>
      <c r="CA420" s="69"/>
      <c r="CB420" s="69"/>
      <c r="CC420" s="69"/>
      <c r="CD420" s="69"/>
      <c r="CE420" s="69"/>
      <c r="CF420" s="69"/>
      <c r="CG420" s="69"/>
      <c r="CH420" s="69"/>
      <c r="CI420" s="69"/>
      <c r="CJ420" s="69"/>
      <c r="CK420" s="69"/>
      <c r="CL420" s="69"/>
      <c r="CM420" s="69"/>
      <c r="CN420" s="69"/>
      <c r="CO420" s="69"/>
      <c r="CP420" s="69"/>
      <c r="CQ420" s="69"/>
      <c r="CR420" s="69"/>
      <c r="CS420" s="69"/>
      <c r="CT420" s="69"/>
      <c r="CU420" s="69"/>
      <c r="CV420" s="69"/>
      <c r="CW420" s="69"/>
      <c r="CX420" s="69"/>
      <c r="CY420" s="69"/>
      <c r="CZ420" s="69"/>
      <c r="DA420" s="69"/>
      <c r="DB420" s="69"/>
      <c r="DC420" s="69"/>
      <c r="DD420" s="69"/>
      <c r="DE420" s="69"/>
      <c r="DF420" s="69"/>
      <c r="DG420" s="69"/>
      <c r="DH420" s="69"/>
      <c r="DI420" s="69"/>
      <c r="DJ420" s="69"/>
      <c r="DK420" s="69"/>
      <c r="DL420" s="69"/>
    </row>
    <row r="421" spans="1:116" ht="13" x14ac:dyDescent="0.3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202"/>
      <c r="V421" s="69"/>
      <c r="W421" s="69"/>
      <c r="X421" s="69"/>
      <c r="Y421" s="69"/>
      <c r="Z421" s="69"/>
      <c r="AA421" s="69"/>
      <c r="AB421" s="203"/>
      <c r="AC421" s="69"/>
      <c r="AD421" s="69"/>
      <c r="AE421" s="203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  <c r="AW421" s="69"/>
      <c r="AX421" s="69"/>
      <c r="AY421" s="69"/>
      <c r="AZ421" s="69"/>
      <c r="BA421" s="69"/>
      <c r="BB421" s="69"/>
      <c r="BC421" s="69"/>
      <c r="BD421" s="69"/>
      <c r="BE421" s="69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9"/>
      <c r="BY421" s="69"/>
      <c r="BZ421" s="69"/>
      <c r="CA421" s="69"/>
      <c r="CB421" s="69"/>
      <c r="CC421" s="69"/>
      <c r="CD421" s="69"/>
      <c r="CE421" s="69"/>
      <c r="CF421" s="69"/>
      <c r="CG421" s="69"/>
      <c r="CH421" s="69"/>
      <c r="CI421" s="69"/>
      <c r="CJ421" s="69"/>
      <c r="CK421" s="69"/>
      <c r="CL421" s="69"/>
      <c r="CM421" s="69"/>
      <c r="CN421" s="69"/>
      <c r="CO421" s="69"/>
      <c r="CP421" s="69"/>
      <c r="CQ421" s="69"/>
      <c r="CR421" s="69"/>
      <c r="CS421" s="69"/>
      <c r="CT421" s="69"/>
      <c r="CU421" s="69"/>
      <c r="CV421" s="69"/>
      <c r="CW421" s="69"/>
      <c r="CX421" s="69"/>
      <c r="CY421" s="69"/>
      <c r="CZ421" s="69"/>
      <c r="DA421" s="69"/>
      <c r="DB421" s="69"/>
      <c r="DC421" s="69"/>
      <c r="DD421" s="69"/>
      <c r="DE421" s="69"/>
      <c r="DF421" s="69"/>
      <c r="DG421" s="69"/>
      <c r="DH421" s="69"/>
      <c r="DI421" s="69"/>
      <c r="DJ421" s="69"/>
      <c r="DK421" s="69"/>
      <c r="DL421" s="69"/>
    </row>
    <row r="422" spans="1:116" ht="13" x14ac:dyDescent="0.3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202"/>
      <c r="V422" s="69"/>
      <c r="W422" s="69"/>
      <c r="X422" s="69"/>
      <c r="Y422" s="69"/>
      <c r="Z422" s="69"/>
      <c r="AA422" s="69"/>
      <c r="AB422" s="203"/>
      <c r="AC422" s="69"/>
      <c r="AD422" s="69"/>
      <c r="AE422" s="203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  <c r="AW422" s="69"/>
      <c r="AX422" s="69"/>
      <c r="AY422" s="69"/>
      <c r="AZ422" s="69"/>
      <c r="BA422" s="69"/>
      <c r="BB422" s="69"/>
      <c r="BC422" s="69"/>
      <c r="BD422" s="69"/>
      <c r="BE422" s="69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9"/>
      <c r="BY422" s="69"/>
      <c r="BZ422" s="69"/>
      <c r="CA422" s="69"/>
      <c r="CB422" s="69"/>
      <c r="CC422" s="69"/>
      <c r="CD422" s="69"/>
      <c r="CE422" s="69"/>
      <c r="CF422" s="69"/>
      <c r="CG422" s="69"/>
      <c r="CH422" s="69"/>
      <c r="CI422" s="69"/>
      <c r="CJ422" s="69"/>
      <c r="CK422" s="69"/>
      <c r="CL422" s="69"/>
      <c r="CM422" s="69"/>
      <c r="CN422" s="69"/>
      <c r="CO422" s="69"/>
      <c r="CP422" s="69"/>
      <c r="CQ422" s="69"/>
      <c r="CR422" s="69"/>
      <c r="CS422" s="69"/>
      <c r="CT422" s="69"/>
      <c r="CU422" s="69"/>
      <c r="CV422" s="69"/>
      <c r="CW422" s="69"/>
      <c r="CX422" s="69"/>
      <c r="CY422" s="69"/>
      <c r="CZ422" s="69"/>
      <c r="DA422" s="69"/>
      <c r="DB422" s="69"/>
      <c r="DC422" s="69"/>
      <c r="DD422" s="69"/>
      <c r="DE422" s="69"/>
      <c r="DF422" s="69"/>
      <c r="DG422" s="69"/>
      <c r="DH422" s="69"/>
      <c r="DI422" s="69"/>
      <c r="DJ422" s="69"/>
      <c r="DK422" s="69"/>
      <c r="DL422" s="69"/>
    </row>
    <row r="423" spans="1:116" ht="13" x14ac:dyDescent="0.3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202"/>
      <c r="V423" s="69"/>
      <c r="W423" s="69"/>
      <c r="X423" s="69"/>
      <c r="Y423" s="69"/>
      <c r="Z423" s="69"/>
      <c r="AA423" s="69"/>
      <c r="AB423" s="203"/>
      <c r="AC423" s="69"/>
      <c r="AD423" s="69"/>
      <c r="AE423" s="203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  <c r="AW423" s="69"/>
      <c r="AX423" s="69"/>
      <c r="AY423" s="69"/>
      <c r="AZ423" s="69"/>
      <c r="BA423" s="69"/>
      <c r="BB423" s="69"/>
      <c r="BC423" s="69"/>
      <c r="BD423" s="69"/>
      <c r="BE423" s="69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9"/>
      <c r="BY423" s="69"/>
      <c r="BZ423" s="69"/>
      <c r="CA423" s="69"/>
      <c r="CB423" s="69"/>
      <c r="CC423" s="69"/>
      <c r="CD423" s="69"/>
      <c r="CE423" s="69"/>
      <c r="CF423" s="69"/>
      <c r="CG423" s="69"/>
      <c r="CH423" s="69"/>
      <c r="CI423" s="69"/>
      <c r="CJ423" s="69"/>
      <c r="CK423" s="69"/>
      <c r="CL423" s="69"/>
      <c r="CM423" s="69"/>
      <c r="CN423" s="69"/>
      <c r="CO423" s="69"/>
      <c r="CP423" s="69"/>
      <c r="CQ423" s="69"/>
      <c r="CR423" s="69"/>
      <c r="CS423" s="69"/>
      <c r="CT423" s="69"/>
      <c r="CU423" s="69"/>
      <c r="CV423" s="69"/>
      <c r="CW423" s="69"/>
      <c r="CX423" s="69"/>
      <c r="CY423" s="69"/>
      <c r="CZ423" s="69"/>
      <c r="DA423" s="69"/>
      <c r="DB423" s="69"/>
      <c r="DC423" s="69"/>
      <c r="DD423" s="69"/>
      <c r="DE423" s="69"/>
      <c r="DF423" s="69"/>
      <c r="DG423" s="69"/>
      <c r="DH423" s="69"/>
      <c r="DI423" s="69"/>
      <c r="DJ423" s="69"/>
      <c r="DK423" s="69"/>
      <c r="DL423" s="69"/>
    </row>
    <row r="424" spans="1:116" ht="13" x14ac:dyDescent="0.3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202"/>
      <c r="V424" s="69"/>
      <c r="W424" s="69"/>
      <c r="X424" s="69"/>
      <c r="Y424" s="69"/>
      <c r="Z424" s="69"/>
      <c r="AA424" s="69"/>
      <c r="AB424" s="203"/>
      <c r="AC424" s="69"/>
      <c r="AD424" s="69"/>
      <c r="AE424" s="203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  <c r="AW424" s="69"/>
      <c r="AX424" s="69"/>
      <c r="AY424" s="69"/>
      <c r="AZ424" s="69"/>
      <c r="BA424" s="69"/>
      <c r="BB424" s="69"/>
      <c r="BC424" s="69"/>
      <c r="BD424" s="69"/>
      <c r="BE424" s="69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9"/>
      <c r="BY424" s="69"/>
      <c r="BZ424" s="69"/>
      <c r="CA424" s="69"/>
      <c r="CB424" s="69"/>
      <c r="CC424" s="69"/>
      <c r="CD424" s="69"/>
      <c r="CE424" s="69"/>
      <c r="CF424" s="69"/>
      <c r="CG424" s="69"/>
      <c r="CH424" s="69"/>
      <c r="CI424" s="69"/>
      <c r="CJ424" s="69"/>
      <c r="CK424" s="69"/>
      <c r="CL424" s="69"/>
      <c r="CM424" s="69"/>
      <c r="CN424" s="69"/>
      <c r="CO424" s="69"/>
      <c r="CP424" s="69"/>
      <c r="CQ424" s="69"/>
      <c r="CR424" s="69"/>
      <c r="CS424" s="69"/>
      <c r="CT424" s="69"/>
      <c r="CU424" s="69"/>
      <c r="CV424" s="69"/>
      <c r="CW424" s="69"/>
      <c r="CX424" s="69"/>
      <c r="CY424" s="69"/>
      <c r="CZ424" s="69"/>
      <c r="DA424" s="69"/>
      <c r="DB424" s="69"/>
      <c r="DC424" s="69"/>
      <c r="DD424" s="69"/>
      <c r="DE424" s="69"/>
      <c r="DF424" s="69"/>
      <c r="DG424" s="69"/>
      <c r="DH424" s="69"/>
      <c r="DI424" s="69"/>
      <c r="DJ424" s="69"/>
      <c r="DK424" s="69"/>
      <c r="DL424" s="69"/>
    </row>
    <row r="425" spans="1:116" ht="13" x14ac:dyDescent="0.3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202"/>
      <c r="V425" s="69"/>
      <c r="W425" s="69"/>
      <c r="X425" s="69"/>
      <c r="Y425" s="69"/>
      <c r="Z425" s="69"/>
      <c r="AA425" s="69"/>
      <c r="AB425" s="203"/>
      <c r="AC425" s="69"/>
      <c r="AD425" s="69"/>
      <c r="AE425" s="203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  <c r="AW425" s="69"/>
      <c r="AX425" s="69"/>
      <c r="AY425" s="69"/>
      <c r="AZ425" s="69"/>
      <c r="BA425" s="69"/>
      <c r="BB425" s="69"/>
      <c r="BC425" s="69"/>
      <c r="BD425" s="69"/>
      <c r="BE425" s="69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9"/>
      <c r="BY425" s="69"/>
      <c r="BZ425" s="69"/>
      <c r="CA425" s="69"/>
      <c r="CB425" s="69"/>
      <c r="CC425" s="69"/>
      <c r="CD425" s="69"/>
      <c r="CE425" s="69"/>
      <c r="CF425" s="69"/>
      <c r="CG425" s="69"/>
      <c r="CH425" s="69"/>
      <c r="CI425" s="69"/>
      <c r="CJ425" s="69"/>
      <c r="CK425" s="69"/>
      <c r="CL425" s="69"/>
      <c r="CM425" s="69"/>
      <c r="CN425" s="69"/>
      <c r="CO425" s="69"/>
      <c r="CP425" s="69"/>
      <c r="CQ425" s="69"/>
      <c r="CR425" s="69"/>
      <c r="CS425" s="69"/>
      <c r="CT425" s="69"/>
      <c r="CU425" s="69"/>
      <c r="CV425" s="69"/>
      <c r="CW425" s="69"/>
      <c r="CX425" s="69"/>
      <c r="CY425" s="69"/>
      <c r="CZ425" s="69"/>
      <c r="DA425" s="69"/>
      <c r="DB425" s="69"/>
      <c r="DC425" s="69"/>
      <c r="DD425" s="69"/>
      <c r="DE425" s="69"/>
      <c r="DF425" s="69"/>
      <c r="DG425" s="69"/>
      <c r="DH425" s="69"/>
      <c r="DI425" s="69"/>
      <c r="DJ425" s="69"/>
      <c r="DK425" s="69"/>
      <c r="DL425" s="69"/>
    </row>
    <row r="426" spans="1:116" ht="13" x14ac:dyDescent="0.3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202"/>
      <c r="V426" s="69"/>
      <c r="W426" s="69"/>
      <c r="X426" s="69"/>
      <c r="Y426" s="69"/>
      <c r="Z426" s="69"/>
      <c r="AA426" s="69"/>
      <c r="AB426" s="203"/>
      <c r="AC426" s="69"/>
      <c r="AD426" s="69"/>
      <c r="AE426" s="203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  <c r="AW426" s="69"/>
      <c r="AX426" s="69"/>
      <c r="AY426" s="69"/>
      <c r="AZ426" s="69"/>
      <c r="BA426" s="69"/>
      <c r="BB426" s="69"/>
      <c r="BC426" s="69"/>
      <c r="BD426" s="69"/>
      <c r="BE426" s="69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9"/>
      <c r="BY426" s="69"/>
      <c r="BZ426" s="69"/>
      <c r="CA426" s="69"/>
      <c r="CB426" s="69"/>
      <c r="CC426" s="69"/>
      <c r="CD426" s="69"/>
      <c r="CE426" s="69"/>
      <c r="CF426" s="69"/>
      <c r="CG426" s="69"/>
      <c r="CH426" s="69"/>
      <c r="CI426" s="69"/>
      <c r="CJ426" s="69"/>
      <c r="CK426" s="69"/>
      <c r="CL426" s="69"/>
      <c r="CM426" s="69"/>
      <c r="CN426" s="69"/>
      <c r="CO426" s="69"/>
      <c r="CP426" s="69"/>
      <c r="CQ426" s="69"/>
      <c r="CR426" s="69"/>
      <c r="CS426" s="69"/>
      <c r="CT426" s="69"/>
      <c r="CU426" s="69"/>
      <c r="CV426" s="69"/>
      <c r="CW426" s="69"/>
      <c r="CX426" s="69"/>
      <c r="CY426" s="69"/>
      <c r="CZ426" s="69"/>
      <c r="DA426" s="69"/>
      <c r="DB426" s="69"/>
      <c r="DC426" s="69"/>
      <c r="DD426" s="69"/>
      <c r="DE426" s="69"/>
      <c r="DF426" s="69"/>
      <c r="DG426" s="69"/>
      <c r="DH426" s="69"/>
      <c r="DI426" s="69"/>
      <c r="DJ426" s="69"/>
      <c r="DK426" s="69"/>
      <c r="DL426" s="69"/>
    </row>
    <row r="427" spans="1:116" ht="13" x14ac:dyDescent="0.3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202"/>
      <c r="V427" s="69"/>
      <c r="W427" s="69"/>
      <c r="X427" s="69"/>
      <c r="Y427" s="69"/>
      <c r="Z427" s="69"/>
      <c r="AA427" s="69"/>
      <c r="AB427" s="203"/>
      <c r="AC427" s="69"/>
      <c r="AD427" s="69"/>
      <c r="AE427" s="203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  <c r="AW427" s="69"/>
      <c r="AX427" s="69"/>
      <c r="AY427" s="69"/>
      <c r="AZ427" s="69"/>
      <c r="BA427" s="69"/>
      <c r="BB427" s="69"/>
      <c r="BC427" s="69"/>
      <c r="BD427" s="69"/>
      <c r="BE427" s="69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9"/>
      <c r="BY427" s="69"/>
      <c r="BZ427" s="69"/>
      <c r="CA427" s="69"/>
      <c r="CB427" s="69"/>
      <c r="CC427" s="69"/>
      <c r="CD427" s="69"/>
      <c r="CE427" s="69"/>
      <c r="CF427" s="69"/>
      <c r="CG427" s="69"/>
      <c r="CH427" s="69"/>
      <c r="CI427" s="69"/>
      <c r="CJ427" s="69"/>
      <c r="CK427" s="69"/>
      <c r="CL427" s="69"/>
      <c r="CM427" s="69"/>
      <c r="CN427" s="69"/>
      <c r="CO427" s="69"/>
      <c r="CP427" s="69"/>
      <c r="CQ427" s="69"/>
      <c r="CR427" s="69"/>
      <c r="CS427" s="69"/>
      <c r="CT427" s="69"/>
      <c r="CU427" s="69"/>
      <c r="CV427" s="69"/>
      <c r="CW427" s="69"/>
      <c r="CX427" s="69"/>
      <c r="CY427" s="69"/>
      <c r="CZ427" s="69"/>
      <c r="DA427" s="69"/>
      <c r="DB427" s="69"/>
      <c r="DC427" s="69"/>
      <c r="DD427" s="69"/>
      <c r="DE427" s="69"/>
      <c r="DF427" s="69"/>
      <c r="DG427" s="69"/>
      <c r="DH427" s="69"/>
      <c r="DI427" s="69"/>
      <c r="DJ427" s="69"/>
      <c r="DK427" s="69"/>
      <c r="DL427" s="69"/>
    </row>
    <row r="428" spans="1:116" ht="13" x14ac:dyDescent="0.3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202"/>
      <c r="V428" s="69"/>
      <c r="W428" s="69"/>
      <c r="X428" s="69"/>
      <c r="Y428" s="69"/>
      <c r="Z428" s="69"/>
      <c r="AA428" s="69"/>
      <c r="AB428" s="203"/>
      <c r="AC428" s="69"/>
      <c r="AD428" s="69"/>
      <c r="AE428" s="203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  <c r="AW428" s="69"/>
      <c r="AX428" s="69"/>
      <c r="AY428" s="69"/>
      <c r="AZ428" s="69"/>
      <c r="BA428" s="69"/>
      <c r="BB428" s="69"/>
      <c r="BC428" s="69"/>
      <c r="BD428" s="69"/>
      <c r="BE428" s="69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9"/>
      <c r="BY428" s="69"/>
      <c r="BZ428" s="69"/>
      <c r="CA428" s="69"/>
      <c r="CB428" s="69"/>
      <c r="CC428" s="69"/>
      <c r="CD428" s="69"/>
      <c r="CE428" s="69"/>
      <c r="CF428" s="69"/>
      <c r="CG428" s="69"/>
      <c r="CH428" s="69"/>
      <c r="CI428" s="69"/>
      <c r="CJ428" s="69"/>
      <c r="CK428" s="69"/>
      <c r="CL428" s="69"/>
      <c r="CM428" s="69"/>
      <c r="CN428" s="69"/>
      <c r="CO428" s="69"/>
      <c r="CP428" s="69"/>
      <c r="CQ428" s="69"/>
      <c r="CR428" s="69"/>
      <c r="CS428" s="69"/>
      <c r="CT428" s="69"/>
      <c r="CU428" s="69"/>
      <c r="CV428" s="69"/>
      <c r="CW428" s="69"/>
      <c r="CX428" s="69"/>
      <c r="CY428" s="69"/>
      <c r="CZ428" s="69"/>
      <c r="DA428" s="69"/>
      <c r="DB428" s="69"/>
      <c r="DC428" s="69"/>
      <c r="DD428" s="69"/>
      <c r="DE428" s="69"/>
      <c r="DF428" s="69"/>
      <c r="DG428" s="69"/>
      <c r="DH428" s="69"/>
      <c r="DI428" s="69"/>
      <c r="DJ428" s="69"/>
      <c r="DK428" s="69"/>
      <c r="DL428" s="69"/>
    </row>
    <row r="429" spans="1:116" ht="13" x14ac:dyDescent="0.3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202"/>
      <c r="V429" s="69"/>
      <c r="W429" s="69"/>
      <c r="X429" s="69"/>
      <c r="Y429" s="69"/>
      <c r="Z429" s="69"/>
      <c r="AA429" s="69"/>
      <c r="AB429" s="203"/>
      <c r="AC429" s="69"/>
      <c r="AD429" s="69"/>
      <c r="AE429" s="203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  <c r="BA429" s="69"/>
      <c r="BB429" s="69"/>
      <c r="BC429" s="69"/>
      <c r="BD429" s="69"/>
      <c r="BE429" s="69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9"/>
      <c r="BY429" s="69"/>
      <c r="BZ429" s="69"/>
      <c r="CA429" s="69"/>
      <c r="CB429" s="69"/>
      <c r="CC429" s="69"/>
      <c r="CD429" s="69"/>
      <c r="CE429" s="69"/>
      <c r="CF429" s="69"/>
      <c r="CG429" s="69"/>
      <c r="CH429" s="69"/>
      <c r="CI429" s="69"/>
      <c r="CJ429" s="69"/>
      <c r="CK429" s="69"/>
      <c r="CL429" s="69"/>
      <c r="CM429" s="69"/>
      <c r="CN429" s="69"/>
      <c r="CO429" s="69"/>
      <c r="CP429" s="69"/>
      <c r="CQ429" s="69"/>
      <c r="CR429" s="69"/>
      <c r="CS429" s="69"/>
      <c r="CT429" s="69"/>
      <c r="CU429" s="69"/>
      <c r="CV429" s="69"/>
      <c r="CW429" s="69"/>
      <c r="CX429" s="69"/>
      <c r="CY429" s="69"/>
      <c r="CZ429" s="69"/>
      <c r="DA429" s="69"/>
      <c r="DB429" s="69"/>
      <c r="DC429" s="69"/>
      <c r="DD429" s="69"/>
      <c r="DE429" s="69"/>
      <c r="DF429" s="69"/>
      <c r="DG429" s="69"/>
      <c r="DH429" s="69"/>
      <c r="DI429" s="69"/>
      <c r="DJ429" s="69"/>
      <c r="DK429" s="69"/>
      <c r="DL429" s="69"/>
    </row>
    <row r="430" spans="1:116" ht="13" x14ac:dyDescent="0.3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202"/>
      <c r="V430" s="69"/>
      <c r="W430" s="69"/>
      <c r="X430" s="69"/>
      <c r="Y430" s="69"/>
      <c r="Z430" s="69"/>
      <c r="AA430" s="69"/>
      <c r="AB430" s="203"/>
      <c r="AC430" s="69"/>
      <c r="AD430" s="69"/>
      <c r="AE430" s="203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  <c r="AW430" s="69"/>
      <c r="AX430" s="69"/>
      <c r="AY430" s="69"/>
      <c r="AZ430" s="69"/>
      <c r="BA430" s="69"/>
      <c r="BB430" s="69"/>
      <c r="BC430" s="69"/>
      <c r="BD430" s="69"/>
      <c r="BE430" s="69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9"/>
      <c r="BY430" s="69"/>
      <c r="BZ430" s="69"/>
      <c r="CA430" s="69"/>
      <c r="CB430" s="69"/>
      <c r="CC430" s="69"/>
      <c r="CD430" s="69"/>
      <c r="CE430" s="69"/>
      <c r="CF430" s="69"/>
      <c r="CG430" s="69"/>
      <c r="CH430" s="69"/>
      <c r="CI430" s="69"/>
      <c r="CJ430" s="69"/>
      <c r="CK430" s="69"/>
      <c r="CL430" s="69"/>
      <c r="CM430" s="69"/>
      <c r="CN430" s="69"/>
      <c r="CO430" s="69"/>
      <c r="CP430" s="69"/>
      <c r="CQ430" s="69"/>
      <c r="CR430" s="69"/>
      <c r="CS430" s="69"/>
      <c r="CT430" s="69"/>
      <c r="CU430" s="69"/>
      <c r="CV430" s="69"/>
      <c r="CW430" s="69"/>
      <c r="CX430" s="69"/>
      <c r="CY430" s="69"/>
      <c r="CZ430" s="69"/>
      <c r="DA430" s="69"/>
      <c r="DB430" s="69"/>
      <c r="DC430" s="69"/>
      <c r="DD430" s="69"/>
      <c r="DE430" s="69"/>
      <c r="DF430" s="69"/>
      <c r="DG430" s="69"/>
      <c r="DH430" s="69"/>
      <c r="DI430" s="69"/>
      <c r="DJ430" s="69"/>
      <c r="DK430" s="69"/>
      <c r="DL430" s="69"/>
    </row>
    <row r="431" spans="1:116" ht="13" x14ac:dyDescent="0.3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202"/>
      <c r="V431" s="69"/>
      <c r="W431" s="69"/>
      <c r="X431" s="69"/>
      <c r="Y431" s="69"/>
      <c r="Z431" s="69"/>
      <c r="AA431" s="69"/>
      <c r="AB431" s="203"/>
      <c r="AC431" s="69"/>
      <c r="AD431" s="69"/>
      <c r="AE431" s="203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  <c r="AW431" s="69"/>
      <c r="AX431" s="69"/>
      <c r="AY431" s="69"/>
      <c r="AZ431" s="69"/>
      <c r="BA431" s="69"/>
      <c r="BB431" s="69"/>
      <c r="BC431" s="69"/>
      <c r="BD431" s="69"/>
      <c r="BE431" s="69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9"/>
      <c r="BY431" s="69"/>
      <c r="BZ431" s="69"/>
      <c r="CA431" s="69"/>
      <c r="CB431" s="69"/>
      <c r="CC431" s="69"/>
      <c r="CD431" s="69"/>
      <c r="CE431" s="69"/>
      <c r="CF431" s="69"/>
      <c r="CG431" s="69"/>
      <c r="CH431" s="69"/>
      <c r="CI431" s="69"/>
      <c r="CJ431" s="69"/>
      <c r="CK431" s="69"/>
      <c r="CL431" s="69"/>
      <c r="CM431" s="69"/>
      <c r="CN431" s="69"/>
      <c r="CO431" s="69"/>
      <c r="CP431" s="69"/>
      <c r="CQ431" s="69"/>
      <c r="CR431" s="69"/>
      <c r="CS431" s="69"/>
      <c r="CT431" s="69"/>
      <c r="CU431" s="69"/>
      <c r="CV431" s="69"/>
      <c r="CW431" s="69"/>
      <c r="CX431" s="69"/>
      <c r="CY431" s="69"/>
      <c r="CZ431" s="69"/>
      <c r="DA431" s="69"/>
      <c r="DB431" s="69"/>
      <c r="DC431" s="69"/>
      <c r="DD431" s="69"/>
      <c r="DE431" s="69"/>
      <c r="DF431" s="69"/>
      <c r="DG431" s="69"/>
      <c r="DH431" s="69"/>
      <c r="DI431" s="69"/>
      <c r="DJ431" s="69"/>
      <c r="DK431" s="69"/>
      <c r="DL431" s="69"/>
    </row>
    <row r="432" spans="1:116" ht="13" x14ac:dyDescent="0.3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202"/>
      <c r="V432" s="69"/>
      <c r="W432" s="69"/>
      <c r="X432" s="69"/>
      <c r="Y432" s="69"/>
      <c r="Z432" s="69"/>
      <c r="AA432" s="69"/>
      <c r="AB432" s="203"/>
      <c r="AC432" s="69"/>
      <c r="AD432" s="69"/>
      <c r="AE432" s="203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  <c r="AW432" s="69"/>
      <c r="AX432" s="69"/>
      <c r="AY432" s="69"/>
      <c r="AZ432" s="69"/>
      <c r="BA432" s="69"/>
      <c r="BB432" s="69"/>
      <c r="BC432" s="69"/>
      <c r="BD432" s="69"/>
      <c r="BE432" s="69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9"/>
      <c r="BY432" s="69"/>
      <c r="BZ432" s="69"/>
      <c r="CA432" s="69"/>
      <c r="CB432" s="69"/>
      <c r="CC432" s="69"/>
      <c r="CD432" s="69"/>
      <c r="CE432" s="69"/>
      <c r="CF432" s="69"/>
      <c r="CG432" s="69"/>
      <c r="CH432" s="69"/>
      <c r="CI432" s="69"/>
      <c r="CJ432" s="69"/>
      <c r="CK432" s="69"/>
      <c r="CL432" s="69"/>
      <c r="CM432" s="69"/>
      <c r="CN432" s="69"/>
      <c r="CO432" s="69"/>
      <c r="CP432" s="69"/>
      <c r="CQ432" s="69"/>
      <c r="CR432" s="69"/>
      <c r="CS432" s="69"/>
      <c r="CT432" s="69"/>
      <c r="CU432" s="69"/>
      <c r="CV432" s="69"/>
      <c r="CW432" s="69"/>
      <c r="CX432" s="69"/>
      <c r="CY432" s="69"/>
      <c r="CZ432" s="69"/>
      <c r="DA432" s="69"/>
      <c r="DB432" s="69"/>
      <c r="DC432" s="69"/>
      <c r="DD432" s="69"/>
      <c r="DE432" s="69"/>
      <c r="DF432" s="69"/>
      <c r="DG432" s="69"/>
      <c r="DH432" s="69"/>
      <c r="DI432" s="69"/>
      <c r="DJ432" s="69"/>
      <c r="DK432" s="69"/>
      <c r="DL432" s="69"/>
    </row>
    <row r="433" spans="1:116" ht="13" x14ac:dyDescent="0.3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202"/>
      <c r="V433" s="69"/>
      <c r="W433" s="69"/>
      <c r="X433" s="69"/>
      <c r="Y433" s="69"/>
      <c r="Z433" s="69"/>
      <c r="AA433" s="69"/>
      <c r="AB433" s="203"/>
      <c r="AC433" s="69"/>
      <c r="AD433" s="69"/>
      <c r="AE433" s="203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  <c r="AW433" s="69"/>
      <c r="AX433" s="69"/>
      <c r="AY433" s="69"/>
      <c r="AZ433" s="69"/>
      <c r="BA433" s="69"/>
      <c r="BB433" s="69"/>
      <c r="BC433" s="69"/>
      <c r="BD433" s="69"/>
      <c r="BE433" s="69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9"/>
      <c r="BY433" s="69"/>
      <c r="BZ433" s="69"/>
      <c r="CA433" s="69"/>
      <c r="CB433" s="69"/>
      <c r="CC433" s="69"/>
      <c r="CD433" s="69"/>
      <c r="CE433" s="69"/>
      <c r="CF433" s="69"/>
      <c r="CG433" s="69"/>
      <c r="CH433" s="69"/>
      <c r="CI433" s="69"/>
      <c r="CJ433" s="69"/>
      <c r="CK433" s="69"/>
      <c r="CL433" s="69"/>
      <c r="CM433" s="69"/>
      <c r="CN433" s="69"/>
      <c r="CO433" s="69"/>
      <c r="CP433" s="69"/>
      <c r="CQ433" s="69"/>
      <c r="CR433" s="69"/>
      <c r="CS433" s="69"/>
      <c r="CT433" s="69"/>
      <c r="CU433" s="69"/>
      <c r="CV433" s="69"/>
      <c r="CW433" s="69"/>
      <c r="CX433" s="69"/>
      <c r="CY433" s="69"/>
      <c r="CZ433" s="69"/>
      <c r="DA433" s="69"/>
      <c r="DB433" s="69"/>
      <c r="DC433" s="69"/>
      <c r="DD433" s="69"/>
      <c r="DE433" s="69"/>
      <c r="DF433" s="69"/>
      <c r="DG433" s="69"/>
      <c r="DH433" s="69"/>
      <c r="DI433" s="69"/>
      <c r="DJ433" s="69"/>
      <c r="DK433" s="69"/>
      <c r="DL433" s="69"/>
    </row>
    <row r="434" spans="1:116" ht="13" x14ac:dyDescent="0.3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202"/>
      <c r="V434" s="69"/>
      <c r="W434" s="69"/>
      <c r="X434" s="69"/>
      <c r="Y434" s="69"/>
      <c r="Z434" s="69"/>
      <c r="AA434" s="69"/>
      <c r="AB434" s="203"/>
      <c r="AC434" s="69"/>
      <c r="AD434" s="69"/>
      <c r="AE434" s="203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  <c r="AW434" s="69"/>
      <c r="AX434" s="69"/>
      <c r="AY434" s="69"/>
      <c r="AZ434" s="69"/>
      <c r="BA434" s="69"/>
      <c r="BB434" s="69"/>
      <c r="BC434" s="69"/>
      <c r="BD434" s="69"/>
      <c r="BE434" s="69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9"/>
      <c r="BY434" s="69"/>
      <c r="BZ434" s="69"/>
      <c r="CA434" s="69"/>
      <c r="CB434" s="69"/>
      <c r="CC434" s="69"/>
      <c r="CD434" s="69"/>
      <c r="CE434" s="69"/>
      <c r="CF434" s="69"/>
      <c r="CG434" s="69"/>
      <c r="CH434" s="69"/>
      <c r="CI434" s="69"/>
      <c r="CJ434" s="69"/>
      <c r="CK434" s="69"/>
      <c r="CL434" s="69"/>
      <c r="CM434" s="69"/>
      <c r="CN434" s="69"/>
      <c r="CO434" s="69"/>
      <c r="CP434" s="69"/>
      <c r="CQ434" s="69"/>
      <c r="CR434" s="69"/>
      <c r="CS434" s="69"/>
      <c r="CT434" s="69"/>
      <c r="CU434" s="69"/>
      <c r="CV434" s="69"/>
      <c r="CW434" s="69"/>
      <c r="CX434" s="69"/>
      <c r="CY434" s="69"/>
      <c r="CZ434" s="69"/>
      <c r="DA434" s="69"/>
      <c r="DB434" s="69"/>
      <c r="DC434" s="69"/>
      <c r="DD434" s="69"/>
      <c r="DE434" s="69"/>
      <c r="DF434" s="69"/>
      <c r="DG434" s="69"/>
      <c r="DH434" s="69"/>
      <c r="DI434" s="69"/>
      <c r="DJ434" s="69"/>
      <c r="DK434" s="69"/>
      <c r="DL434" s="69"/>
    </row>
    <row r="435" spans="1:116" ht="13" x14ac:dyDescent="0.3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202"/>
      <c r="V435" s="69"/>
      <c r="W435" s="69"/>
      <c r="X435" s="69"/>
      <c r="Y435" s="69"/>
      <c r="Z435" s="69"/>
      <c r="AA435" s="69"/>
      <c r="AB435" s="203"/>
      <c r="AC435" s="69"/>
      <c r="AD435" s="69"/>
      <c r="AE435" s="203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  <c r="AW435" s="69"/>
      <c r="AX435" s="69"/>
      <c r="AY435" s="69"/>
      <c r="AZ435" s="69"/>
      <c r="BA435" s="69"/>
      <c r="BB435" s="69"/>
      <c r="BC435" s="69"/>
      <c r="BD435" s="69"/>
      <c r="BE435" s="69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9"/>
      <c r="BY435" s="69"/>
      <c r="BZ435" s="69"/>
      <c r="CA435" s="69"/>
      <c r="CB435" s="69"/>
      <c r="CC435" s="69"/>
      <c r="CD435" s="69"/>
      <c r="CE435" s="69"/>
      <c r="CF435" s="69"/>
      <c r="CG435" s="69"/>
      <c r="CH435" s="69"/>
      <c r="CI435" s="69"/>
      <c r="CJ435" s="69"/>
      <c r="CK435" s="69"/>
      <c r="CL435" s="69"/>
      <c r="CM435" s="69"/>
      <c r="CN435" s="69"/>
      <c r="CO435" s="69"/>
      <c r="CP435" s="69"/>
      <c r="CQ435" s="69"/>
      <c r="CR435" s="69"/>
      <c r="CS435" s="69"/>
      <c r="CT435" s="69"/>
      <c r="CU435" s="69"/>
      <c r="CV435" s="69"/>
      <c r="CW435" s="69"/>
      <c r="CX435" s="69"/>
      <c r="CY435" s="69"/>
      <c r="CZ435" s="69"/>
      <c r="DA435" s="69"/>
      <c r="DB435" s="69"/>
      <c r="DC435" s="69"/>
      <c r="DD435" s="69"/>
      <c r="DE435" s="69"/>
      <c r="DF435" s="69"/>
      <c r="DG435" s="69"/>
      <c r="DH435" s="69"/>
      <c r="DI435" s="69"/>
      <c r="DJ435" s="69"/>
      <c r="DK435" s="69"/>
      <c r="DL435" s="69"/>
    </row>
    <row r="436" spans="1:116" ht="13" x14ac:dyDescent="0.3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202"/>
      <c r="V436" s="69"/>
      <c r="W436" s="69"/>
      <c r="X436" s="69"/>
      <c r="Y436" s="69"/>
      <c r="Z436" s="69"/>
      <c r="AA436" s="69"/>
      <c r="AB436" s="203"/>
      <c r="AC436" s="69"/>
      <c r="AD436" s="69"/>
      <c r="AE436" s="203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  <c r="AW436" s="69"/>
      <c r="AX436" s="69"/>
      <c r="AY436" s="69"/>
      <c r="AZ436" s="69"/>
      <c r="BA436" s="69"/>
      <c r="BB436" s="69"/>
      <c r="BC436" s="69"/>
      <c r="BD436" s="69"/>
      <c r="BE436" s="69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9"/>
      <c r="BY436" s="69"/>
      <c r="BZ436" s="69"/>
      <c r="CA436" s="69"/>
      <c r="CB436" s="69"/>
      <c r="CC436" s="69"/>
      <c r="CD436" s="69"/>
      <c r="CE436" s="69"/>
      <c r="CF436" s="69"/>
      <c r="CG436" s="69"/>
      <c r="CH436" s="69"/>
      <c r="CI436" s="69"/>
      <c r="CJ436" s="69"/>
      <c r="CK436" s="69"/>
      <c r="CL436" s="69"/>
      <c r="CM436" s="69"/>
      <c r="CN436" s="69"/>
      <c r="CO436" s="69"/>
      <c r="CP436" s="69"/>
      <c r="CQ436" s="69"/>
      <c r="CR436" s="69"/>
      <c r="CS436" s="69"/>
      <c r="CT436" s="69"/>
      <c r="CU436" s="69"/>
      <c r="CV436" s="69"/>
      <c r="CW436" s="69"/>
      <c r="CX436" s="69"/>
      <c r="CY436" s="69"/>
      <c r="CZ436" s="69"/>
      <c r="DA436" s="69"/>
      <c r="DB436" s="69"/>
      <c r="DC436" s="69"/>
      <c r="DD436" s="69"/>
      <c r="DE436" s="69"/>
      <c r="DF436" s="69"/>
      <c r="DG436" s="69"/>
      <c r="DH436" s="69"/>
      <c r="DI436" s="69"/>
      <c r="DJ436" s="69"/>
      <c r="DK436" s="69"/>
      <c r="DL436" s="69"/>
    </row>
    <row r="437" spans="1:116" ht="13" x14ac:dyDescent="0.3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202"/>
      <c r="V437" s="69"/>
      <c r="W437" s="69"/>
      <c r="X437" s="69"/>
      <c r="Y437" s="69"/>
      <c r="Z437" s="69"/>
      <c r="AA437" s="69"/>
      <c r="AB437" s="203"/>
      <c r="AC437" s="69"/>
      <c r="AD437" s="69"/>
      <c r="AE437" s="203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  <c r="AW437" s="69"/>
      <c r="AX437" s="69"/>
      <c r="AY437" s="69"/>
      <c r="AZ437" s="69"/>
      <c r="BA437" s="69"/>
      <c r="BB437" s="69"/>
      <c r="BC437" s="69"/>
      <c r="BD437" s="69"/>
      <c r="BE437" s="69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9"/>
      <c r="BY437" s="69"/>
      <c r="BZ437" s="69"/>
      <c r="CA437" s="69"/>
      <c r="CB437" s="69"/>
      <c r="CC437" s="69"/>
      <c r="CD437" s="69"/>
      <c r="CE437" s="69"/>
      <c r="CF437" s="69"/>
      <c r="CG437" s="69"/>
      <c r="CH437" s="69"/>
      <c r="CI437" s="69"/>
      <c r="CJ437" s="69"/>
      <c r="CK437" s="69"/>
      <c r="CL437" s="69"/>
      <c r="CM437" s="69"/>
      <c r="CN437" s="69"/>
      <c r="CO437" s="69"/>
      <c r="CP437" s="69"/>
      <c r="CQ437" s="69"/>
      <c r="CR437" s="69"/>
      <c r="CS437" s="69"/>
      <c r="CT437" s="69"/>
      <c r="CU437" s="69"/>
      <c r="CV437" s="69"/>
      <c r="CW437" s="69"/>
      <c r="CX437" s="69"/>
      <c r="CY437" s="69"/>
      <c r="CZ437" s="69"/>
      <c r="DA437" s="69"/>
      <c r="DB437" s="69"/>
      <c r="DC437" s="69"/>
      <c r="DD437" s="69"/>
      <c r="DE437" s="69"/>
      <c r="DF437" s="69"/>
      <c r="DG437" s="69"/>
      <c r="DH437" s="69"/>
      <c r="DI437" s="69"/>
      <c r="DJ437" s="69"/>
      <c r="DK437" s="69"/>
      <c r="DL437" s="69"/>
    </row>
    <row r="438" spans="1:116" ht="13" x14ac:dyDescent="0.3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202"/>
      <c r="V438" s="69"/>
      <c r="W438" s="69"/>
      <c r="X438" s="69"/>
      <c r="Y438" s="69"/>
      <c r="Z438" s="69"/>
      <c r="AA438" s="69"/>
      <c r="AB438" s="203"/>
      <c r="AC438" s="69"/>
      <c r="AD438" s="69"/>
      <c r="AE438" s="203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  <c r="AW438" s="69"/>
      <c r="AX438" s="69"/>
      <c r="AY438" s="69"/>
      <c r="AZ438" s="69"/>
      <c r="BA438" s="69"/>
      <c r="BB438" s="69"/>
      <c r="BC438" s="69"/>
      <c r="BD438" s="69"/>
      <c r="BE438" s="69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9"/>
      <c r="BY438" s="69"/>
      <c r="BZ438" s="69"/>
      <c r="CA438" s="69"/>
      <c r="CB438" s="69"/>
      <c r="CC438" s="69"/>
      <c r="CD438" s="69"/>
      <c r="CE438" s="69"/>
      <c r="CF438" s="69"/>
      <c r="CG438" s="69"/>
      <c r="CH438" s="69"/>
      <c r="CI438" s="69"/>
      <c r="CJ438" s="69"/>
      <c r="CK438" s="69"/>
      <c r="CL438" s="69"/>
      <c r="CM438" s="69"/>
      <c r="CN438" s="69"/>
      <c r="CO438" s="69"/>
      <c r="CP438" s="69"/>
      <c r="CQ438" s="69"/>
      <c r="CR438" s="69"/>
      <c r="CS438" s="69"/>
      <c r="CT438" s="69"/>
      <c r="CU438" s="69"/>
      <c r="CV438" s="69"/>
      <c r="CW438" s="69"/>
      <c r="CX438" s="69"/>
      <c r="CY438" s="69"/>
      <c r="CZ438" s="69"/>
      <c r="DA438" s="69"/>
      <c r="DB438" s="69"/>
      <c r="DC438" s="69"/>
      <c r="DD438" s="69"/>
      <c r="DE438" s="69"/>
      <c r="DF438" s="69"/>
      <c r="DG438" s="69"/>
      <c r="DH438" s="69"/>
      <c r="DI438" s="69"/>
      <c r="DJ438" s="69"/>
      <c r="DK438" s="69"/>
      <c r="DL438" s="69"/>
    </row>
    <row r="439" spans="1:116" ht="13" x14ac:dyDescent="0.3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202"/>
      <c r="V439" s="69"/>
      <c r="W439" s="69"/>
      <c r="X439" s="69"/>
      <c r="Y439" s="69"/>
      <c r="Z439" s="69"/>
      <c r="AA439" s="69"/>
      <c r="AB439" s="203"/>
      <c r="AC439" s="69"/>
      <c r="AD439" s="69"/>
      <c r="AE439" s="203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  <c r="AW439" s="69"/>
      <c r="AX439" s="69"/>
      <c r="AY439" s="69"/>
      <c r="AZ439" s="69"/>
      <c r="BA439" s="69"/>
      <c r="BB439" s="69"/>
      <c r="BC439" s="69"/>
      <c r="BD439" s="69"/>
      <c r="BE439" s="69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9"/>
      <c r="BY439" s="69"/>
      <c r="BZ439" s="69"/>
      <c r="CA439" s="69"/>
      <c r="CB439" s="69"/>
      <c r="CC439" s="69"/>
      <c r="CD439" s="69"/>
      <c r="CE439" s="69"/>
      <c r="CF439" s="69"/>
      <c r="CG439" s="69"/>
      <c r="CH439" s="69"/>
      <c r="CI439" s="69"/>
      <c r="CJ439" s="69"/>
      <c r="CK439" s="69"/>
      <c r="CL439" s="69"/>
      <c r="CM439" s="69"/>
      <c r="CN439" s="69"/>
      <c r="CO439" s="69"/>
      <c r="CP439" s="69"/>
      <c r="CQ439" s="69"/>
      <c r="CR439" s="69"/>
      <c r="CS439" s="69"/>
      <c r="CT439" s="69"/>
      <c r="CU439" s="69"/>
      <c r="CV439" s="69"/>
      <c r="CW439" s="69"/>
      <c r="CX439" s="69"/>
      <c r="CY439" s="69"/>
      <c r="CZ439" s="69"/>
      <c r="DA439" s="69"/>
      <c r="DB439" s="69"/>
      <c r="DC439" s="69"/>
      <c r="DD439" s="69"/>
      <c r="DE439" s="69"/>
      <c r="DF439" s="69"/>
      <c r="DG439" s="69"/>
      <c r="DH439" s="69"/>
      <c r="DI439" s="69"/>
      <c r="DJ439" s="69"/>
      <c r="DK439" s="69"/>
      <c r="DL439" s="69"/>
    </row>
    <row r="440" spans="1:116" ht="13" x14ac:dyDescent="0.3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202"/>
      <c r="V440" s="69"/>
      <c r="W440" s="69"/>
      <c r="X440" s="69"/>
      <c r="Y440" s="69"/>
      <c r="Z440" s="69"/>
      <c r="AA440" s="69"/>
      <c r="AB440" s="203"/>
      <c r="AC440" s="69"/>
      <c r="AD440" s="69"/>
      <c r="AE440" s="203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  <c r="AW440" s="69"/>
      <c r="AX440" s="69"/>
      <c r="AY440" s="69"/>
      <c r="AZ440" s="69"/>
      <c r="BA440" s="69"/>
      <c r="BB440" s="69"/>
      <c r="BC440" s="69"/>
      <c r="BD440" s="69"/>
      <c r="BE440" s="69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9"/>
      <c r="BY440" s="69"/>
      <c r="BZ440" s="69"/>
      <c r="CA440" s="69"/>
      <c r="CB440" s="69"/>
      <c r="CC440" s="69"/>
      <c r="CD440" s="69"/>
      <c r="CE440" s="69"/>
      <c r="CF440" s="69"/>
      <c r="CG440" s="69"/>
      <c r="CH440" s="69"/>
      <c r="CI440" s="69"/>
      <c r="CJ440" s="69"/>
      <c r="CK440" s="69"/>
      <c r="CL440" s="69"/>
      <c r="CM440" s="69"/>
      <c r="CN440" s="69"/>
      <c r="CO440" s="69"/>
      <c r="CP440" s="69"/>
      <c r="CQ440" s="69"/>
      <c r="CR440" s="69"/>
      <c r="CS440" s="69"/>
      <c r="CT440" s="69"/>
      <c r="CU440" s="69"/>
      <c r="CV440" s="69"/>
      <c r="CW440" s="69"/>
      <c r="CX440" s="69"/>
      <c r="CY440" s="69"/>
      <c r="CZ440" s="69"/>
      <c r="DA440" s="69"/>
      <c r="DB440" s="69"/>
      <c r="DC440" s="69"/>
      <c r="DD440" s="69"/>
      <c r="DE440" s="69"/>
      <c r="DF440" s="69"/>
      <c r="DG440" s="69"/>
      <c r="DH440" s="69"/>
      <c r="DI440" s="69"/>
      <c r="DJ440" s="69"/>
      <c r="DK440" s="69"/>
      <c r="DL440" s="69"/>
    </row>
    <row r="441" spans="1:116" ht="13" x14ac:dyDescent="0.3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202"/>
      <c r="V441" s="69"/>
      <c r="W441" s="69"/>
      <c r="X441" s="69"/>
      <c r="Y441" s="69"/>
      <c r="Z441" s="69"/>
      <c r="AA441" s="69"/>
      <c r="AB441" s="203"/>
      <c r="AC441" s="69"/>
      <c r="AD441" s="69"/>
      <c r="AE441" s="203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  <c r="AW441" s="69"/>
      <c r="AX441" s="69"/>
      <c r="AY441" s="69"/>
      <c r="AZ441" s="69"/>
      <c r="BA441" s="69"/>
      <c r="BB441" s="69"/>
      <c r="BC441" s="69"/>
      <c r="BD441" s="69"/>
      <c r="BE441" s="69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9"/>
      <c r="BY441" s="69"/>
      <c r="BZ441" s="69"/>
      <c r="CA441" s="69"/>
      <c r="CB441" s="69"/>
      <c r="CC441" s="69"/>
      <c r="CD441" s="69"/>
      <c r="CE441" s="69"/>
      <c r="CF441" s="69"/>
      <c r="CG441" s="69"/>
      <c r="CH441" s="69"/>
      <c r="CI441" s="69"/>
      <c r="CJ441" s="69"/>
      <c r="CK441" s="69"/>
      <c r="CL441" s="69"/>
      <c r="CM441" s="69"/>
      <c r="CN441" s="69"/>
      <c r="CO441" s="69"/>
      <c r="CP441" s="69"/>
      <c r="CQ441" s="69"/>
      <c r="CR441" s="69"/>
      <c r="CS441" s="69"/>
      <c r="CT441" s="69"/>
      <c r="CU441" s="69"/>
      <c r="CV441" s="69"/>
      <c r="CW441" s="69"/>
      <c r="CX441" s="69"/>
      <c r="CY441" s="69"/>
      <c r="CZ441" s="69"/>
      <c r="DA441" s="69"/>
      <c r="DB441" s="69"/>
      <c r="DC441" s="69"/>
      <c r="DD441" s="69"/>
      <c r="DE441" s="69"/>
      <c r="DF441" s="69"/>
      <c r="DG441" s="69"/>
      <c r="DH441" s="69"/>
      <c r="DI441" s="69"/>
      <c r="DJ441" s="69"/>
      <c r="DK441" s="69"/>
      <c r="DL441" s="69"/>
    </row>
    <row r="442" spans="1:116" ht="13" x14ac:dyDescent="0.3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202"/>
      <c r="V442" s="69"/>
      <c r="W442" s="69"/>
      <c r="X442" s="69"/>
      <c r="Y442" s="69"/>
      <c r="Z442" s="69"/>
      <c r="AA442" s="69"/>
      <c r="AB442" s="203"/>
      <c r="AC442" s="69"/>
      <c r="AD442" s="69"/>
      <c r="AE442" s="203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  <c r="AW442" s="69"/>
      <c r="AX442" s="69"/>
      <c r="AY442" s="69"/>
      <c r="AZ442" s="69"/>
      <c r="BA442" s="69"/>
      <c r="BB442" s="69"/>
      <c r="BC442" s="69"/>
      <c r="BD442" s="69"/>
      <c r="BE442" s="69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9"/>
      <c r="BY442" s="69"/>
      <c r="BZ442" s="69"/>
      <c r="CA442" s="69"/>
      <c r="CB442" s="69"/>
      <c r="CC442" s="69"/>
      <c r="CD442" s="69"/>
      <c r="CE442" s="69"/>
      <c r="CF442" s="69"/>
      <c r="CG442" s="69"/>
      <c r="CH442" s="69"/>
      <c r="CI442" s="69"/>
      <c r="CJ442" s="69"/>
      <c r="CK442" s="69"/>
      <c r="CL442" s="69"/>
      <c r="CM442" s="69"/>
      <c r="CN442" s="69"/>
      <c r="CO442" s="69"/>
      <c r="CP442" s="69"/>
      <c r="CQ442" s="69"/>
      <c r="CR442" s="69"/>
      <c r="CS442" s="69"/>
      <c r="CT442" s="69"/>
      <c r="CU442" s="69"/>
      <c r="CV442" s="69"/>
      <c r="CW442" s="69"/>
      <c r="CX442" s="69"/>
      <c r="CY442" s="69"/>
      <c r="CZ442" s="69"/>
      <c r="DA442" s="69"/>
      <c r="DB442" s="69"/>
      <c r="DC442" s="69"/>
      <c r="DD442" s="69"/>
      <c r="DE442" s="69"/>
      <c r="DF442" s="69"/>
      <c r="DG442" s="69"/>
      <c r="DH442" s="69"/>
      <c r="DI442" s="69"/>
      <c r="DJ442" s="69"/>
      <c r="DK442" s="69"/>
      <c r="DL442" s="69"/>
    </row>
    <row r="443" spans="1:116" ht="13" x14ac:dyDescent="0.3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202"/>
      <c r="V443" s="69"/>
      <c r="W443" s="69"/>
      <c r="X443" s="69"/>
      <c r="Y443" s="69"/>
      <c r="Z443" s="69"/>
      <c r="AA443" s="69"/>
      <c r="AB443" s="203"/>
      <c r="AC443" s="69"/>
      <c r="AD443" s="69"/>
      <c r="AE443" s="203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  <c r="AW443" s="69"/>
      <c r="AX443" s="69"/>
      <c r="AY443" s="69"/>
      <c r="AZ443" s="69"/>
      <c r="BA443" s="69"/>
      <c r="BB443" s="69"/>
      <c r="BC443" s="69"/>
      <c r="BD443" s="69"/>
      <c r="BE443" s="69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9"/>
      <c r="BY443" s="69"/>
      <c r="BZ443" s="69"/>
      <c r="CA443" s="69"/>
      <c r="CB443" s="69"/>
      <c r="CC443" s="69"/>
      <c r="CD443" s="69"/>
      <c r="CE443" s="69"/>
      <c r="CF443" s="69"/>
      <c r="CG443" s="69"/>
      <c r="CH443" s="69"/>
      <c r="CI443" s="69"/>
      <c r="CJ443" s="69"/>
      <c r="CK443" s="69"/>
      <c r="CL443" s="69"/>
      <c r="CM443" s="69"/>
      <c r="CN443" s="69"/>
      <c r="CO443" s="69"/>
      <c r="CP443" s="69"/>
      <c r="CQ443" s="69"/>
      <c r="CR443" s="69"/>
      <c r="CS443" s="69"/>
      <c r="CT443" s="69"/>
      <c r="CU443" s="69"/>
      <c r="CV443" s="69"/>
      <c r="CW443" s="69"/>
      <c r="CX443" s="69"/>
      <c r="CY443" s="69"/>
      <c r="CZ443" s="69"/>
      <c r="DA443" s="69"/>
      <c r="DB443" s="69"/>
      <c r="DC443" s="69"/>
      <c r="DD443" s="69"/>
      <c r="DE443" s="69"/>
      <c r="DF443" s="69"/>
      <c r="DG443" s="69"/>
      <c r="DH443" s="69"/>
      <c r="DI443" s="69"/>
      <c r="DJ443" s="69"/>
      <c r="DK443" s="69"/>
      <c r="DL443" s="69"/>
    </row>
    <row r="444" spans="1:116" ht="13" x14ac:dyDescent="0.3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202"/>
      <c r="V444" s="69"/>
      <c r="W444" s="69"/>
      <c r="X444" s="69"/>
      <c r="Y444" s="69"/>
      <c r="Z444" s="69"/>
      <c r="AA444" s="69"/>
      <c r="AB444" s="203"/>
      <c r="AC444" s="69"/>
      <c r="AD444" s="69"/>
      <c r="AE444" s="203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  <c r="AW444" s="69"/>
      <c r="AX444" s="69"/>
      <c r="AY444" s="69"/>
      <c r="AZ444" s="69"/>
      <c r="BA444" s="69"/>
      <c r="BB444" s="69"/>
      <c r="BC444" s="69"/>
      <c r="BD444" s="69"/>
      <c r="BE444" s="69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9"/>
      <c r="BY444" s="69"/>
      <c r="BZ444" s="69"/>
      <c r="CA444" s="69"/>
      <c r="CB444" s="69"/>
      <c r="CC444" s="69"/>
      <c r="CD444" s="69"/>
      <c r="CE444" s="69"/>
      <c r="CF444" s="69"/>
      <c r="CG444" s="69"/>
      <c r="CH444" s="69"/>
      <c r="CI444" s="69"/>
      <c r="CJ444" s="69"/>
      <c r="CK444" s="69"/>
      <c r="CL444" s="69"/>
      <c r="CM444" s="69"/>
      <c r="CN444" s="69"/>
      <c r="CO444" s="69"/>
      <c r="CP444" s="69"/>
      <c r="CQ444" s="69"/>
      <c r="CR444" s="69"/>
      <c r="CS444" s="69"/>
      <c r="CT444" s="69"/>
      <c r="CU444" s="69"/>
      <c r="CV444" s="69"/>
      <c r="CW444" s="69"/>
      <c r="CX444" s="69"/>
      <c r="CY444" s="69"/>
      <c r="CZ444" s="69"/>
      <c r="DA444" s="69"/>
      <c r="DB444" s="69"/>
      <c r="DC444" s="69"/>
      <c r="DD444" s="69"/>
      <c r="DE444" s="69"/>
      <c r="DF444" s="69"/>
      <c r="DG444" s="69"/>
      <c r="DH444" s="69"/>
      <c r="DI444" s="69"/>
      <c r="DJ444" s="69"/>
      <c r="DK444" s="69"/>
      <c r="DL444" s="69"/>
    </row>
    <row r="445" spans="1:116" ht="13" x14ac:dyDescent="0.3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202"/>
      <c r="V445" s="69"/>
      <c r="W445" s="69"/>
      <c r="X445" s="69"/>
      <c r="Y445" s="69"/>
      <c r="Z445" s="69"/>
      <c r="AA445" s="69"/>
      <c r="AB445" s="203"/>
      <c r="AC445" s="69"/>
      <c r="AD445" s="69"/>
      <c r="AE445" s="203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  <c r="AW445" s="69"/>
      <c r="AX445" s="69"/>
      <c r="AY445" s="69"/>
      <c r="AZ445" s="69"/>
      <c r="BA445" s="69"/>
      <c r="BB445" s="69"/>
      <c r="BC445" s="69"/>
      <c r="BD445" s="69"/>
      <c r="BE445" s="69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9"/>
      <c r="BY445" s="69"/>
      <c r="BZ445" s="69"/>
      <c r="CA445" s="69"/>
      <c r="CB445" s="69"/>
      <c r="CC445" s="69"/>
      <c r="CD445" s="69"/>
      <c r="CE445" s="69"/>
      <c r="CF445" s="69"/>
      <c r="CG445" s="69"/>
      <c r="CH445" s="69"/>
      <c r="CI445" s="69"/>
      <c r="CJ445" s="69"/>
      <c r="CK445" s="69"/>
      <c r="CL445" s="69"/>
      <c r="CM445" s="69"/>
      <c r="CN445" s="69"/>
      <c r="CO445" s="69"/>
      <c r="CP445" s="69"/>
      <c r="CQ445" s="69"/>
      <c r="CR445" s="69"/>
      <c r="CS445" s="69"/>
      <c r="CT445" s="69"/>
      <c r="CU445" s="69"/>
      <c r="CV445" s="69"/>
      <c r="CW445" s="69"/>
      <c r="CX445" s="69"/>
      <c r="CY445" s="69"/>
      <c r="CZ445" s="69"/>
      <c r="DA445" s="69"/>
      <c r="DB445" s="69"/>
      <c r="DC445" s="69"/>
      <c r="DD445" s="69"/>
      <c r="DE445" s="69"/>
      <c r="DF445" s="69"/>
      <c r="DG445" s="69"/>
      <c r="DH445" s="69"/>
      <c r="DI445" s="69"/>
      <c r="DJ445" s="69"/>
      <c r="DK445" s="69"/>
      <c r="DL445" s="69"/>
    </row>
    <row r="446" spans="1:116" ht="13" x14ac:dyDescent="0.3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202"/>
      <c r="V446" s="69"/>
      <c r="W446" s="69"/>
      <c r="X446" s="69"/>
      <c r="Y446" s="69"/>
      <c r="Z446" s="69"/>
      <c r="AA446" s="69"/>
      <c r="AB446" s="203"/>
      <c r="AC446" s="69"/>
      <c r="AD446" s="69"/>
      <c r="AE446" s="203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  <c r="AW446" s="69"/>
      <c r="AX446" s="69"/>
      <c r="AY446" s="69"/>
      <c r="AZ446" s="69"/>
      <c r="BA446" s="69"/>
      <c r="BB446" s="69"/>
      <c r="BC446" s="69"/>
      <c r="BD446" s="69"/>
      <c r="BE446" s="69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9"/>
      <c r="BY446" s="69"/>
      <c r="BZ446" s="69"/>
      <c r="CA446" s="69"/>
      <c r="CB446" s="69"/>
      <c r="CC446" s="69"/>
      <c r="CD446" s="69"/>
      <c r="CE446" s="69"/>
      <c r="CF446" s="69"/>
      <c r="CG446" s="69"/>
      <c r="CH446" s="69"/>
      <c r="CI446" s="69"/>
      <c r="CJ446" s="69"/>
      <c r="CK446" s="69"/>
      <c r="CL446" s="69"/>
      <c r="CM446" s="69"/>
      <c r="CN446" s="69"/>
      <c r="CO446" s="69"/>
      <c r="CP446" s="69"/>
      <c r="CQ446" s="69"/>
      <c r="CR446" s="69"/>
      <c r="CS446" s="69"/>
      <c r="CT446" s="69"/>
      <c r="CU446" s="69"/>
      <c r="CV446" s="69"/>
      <c r="CW446" s="69"/>
      <c r="CX446" s="69"/>
      <c r="CY446" s="69"/>
      <c r="CZ446" s="69"/>
      <c r="DA446" s="69"/>
      <c r="DB446" s="69"/>
      <c r="DC446" s="69"/>
      <c r="DD446" s="69"/>
      <c r="DE446" s="69"/>
      <c r="DF446" s="69"/>
      <c r="DG446" s="69"/>
      <c r="DH446" s="69"/>
      <c r="DI446" s="69"/>
      <c r="DJ446" s="69"/>
      <c r="DK446" s="69"/>
      <c r="DL446" s="69"/>
    </row>
    <row r="447" spans="1:116" ht="13" x14ac:dyDescent="0.3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202"/>
      <c r="V447" s="69"/>
      <c r="W447" s="69"/>
      <c r="X447" s="69"/>
      <c r="Y447" s="69"/>
      <c r="Z447" s="69"/>
      <c r="AA447" s="69"/>
      <c r="AB447" s="203"/>
      <c r="AC447" s="69"/>
      <c r="AD447" s="69"/>
      <c r="AE447" s="203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  <c r="AW447" s="69"/>
      <c r="AX447" s="69"/>
      <c r="AY447" s="69"/>
      <c r="AZ447" s="69"/>
      <c r="BA447" s="69"/>
      <c r="BB447" s="69"/>
      <c r="BC447" s="69"/>
      <c r="BD447" s="69"/>
      <c r="BE447" s="69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9"/>
      <c r="BY447" s="69"/>
      <c r="BZ447" s="69"/>
      <c r="CA447" s="69"/>
      <c r="CB447" s="69"/>
      <c r="CC447" s="69"/>
      <c r="CD447" s="69"/>
      <c r="CE447" s="69"/>
      <c r="CF447" s="69"/>
      <c r="CG447" s="69"/>
      <c r="CH447" s="69"/>
      <c r="CI447" s="69"/>
      <c r="CJ447" s="69"/>
      <c r="CK447" s="69"/>
      <c r="CL447" s="69"/>
      <c r="CM447" s="69"/>
      <c r="CN447" s="69"/>
      <c r="CO447" s="69"/>
      <c r="CP447" s="69"/>
      <c r="CQ447" s="69"/>
      <c r="CR447" s="69"/>
      <c r="CS447" s="69"/>
      <c r="CT447" s="69"/>
      <c r="CU447" s="69"/>
      <c r="CV447" s="69"/>
      <c r="CW447" s="69"/>
      <c r="CX447" s="69"/>
      <c r="CY447" s="69"/>
      <c r="CZ447" s="69"/>
      <c r="DA447" s="69"/>
      <c r="DB447" s="69"/>
      <c r="DC447" s="69"/>
      <c r="DD447" s="69"/>
      <c r="DE447" s="69"/>
      <c r="DF447" s="69"/>
      <c r="DG447" s="69"/>
      <c r="DH447" s="69"/>
      <c r="DI447" s="69"/>
      <c r="DJ447" s="69"/>
      <c r="DK447" s="69"/>
      <c r="DL447" s="69"/>
    </row>
    <row r="448" spans="1:116" ht="13" x14ac:dyDescent="0.3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202"/>
      <c r="V448" s="69"/>
      <c r="W448" s="69"/>
      <c r="X448" s="69"/>
      <c r="Y448" s="69"/>
      <c r="Z448" s="69"/>
      <c r="AA448" s="69"/>
      <c r="AB448" s="203"/>
      <c r="AC448" s="69"/>
      <c r="AD448" s="69"/>
      <c r="AE448" s="203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  <c r="AW448" s="69"/>
      <c r="AX448" s="69"/>
      <c r="AY448" s="69"/>
      <c r="AZ448" s="69"/>
      <c r="BA448" s="69"/>
      <c r="BB448" s="69"/>
      <c r="BC448" s="69"/>
      <c r="BD448" s="69"/>
      <c r="BE448" s="69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9"/>
      <c r="BY448" s="69"/>
      <c r="BZ448" s="69"/>
      <c r="CA448" s="69"/>
      <c r="CB448" s="69"/>
      <c r="CC448" s="69"/>
      <c r="CD448" s="69"/>
      <c r="CE448" s="69"/>
      <c r="CF448" s="69"/>
      <c r="CG448" s="69"/>
      <c r="CH448" s="69"/>
      <c r="CI448" s="69"/>
      <c r="CJ448" s="69"/>
      <c r="CK448" s="69"/>
      <c r="CL448" s="69"/>
      <c r="CM448" s="69"/>
      <c r="CN448" s="69"/>
      <c r="CO448" s="69"/>
      <c r="CP448" s="69"/>
      <c r="CQ448" s="69"/>
      <c r="CR448" s="69"/>
      <c r="CS448" s="69"/>
      <c r="CT448" s="69"/>
      <c r="CU448" s="69"/>
      <c r="CV448" s="69"/>
      <c r="CW448" s="69"/>
      <c r="CX448" s="69"/>
      <c r="CY448" s="69"/>
      <c r="CZ448" s="69"/>
      <c r="DA448" s="69"/>
      <c r="DB448" s="69"/>
      <c r="DC448" s="69"/>
      <c r="DD448" s="69"/>
      <c r="DE448" s="69"/>
      <c r="DF448" s="69"/>
      <c r="DG448" s="69"/>
      <c r="DH448" s="69"/>
      <c r="DI448" s="69"/>
      <c r="DJ448" s="69"/>
      <c r="DK448" s="69"/>
      <c r="DL448" s="69"/>
    </row>
    <row r="449" spans="1:116" ht="13" x14ac:dyDescent="0.3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202"/>
      <c r="V449" s="69"/>
      <c r="W449" s="69"/>
      <c r="X449" s="69"/>
      <c r="Y449" s="69"/>
      <c r="Z449" s="69"/>
      <c r="AA449" s="69"/>
      <c r="AB449" s="203"/>
      <c r="AC449" s="69"/>
      <c r="AD449" s="69"/>
      <c r="AE449" s="203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  <c r="AW449" s="69"/>
      <c r="AX449" s="69"/>
      <c r="AY449" s="69"/>
      <c r="AZ449" s="69"/>
      <c r="BA449" s="69"/>
      <c r="BB449" s="69"/>
      <c r="BC449" s="69"/>
      <c r="BD449" s="69"/>
      <c r="BE449" s="69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9"/>
      <c r="BY449" s="69"/>
      <c r="BZ449" s="69"/>
      <c r="CA449" s="69"/>
      <c r="CB449" s="69"/>
      <c r="CC449" s="69"/>
      <c r="CD449" s="69"/>
      <c r="CE449" s="69"/>
      <c r="CF449" s="69"/>
      <c r="CG449" s="69"/>
      <c r="CH449" s="69"/>
      <c r="CI449" s="69"/>
      <c r="CJ449" s="69"/>
      <c r="CK449" s="69"/>
      <c r="CL449" s="69"/>
      <c r="CM449" s="69"/>
      <c r="CN449" s="69"/>
      <c r="CO449" s="69"/>
      <c r="CP449" s="69"/>
      <c r="CQ449" s="69"/>
      <c r="CR449" s="69"/>
      <c r="CS449" s="69"/>
      <c r="CT449" s="69"/>
      <c r="CU449" s="69"/>
      <c r="CV449" s="69"/>
      <c r="CW449" s="69"/>
      <c r="CX449" s="69"/>
      <c r="CY449" s="69"/>
      <c r="CZ449" s="69"/>
      <c r="DA449" s="69"/>
      <c r="DB449" s="69"/>
      <c r="DC449" s="69"/>
      <c r="DD449" s="69"/>
      <c r="DE449" s="69"/>
      <c r="DF449" s="69"/>
      <c r="DG449" s="69"/>
      <c r="DH449" s="69"/>
      <c r="DI449" s="69"/>
      <c r="DJ449" s="69"/>
      <c r="DK449" s="69"/>
      <c r="DL449" s="69"/>
    </row>
    <row r="450" spans="1:116" ht="13" x14ac:dyDescent="0.3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202"/>
      <c r="V450" s="69"/>
      <c r="W450" s="69"/>
      <c r="X450" s="69"/>
      <c r="Y450" s="69"/>
      <c r="Z450" s="69"/>
      <c r="AA450" s="69"/>
      <c r="AB450" s="203"/>
      <c r="AC450" s="69"/>
      <c r="AD450" s="69"/>
      <c r="AE450" s="203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  <c r="AW450" s="69"/>
      <c r="AX450" s="69"/>
      <c r="AY450" s="69"/>
      <c r="AZ450" s="69"/>
      <c r="BA450" s="69"/>
      <c r="BB450" s="69"/>
      <c r="BC450" s="69"/>
      <c r="BD450" s="69"/>
      <c r="BE450" s="69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9"/>
      <c r="BY450" s="69"/>
      <c r="BZ450" s="69"/>
      <c r="CA450" s="69"/>
      <c r="CB450" s="69"/>
      <c r="CC450" s="69"/>
      <c r="CD450" s="69"/>
      <c r="CE450" s="69"/>
      <c r="CF450" s="69"/>
      <c r="CG450" s="69"/>
      <c r="CH450" s="69"/>
      <c r="CI450" s="69"/>
      <c r="CJ450" s="69"/>
      <c r="CK450" s="69"/>
      <c r="CL450" s="69"/>
      <c r="CM450" s="69"/>
      <c r="CN450" s="69"/>
      <c r="CO450" s="69"/>
      <c r="CP450" s="69"/>
      <c r="CQ450" s="69"/>
      <c r="CR450" s="69"/>
      <c r="CS450" s="69"/>
      <c r="CT450" s="69"/>
      <c r="CU450" s="69"/>
      <c r="CV450" s="69"/>
      <c r="CW450" s="69"/>
      <c r="CX450" s="69"/>
      <c r="CY450" s="69"/>
      <c r="CZ450" s="69"/>
      <c r="DA450" s="69"/>
      <c r="DB450" s="69"/>
      <c r="DC450" s="69"/>
      <c r="DD450" s="69"/>
      <c r="DE450" s="69"/>
      <c r="DF450" s="69"/>
      <c r="DG450" s="69"/>
      <c r="DH450" s="69"/>
      <c r="DI450" s="69"/>
      <c r="DJ450" s="69"/>
      <c r="DK450" s="69"/>
      <c r="DL450" s="69"/>
    </row>
    <row r="451" spans="1:116" ht="13" x14ac:dyDescent="0.3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202"/>
      <c r="V451" s="69"/>
      <c r="W451" s="69"/>
      <c r="X451" s="69"/>
      <c r="Y451" s="69"/>
      <c r="Z451" s="69"/>
      <c r="AA451" s="69"/>
      <c r="AB451" s="203"/>
      <c r="AC451" s="69"/>
      <c r="AD451" s="69"/>
      <c r="AE451" s="203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  <c r="AW451" s="69"/>
      <c r="AX451" s="69"/>
      <c r="AY451" s="69"/>
      <c r="AZ451" s="69"/>
      <c r="BA451" s="69"/>
      <c r="BB451" s="69"/>
      <c r="BC451" s="69"/>
      <c r="BD451" s="69"/>
      <c r="BE451" s="69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9"/>
      <c r="BY451" s="69"/>
      <c r="BZ451" s="69"/>
      <c r="CA451" s="69"/>
      <c r="CB451" s="69"/>
      <c r="CC451" s="69"/>
      <c r="CD451" s="69"/>
      <c r="CE451" s="69"/>
      <c r="CF451" s="69"/>
      <c r="CG451" s="69"/>
      <c r="CH451" s="69"/>
      <c r="CI451" s="69"/>
      <c r="CJ451" s="69"/>
      <c r="CK451" s="69"/>
      <c r="CL451" s="69"/>
      <c r="CM451" s="69"/>
      <c r="CN451" s="69"/>
      <c r="CO451" s="69"/>
      <c r="CP451" s="69"/>
      <c r="CQ451" s="69"/>
      <c r="CR451" s="69"/>
      <c r="CS451" s="69"/>
      <c r="CT451" s="69"/>
      <c r="CU451" s="69"/>
      <c r="CV451" s="69"/>
      <c r="CW451" s="69"/>
      <c r="CX451" s="69"/>
      <c r="CY451" s="69"/>
      <c r="CZ451" s="69"/>
      <c r="DA451" s="69"/>
      <c r="DB451" s="69"/>
      <c r="DC451" s="69"/>
      <c r="DD451" s="69"/>
      <c r="DE451" s="69"/>
      <c r="DF451" s="69"/>
      <c r="DG451" s="69"/>
      <c r="DH451" s="69"/>
      <c r="DI451" s="69"/>
      <c r="DJ451" s="69"/>
      <c r="DK451" s="69"/>
      <c r="DL451" s="69"/>
    </row>
    <row r="452" spans="1:116" ht="13" x14ac:dyDescent="0.3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202"/>
      <c r="V452" s="69"/>
      <c r="W452" s="69"/>
      <c r="X452" s="69"/>
      <c r="Y452" s="69"/>
      <c r="Z452" s="69"/>
      <c r="AA452" s="69"/>
      <c r="AB452" s="203"/>
      <c r="AC452" s="69"/>
      <c r="AD452" s="69"/>
      <c r="AE452" s="203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9"/>
      <c r="BY452" s="69"/>
      <c r="BZ452" s="69"/>
      <c r="CA452" s="69"/>
      <c r="CB452" s="69"/>
      <c r="CC452" s="69"/>
      <c r="CD452" s="69"/>
      <c r="CE452" s="69"/>
      <c r="CF452" s="69"/>
      <c r="CG452" s="69"/>
      <c r="CH452" s="69"/>
      <c r="CI452" s="69"/>
      <c r="CJ452" s="69"/>
      <c r="CK452" s="69"/>
      <c r="CL452" s="69"/>
      <c r="CM452" s="69"/>
      <c r="CN452" s="69"/>
      <c r="CO452" s="69"/>
      <c r="CP452" s="69"/>
      <c r="CQ452" s="69"/>
      <c r="CR452" s="69"/>
      <c r="CS452" s="69"/>
      <c r="CT452" s="69"/>
      <c r="CU452" s="69"/>
      <c r="CV452" s="69"/>
      <c r="CW452" s="69"/>
      <c r="CX452" s="69"/>
      <c r="CY452" s="69"/>
      <c r="CZ452" s="69"/>
      <c r="DA452" s="69"/>
      <c r="DB452" s="69"/>
      <c r="DC452" s="69"/>
      <c r="DD452" s="69"/>
      <c r="DE452" s="69"/>
      <c r="DF452" s="69"/>
      <c r="DG452" s="69"/>
      <c r="DH452" s="69"/>
      <c r="DI452" s="69"/>
      <c r="DJ452" s="69"/>
      <c r="DK452" s="69"/>
      <c r="DL452" s="69"/>
    </row>
    <row r="453" spans="1:116" ht="13" x14ac:dyDescent="0.3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202"/>
      <c r="V453" s="69"/>
      <c r="W453" s="69"/>
      <c r="X453" s="69"/>
      <c r="Y453" s="69"/>
      <c r="Z453" s="69"/>
      <c r="AA453" s="69"/>
      <c r="AB453" s="203"/>
      <c r="AC453" s="69"/>
      <c r="AD453" s="69"/>
      <c r="AE453" s="203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9"/>
      <c r="BY453" s="69"/>
      <c r="BZ453" s="69"/>
      <c r="CA453" s="69"/>
      <c r="CB453" s="69"/>
      <c r="CC453" s="69"/>
      <c r="CD453" s="69"/>
      <c r="CE453" s="69"/>
      <c r="CF453" s="69"/>
      <c r="CG453" s="69"/>
      <c r="CH453" s="69"/>
      <c r="CI453" s="69"/>
      <c r="CJ453" s="69"/>
      <c r="CK453" s="69"/>
      <c r="CL453" s="69"/>
      <c r="CM453" s="69"/>
      <c r="CN453" s="69"/>
      <c r="CO453" s="69"/>
      <c r="CP453" s="69"/>
      <c r="CQ453" s="69"/>
      <c r="CR453" s="69"/>
      <c r="CS453" s="69"/>
      <c r="CT453" s="69"/>
      <c r="CU453" s="69"/>
      <c r="CV453" s="69"/>
      <c r="CW453" s="69"/>
      <c r="CX453" s="69"/>
      <c r="CY453" s="69"/>
      <c r="CZ453" s="69"/>
      <c r="DA453" s="69"/>
      <c r="DB453" s="69"/>
      <c r="DC453" s="69"/>
      <c r="DD453" s="69"/>
      <c r="DE453" s="69"/>
      <c r="DF453" s="69"/>
      <c r="DG453" s="69"/>
      <c r="DH453" s="69"/>
      <c r="DI453" s="69"/>
      <c r="DJ453" s="69"/>
      <c r="DK453" s="69"/>
      <c r="DL453" s="69"/>
    </row>
    <row r="454" spans="1:116" ht="13" x14ac:dyDescent="0.3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202"/>
      <c r="V454" s="69"/>
      <c r="W454" s="69"/>
      <c r="X454" s="69"/>
      <c r="Y454" s="69"/>
      <c r="Z454" s="69"/>
      <c r="AA454" s="69"/>
      <c r="AB454" s="203"/>
      <c r="AC454" s="69"/>
      <c r="AD454" s="69"/>
      <c r="AE454" s="203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  <c r="AW454" s="69"/>
      <c r="AX454" s="69"/>
      <c r="AY454" s="69"/>
      <c r="AZ454" s="69"/>
      <c r="BA454" s="69"/>
      <c r="BB454" s="69"/>
      <c r="BC454" s="69"/>
      <c r="BD454" s="69"/>
      <c r="BE454" s="69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9"/>
      <c r="BY454" s="69"/>
      <c r="BZ454" s="69"/>
      <c r="CA454" s="69"/>
      <c r="CB454" s="69"/>
      <c r="CC454" s="69"/>
      <c r="CD454" s="69"/>
      <c r="CE454" s="69"/>
      <c r="CF454" s="69"/>
      <c r="CG454" s="69"/>
      <c r="CH454" s="69"/>
      <c r="CI454" s="69"/>
      <c r="CJ454" s="69"/>
      <c r="CK454" s="69"/>
      <c r="CL454" s="69"/>
      <c r="CM454" s="69"/>
      <c r="CN454" s="69"/>
      <c r="CO454" s="69"/>
      <c r="CP454" s="69"/>
      <c r="CQ454" s="69"/>
      <c r="CR454" s="69"/>
      <c r="CS454" s="69"/>
      <c r="CT454" s="69"/>
      <c r="CU454" s="69"/>
      <c r="CV454" s="69"/>
      <c r="CW454" s="69"/>
      <c r="CX454" s="69"/>
      <c r="CY454" s="69"/>
      <c r="CZ454" s="69"/>
      <c r="DA454" s="69"/>
      <c r="DB454" s="69"/>
      <c r="DC454" s="69"/>
      <c r="DD454" s="69"/>
      <c r="DE454" s="69"/>
      <c r="DF454" s="69"/>
      <c r="DG454" s="69"/>
      <c r="DH454" s="69"/>
      <c r="DI454" s="69"/>
      <c r="DJ454" s="69"/>
      <c r="DK454" s="69"/>
      <c r="DL454" s="69"/>
    </row>
    <row r="455" spans="1:116" ht="13" x14ac:dyDescent="0.3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202"/>
      <c r="V455" s="69"/>
      <c r="W455" s="69"/>
      <c r="X455" s="69"/>
      <c r="Y455" s="69"/>
      <c r="Z455" s="69"/>
      <c r="AA455" s="69"/>
      <c r="AB455" s="203"/>
      <c r="AC455" s="69"/>
      <c r="AD455" s="69"/>
      <c r="AE455" s="203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9"/>
      <c r="BY455" s="69"/>
      <c r="BZ455" s="69"/>
      <c r="CA455" s="69"/>
      <c r="CB455" s="69"/>
      <c r="CC455" s="69"/>
      <c r="CD455" s="69"/>
      <c r="CE455" s="69"/>
      <c r="CF455" s="69"/>
      <c r="CG455" s="69"/>
      <c r="CH455" s="69"/>
      <c r="CI455" s="69"/>
      <c r="CJ455" s="69"/>
      <c r="CK455" s="69"/>
      <c r="CL455" s="69"/>
      <c r="CM455" s="69"/>
      <c r="CN455" s="69"/>
      <c r="CO455" s="69"/>
      <c r="CP455" s="69"/>
      <c r="CQ455" s="69"/>
      <c r="CR455" s="69"/>
      <c r="CS455" s="69"/>
      <c r="CT455" s="69"/>
      <c r="CU455" s="69"/>
      <c r="CV455" s="69"/>
      <c r="CW455" s="69"/>
      <c r="CX455" s="69"/>
      <c r="CY455" s="69"/>
      <c r="CZ455" s="69"/>
      <c r="DA455" s="69"/>
      <c r="DB455" s="69"/>
      <c r="DC455" s="69"/>
      <c r="DD455" s="69"/>
      <c r="DE455" s="69"/>
      <c r="DF455" s="69"/>
      <c r="DG455" s="69"/>
      <c r="DH455" s="69"/>
      <c r="DI455" s="69"/>
      <c r="DJ455" s="69"/>
      <c r="DK455" s="69"/>
      <c r="DL455" s="69"/>
    </row>
    <row r="456" spans="1:116" ht="13" x14ac:dyDescent="0.3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202"/>
      <c r="V456" s="69"/>
      <c r="W456" s="69"/>
      <c r="X456" s="69"/>
      <c r="Y456" s="69"/>
      <c r="Z456" s="69"/>
      <c r="AA456" s="69"/>
      <c r="AB456" s="203"/>
      <c r="AC456" s="69"/>
      <c r="AD456" s="69"/>
      <c r="AE456" s="203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9"/>
      <c r="BY456" s="69"/>
      <c r="BZ456" s="69"/>
      <c r="CA456" s="69"/>
      <c r="CB456" s="69"/>
      <c r="CC456" s="69"/>
      <c r="CD456" s="69"/>
      <c r="CE456" s="69"/>
      <c r="CF456" s="69"/>
      <c r="CG456" s="69"/>
      <c r="CH456" s="69"/>
      <c r="CI456" s="69"/>
      <c r="CJ456" s="69"/>
      <c r="CK456" s="69"/>
      <c r="CL456" s="69"/>
      <c r="CM456" s="69"/>
      <c r="CN456" s="69"/>
      <c r="CO456" s="69"/>
      <c r="CP456" s="69"/>
      <c r="CQ456" s="69"/>
      <c r="CR456" s="69"/>
      <c r="CS456" s="69"/>
      <c r="CT456" s="69"/>
      <c r="CU456" s="69"/>
      <c r="CV456" s="69"/>
      <c r="CW456" s="69"/>
      <c r="CX456" s="69"/>
      <c r="CY456" s="69"/>
      <c r="CZ456" s="69"/>
      <c r="DA456" s="69"/>
      <c r="DB456" s="69"/>
      <c r="DC456" s="69"/>
      <c r="DD456" s="69"/>
      <c r="DE456" s="69"/>
      <c r="DF456" s="69"/>
      <c r="DG456" s="69"/>
      <c r="DH456" s="69"/>
      <c r="DI456" s="69"/>
      <c r="DJ456" s="69"/>
      <c r="DK456" s="69"/>
      <c r="DL456" s="69"/>
    </row>
    <row r="457" spans="1:116" ht="13" x14ac:dyDescent="0.3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202"/>
      <c r="V457" s="69"/>
      <c r="W457" s="69"/>
      <c r="X457" s="69"/>
      <c r="Y457" s="69"/>
      <c r="Z457" s="69"/>
      <c r="AA457" s="69"/>
      <c r="AB457" s="203"/>
      <c r="AC457" s="69"/>
      <c r="AD457" s="69"/>
      <c r="AE457" s="203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9"/>
      <c r="BY457" s="69"/>
      <c r="BZ457" s="69"/>
      <c r="CA457" s="69"/>
      <c r="CB457" s="69"/>
      <c r="CC457" s="69"/>
      <c r="CD457" s="69"/>
      <c r="CE457" s="69"/>
      <c r="CF457" s="69"/>
      <c r="CG457" s="69"/>
      <c r="CH457" s="69"/>
      <c r="CI457" s="69"/>
      <c r="CJ457" s="69"/>
      <c r="CK457" s="69"/>
      <c r="CL457" s="69"/>
      <c r="CM457" s="69"/>
      <c r="CN457" s="69"/>
      <c r="CO457" s="69"/>
      <c r="CP457" s="69"/>
      <c r="CQ457" s="69"/>
      <c r="CR457" s="69"/>
      <c r="CS457" s="69"/>
      <c r="CT457" s="69"/>
      <c r="CU457" s="69"/>
      <c r="CV457" s="69"/>
      <c r="CW457" s="69"/>
      <c r="CX457" s="69"/>
      <c r="CY457" s="69"/>
      <c r="CZ457" s="69"/>
      <c r="DA457" s="69"/>
      <c r="DB457" s="69"/>
      <c r="DC457" s="69"/>
      <c r="DD457" s="69"/>
      <c r="DE457" s="69"/>
      <c r="DF457" s="69"/>
      <c r="DG457" s="69"/>
      <c r="DH457" s="69"/>
      <c r="DI457" s="69"/>
      <c r="DJ457" s="69"/>
      <c r="DK457" s="69"/>
      <c r="DL457" s="69"/>
    </row>
    <row r="458" spans="1:116" ht="13" x14ac:dyDescent="0.3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202"/>
      <c r="V458" s="69"/>
      <c r="W458" s="69"/>
      <c r="X458" s="69"/>
      <c r="Y458" s="69"/>
      <c r="Z458" s="69"/>
      <c r="AA458" s="69"/>
      <c r="AB458" s="203"/>
      <c r="AC458" s="69"/>
      <c r="AD458" s="69"/>
      <c r="AE458" s="203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  <c r="AW458" s="69"/>
      <c r="AX458" s="69"/>
      <c r="AY458" s="69"/>
      <c r="AZ458" s="69"/>
      <c r="BA458" s="69"/>
      <c r="BB458" s="69"/>
      <c r="BC458" s="69"/>
      <c r="BD458" s="69"/>
      <c r="BE458" s="69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9"/>
      <c r="BY458" s="69"/>
      <c r="BZ458" s="69"/>
      <c r="CA458" s="69"/>
      <c r="CB458" s="69"/>
      <c r="CC458" s="69"/>
      <c r="CD458" s="69"/>
      <c r="CE458" s="69"/>
      <c r="CF458" s="69"/>
      <c r="CG458" s="69"/>
      <c r="CH458" s="69"/>
      <c r="CI458" s="69"/>
      <c r="CJ458" s="69"/>
      <c r="CK458" s="69"/>
      <c r="CL458" s="69"/>
      <c r="CM458" s="69"/>
      <c r="CN458" s="69"/>
      <c r="CO458" s="69"/>
      <c r="CP458" s="69"/>
      <c r="CQ458" s="69"/>
      <c r="CR458" s="69"/>
      <c r="CS458" s="69"/>
      <c r="CT458" s="69"/>
      <c r="CU458" s="69"/>
      <c r="CV458" s="69"/>
      <c r="CW458" s="69"/>
      <c r="CX458" s="69"/>
      <c r="CY458" s="69"/>
      <c r="CZ458" s="69"/>
      <c r="DA458" s="69"/>
      <c r="DB458" s="69"/>
      <c r="DC458" s="69"/>
      <c r="DD458" s="69"/>
      <c r="DE458" s="69"/>
      <c r="DF458" s="69"/>
      <c r="DG458" s="69"/>
      <c r="DH458" s="69"/>
      <c r="DI458" s="69"/>
      <c r="DJ458" s="69"/>
      <c r="DK458" s="69"/>
      <c r="DL458" s="69"/>
    </row>
    <row r="459" spans="1:116" ht="13" x14ac:dyDescent="0.3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202"/>
      <c r="V459" s="69"/>
      <c r="W459" s="69"/>
      <c r="X459" s="69"/>
      <c r="Y459" s="69"/>
      <c r="Z459" s="69"/>
      <c r="AA459" s="69"/>
      <c r="AB459" s="203"/>
      <c r="AC459" s="69"/>
      <c r="AD459" s="69"/>
      <c r="AE459" s="203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9"/>
      <c r="BY459" s="69"/>
      <c r="BZ459" s="69"/>
      <c r="CA459" s="69"/>
      <c r="CB459" s="69"/>
      <c r="CC459" s="69"/>
      <c r="CD459" s="69"/>
      <c r="CE459" s="69"/>
      <c r="CF459" s="69"/>
      <c r="CG459" s="69"/>
      <c r="CH459" s="69"/>
      <c r="CI459" s="69"/>
      <c r="CJ459" s="69"/>
      <c r="CK459" s="69"/>
      <c r="CL459" s="69"/>
      <c r="CM459" s="69"/>
      <c r="CN459" s="69"/>
      <c r="CO459" s="69"/>
      <c r="CP459" s="69"/>
      <c r="CQ459" s="69"/>
      <c r="CR459" s="69"/>
      <c r="CS459" s="69"/>
      <c r="CT459" s="69"/>
      <c r="CU459" s="69"/>
      <c r="CV459" s="69"/>
      <c r="CW459" s="69"/>
      <c r="CX459" s="69"/>
      <c r="CY459" s="69"/>
      <c r="CZ459" s="69"/>
      <c r="DA459" s="69"/>
      <c r="DB459" s="69"/>
      <c r="DC459" s="69"/>
      <c r="DD459" s="69"/>
      <c r="DE459" s="69"/>
      <c r="DF459" s="69"/>
      <c r="DG459" s="69"/>
      <c r="DH459" s="69"/>
      <c r="DI459" s="69"/>
      <c r="DJ459" s="69"/>
      <c r="DK459" s="69"/>
      <c r="DL459" s="69"/>
    </row>
    <row r="460" spans="1:116" ht="13" x14ac:dyDescent="0.3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202"/>
      <c r="V460" s="69"/>
      <c r="W460" s="69"/>
      <c r="X460" s="69"/>
      <c r="Y460" s="69"/>
      <c r="Z460" s="69"/>
      <c r="AA460" s="69"/>
      <c r="AB460" s="203"/>
      <c r="AC460" s="69"/>
      <c r="AD460" s="69"/>
      <c r="AE460" s="203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9"/>
      <c r="BY460" s="69"/>
      <c r="BZ460" s="69"/>
      <c r="CA460" s="69"/>
      <c r="CB460" s="69"/>
      <c r="CC460" s="69"/>
      <c r="CD460" s="69"/>
      <c r="CE460" s="69"/>
      <c r="CF460" s="69"/>
      <c r="CG460" s="69"/>
      <c r="CH460" s="69"/>
      <c r="CI460" s="69"/>
      <c r="CJ460" s="69"/>
      <c r="CK460" s="69"/>
      <c r="CL460" s="69"/>
      <c r="CM460" s="69"/>
      <c r="CN460" s="69"/>
      <c r="CO460" s="69"/>
      <c r="CP460" s="69"/>
      <c r="CQ460" s="69"/>
      <c r="CR460" s="69"/>
      <c r="CS460" s="69"/>
      <c r="CT460" s="69"/>
      <c r="CU460" s="69"/>
      <c r="CV460" s="69"/>
      <c r="CW460" s="69"/>
      <c r="CX460" s="69"/>
      <c r="CY460" s="69"/>
      <c r="CZ460" s="69"/>
      <c r="DA460" s="69"/>
      <c r="DB460" s="69"/>
      <c r="DC460" s="69"/>
      <c r="DD460" s="69"/>
      <c r="DE460" s="69"/>
      <c r="DF460" s="69"/>
      <c r="DG460" s="69"/>
      <c r="DH460" s="69"/>
      <c r="DI460" s="69"/>
      <c r="DJ460" s="69"/>
      <c r="DK460" s="69"/>
      <c r="DL460" s="69"/>
    </row>
    <row r="461" spans="1:116" ht="13" x14ac:dyDescent="0.3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202"/>
      <c r="V461" s="69"/>
      <c r="W461" s="69"/>
      <c r="X461" s="69"/>
      <c r="Y461" s="69"/>
      <c r="Z461" s="69"/>
      <c r="AA461" s="69"/>
      <c r="AB461" s="203"/>
      <c r="AC461" s="69"/>
      <c r="AD461" s="69"/>
      <c r="AE461" s="203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  <c r="AW461" s="69"/>
      <c r="AX461" s="69"/>
      <c r="AY461" s="69"/>
      <c r="AZ461" s="69"/>
      <c r="BA461" s="69"/>
      <c r="BB461" s="69"/>
      <c r="BC461" s="69"/>
      <c r="BD461" s="69"/>
      <c r="BE461" s="69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9"/>
      <c r="BY461" s="69"/>
      <c r="BZ461" s="69"/>
      <c r="CA461" s="69"/>
      <c r="CB461" s="69"/>
      <c r="CC461" s="69"/>
      <c r="CD461" s="69"/>
      <c r="CE461" s="69"/>
      <c r="CF461" s="69"/>
      <c r="CG461" s="69"/>
      <c r="CH461" s="69"/>
      <c r="CI461" s="69"/>
      <c r="CJ461" s="69"/>
      <c r="CK461" s="69"/>
      <c r="CL461" s="69"/>
      <c r="CM461" s="69"/>
      <c r="CN461" s="69"/>
      <c r="CO461" s="69"/>
      <c r="CP461" s="69"/>
      <c r="CQ461" s="69"/>
      <c r="CR461" s="69"/>
      <c r="CS461" s="69"/>
      <c r="CT461" s="69"/>
      <c r="CU461" s="69"/>
      <c r="CV461" s="69"/>
      <c r="CW461" s="69"/>
      <c r="CX461" s="69"/>
      <c r="CY461" s="69"/>
      <c r="CZ461" s="69"/>
      <c r="DA461" s="69"/>
      <c r="DB461" s="69"/>
      <c r="DC461" s="69"/>
      <c r="DD461" s="69"/>
      <c r="DE461" s="69"/>
      <c r="DF461" s="69"/>
      <c r="DG461" s="69"/>
      <c r="DH461" s="69"/>
      <c r="DI461" s="69"/>
      <c r="DJ461" s="69"/>
      <c r="DK461" s="69"/>
      <c r="DL461" s="69"/>
    </row>
    <row r="462" spans="1:116" ht="13" x14ac:dyDescent="0.3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202"/>
      <c r="V462" s="69"/>
      <c r="W462" s="69"/>
      <c r="X462" s="69"/>
      <c r="Y462" s="69"/>
      <c r="Z462" s="69"/>
      <c r="AA462" s="69"/>
      <c r="AB462" s="203"/>
      <c r="AC462" s="69"/>
      <c r="AD462" s="69"/>
      <c r="AE462" s="203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  <c r="AW462" s="69"/>
      <c r="AX462" s="69"/>
      <c r="AY462" s="69"/>
      <c r="AZ462" s="69"/>
      <c r="BA462" s="69"/>
      <c r="BB462" s="69"/>
      <c r="BC462" s="69"/>
      <c r="BD462" s="69"/>
      <c r="BE462" s="69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9"/>
      <c r="BY462" s="69"/>
      <c r="BZ462" s="69"/>
      <c r="CA462" s="69"/>
      <c r="CB462" s="69"/>
      <c r="CC462" s="69"/>
      <c r="CD462" s="69"/>
      <c r="CE462" s="69"/>
      <c r="CF462" s="69"/>
      <c r="CG462" s="69"/>
      <c r="CH462" s="69"/>
      <c r="CI462" s="69"/>
      <c r="CJ462" s="69"/>
      <c r="CK462" s="69"/>
      <c r="CL462" s="69"/>
      <c r="CM462" s="69"/>
      <c r="CN462" s="69"/>
      <c r="CO462" s="69"/>
      <c r="CP462" s="69"/>
      <c r="CQ462" s="69"/>
      <c r="CR462" s="69"/>
      <c r="CS462" s="69"/>
      <c r="CT462" s="69"/>
      <c r="CU462" s="69"/>
      <c r="CV462" s="69"/>
      <c r="CW462" s="69"/>
      <c r="CX462" s="69"/>
      <c r="CY462" s="69"/>
      <c r="CZ462" s="69"/>
      <c r="DA462" s="69"/>
      <c r="DB462" s="69"/>
      <c r="DC462" s="69"/>
      <c r="DD462" s="69"/>
      <c r="DE462" s="69"/>
      <c r="DF462" s="69"/>
      <c r="DG462" s="69"/>
      <c r="DH462" s="69"/>
      <c r="DI462" s="69"/>
      <c r="DJ462" s="69"/>
      <c r="DK462" s="69"/>
      <c r="DL462" s="69"/>
    </row>
    <row r="463" spans="1:116" ht="13" x14ac:dyDescent="0.3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202"/>
      <c r="V463" s="69"/>
      <c r="W463" s="69"/>
      <c r="X463" s="69"/>
      <c r="Y463" s="69"/>
      <c r="Z463" s="69"/>
      <c r="AA463" s="69"/>
      <c r="AB463" s="203"/>
      <c r="AC463" s="69"/>
      <c r="AD463" s="69"/>
      <c r="AE463" s="203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  <c r="AW463" s="69"/>
      <c r="AX463" s="69"/>
      <c r="AY463" s="69"/>
      <c r="AZ463" s="69"/>
      <c r="BA463" s="69"/>
      <c r="BB463" s="69"/>
      <c r="BC463" s="69"/>
      <c r="BD463" s="69"/>
      <c r="BE463" s="69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9"/>
      <c r="BY463" s="69"/>
      <c r="BZ463" s="69"/>
      <c r="CA463" s="69"/>
      <c r="CB463" s="69"/>
      <c r="CC463" s="69"/>
      <c r="CD463" s="69"/>
      <c r="CE463" s="69"/>
      <c r="CF463" s="69"/>
      <c r="CG463" s="69"/>
      <c r="CH463" s="69"/>
      <c r="CI463" s="69"/>
      <c r="CJ463" s="69"/>
      <c r="CK463" s="69"/>
      <c r="CL463" s="69"/>
      <c r="CM463" s="69"/>
      <c r="CN463" s="69"/>
      <c r="CO463" s="69"/>
      <c r="CP463" s="69"/>
      <c r="CQ463" s="69"/>
      <c r="CR463" s="69"/>
      <c r="CS463" s="69"/>
      <c r="CT463" s="69"/>
      <c r="CU463" s="69"/>
      <c r="CV463" s="69"/>
      <c r="CW463" s="69"/>
      <c r="CX463" s="69"/>
      <c r="CY463" s="69"/>
      <c r="CZ463" s="69"/>
      <c r="DA463" s="69"/>
      <c r="DB463" s="69"/>
      <c r="DC463" s="69"/>
      <c r="DD463" s="69"/>
      <c r="DE463" s="69"/>
      <c r="DF463" s="69"/>
      <c r="DG463" s="69"/>
      <c r="DH463" s="69"/>
      <c r="DI463" s="69"/>
      <c r="DJ463" s="69"/>
      <c r="DK463" s="69"/>
      <c r="DL463" s="69"/>
    </row>
    <row r="464" spans="1:116" ht="13" x14ac:dyDescent="0.3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202"/>
      <c r="V464" s="69"/>
      <c r="W464" s="69"/>
      <c r="X464" s="69"/>
      <c r="Y464" s="69"/>
      <c r="Z464" s="69"/>
      <c r="AA464" s="69"/>
      <c r="AB464" s="203"/>
      <c r="AC464" s="69"/>
      <c r="AD464" s="69"/>
      <c r="AE464" s="203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  <c r="AW464" s="69"/>
      <c r="AX464" s="69"/>
      <c r="AY464" s="69"/>
      <c r="AZ464" s="69"/>
      <c r="BA464" s="69"/>
      <c r="BB464" s="69"/>
      <c r="BC464" s="69"/>
      <c r="BD464" s="69"/>
      <c r="BE464" s="69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9"/>
      <c r="BY464" s="69"/>
      <c r="BZ464" s="69"/>
      <c r="CA464" s="69"/>
      <c r="CB464" s="69"/>
      <c r="CC464" s="69"/>
      <c r="CD464" s="69"/>
      <c r="CE464" s="69"/>
      <c r="CF464" s="69"/>
      <c r="CG464" s="69"/>
      <c r="CH464" s="69"/>
      <c r="CI464" s="69"/>
      <c r="CJ464" s="69"/>
      <c r="CK464" s="69"/>
      <c r="CL464" s="69"/>
      <c r="CM464" s="69"/>
      <c r="CN464" s="69"/>
      <c r="CO464" s="69"/>
      <c r="CP464" s="69"/>
      <c r="CQ464" s="69"/>
      <c r="CR464" s="69"/>
      <c r="CS464" s="69"/>
      <c r="CT464" s="69"/>
      <c r="CU464" s="69"/>
      <c r="CV464" s="69"/>
      <c r="CW464" s="69"/>
      <c r="CX464" s="69"/>
      <c r="CY464" s="69"/>
      <c r="CZ464" s="69"/>
      <c r="DA464" s="69"/>
      <c r="DB464" s="69"/>
      <c r="DC464" s="69"/>
      <c r="DD464" s="69"/>
      <c r="DE464" s="69"/>
      <c r="DF464" s="69"/>
      <c r="DG464" s="69"/>
      <c r="DH464" s="69"/>
      <c r="DI464" s="69"/>
      <c r="DJ464" s="69"/>
      <c r="DK464" s="69"/>
      <c r="DL464" s="69"/>
    </row>
    <row r="465" spans="1:116" ht="13" x14ac:dyDescent="0.3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202"/>
      <c r="V465" s="69"/>
      <c r="W465" s="69"/>
      <c r="X465" s="69"/>
      <c r="Y465" s="69"/>
      <c r="Z465" s="69"/>
      <c r="AA465" s="69"/>
      <c r="AB465" s="203"/>
      <c r="AC465" s="69"/>
      <c r="AD465" s="69"/>
      <c r="AE465" s="203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  <c r="AW465" s="69"/>
      <c r="AX465" s="69"/>
      <c r="AY465" s="69"/>
      <c r="AZ465" s="69"/>
      <c r="BA465" s="69"/>
      <c r="BB465" s="69"/>
      <c r="BC465" s="69"/>
      <c r="BD465" s="69"/>
      <c r="BE465" s="69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9"/>
      <c r="BY465" s="69"/>
      <c r="BZ465" s="69"/>
      <c r="CA465" s="69"/>
      <c r="CB465" s="69"/>
      <c r="CC465" s="69"/>
      <c r="CD465" s="69"/>
      <c r="CE465" s="69"/>
      <c r="CF465" s="69"/>
      <c r="CG465" s="69"/>
      <c r="CH465" s="69"/>
      <c r="CI465" s="69"/>
      <c r="CJ465" s="69"/>
      <c r="CK465" s="69"/>
      <c r="CL465" s="69"/>
      <c r="CM465" s="69"/>
      <c r="CN465" s="69"/>
      <c r="CO465" s="69"/>
      <c r="CP465" s="69"/>
      <c r="CQ465" s="69"/>
      <c r="CR465" s="69"/>
      <c r="CS465" s="69"/>
      <c r="CT465" s="69"/>
      <c r="CU465" s="69"/>
      <c r="CV465" s="69"/>
      <c r="CW465" s="69"/>
      <c r="CX465" s="69"/>
      <c r="CY465" s="69"/>
      <c r="CZ465" s="69"/>
      <c r="DA465" s="69"/>
      <c r="DB465" s="69"/>
      <c r="DC465" s="69"/>
      <c r="DD465" s="69"/>
      <c r="DE465" s="69"/>
      <c r="DF465" s="69"/>
      <c r="DG465" s="69"/>
      <c r="DH465" s="69"/>
      <c r="DI465" s="69"/>
      <c r="DJ465" s="69"/>
      <c r="DK465" s="69"/>
      <c r="DL465" s="69"/>
    </row>
    <row r="466" spans="1:116" ht="13" x14ac:dyDescent="0.3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202"/>
      <c r="V466" s="69"/>
      <c r="W466" s="69"/>
      <c r="X466" s="69"/>
      <c r="Y466" s="69"/>
      <c r="Z466" s="69"/>
      <c r="AA466" s="69"/>
      <c r="AB466" s="203"/>
      <c r="AC466" s="69"/>
      <c r="AD466" s="69"/>
      <c r="AE466" s="203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  <c r="AW466" s="69"/>
      <c r="AX466" s="69"/>
      <c r="AY466" s="69"/>
      <c r="AZ466" s="69"/>
      <c r="BA466" s="69"/>
      <c r="BB466" s="69"/>
      <c r="BC466" s="69"/>
      <c r="BD466" s="69"/>
      <c r="BE466" s="69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9"/>
      <c r="BY466" s="69"/>
      <c r="BZ466" s="69"/>
      <c r="CA466" s="69"/>
      <c r="CB466" s="69"/>
      <c r="CC466" s="69"/>
      <c r="CD466" s="69"/>
      <c r="CE466" s="69"/>
      <c r="CF466" s="69"/>
      <c r="CG466" s="69"/>
      <c r="CH466" s="69"/>
      <c r="CI466" s="69"/>
      <c r="CJ466" s="69"/>
      <c r="CK466" s="69"/>
      <c r="CL466" s="69"/>
      <c r="CM466" s="69"/>
      <c r="CN466" s="69"/>
      <c r="CO466" s="69"/>
      <c r="CP466" s="69"/>
      <c r="CQ466" s="69"/>
      <c r="CR466" s="69"/>
      <c r="CS466" s="69"/>
      <c r="CT466" s="69"/>
      <c r="CU466" s="69"/>
      <c r="CV466" s="69"/>
      <c r="CW466" s="69"/>
      <c r="CX466" s="69"/>
      <c r="CY466" s="69"/>
      <c r="CZ466" s="69"/>
      <c r="DA466" s="69"/>
      <c r="DB466" s="69"/>
      <c r="DC466" s="69"/>
      <c r="DD466" s="69"/>
      <c r="DE466" s="69"/>
      <c r="DF466" s="69"/>
      <c r="DG466" s="69"/>
      <c r="DH466" s="69"/>
      <c r="DI466" s="69"/>
      <c r="DJ466" s="69"/>
      <c r="DK466" s="69"/>
      <c r="DL466" s="69"/>
    </row>
    <row r="467" spans="1:116" ht="13" x14ac:dyDescent="0.3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202"/>
      <c r="V467" s="69"/>
      <c r="W467" s="69"/>
      <c r="X467" s="69"/>
      <c r="Y467" s="69"/>
      <c r="Z467" s="69"/>
      <c r="AA467" s="69"/>
      <c r="AB467" s="203"/>
      <c r="AC467" s="69"/>
      <c r="AD467" s="69"/>
      <c r="AE467" s="203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  <c r="AW467" s="69"/>
      <c r="AX467" s="69"/>
      <c r="AY467" s="69"/>
      <c r="AZ467" s="69"/>
      <c r="BA467" s="69"/>
      <c r="BB467" s="69"/>
      <c r="BC467" s="69"/>
      <c r="BD467" s="69"/>
      <c r="BE467" s="69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9"/>
      <c r="BY467" s="69"/>
      <c r="BZ467" s="69"/>
      <c r="CA467" s="69"/>
      <c r="CB467" s="69"/>
      <c r="CC467" s="69"/>
      <c r="CD467" s="69"/>
      <c r="CE467" s="69"/>
      <c r="CF467" s="69"/>
      <c r="CG467" s="69"/>
      <c r="CH467" s="69"/>
      <c r="CI467" s="69"/>
      <c r="CJ467" s="69"/>
      <c r="CK467" s="69"/>
      <c r="CL467" s="69"/>
      <c r="CM467" s="69"/>
      <c r="CN467" s="69"/>
      <c r="CO467" s="69"/>
      <c r="CP467" s="69"/>
      <c r="CQ467" s="69"/>
      <c r="CR467" s="69"/>
      <c r="CS467" s="69"/>
      <c r="CT467" s="69"/>
      <c r="CU467" s="69"/>
      <c r="CV467" s="69"/>
      <c r="CW467" s="69"/>
      <c r="CX467" s="69"/>
      <c r="CY467" s="69"/>
      <c r="CZ467" s="69"/>
      <c r="DA467" s="69"/>
      <c r="DB467" s="69"/>
      <c r="DC467" s="69"/>
      <c r="DD467" s="69"/>
      <c r="DE467" s="69"/>
      <c r="DF467" s="69"/>
      <c r="DG467" s="69"/>
      <c r="DH467" s="69"/>
      <c r="DI467" s="69"/>
      <c r="DJ467" s="69"/>
      <c r="DK467" s="69"/>
      <c r="DL467" s="69"/>
    </row>
    <row r="468" spans="1:116" ht="13" x14ac:dyDescent="0.3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202"/>
      <c r="V468" s="69"/>
      <c r="W468" s="69"/>
      <c r="X468" s="69"/>
      <c r="Y468" s="69"/>
      <c r="Z468" s="69"/>
      <c r="AA468" s="69"/>
      <c r="AB468" s="203"/>
      <c r="AC468" s="69"/>
      <c r="AD468" s="69"/>
      <c r="AE468" s="203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  <c r="AW468" s="69"/>
      <c r="AX468" s="69"/>
      <c r="AY468" s="69"/>
      <c r="AZ468" s="69"/>
      <c r="BA468" s="69"/>
      <c r="BB468" s="69"/>
      <c r="BC468" s="69"/>
      <c r="BD468" s="69"/>
      <c r="BE468" s="69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9"/>
      <c r="BY468" s="69"/>
      <c r="BZ468" s="69"/>
      <c r="CA468" s="69"/>
      <c r="CB468" s="69"/>
      <c r="CC468" s="69"/>
      <c r="CD468" s="69"/>
      <c r="CE468" s="69"/>
      <c r="CF468" s="69"/>
      <c r="CG468" s="69"/>
      <c r="CH468" s="69"/>
      <c r="CI468" s="69"/>
      <c r="CJ468" s="69"/>
      <c r="CK468" s="69"/>
      <c r="CL468" s="69"/>
      <c r="CM468" s="69"/>
      <c r="CN468" s="69"/>
      <c r="CO468" s="69"/>
      <c r="CP468" s="69"/>
      <c r="CQ468" s="69"/>
      <c r="CR468" s="69"/>
      <c r="CS468" s="69"/>
      <c r="CT468" s="69"/>
      <c r="CU468" s="69"/>
      <c r="CV468" s="69"/>
      <c r="CW468" s="69"/>
      <c r="CX468" s="69"/>
      <c r="CY468" s="69"/>
      <c r="CZ468" s="69"/>
      <c r="DA468" s="69"/>
      <c r="DB468" s="69"/>
      <c r="DC468" s="69"/>
      <c r="DD468" s="69"/>
      <c r="DE468" s="69"/>
      <c r="DF468" s="69"/>
      <c r="DG468" s="69"/>
      <c r="DH468" s="69"/>
      <c r="DI468" s="69"/>
      <c r="DJ468" s="69"/>
      <c r="DK468" s="69"/>
      <c r="DL468" s="69"/>
    </row>
    <row r="469" spans="1:116" ht="13" x14ac:dyDescent="0.3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202"/>
      <c r="V469" s="69"/>
      <c r="W469" s="69"/>
      <c r="X469" s="69"/>
      <c r="Y469" s="69"/>
      <c r="Z469" s="69"/>
      <c r="AA469" s="69"/>
      <c r="AB469" s="203"/>
      <c r="AC469" s="69"/>
      <c r="AD469" s="69"/>
      <c r="AE469" s="203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  <c r="AW469" s="69"/>
      <c r="AX469" s="69"/>
      <c r="AY469" s="69"/>
      <c r="AZ469" s="69"/>
      <c r="BA469" s="69"/>
      <c r="BB469" s="69"/>
      <c r="BC469" s="69"/>
      <c r="BD469" s="69"/>
      <c r="BE469" s="69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9"/>
      <c r="BY469" s="69"/>
      <c r="BZ469" s="69"/>
      <c r="CA469" s="69"/>
      <c r="CB469" s="69"/>
      <c r="CC469" s="69"/>
      <c r="CD469" s="69"/>
      <c r="CE469" s="69"/>
      <c r="CF469" s="69"/>
      <c r="CG469" s="69"/>
      <c r="CH469" s="69"/>
      <c r="CI469" s="69"/>
      <c r="CJ469" s="69"/>
      <c r="CK469" s="69"/>
      <c r="CL469" s="69"/>
      <c r="CM469" s="69"/>
      <c r="CN469" s="69"/>
      <c r="CO469" s="69"/>
      <c r="CP469" s="69"/>
      <c r="CQ469" s="69"/>
      <c r="CR469" s="69"/>
      <c r="CS469" s="69"/>
      <c r="CT469" s="69"/>
      <c r="CU469" s="69"/>
      <c r="CV469" s="69"/>
      <c r="CW469" s="69"/>
      <c r="CX469" s="69"/>
      <c r="CY469" s="69"/>
      <c r="CZ469" s="69"/>
      <c r="DA469" s="69"/>
      <c r="DB469" s="69"/>
      <c r="DC469" s="69"/>
      <c r="DD469" s="69"/>
      <c r="DE469" s="69"/>
      <c r="DF469" s="69"/>
      <c r="DG469" s="69"/>
      <c r="DH469" s="69"/>
      <c r="DI469" s="69"/>
      <c r="DJ469" s="69"/>
      <c r="DK469" s="69"/>
      <c r="DL469" s="69"/>
    </row>
    <row r="470" spans="1:116" ht="13" x14ac:dyDescent="0.3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202"/>
      <c r="V470" s="69"/>
      <c r="W470" s="69"/>
      <c r="X470" s="69"/>
      <c r="Y470" s="69"/>
      <c r="Z470" s="69"/>
      <c r="AA470" s="69"/>
      <c r="AB470" s="203"/>
      <c r="AC470" s="69"/>
      <c r="AD470" s="69"/>
      <c r="AE470" s="203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  <c r="AW470" s="69"/>
      <c r="AX470" s="69"/>
      <c r="AY470" s="69"/>
      <c r="AZ470" s="69"/>
      <c r="BA470" s="69"/>
      <c r="BB470" s="69"/>
      <c r="BC470" s="69"/>
      <c r="BD470" s="69"/>
      <c r="BE470" s="69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9"/>
      <c r="BY470" s="69"/>
      <c r="BZ470" s="69"/>
      <c r="CA470" s="69"/>
      <c r="CB470" s="69"/>
      <c r="CC470" s="69"/>
      <c r="CD470" s="69"/>
      <c r="CE470" s="69"/>
      <c r="CF470" s="69"/>
      <c r="CG470" s="69"/>
      <c r="CH470" s="69"/>
      <c r="CI470" s="69"/>
      <c r="CJ470" s="69"/>
      <c r="CK470" s="69"/>
      <c r="CL470" s="69"/>
      <c r="CM470" s="69"/>
      <c r="CN470" s="69"/>
      <c r="CO470" s="69"/>
      <c r="CP470" s="69"/>
      <c r="CQ470" s="69"/>
      <c r="CR470" s="69"/>
      <c r="CS470" s="69"/>
      <c r="CT470" s="69"/>
      <c r="CU470" s="69"/>
      <c r="CV470" s="69"/>
      <c r="CW470" s="69"/>
      <c r="CX470" s="69"/>
      <c r="CY470" s="69"/>
      <c r="CZ470" s="69"/>
      <c r="DA470" s="69"/>
      <c r="DB470" s="69"/>
      <c r="DC470" s="69"/>
      <c r="DD470" s="69"/>
      <c r="DE470" s="69"/>
      <c r="DF470" s="69"/>
      <c r="DG470" s="69"/>
      <c r="DH470" s="69"/>
      <c r="DI470" s="69"/>
      <c r="DJ470" s="69"/>
      <c r="DK470" s="69"/>
      <c r="DL470" s="69"/>
    </row>
    <row r="471" spans="1:116" ht="13" x14ac:dyDescent="0.3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202"/>
      <c r="V471" s="69"/>
      <c r="W471" s="69"/>
      <c r="X471" s="69"/>
      <c r="Y471" s="69"/>
      <c r="Z471" s="69"/>
      <c r="AA471" s="69"/>
      <c r="AB471" s="203"/>
      <c r="AC471" s="69"/>
      <c r="AD471" s="69"/>
      <c r="AE471" s="203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  <c r="AW471" s="69"/>
      <c r="AX471" s="69"/>
      <c r="AY471" s="69"/>
      <c r="AZ471" s="69"/>
      <c r="BA471" s="69"/>
      <c r="BB471" s="69"/>
      <c r="BC471" s="69"/>
      <c r="BD471" s="69"/>
      <c r="BE471" s="69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9"/>
      <c r="BY471" s="69"/>
      <c r="BZ471" s="69"/>
      <c r="CA471" s="69"/>
      <c r="CB471" s="69"/>
      <c r="CC471" s="69"/>
      <c r="CD471" s="69"/>
      <c r="CE471" s="69"/>
      <c r="CF471" s="69"/>
      <c r="CG471" s="69"/>
      <c r="CH471" s="69"/>
      <c r="CI471" s="69"/>
      <c r="CJ471" s="69"/>
      <c r="CK471" s="69"/>
      <c r="CL471" s="69"/>
      <c r="CM471" s="69"/>
      <c r="CN471" s="69"/>
      <c r="CO471" s="69"/>
      <c r="CP471" s="69"/>
      <c r="CQ471" s="69"/>
      <c r="CR471" s="69"/>
      <c r="CS471" s="69"/>
      <c r="CT471" s="69"/>
      <c r="CU471" s="69"/>
      <c r="CV471" s="69"/>
      <c r="CW471" s="69"/>
      <c r="CX471" s="69"/>
      <c r="CY471" s="69"/>
      <c r="CZ471" s="69"/>
      <c r="DA471" s="69"/>
      <c r="DB471" s="69"/>
      <c r="DC471" s="69"/>
      <c r="DD471" s="69"/>
      <c r="DE471" s="69"/>
      <c r="DF471" s="69"/>
      <c r="DG471" s="69"/>
      <c r="DH471" s="69"/>
      <c r="DI471" s="69"/>
      <c r="DJ471" s="69"/>
      <c r="DK471" s="69"/>
      <c r="DL471" s="69"/>
    </row>
    <row r="472" spans="1:116" ht="13" x14ac:dyDescent="0.3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202"/>
      <c r="V472" s="69"/>
      <c r="W472" s="69"/>
      <c r="X472" s="69"/>
      <c r="Y472" s="69"/>
      <c r="Z472" s="69"/>
      <c r="AA472" s="69"/>
      <c r="AB472" s="203"/>
      <c r="AC472" s="69"/>
      <c r="AD472" s="69"/>
      <c r="AE472" s="203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  <c r="AW472" s="69"/>
      <c r="AX472" s="69"/>
      <c r="AY472" s="69"/>
      <c r="AZ472" s="69"/>
      <c r="BA472" s="69"/>
      <c r="BB472" s="69"/>
      <c r="BC472" s="69"/>
      <c r="BD472" s="69"/>
      <c r="BE472" s="69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9"/>
      <c r="BY472" s="69"/>
      <c r="BZ472" s="69"/>
      <c r="CA472" s="69"/>
      <c r="CB472" s="69"/>
      <c r="CC472" s="69"/>
      <c r="CD472" s="69"/>
      <c r="CE472" s="69"/>
      <c r="CF472" s="69"/>
      <c r="CG472" s="69"/>
      <c r="CH472" s="69"/>
      <c r="CI472" s="69"/>
      <c r="CJ472" s="69"/>
      <c r="CK472" s="69"/>
      <c r="CL472" s="69"/>
      <c r="CM472" s="69"/>
      <c r="CN472" s="69"/>
      <c r="CO472" s="69"/>
      <c r="CP472" s="69"/>
      <c r="CQ472" s="69"/>
      <c r="CR472" s="69"/>
      <c r="CS472" s="69"/>
      <c r="CT472" s="69"/>
      <c r="CU472" s="69"/>
      <c r="CV472" s="69"/>
      <c r="CW472" s="69"/>
      <c r="CX472" s="69"/>
      <c r="CY472" s="69"/>
      <c r="CZ472" s="69"/>
      <c r="DA472" s="69"/>
      <c r="DB472" s="69"/>
      <c r="DC472" s="69"/>
      <c r="DD472" s="69"/>
      <c r="DE472" s="69"/>
      <c r="DF472" s="69"/>
      <c r="DG472" s="69"/>
      <c r="DH472" s="69"/>
      <c r="DI472" s="69"/>
      <c r="DJ472" s="69"/>
      <c r="DK472" s="69"/>
      <c r="DL472" s="69"/>
    </row>
    <row r="473" spans="1:116" ht="13" x14ac:dyDescent="0.3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202"/>
      <c r="V473" s="69"/>
      <c r="W473" s="69"/>
      <c r="X473" s="69"/>
      <c r="Y473" s="69"/>
      <c r="Z473" s="69"/>
      <c r="AA473" s="69"/>
      <c r="AB473" s="203"/>
      <c r="AC473" s="69"/>
      <c r="AD473" s="69"/>
      <c r="AE473" s="203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  <c r="AW473" s="69"/>
      <c r="AX473" s="69"/>
      <c r="AY473" s="69"/>
      <c r="AZ473" s="69"/>
      <c r="BA473" s="69"/>
      <c r="BB473" s="69"/>
      <c r="BC473" s="69"/>
      <c r="BD473" s="69"/>
      <c r="BE473" s="69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9"/>
      <c r="BY473" s="69"/>
      <c r="BZ473" s="69"/>
      <c r="CA473" s="69"/>
      <c r="CB473" s="69"/>
      <c r="CC473" s="69"/>
      <c r="CD473" s="69"/>
      <c r="CE473" s="69"/>
      <c r="CF473" s="69"/>
      <c r="CG473" s="69"/>
      <c r="CH473" s="69"/>
      <c r="CI473" s="69"/>
      <c r="CJ473" s="69"/>
      <c r="CK473" s="69"/>
      <c r="CL473" s="69"/>
      <c r="CM473" s="69"/>
      <c r="CN473" s="69"/>
      <c r="CO473" s="69"/>
      <c r="CP473" s="69"/>
      <c r="CQ473" s="69"/>
      <c r="CR473" s="69"/>
      <c r="CS473" s="69"/>
      <c r="CT473" s="69"/>
      <c r="CU473" s="69"/>
      <c r="CV473" s="69"/>
      <c r="CW473" s="69"/>
      <c r="CX473" s="69"/>
      <c r="CY473" s="69"/>
      <c r="CZ473" s="69"/>
      <c r="DA473" s="69"/>
      <c r="DB473" s="69"/>
      <c r="DC473" s="69"/>
      <c r="DD473" s="69"/>
      <c r="DE473" s="69"/>
      <c r="DF473" s="69"/>
      <c r="DG473" s="69"/>
      <c r="DH473" s="69"/>
      <c r="DI473" s="69"/>
      <c r="DJ473" s="69"/>
      <c r="DK473" s="69"/>
      <c r="DL473" s="69"/>
    </row>
    <row r="474" spans="1:116" ht="13" x14ac:dyDescent="0.3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202"/>
      <c r="V474" s="69"/>
      <c r="W474" s="69"/>
      <c r="X474" s="69"/>
      <c r="Y474" s="69"/>
      <c r="Z474" s="69"/>
      <c r="AA474" s="69"/>
      <c r="AB474" s="203"/>
      <c r="AC474" s="69"/>
      <c r="AD474" s="69"/>
      <c r="AE474" s="203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  <c r="AW474" s="69"/>
      <c r="AX474" s="69"/>
      <c r="AY474" s="69"/>
      <c r="AZ474" s="69"/>
      <c r="BA474" s="69"/>
      <c r="BB474" s="69"/>
      <c r="BC474" s="69"/>
      <c r="BD474" s="69"/>
      <c r="BE474" s="69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9"/>
      <c r="BY474" s="69"/>
      <c r="BZ474" s="69"/>
      <c r="CA474" s="69"/>
      <c r="CB474" s="69"/>
      <c r="CC474" s="69"/>
      <c r="CD474" s="69"/>
      <c r="CE474" s="69"/>
      <c r="CF474" s="69"/>
      <c r="CG474" s="69"/>
      <c r="CH474" s="69"/>
      <c r="CI474" s="69"/>
      <c r="CJ474" s="69"/>
      <c r="CK474" s="69"/>
      <c r="CL474" s="69"/>
      <c r="CM474" s="69"/>
      <c r="CN474" s="69"/>
      <c r="CO474" s="69"/>
      <c r="CP474" s="69"/>
      <c r="CQ474" s="69"/>
      <c r="CR474" s="69"/>
      <c r="CS474" s="69"/>
      <c r="CT474" s="69"/>
      <c r="CU474" s="69"/>
      <c r="CV474" s="69"/>
      <c r="CW474" s="69"/>
      <c r="CX474" s="69"/>
      <c r="CY474" s="69"/>
      <c r="CZ474" s="69"/>
      <c r="DA474" s="69"/>
      <c r="DB474" s="69"/>
      <c r="DC474" s="69"/>
      <c r="DD474" s="69"/>
      <c r="DE474" s="69"/>
      <c r="DF474" s="69"/>
      <c r="DG474" s="69"/>
      <c r="DH474" s="69"/>
      <c r="DI474" s="69"/>
      <c r="DJ474" s="69"/>
      <c r="DK474" s="69"/>
      <c r="DL474" s="69"/>
    </row>
    <row r="475" spans="1:116" ht="13" x14ac:dyDescent="0.3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202"/>
      <c r="V475" s="69"/>
      <c r="W475" s="69"/>
      <c r="X475" s="69"/>
      <c r="Y475" s="69"/>
      <c r="Z475" s="69"/>
      <c r="AA475" s="69"/>
      <c r="AB475" s="203"/>
      <c r="AC475" s="69"/>
      <c r="AD475" s="69"/>
      <c r="AE475" s="203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  <c r="AW475" s="69"/>
      <c r="AX475" s="69"/>
      <c r="AY475" s="69"/>
      <c r="AZ475" s="69"/>
      <c r="BA475" s="69"/>
      <c r="BB475" s="69"/>
      <c r="BC475" s="69"/>
      <c r="BD475" s="69"/>
      <c r="BE475" s="69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9"/>
      <c r="BY475" s="69"/>
      <c r="BZ475" s="69"/>
      <c r="CA475" s="69"/>
      <c r="CB475" s="69"/>
      <c r="CC475" s="69"/>
      <c r="CD475" s="69"/>
      <c r="CE475" s="69"/>
      <c r="CF475" s="69"/>
      <c r="CG475" s="69"/>
      <c r="CH475" s="69"/>
      <c r="CI475" s="69"/>
      <c r="CJ475" s="69"/>
      <c r="CK475" s="69"/>
      <c r="CL475" s="69"/>
      <c r="CM475" s="69"/>
      <c r="CN475" s="69"/>
      <c r="CO475" s="69"/>
      <c r="CP475" s="69"/>
      <c r="CQ475" s="69"/>
      <c r="CR475" s="69"/>
      <c r="CS475" s="69"/>
      <c r="CT475" s="69"/>
      <c r="CU475" s="69"/>
      <c r="CV475" s="69"/>
      <c r="CW475" s="69"/>
      <c r="CX475" s="69"/>
      <c r="CY475" s="69"/>
      <c r="CZ475" s="69"/>
      <c r="DA475" s="69"/>
      <c r="DB475" s="69"/>
      <c r="DC475" s="69"/>
      <c r="DD475" s="69"/>
      <c r="DE475" s="69"/>
      <c r="DF475" s="69"/>
      <c r="DG475" s="69"/>
      <c r="DH475" s="69"/>
      <c r="DI475" s="69"/>
      <c r="DJ475" s="69"/>
      <c r="DK475" s="69"/>
      <c r="DL475" s="69"/>
    </row>
    <row r="476" spans="1:116" ht="13" x14ac:dyDescent="0.3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202"/>
      <c r="V476" s="69"/>
      <c r="W476" s="69"/>
      <c r="X476" s="69"/>
      <c r="Y476" s="69"/>
      <c r="Z476" s="69"/>
      <c r="AA476" s="69"/>
      <c r="AB476" s="203"/>
      <c r="AC476" s="69"/>
      <c r="AD476" s="69"/>
      <c r="AE476" s="203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  <c r="AW476" s="69"/>
      <c r="AX476" s="69"/>
      <c r="AY476" s="69"/>
      <c r="AZ476" s="69"/>
      <c r="BA476" s="69"/>
      <c r="BB476" s="69"/>
      <c r="BC476" s="69"/>
      <c r="BD476" s="69"/>
      <c r="BE476" s="69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9"/>
      <c r="BY476" s="69"/>
      <c r="BZ476" s="69"/>
      <c r="CA476" s="69"/>
      <c r="CB476" s="69"/>
      <c r="CC476" s="69"/>
      <c r="CD476" s="69"/>
      <c r="CE476" s="69"/>
      <c r="CF476" s="69"/>
      <c r="CG476" s="69"/>
      <c r="CH476" s="69"/>
      <c r="CI476" s="69"/>
      <c r="CJ476" s="69"/>
      <c r="CK476" s="69"/>
      <c r="CL476" s="69"/>
      <c r="CM476" s="69"/>
      <c r="CN476" s="69"/>
      <c r="CO476" s="69"/>
      <c r="CP476" s="69"/>
      <c r="CQ476" s="69"/>
      <c r="CR476" s="69"/>
      <c r="CS476" s="69"/>
      <c r="CT476" s="69"/>
      <c r="CU476" s="69"/>
      <c r="CV476" s="69"/>
      <c r="CW476" s="69"/>
      <c r="CX476" s="69"/>
      <c r="CY476" s="69"/>
      <c r="CZ476" s="69"/>
      <c r="DA476" s="69"/>
      <c r="DB476" s="69"/>
      <c r="DC476" s="69"/>
      <c r="DD476" s="69"/>
      <c r="DE476" s="69"/>
      <c r="DF476" s="69"/>
      <c r="DG476" s="69"/>
      <c r="DH476" s="69"/>
      <c r="DI476" s="69"/>
      <c r="DJ476" s="69"/>
      <c r="DK476" s="69"/>
      <c r="DL476" s="69"/>
    </row>
    <row r="477" spans="1:116" ht="13" x14ac:dyDescent="0.3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202"/>
      <c r="V477" s="69"/>
      <c r="W477" s="69"/>
      <c r="X477" s="69"/>
      <c r="Y477" s="69"/>
      <c r="Z477" s="69"/>
      <c r="AA477" s="69"/>
      <c r="AB477" s="203"/>
      <c r="AC477" s="69"/>
      <c r="AD477" s="69"/>
      <c r="AE477" s="203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  <c r="AW477" s="69"/>
      <c r="AX477" s="69"/>
      <c r="AY477" s="69"/>
      <c r="AZ477" s="69"/>
      <c r="BA477" s="69"/>
      <c r="BB477" s="69"/>
      <c r="BC477" s="69"/>
      <c r="BD477" s="69"/>
      <c r="BE477" s="69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9"/>
      <c r="BY477" s="69"/>
      <c r="BZ477" s="69"/>
      <c r="CA477" s="69"/>
      <c r="CB477" s="69"/>
      <c r="CC477" s="69"/>
      <c r="CD477" s="69"/>
      <c r="CE477" s="69"/>
      <c r="CF477" s="69"/>
      <c r="CG477" s="69"/>
      <c r="CH477" s="69"/>
      <c r="CI477" s="69"/>
      <c r="CJ477" s="69"/>
      <c r="CK477" s="69"/>
      <c r="CL477" s="69"/>
      <c r="CM477" s="69"/>
      <c r="CN477" s="69"/>
      <c r="CO477" s="69"/>
      <c r="CP477" s="69"/>
      <c r="CQ477" s="69"/>
      <c r="CR477" s="69"/>
      <c r="CS477" s="69"/>
      <c r="CT477" s="69"/>
      <c r="CU477" s="69"/>
      <c r="CV477" s="69"/>
      <c r="CW477" s="69"/>
      <c r="CX477" s="69"/>
      <c r="CY477" s="69"/>
      <c r="CZ477" s="69"/>
      <c r="DA477" s="69"/>
      <c r="DB477" s="69"/>
      <c r="DC477" s="69"/>
      <c r="DD477" s="69"/>
      <c r="DE477" s="69"/>
      <c r="DF477" s="69"/>
      <c r="DG477" s="69"/>
      <c r="DH477" s="69"/>
      <c r="DI477" s="69"/>
      <c r="DJ477" s="69"/>
      <c r="DK477" s="69"/>
      <c r="DL477" s="69"/>
    </row>
    <row r="478" spans="1:116" ht="13" x14ac:dyDescent="0.3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202"/>
      <c r="V478" s="69"/>
      <c r="W478" s="69"/>
      <c r="X478" s="69"/>
      <c r="Y478" s="69"/>
      <c r="Z478" s="69"/>
      <c r="AA478" s="69"/>
      <c r="AB478" s="203"/>
      <c r="AC478" s="69"/>
      <c r="AD478" s="69"/>
      <c r="AE478" s="203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  <c r="AW478" s="69"/>
      <c r="AX478" s="69"/>
      <c r="AY478" s="69"/>
      <c r="AZ478" s="69"/>
      <c r="BA478" s="69"/>
      <c r="BB478" s="69"/>
      <c r="BC478" s="69"/>
      <c r="BD478" s="69"/>
      <c r="BE478" s="69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9"/>
      <c r="BY478" s="69"/>
      <c r="BZ478" s="69"/>
      <c r="CA478" s="69"/>
      <c r="CB478" s="69"/>
      <c r="CC478" s="69"/>
      <c r="CD478" s="69"/>
      <c r="CE478" s="69"/>
      <c r="CF478" s="69"/>
      <c r="CG478" s="69"/>
      <c r="CH478" s="69"/>
      <c r="CI478" s="69"/>
      <c r="CJ478" s="69"/>
      <c r="CK478" s="69"/>
      <c r="CL478" s="69"/>
      <c r="CM478" s="69"/>
      <c r="CN478" s="69"/>
      <c r="CO478" s="69"/>
      <c r="CP478" s="69"/>
      <c r="CQ478" s="69"/>
      <c r="CR478" s="69"/>
      <c r="CS478" s="69"/>
      <c r="CT478" s="69"/>
      <c r="CU478" s="69"/>
      <c r="CV478" s="69"/>
      <c r="CW478" s="69"/>
      <c r="CX478" s="69"/>
      <c r="CY478" s="69"/>
      <c r="CZ478" s="69"/>
      <c r="DA478" s="69"/>
      <c r="DB478" s="69"/>
      <c r="DC478" s="69"/>
      <c r="DD478" s="69"/>
      <c r="DE478" s="69"/>
      <c r="DF478" s="69"/>
      <c r="DG478" s="69"/>
      <c r="DH478" s="69"/>
      <c r="DI478" s="69"/>
      <c r="DJ478" s="69"/>
      <c r="DK478" s="69"/>
      <c r="DL478" s="69"/>
    </row>
    <row r="479" spans="1:116" ht="13" x14ac:dyDescent="0.3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202"/>
      <c r="V479" s="69"/>
      <c r="W479" s="69"/>
      <c r="X479" s="69"/>
      <c r="Y479" s="69"/>
      <c r="Z479" s="69"/>
      <c r="AA479" s="69"/>
      <c r="AB479" s="203"/>
      <c r="AC479" s="69"/>
      <c r="AD479" s="69"/>
      <c r="AE479" s="203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  <c r="AW479" s="69"/>
      <c r="AX479" s="69"/>
      <c r="AY479" s="69"/>
      <c r="AZ479" s="69"/>
      <c r="BA479" s="69"/>
      <c r="BB479" s="69"/>
      <c r="BC479" s="69"/>
      <c r="BD479" s="69"/>
      <c r="BE479" s="69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9"/>
      <c r="BY479" s="69"/>
      <c r="BZ479" s="69"/>
      <c r="CA479" s="69"/>
      <c r="CB479" s="69"/>
      <c r="CC479" s="69"/>
      <c r="CD479" s="69"/>
      <c r="CE479" s="69"/>
      <c r="CF479" s="69"/>
      <c r="CG479" s="69"/>
      <c r="CH479" s="69"/>
      <c r="CI479" s="69"/>
      <c r="CJ479" s="69"/>
      <c r="CK479" s="69"/>
      <c r="CL479" s="69"/>
      <c r="CM479" s="69"/>
      <c r="CN479" s="69"/>
      <c r="CO479" s="69"/>
      <c r="CP479" s="69"/>
      <c r="CQ479" s="69"/>
      <c r="CR479" s="69"/>
      <c r="CS479" s="69"/>
      <c r="CT479" s="69"/>
      <c r="CU479" s="69"/>
      <c r="CV479" s="69"/>
      <c r="CW479" s="69"/>
      <c r="CX479" s="69"/>
      <c r="CY479" s="69"/>
      <c r="CZ479" s="69"/>
      <c r="DA479" s="69"/>
      <c r="DB479" s="69"/>
      <c r="DC479" s="69"/>
      <c r="DD479" s="69"/>
      <c r="DE479" s="69"/>
      <c r="DF479" s="69"/>
      <c r="DG479" s="69"/>
      <c r="DH479" s="69"/>
      <c r="DI479" s="69"/>
      <c r="DJ479" s="69"/>
      <c r="DK479" s="69"/>
      <c r="DL479" s="69"/>
    </row>
    <row r="480" spans="1:116" ht="13" x14ac:dyDescent="0.3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202"/>
      <c r="V480" s="69"/>
      <c r="W480" s="69"/>
      <c r="X480" s="69"/>
      <c r="Y480" s="69"/>
      <c r="Z480" s="69"/>
      <c r="AA480" s="69"/>
      <c r="AB480" s="203"/>
      <c r="AC480" s="69"/>
      <c r="AD480" s="69"/>
      <c r="AE480" s="203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  <c r="AW480" s="69"/>
      <c r="AX480" s="69"/>
      <c r="AY480" s="69"/>
      <c r="AZ480" s="69"/>
      <c r="BA480" s="69"/>
      <c r="BB480" s="69"/>
      <c r="BC480" s="69"/>
      <c r="BD480" s="69"/>
      <c r="BE480" s="69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9"/>
      <c r="BY480" s="69"/>
      <c r="BZ480" s="69"/>
      <c r="CA480" s="69"/>
      <c r="CB480" s="69"/>
      <c r="CC480" s="69"/>
      <c r="CD480" s="69"/>
      <c r="CE480" s="69"/>
      <c r="CF480" s="69"/>
      <c r="CG480" s="69"/>
      <c r="CH480" s="69"/>
      <c r="CI480" s="69"/>
      <c r="CJ480" s="69"/>
      <c r="CK480" s="69"/>
      <c r="CL480" s="69"/>
      <c r="CM480" s="69"/>
      <c r="CN480" s="69"/>
      <c r="CO480" s="69"/>
      <c r="CP480" s="69"/>
      <c r="CQ480" s="69"/>
      <c r="CR480" s="69"/>
      <c r="CS480" s="69"/>
      <c r="CT480" s="69"/>
      <c r="CU480" s="69"/>
      <c r="CV480" s="69"/>
      <c r="CW480" s="69"/>
      <c r="CX480" s="69"/>
      <c r="CY480" s="69"/>
      <c r="CZ480" s="69"/>
      <c r="DA480" s="69"/>
      <c r="DB480" s="69"/>
      <c r="DC480" s="69"/>
      <c r="DD480" s="69"/>
      <c r="DE480" s="69"/>
      <c r="DF480" s="69"/>
      <c r="DG480" s="69"/>
      <c r="DH480" s="69"/>
      <c r="DI480" s="69"/>
      <c r="DJ480" s="69"/>
      <c r="DK480" s="69"/>
      <c r="DL480" s="69"/>
    </row>
    <row r="481" spans="1:116" ht="13" x14ac:dyDescent="0.3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202"/>
      <c r="V481" s="69"/>
      <c r="W481" s="69"/>
      <c r="X481" s="69"/>
      <c r="Y481" s="69"/>
      <c r="Z481" s="69"/>
      <c r="AA481" s="69"/>
      <c r="AB481" s="203"/>
      <c r="AC481" s="69"/>
      <c r="AD481" s="69"/>
      <c r="AE481" s="203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  <c r="BD481" s="69"/>
      <c r="BE481" s="69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9"/>
      <c r="BY481" s="69"/>
      <c r="BZ481" s="69"/>
      <c r="CA481" s="69"/>
      <c r="CB481" s="69"/>
      <c r="CC481" s="69"/>
      <c r="CD481" s="69"/>
      <c r="CE481" s="69"/>
      <c r="CF481" s="69"/>
      <c r="CG481" s="69"/>
      <c r="CH481" s="69"/>
      <c r="CI481" s="69"/>
      <c r="CJ481" s="69"/>
      <c r="CK481" s="69"/>
      <c r="CL481" s="69"/>
      <c r="CM481" s="69"/>
      <c r="CN481" s="69"/>
      <c r="CO481" s="69"/>
      <c r="CP481" s="69"/>
      <c r="CQ481" s="69"/>
      <c r="CR481" s="69"/>
      <c r="CS481" s="69"/>
      <c r="CT481" s="69"/>
      <c r="CU481" s="69"/>
      <c r="CV481" s="69"/>
      <c r="CW481" s="69"/>
      <c r="CX481" s="69"/>
      <c r="CY481" s="69"/>
      <c r="CZ481" s="69"/>
      <c r="DA481" s="69"/>
      <c r="DB481" s="69"/>
      <c r="DC481" s="69"/>
      <c r="DD481" s="69"/>
      <c r="DE481" s="69"/>
      <c r="DF481" s="69"/>
      <c r="DG481" s="69"/>
      <c r="DH481" s="69"/>
      <c r="DI481" s="69"/>
      <c r="DJ481" s="69"/>
      <c r="DK481" s="69"/>
      <c r="DL481" s="69"/>
    </row>
    <row r="482" spans="1:116" ht="13" x14ac:dyDescent="0.3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202"/>
      <c r="V482" s="69"/>
      <c r="W482" s="69"/>
      <c r="X482" s="69"/>
      <c r="Y482" s="69"/>
      <c r="Z482" s="69"/>
      <c r="AA482" s="69"/>
      <c r="AB482" s="203"/>
      <c r="AC482" s="69"/>
      <c r="AD482" s="69"/>
      <c r="AE482" s="203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  <c r="AW482" s="69"/>
      <c r="AX482" s="69"/>
      <c r="AY482" s="69"/>
      <c r="AZ482" s="69"/>
      <c r="BA482" s="69"/>
      <c r="BB482" s="69"/>
      <c r="BC482" s="69"/>
      <c r="BD482" s="69"/>
      <c r="BE482" s="69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9"/>
      <c r="BY482" s="69"/>
      <c r="BZ482" s="69"/>
      <c r="CA482" s="69"/>
      <c r="CB482" s="69"/>
      <c r="CC482" s="69"/>
      <c r="CD482" s="69"/>
      <c r="CE482" s="69"/>
      <c r="CF482" s="69"/>
      <c r="CG482" s="69"/>
      <c r="CH482" s="69"/>
      <c r="CI482" s="69"/>
      <c r="CJ482" s="69"/>
      <c r="CK482" s="69"/>
      <c r="CL482" s="69"/>
      <c r="CM482" s="69"/>
      <c r="CN482" s="69"/>
      <c r="CO482" s="69"/>
      <c r="CP482" s="69"/>
      <c r="CQ482" s="69"/>
      <c r="CR482" s="69"/>
      <c r="CS482" s="69"/>
      <c r="CT482" s="69"/>
      <c r="CU482" s="69"/>
      <c r="CV482" s="69"/>
      <c r="CW482" s="69"/>
      <c r="CX482" s="69"/>
      <c r="CY482" s="69"/>
      <c r="CZ482" s="69"/>
      <c r="DA482" s="69"/>
      <c r="DB482" s="69"/>
      <c r="DC482" s="69"/>
      <c r="DD482" s="69"/>
      <c r="DE482" s="69"/>
      <c r="DF482" s="69"/>
      <c r="DG482" s="69"/>
      <c r="DH482" s="69"/>
      <c r="DI482" s="69"/>
      <c r="DJ482" s="69"/>
      <c r="DK482" s="69"/>
      <c r="DL482" s="69"/>
    </row>
    <row r="483" spans="1:116" ht="13" x14ac:dyDescent="0.3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202"/>
      <c r="V483" s="69"/>
      <c r="W483" s="69"/>
      <c r="X483" s="69"/>
      <c r="Y483" s="69"/>
      <c r="Z483" s="69"/>
      <c r="AA483" s="69"/>
      <c r="AB483" s="203"/>
      <c r="AC483" s="69"/>
      <c r="AD483" s="69"/>
      <c r="AE483" s="203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  <c r="AW483" s="69"/>
      <c r="AX483" s="69"/>
      <c r="AY483" s="69"/>
      <c r="AZ483" s="69"/>
      <c r="BA483" s="69"/>
      <c r="BB483" s="69"/>
      <c r="BC483" s="69"/>
      <c r="BD483" s="69"/>
      <c r="BE483" s="69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9"/>
      <c r="BY483" s="69"/>
      <c r="BZ483" s="69"/>
      <c r="CA483" s="69"/>
      <c r="CB483" s="69"/>
      <c r="CC483" s="69"/>
      <c r="CD483" s="69"/>
      <c r="CE483" s="69"/>
      <c r="CF483" s="69"/>
      <c r="CG483" s="69"/>
      <c r="CH483" s="69"/>
      <c r="CI483" s="69"/>
      <c r="CJ483" s="69"/>
      <c r="CK483" s="69"/>
      <c r="CL483" s="69"/>
      <c r="CM483" s="69"/>
      <c r="CN483" s="69"/>
      <c r="CO483" s="69"/>
      <c r="CP483" s="69"/>
      <c r="CQ483" s="69"/>
      <c r="CR483" s="69"/>
      <c r="CS483" s="69"/>
      <c r="CT483" s="69"/>
      <c r="CU483" s="69"/>
      <c r="CV483" s="69"/>
      <c r="CW483" s="69"/>
      <c r="CX483" s="69"/>
      <c r="CY483" s="69"/>
      <c r="CZ483" s="69"/>
      <c r="DA483" s="69"/>
      <c r="DB483" s="69"/>
      <c r="DC483" s="69"/>
      <c r="DD483" s="69"/>
      <c r="DE483" s="69"/>
      <c r="DF483" s="69"/>
      <c r="DG483" s="69"/>
      <c r="DH483" s="69"/>
      <c r="DI483" s="69"/>
      <c r="DJ483" s="69"/>
      <c r="DK483" s="69"/>
      <c r="DL483" s="69"/>
    </row>
    <row r="484" spans="1:116" ht="13" x14ac:dyDescent="0.3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202"/>
      <c r="V484" s="69"/>
      <c r="W484" s="69"/>
      <c r="X484" s="69"/>
      <c r="Y484" s="69"/>
      <c r="Z484" s="69"/>
      <c r="AA484" s="69"/>
      <c r="AB484" s="203"/>
      <c r="AC484" s="69"/>
      <c r="AD484" s="69"/>
      <c r="AE484" s="203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  <c r="AW484" s="69"/>
      <c r="AX484" s="69"/>
      <c r="AY484" s="69"/>
      <c r="AZ484" s="69"/>
      <c r="BA484" s="69"/>
      <c r="BB484" s="69"/>
      <c r="BC484" s="69"/>
      <c r="BD484" s="69"/>
      <c r="BE484" s="69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9"/>
      <c r="BY484" s="69"/>
      <c r="BZ484" s="69"/>
      <c r="CA484" s="69"/>
      <c r="CB484" s="69"/>
      <c r="CC484" s="69"/>
      <c r="CD484" s="69"/>
      <c r="CE484" s="69"/>
      <c r="CF484" s="69"/>
      <c r="CG484" s="69"/>
      <c r="CH484" s="69"/>
      <c r="CI484" s="69"/>
      <c r="CJ484" s="69"/>
      <c r="CK484" s="69"/>
      <c r="CL484" s="69"/>
      <c r="CM484" s="69"/>
      <c r="CN484" s="69"/>
      <c r="CO484" s="69"/>
      <c r="CP484" s="69"/>
      <c r="CQ484" s="69"/>
      <c r="CR484" s="69"/>
      <c r="CS484" s="69"/>
      <c r="CT484" s="69"/>
      <c r="CU484" s="69"/>
      <c r="CV484" s="69"/>
      <c r="CW484" s="69"/>
      <c r="CX484" s="69"/>
      <c r="CY484" s="69"/>
      <c r="CZ484" s="69"/>
      <c r="DA484" s="69"/>
      <c r="DB484" s="69"/>
      <c r="DC484" s="69"/>
      <c r="DD484" s="69"/>
      <c r="DE484" s="69"/>
      <c r="DF484" s="69"/>
      <c r="DG484" s="69"/>
      <c r="DH484" s="69"/>
      <c r="DI484" s="69"/>
      <c r="DJ484" s="69"/>
      <c r="DK484" s="69"/>
      <c r="DL484" s="69"/>
    </row>
    <row r="485" spans="1:116" ht="13" x14ac:dyDescent="0.3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202"/>
      <c r="V485" s="69"/>
      <c r="W485" s="69"/>
      <c r="X485" s="69"/>
      <c r="Y485" s="69"/>
      <c r="Z485" s="69"/>
      <c r="AA485" s="69"/>
      <c r="AB485" s="203"/>
      <c r="AC485" s="69"/>
      <c r="AD485" s="69"/>
      <c r="AE485" s="203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  <c r="AW485" s="69"/>
      <c r="AX485" s="69"/>
      <c r="AY485" s="69"/>
      <c r="AZ485" s="69"/>
      <c r="BA485" s="69"/>
      <c r="BB485" s="69"/>
      <c r="BC485" s="69"/>
      <c r="BD485" s="69"/>
      <c r="BE485" s="69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9"/>
      <c r="BY485" s="69"/>
      <c r="BZ485" s="69"/>
      <c r="CA485" s="69"/>
      <c r="CB485" s="69"/>
      <c r="CC485" s="69"/>
      <c r="CD485" s="69"/>
      <c r="CE485" s="69"/>
      <c r="CF485" s="69"/>
      <c r="CG485" s="69"/>
      <c r="CH485" s="69"/>
      <c r="CI485" s="69"/>
      <c r="CJ485" s="69"/>
      <c r="CK485" s="69"/>
      <c r="CL485" s="69"/>
      <c r="CM485" s="69"/>
      <c r="CN485" s="69"/>
      <c r="CO485" s="69"/>
      <c r="CP485" s="69"/>
      <c r="CQ485" s="69"/>
      <c r="CR485" s="69"/>
      <c r="CS485" s="69"/>
      <c r="CT485" s="69"/>
      <c r="CU485" s="69"/>
      <c r="CV485" s="69"/>
      <c r="CW485" s="69"/>
      <c r="CX485" s="69"/>
      <c r="CY485" s="69"/>
      <c r="CZ485" s="69"/>
      <c r="DA485" s="69"/>
      <c r="DB485" s="69"/>
      <c r="DC485" s="69"/>
      <c r="DD485" s="69"/>
      <c r="DE485" s="69"/>
      <c r="DF485" s="69"/>
      <c r="DG485" s="69"/>
      <c r="DH485" s="69"/>
      <c r="DI485" s="69"/>
      <c r="DJ485" s="69"/>
      <c r="DK485" s="69"/>
      <c r="DL485" s="69"/>
    </row>
    <row r="486" spans="1:116" ht="13" x14ac:dyDescent="0.3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202"/>
      <c r="V486" s="69"/>
      <c r="W486" s="69"/>
      <c r="X486" s="69"/>
      <c r="Y486" s="69"/>
      <c r="Z486" s="69"/>
      <c r="AA486" s="69"/>
      <c r="AB486" s="203"/>
      <c r="AC486" s="69"/>
      <c r="AD486" s="69"/>
      <c r="AE486" s="203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  <c r="AW486" s="69"/>
      <c r="AX486" s="69"/>
      <c r="AY486" s="69"/>
      <c r="AZ486" s="69"/>
      <c r="BA486" s="69"/>
      <c r="BB486" s="69"/>
      <c r="BC486" s="69"/>
      <c r="BD486" s="69"/>
      <c r="BE486" s="69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9"/>
      <c r="BY486" s="69"/>
      <c r="BZ486" s="69"/>
      <c r="CA486" s="69"/>
      <c r="CB486" s="69"/>
      <c r="CC486" s="69"/>
      <c r="CD486" s="69"/>
      <c r="CE486" s="69"/>
      <c r="CF486" s="69"/>
      <c r="CG486" s="69"/>
      <c r="CH486" s="69"/>
      <c r="CI486" s="69"/>
      <c r="CJ486" s="69"/>
      <c r="CK486" s="69"/>
      <c r="CL486" s="69"/>
      <c r="CM486" s="69"/>
      <c r="CN486" s="69"/>
      <c r="CO486" s="69"/>
      <c r="CP486" s="69"/>
      <c r="CQ486" s="69"/>
      <c r="CR486" s="69"/>
      <c r="CS486" s="69"/>
      <c r="CT486" s="69"/>
      <c r="CU486" s="69"/>
      <c r="CV486" s="69"/>
      <c r="CW486" s="69"/>
      <c r="CX486" s="69"/>
      <c r="CY486" s="69"/>
      <c r="CZ486" s="69"/>
      <c r="DA486" s="69"/>
      <c r="DB486" s="69"/>
      <c r="DC486" s="69"/>
      <c r="DD486" s="69"/>
      <c r="DE486" s="69"/>
      <c r="DF486" s="69"/>
      <c r="DG486" s="69"/>
      <c r="DH486" s="69"/>
      <c r="DI486" s="69"/>
      <c r="DJ486" s="69"/>
      <c r="DK486" s="69"/>
      <c r="DL486" s="69"/>
    </row>
    <row r="487" spans="1:116" ht="13" x14ac:dyDescent="0.3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202"/>
      <c r="V487" s="69"/>
      <c r="W487" s="69"/>
      <c r="X487" s="69"/>
      <c r="Y487" s="69"/>
      <c r="Z487" s="69"/>
      <c r="AA487" s="69"/>
      <c r="AB487" s="203"/>
      <c r="AC487" s="69"/>
      <c r="AD487" s="69"/>
      <c r="AE487" s="203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  <c r="AW487" s="69"/>
      <c r="AX487" s="69"/>
      <c r="AY487" s="69"/>
      <c r="AZ487" s="69"/>
      <c r="BA487" s="69"/>
      <c r="BB487" s="69"/>
      <c r="BC487" s="69"/>
      <c r="BD487" s="69"/>
      <c r="BE487" s="69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9"/>
      <c r="BY487" s="69"/>
      <c r="BZ487" s="69"/>
      <c r="CA487" s="69"/>
      <c r="CB487" s="69"/>
      <c r="CC487" s="69"/>
      <c r="CD487" s="69"/>
      <c r="CE487" s="69"/>
      <c r="CF487" s="69"/>
      <c r="CG487" s="69"/>
      <c r="CH487" s="69"/>
      <c r="CI487" s="69"/>
      <c r="CJ487" s="69"/>
      <c r="CK487" s="69"/>
      <c r="CL487" s="69"/>
      <c r="CM487" s="69"/>
      <c r="CN487" s="69"/>
      <c r="CO487" s="69"/>
      <c r="CP487" s="69"/>
      <c r="CQ487" s="69"/>
      <c r="CR487" s="69"/>
      <c r="CS487" s="69"/>
      <c r="CT487" s="69"/>
      <c r="CU487" s="69"/>
      <c r="CV487" s="69"/>
      <c r="CW487" s="69"/>
      <c r="CX487" s="69"/>
      <c r="CY487" s="69"/>
      <c r="CZ487" s="69"/>
      <c r="DA487" s="69"/>
      <c r="DB487" s="69"/>
      <c r="DC487" s="69"/>
      <c r="DD487" s="69"/>
      <c r="DE487" s="69"/>
      <c r="DF487" s="69"/>
      <c r="DG487" s="69"/>
      <c r="DH487" s="69"/>
      <c r="DI487" s="69"/>
      <c r="DJ487" s="69"/>
      <c r="DK487" s="69"/>
      <c r="DL487" s="69"/>
    </row>
    <row r="488" spans="1:116" ht="13" x14ac:dyDescent="0.3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202"/>
      <c r="V488" s="69"/>
      <c r="W488" s="69"/>
      <c r="X488" s="69"/>
      <c r="Y488" s="69"/>
      <c r="Z488" s="69"/>
      <c r="AA488" s="69"/>
      <c r="AB488" s="203"/>
      <c r="AC488" s="69"/>
      <c r="AD488" s="69"/>
      <c r="AE488" s="203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  <c r="AW488" s="69"/>
      <c r="AX488" s="69"/>
      <c r="AY488" s="69"/>
      <c r="AZ488" s="69"/>
      <c r="BA488" s="69"/>
      <c r="BB488" s="69"/>
      <c r="BC488" s="69"/>
      <c r="BD488" s="69"/>
      <c r="BE488" s="69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9"/>
      <c r="BY488" s="69"/>
      <c r="BZ488" s="69"/>
      <c r="CA488" s="69"/>
      <c r="CB488" s="69"/>
      <c r="CC488" s="69"/>
      <c r="CD488" s="69"/>
      <c r="CE488" s="69"/>
      <c r="CF488" s="69"/>
      <c r="CG488" s="69"/>
      <c r="CH488" s="69"/>
      <c r="CI488" s="69"/>
      <c r="CJ488" s="69"/>
      <c r="CK488" s="69"/>
      <c r="CL488" s="69"/>
      <c r="CM488" s="69"/>
      <c r="CN488" s="69"/>
      <c r="CO488" s="69"/>
      <c r="CP488" s="69"/>
      <c r="CQ488" s="69"/>
      <c r="CR488" s="69"/>
      <c r="CS488" s="69"/>
      <c r="CT488" s="69"/>
      <c r="CU488" s="69"/>
      <c r="CV488" s="69"/>
      <c r="CW488" s="69"/>
      <c r="CX488" s="69"/>
      <c r="CY488" s="69"/>
      <c r="CZ488" s="69"/>
      <c r="DA488" s="69"/>
      <c r="DB488" s="69"/>
      <c r="DC488" s="69"/>
      <c r="DD488" s="69"/>
      <c r="DE488" s="69"/>
      <c r="DF488" s="69"/>
      <c r="DG488" s="69"/>
      <c r="DH488" s="69"/>
      <c r="DI488" s="69"/>
      <c r="DJ488" s="69"/>
      <c r="DK488" s="69"/>
      <c r="DL488" s="69"/>
    </row>
    <row r="489" spans="1:116" ht="13" x14ac:dyDescent="0.3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202"/>
      <c r="V489" s="69"/>
      <c r="W489" s="69"/>
      <c r="X489" s="69"/>
      <c r="Y489" s="69"/>
      <c r="Z489" s="69"/>
      <c r="AA489" s="69"/>
      <c r="AB489" s="203"/>
      <c r="AC489" s="69"/>
      <c r="AD489" s="69"/>
      <c r="AE489" s="203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  <c r="AW489" s="69"/>
      <c r="AX489" s="69"/>
      <c r="AY489" s="69"/>
      <c r="AZ489" s="69"/>
      <c r="BA489" s="69"/>
      <c r="BB489" s="69"/>
      <c r="BC489" s="69"/>
      <c r="BD489" s="69"/>
      <c r="BE489" s="69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9"/>
      <c r="BY489" s="69"/>
      <c r="BZ489" s="69"/>
      <c r="CA489" s="69"/>
      <c r="CB489" s="69"/>
      <c r="CC489" s="69"/>
      <c r="CD489" s="69"/>
      <c r="CE489" s="69"/>
      <c r="CF489" s="69"/>
      <c r="CG489" s="69"/>
      <c r="CH489" s="69"/>
      <c r="CI489" s="69"/>
      <c r="CJ489" s="69"/>
      <c r="CK489" s="69"/>
      <c r="CL489" s="69"/>
      <c r="CM489" s="69"/>
      <c r="CN489" s="69"/>
      <c r="CO489" s="69"/>
      <c r="CP489" s="69"/>
      <c r="CQ489" s="69"/>
      <c r="CR489" s="69"/>
      <c r="CS489" s="69"/>
      <c r="CT489" s="69"/>
      <c r="CU489" s="69"/>
      <c r="CV489" s="69"/>
      <c r="CW489" s="69"/>
      <c r="CX489" s="69"/>
      <c r="CY489" s="69"/>
      <c r="CZ489" s="69"/>
      <c r="DA489" s="69"/>
      <c r="DB489" s="69"/>
      <c r="DC489" s="69"/>
      <c r="DD489" s="69"/>
      <c r="DE489" s="69"/>
      <c r="DF489" s="69"/>
      <c r="DG489" s="69"/>
      <c r="DH489" s="69"/>
      <c r="DI489" s="69"/>
      <c r="DJ489" s="69"/>
      <c r="DK489" s="69"/>
      <c r="DL489" s="69"/>
    </row>
    <row r="490" spans="1:116" ht="13" x14ac:dyDescent="0.3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202"/>
      <c r="V490" s="69"/>
      <c r="W490" s="69"/>
      <c r="X490" s="69"/>
      <c r="Y490" s="69"/>
      <c r="Z490" s="69"/>
      <c r="AA490" s="69"/>
      <c r="AB490" s="203"/>
      <c r="AC490" s="69"/>
      <c r="AD490" s="69"/>
      <c r="AE490" s="203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  <c r="BA490" s="69"/>
      <c r="BB490" s="69"/>
      <c r="BC490" s="69"/>
      <c r="BD490" s="69"/>
      <c r="BE490" s="69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9"/>
      <c r="BY490" s="69"/>
      <c r="BZ490" s="69"/>
      <c r="CA490" s="69"/>
      <c r="CB490" s="69"/>
      <c r="CC490" s="69"/>
      <c r="CD490" s="69"/>
      <c r="CE490" s="69"/>
      <c r="CF490" s="69"/>
      <c r="CG490" s="69"/>
      <c r="CH490" s="69"/>
      <c r="CI490" s="69"/>
      <c r="CJ490" s="69"/>
      <c r="CK490" s="69"/>
      <c r="CL490" s="69"/>
      <c r="CM490" s="69"/>
      <c r="CN490" s="69"/>
      <c r="CO490" s="69"/>
      <c r="CP490" s="69"/>
      <c r="CQ490" s="69"/>
      <c r="CR490" s="69"/>
      <c r="CS490" s="69"/>
      <c r="CT490" s="69"/>
      <c r="CU490" s="69"/>
      <c r="CV490" s="69"/>
      <c r="CW490" s="69"/>
      <c r="CX490" s="69"/>
      <c r="CY490" s="69"/>
      <c r="CZ490" s="69"/>
      <c r="DA490" s="69"/>
      <c r="DB490" s="69"/>
      <c r="DC490" s="69"/>
      <c r="DD490" s="69"/>
      <c r="DE490" s="69"/>
      <c r="DF490" s="69"/>
      <c r="DG490" s="69"/>
      <c r="DH490" s="69"/>
      <c r="DI490" s="69"/>
      <c r="DJ490" s="69"/>
      <c r="DK490" s="69"/>
      <c r="DL490" s="69"/>
    </row>
    <row r="491" spans="1:116" ht="13" x14ac:dyDescent="0.3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202"/>
      <c r="V491" s="69"/>
      <c r="W491" s="69"/>
      <c r="X491" s="69"/>
      <c r="Y491" s="69"/>
      <c r="Z491" s="69"/>
      <c r="AA491" s="69"/>
      <c r="AB491" s="203"/>
      <c r="AC491" s="69"/>
      <c r="AD491" s="69"/>
      <c r="AE491" s="203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  <c r="AW491" s="69"/>
      <c r="AX491" s="69"/>
      <c r="AY491" s="69"/>
      <c r="AZ491" s="69"/>
      <c r="BA491" s="69"/>
      <c r="BB491" s="69"/>
      <c r="BC491" s="69"/>
      <c r="BD491" s="69"/>
      <c r="BE491" s="69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9"/>
      <c r="BY491" s="69"/>
      <c r="BZ491" s="69"/>
      <c r="CA491" s="69"/>
      <c r="CB491" s="69"/>
      <c r="CC491" s="69"/>
      <c r="CD491" s="69"/>
      <c r="CE491" s="69"/>
      <c r="CF491" s="69"/>
      <c r="CG491" s="69"/>
      <c r="CH491" s="69"/>
      <c r="CI491" s="69"/>
      <c r="CJ491" s="69"/>
      <c r="CK491" s="69"/>
      <c r="CL491" s="69"/>
      <c r="CM491" s="69"/>
      <c r="CN491" s="69"/>
      <c r="CO491" s="69"/>
      <c r="CP491" s="69"/>
      <c r="CQ491" s="69"/>
      <c r="CR491" s="69"/>
      <c r="CS491" s="69"/>
      <c r="CT491" s="69"/>
      <c r="CU491" s="69"/>
      <c r="CV491" s="69"/>
      <c r="CW491" s="69"/>
      <c r="CX491" s="69"/>
      <c r="CY491" s="69"/>
      <c r="CZ491" s="69"/>
      <c r="DA491" s="69"/>
      <c r="DB491" s="69"/>
      <c r="DC491" s="69"/>
      <c r="DD491" s="69"/>
      <c r="DE491" s="69"/>
      <c r="DF491" s="69"/>
      <c r="DG491" s="69"/>
      <c r="DH491" s="69"/>
      <c r="DI491" s="69"/>
      <c r="DJ491" s="69"/>
      <c r="DK491" s="69"/>
      <c r="DL491" s="69"/>
    </row>
    <row r="492" spans="1:116" ht="13" x14ac:dyDescent="0.3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202"/>
      <c r="V492" s="69"/>
      <c r="W492" s="69"/>
      <c r="X492" s="69"/>
      <c r="Y492" s="69"/>
      <c r="Z492" s="69"/>
      <c r="AA492" s="69"/>
      <c r="AB492" s="203"/>
      <c r="AC492" s="69"/>
      <c r="AD492" s="69"/>
      <c r="AE492" s="203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  <c r="AW492" s="69"/>
      <c r="AX492" s="69"/>
      <c r="AY492" s="69"/>
      <c r="AZ492" s="69"/>
      <c r="BA492" s="69"/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9"/>
      <c r="BY492" s="69"/>
      <c r="BZ492" s="69"/>
      <c r="CA492" s="69"/>
      <c r="CB492" s="69"/>
      <c r="CC492" s="69"/>
      <c r="CD492" s="69"/>
      <c r="CE492" s="69"/>
      <c r="CF492" s="69"/>
      <c r="CG492" s="69"/>
      <c r="CH492" s="69"/>
      <c r="CI492" s="69"/>
      <c r="CJ492" s="69"/>
      <c r="CK492" s="69"/>
      <c r="CL492" s="69"/>
      <c r="CM492" s="69"/>
      <c r="CN492" s="69"/>
      <c r="CO492" s="69"/>
      <c r="CP492" s="69"/>
      <c r="CQ492" s="69"/>
      <c r="CR492" s="69"/>
      <c r="CS492" s="69"/>
      <c r="CT492" s="69"/>
      <c r="CU492" s="69"/>
      <c r="CV492" s="69"/>
      <c r="CW492" s="69"/>
      <c r="CX492" s="69"/>
      <c r="CY492" s="69"/>
      <c r="CZ492" s="69"/>
      <c r="DA492" s="69"/>
      <c r="DB492" s="69"/>
      <c r="DC492" s="69"/>
      <c r="DD492" s="69"/>
      <c r="DE492" s="69"/>
      <c r="DF492" s="69"/>
      <c r="DG492" s="69"/>
      <c r="DH492" s="69"/>
      <c r="DI492" s="69"/>
      <c r="DJ492" s="69"/>
      <c r="DK492" s="69"/>
      <c r="DL492" s="69"/>
    </row>
    <row r="493" spans="1:116" ht="13" x14ac:dyDescent="0.3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202"/>
      <c r="V493" s="69"/>
      <c r="W493" s="69"/>
      <c r="X493" s="69"/>
      <c r="Y493" s="69"/>
      <c r="Z493" s="69"/>
      <c r="AA493" s="69"/>
      <c r="AB493" s="203"/>
      <c r="AC493" s="69"/>
      <c r="AD493" s="69"/>
      <c r="AE493" s="203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  <c r="AW493" s="69"/>
      <c r="AX493" s="69"/>
      <c r="AY493" s="69"/>
      <c r="AZ493" s="69"/>
      <c r="BA493" s="69"/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9"/>
      <c r="BY493" s="69"/>
      <c r="BZ493" s="69"/>
      <c r="CA493" s="69"/>
      <c r="CB493" s="69"/>
      <c r="CC493" s="69"/>
      <c r="CD493" s="69"/>
      <c r="CE493" s="69"/>
      <c r="CF493" s="69"/>
      <c r="CG493" s="69"/>
      <c r="CH493" s="69"/>
      <c r="CI493" s="69"/>
      <c r="CJ493" s="69"/>
      <c r="CK493" s="69"/>
      <c r="CL493" s="69"/>
      <c r="CM493" s="69"/>
      <c r="CN493" s="69"/>
      <c r="CO493" s="69"/>
      <c r="CP493" s="69"/>
      <c r="CQ493" s="69"/>
      <c r="CR493" s="69"/>
      <c r="CS493" s="69"/>
      <c r="CT493" s="69"/>
      <c r="CU493" s="69"/>
      <c r="CV493" s="69"/>
      <c r="CW493" s="69"/>
      <c r="CX493" s="69"/>
      <c r="CY493" s="69"/>
      <c r="CZ493" s="69"/>
      <c r="DA493" s="69"/>
      <c r="DB493" s="69"/>
      <c r="DC493" s="69"/>
      <c r="DD493" s="69"/>
      <c r="DE493" s="69"/>
      <c r="DF493" s="69"/>
      <c r="DG493" s="69"/>
      <c r="DH493" s="69"/>
      <c r="DI493" s="69"/>
      <c r="DJ493" s="69"/>
      <c r="DK493" s="69"/>
      <c r="DL493" s="69"/>
    </row>
    <row r="494" spans="1:116" ht="13" x14ac:dyDescent="0.3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202"/>
      <c r="V494" s="69"/>
      <c r="W494" s="69"/>
      <c r="X494" s="69"/>
      <c r="Y494" s="69"/>
      <c r="Z494" s="69"/>
      <c r="AA494" s="69"/>
      <c r="AB494" s="203"/>
      <c r="AC494" s="69"/>
      <c r="AD494" s="69"/>
      <c r="AE494" s="203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  <c r="AW494" s="69"/>
      <c r="AX494" s="69"/>
      <c r="AY494" s="69"/>
      <c r="AZ494" s="69"/>
      <c r="BA494" s="69"/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9"/>
      <c r="BY494" s="69"/>
      <c r="BZ494" s="69"/>
      <c r="CA494" s="69"/>
      <c r="CB494" s="69"/>
      <c r="CC494" s="69"/>
      <c r="CD494" s="69"/>
      <c r="CE494" s="69"/>
      <c r="CF494" s="69"/>
      <c r="CG494" s="69"/>
      <c r="CH494" s="69"/>
      <c r="CI494" s="69"/>
      <c r="CJ494" s="69"/>
      <c r="CK494" s="69"/>
      <c r="CL494" s="69"/>
      <c r="CM494" s="69"/>
      <c r="CN494" s="69"/>
      <c r="CO494" s="69"/>
      <c r="CP494" s="69"/>
      <c r="CQ494" s="69"/>
      <c r="CR494" s="69"/>
      <c r="CS494" s="69"/>
      <c r="CT494" s="69"/>
      <c r="CU494" s="69"/>
      <c r="CV494" s="69"/>
      <c r="CW494" s="69"/>
      <c r="CX494" s="69"/>
      <c r="CY494" s="69"/>
      <c r="CZ494" s="69"/>
      <c r="DA494" s="69"/>
      <c r="DB494" s="69"/>
      <c r="DC494" s="69"/>
      <c r="DD494" s="69"/>
      <c r="DE494" s="69"/>
      <c r="DF494" s="69"/>
      <c r="DG494" s="69"/>
      <c r="DH494" s="69"/>
      <c r="DI494" s="69"/>
      <c r="DJ494" s="69"/>
      <c r="DK494" s="69"/>
      <c r="DL494" s="69"/>
    </row>
    <row r="495" spans="1:116" ht="13" x14ac:dyDescent="0.3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202"/>
      <c r="V495" s="69"/>
      <c r="W495" s="69"/>
      <c r="X495" s="69"/>
      <c r="Y495" s="69"/>
      <c r="Z495" s="69"/>
      <c r="AA495" s="69"/>
      <c r="AB495" s="203"/>
      <c r="AC495" s="69"/>
      <c r="AD495" s="69"/>
      <c r="AE495" s="203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  <c r="AW495" s="69"/>
      <c r="AX495" s="69"/>
      <c r="AY495" s="69"/>
      <c r="AZ495" s="69"/>
      <c r="BA495" s="69"/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9"/>
      <c r="BY495" s="69"/>
      <c r="BZ495" s="69"/>
      <c r="CA495" s="69"/>
      <c r="CB495" s="69"/>
      <c r="CC495" s="69"/>
      <c r="CD495" s="69"/>
      <c r="CE495" s="69"/>
      <c r="CF495" s="69"/>
      <c r="CG495" s="69"/>
      <c r="CH495" s="69"/>
      <c r="CI495" s="69"/>
      <c r="CJ495" s="69"/>
      <c r="CK495" s="69"/>
      <c r="CL495" s="69"/>
      <c r="CM495" s="69"/>
      <c r="CN495" s="69"/>
      <c r="CO495" s="69"/>
      <c r="CP495" s="69"/>
      <c r="CQ495" s="69"/>
      <c r="CR495" s="69"/>
      <c r="CS495" s="69"/>
      <c r="CT495" s="69"/>
      <c r="CU495" s="69"/>
      <c r="CV495" s="69"/>
      <c r="CW495" s="69"/>
      <c r="CX495" s="69"/>
      <c r="CY495" s="69"/>
      <c r="CZ495" s="69"/>
      <c r="DA495" s="69"/>
      <c r="DB495" s="69"/>
      <c r="DC495" s="69"/>
      <c r="DD495" s="69"/>
      <c r="DE495" s="69"/>
      <c r="DF495" s="69"/>
      <c r="DG495" s="69"/>
      <c r="DH495" s="69"/>
      <c r="DI495" s="69"/>
      <c r="DJ495" s="69"/>
      <c r="DK495" s="69"/>
      <c r="DL495" s="69"/>
    </row>
    <row r="496" spans="1:116" ht="13" x14ac:dyDescent="0.3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202"/>
      <c r="V496" s="69"/>
      <c r="W496" s="69"/>
      <c r="X496" s="69"/>
      <c r="Y496" s="69"/>
      <c r="Z496" s="69"/>
      <c r="AA496" s="69"/>
      <c r="AB496" s="203"/>
      <c r="AC496" s="69"/>
      <c r="AD496" s="69"/>
      <c r="AE496" s="203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  <c r="AW496" s="69"/>
      <c r="AX496" s="69"/>
      <c r="AY496" s="69"/>
      <c r="AZ496" s="69"/>
      <c r="BA496" s="69"/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9"/>
      <c r="BY496" s="69"/>
      <c r="BZ496" s="69"/>
      <c r="CA496" s="69"/>
      <c r="CB496" s="69"/>
      <c r="CC496" s="69"/>
      <c r="CD496" s="69"/>
      <c r="CE496" s="69"/>
      <c r="CF496" s="69"/>
      <c r="CG496" s="69"/>
      <c r="CH496" s="69"/>
      <c r="CI496" s="69"/>
      <c r="CJ496" s="69"/>
      <c r="CK496" s="69"/>
      <c r="CL496" s="69"/>
      <c r="CM496" s="69"/>
      <c r="CN496" s="69"/>
      <c r="CO496" s="69"/>
      <c r="CP496" s="69"/>
      <c r="CQ496" s="69"/>
      <c r="CR496" s="69"/>
      <c r="CS496" s="69"/>
      <c r="CT496" s="69"/>
      <c r="CU496" s="69"/>
      <c r="CV496" s="69"/>
      <c r="CW496" s="69"/>
      <c r="CX496" s="69"/>
      <c r="CY496" s="69"/>
      <c r="CZ496" s="69"/>
      <c r="DA496" s="69"/>
      <c r="DB496" s="69"/>
      <c r="DC496" s="69"/>
      <c r="DD496" s="69"/>
      <c r="DE496" s="69"/>
      <c r="DF496" s="69"/>
      <c r="DG496" s="69"/>
      <c r="DH496" s="69"/>
      <c r="DI496" s="69"/>
      <c r="DJ496" s="69"/>
      <c r="DK496" s="69"/>
      <c r="DL496" s="69"/>
    </row>
    <row r="497" spans="1:116" ht="13" x14ac:dyDescent="0.3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202"/>
      <c r="V497" s="69"/>
      <c r="W497" s="69"/>
      <c r="X497" s="69"/>
      <c r="Y497" s="69"/>
      <c r="Z497" s="69"/>
      <c r="AA497" s="69"/>
      <c r="AB497" s="203"/>
      <c r="AC497" s="69"/>
      <c r="AD497" s="69"/>
      <c r="AE497" s="203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  <c r="AW497" s="69"/>
      <c r="AX497" s="69"/>
      <c r="AY497" s="69"/>
      <c r="AZ497" s="69"/>
      <c r="BA497" s="69"/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9"/>
      <c r="BY497" s="69"/>
      <c r="BZ497" s="69"/>
      <c r="CA497" s="69"/>
      <c r="CB497" s="69"/>
      <c r="CC497" s="69"/>
      <c r="CD497" s="69"/>
      <c r="CE497" s="69"/>
      <c r="CF497" s="69"/>
      <c r="CG497" s="69"/>
      <c r="CH497" s="69"/>
      <c r="CI497" s="69"/>
      <c r="CJ497" s="69"/>
      <c r="CK497" s="69"/>
      <c r="CL497" s="69"/>
      <c r="CM497" s="69"/>
      <c r="CN497" s="69"/>
      <c r="CO497" s="69"/>
      <c r="CP497" s="69"/>
      <c r="CQ497" s="69"/>
      <c r="CR497" s="69"/>
      <c r="CS497" s="69"/>
      <c r="CT497" s="69"/>
      <c r="CU497" s="69"/>
      <c r="CV497" s="69"/>
      <c r="CW497" s="69"/>
      <c r="CX497" s="69"/>
      <c r="CY497" s="69"/>
      <c r="CZ497" s="69"/>
      <c r="DA497" s="69"/>
      <c r="DB497" s="69"/>
      <c r="DC497" s="69"/>
      <c r="DD497" s="69"/>
      <c r="DE497" s="69"/>
      <c r="DF497" s="69"/>
      <c r="DG497" s="69"/>
      <c r="DH497" s="69"/>
      <c r="DI497" s="69"/>
      <c r="DJ497" s="69"/>
      <c r="DK497" s="69"/>
      <c r="DL497" s="69"/>
    </row>
    <row r="498" spans="1:116" ht="13" x14ac:dyDescent="0.3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202"/>
      <c r="V498" s="69"/>
      <c r="W498" s="69"/>
      <c r="X498" s="69"/>
      <c r="Y498" s="69"/>
      <c r="Z498" s="69"/>
      <c r="AA498" s="69"/>
      <c r="AB498" s="203"/>
      <c r="AC498" s="69"/>
      <c r="AD498" s="69"/>
      <c r="AE498" s="203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  <c r="AW498" s="69"/>
      <c r="AX498" s="69"/>
      <c r="AY498" s="69"/>
      <c r="AZ498" s="69"/>
      <c r="BA498" s="69"/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9"/>
      <c r="BY498" s="69"/>
      <c r="BZ498" s="69"/>
      <c r="CA498" s="69"/>
      <c r="CB498" s="69"/>
      <c r="CC498" s="69"/>
      <c r="CD498" s="69"/>
      <c r="CE498" s="69"/>
      <c r="CF498" s="69"/>
      <c r="CG498" s="69"/>
      <c r="CH498" s="69"/>
      <c r="CI498" s="69"/>
      <c r="CJ498" s="69"/>
      <c r="CK498" s="69"/>
      <c r="CL498" s="69"/>
      <c r="CM498" s="69"/>
      <c r="CN498" s="69"/>
      <c r="CO498" s="69"/>
      <c r="CP498" s="69"/>
      <c r="CQ498" s="69"/>
      <c r="CR498" s="69"/>
      <c r="CS498" s="69"/>
      <c r="CT498" s="69"/>
      <c r="CU498" s="69"/>
      <c r="CV498" s="69"/>
      <c r="CW498" s="69"/>
      <c r="CX498" s="69"/>
      <c r="CY498" s="69"/>
      <c r="CZ498" s="69"/>
      <c r="DA498" s="69"/>
      <c r="DB498" s="69"/>
      <c r="DC498" s="69"/>
      <c r="DD498" s="69"/>
      <c r="DE498" s="69"/>
      <c r="DF498" s="69"/>
      <c r="DG498" s="69"/>
      <c r="DH498" s="69"/>
      <c r="DI498" s="69"/>
      <c r="DJ498" s="69"/>
      <c r="DK498" s="69"/>
      <c r="DL498" s="69"/>
    </row>
    <row r="499" spans="1:116" ht="13" x14ac:dyDescent="0.3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202"/>
      <c r="V499" s="69"/>
      <c r="W499" s="69"/>
      <c r="X499" s="69"/>
      <c r="Y499" s="69"/>
      <c r="Z499" s="69"/>
      <c r="AA499" s="69"/>
      <c r="AB499" s="203"/>
      <c r="AC499" s="69"/>
      <c r="AD499" s="69"/>
      <c r="AE499" s="203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  <c r="AW499" s="69"/>
      <c r="AX499" s="69"/>
      <c r="AY499" s="69"/>
      <c r="AZ499" s="69"/>
      <c r="BA499" s="69"/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9"/>
      <c r="BY499" s="69"/>
      <c r="BZ499" s="69"/>
      <c r="CA499" s="69"/>
      <c r="CB499" s="69"/>
      <c r="CC499" s="69"/>
      <c r="CD499" s="69"/>
      <c r="CE499" s="69"/>
      <c r="CF499" s="69"/>
      <c r="CG499" s="69"/>
      <c r="CH499" s="69"/>
      <c r="CI499" s="69"/>
      <c r="CJ499" s="69"/>
      <c r="CK499" s="69"/>
      <c r="CL499" s="69"/>
      <c r="CM499" s="69"/>
      <c r="CN499" s="69"/>
      <c r="CO499" s="69"/>
      <c r="CP499" s="69"/>
      <c r="CQ499" s="69"/>
      <c r="CR499" s="69"/>
      <c r="CS499" s="69"/>
      <c r="CT499" s="69"/>
      <c r="CU499" s="69"/>
      <c r="CV499" s="69"/>
      <c r="CW499" s="69"/>
      <c r="CX499" s="69"/>
      <c r="CY499" s="69"/>
      <c r="CZ499" s="69"/>
      <c r="DA499" s="69"/>
      <c r="DB499" s="69"/>
      <c r="DC499" s="69"/>
      <c r="DD499" s="69"/>
      <c r="DE499" s="69"/>
      <c r="DF499" s="69"/>
      <c r="DG499" s="69"/>
      <c r="DH499" s="69"/>
      <c r="DI499" s="69"/>
      <c r="DJ499" s="69"/>
      <c r="DK499" s="69"/>
      <c r="DL499" s="69"/>
    </row>
    <row r="500" spans="1:116" ht="13" x14ac:dyDescent="0.3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202"/>
      <c r="V500" s="69"/>
      <c r="W500" s="69"/>
      <c r="X500" s="69"/>
      <c r="Y500" s="69"/>
      <c r="Z500" s="69"/>
      <c r="AA500" s="69"/>
      <c r="AB500" s="203"/>
      <c r="AC500" s="69"/>
      <c r="AD500" s="69"/>
      <c r="AE500" s="203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  <c r="AW500" s="69"/>
      <c r="AX500" s="69"/>
      <c r="AY500" s="69"/>
      <c r="AZ500" s="69"/>
      <c r="BA500" s="69"/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9"/>
      <c r="BY500" s="69"/>
      <c r="BZ500" s="69"/>
      <c r="CA500" s="69"/>
      <c r="CB500" s="69"/>
      <c r="CC500" s="69"/>
      <c r="CD500" s="69"/>
      <c r="CE500" s="69"/>
      <c r="CF500" s="69"/>
      <c r="CG500" s="69"/>
      <c r="CH500" s="69"/>
      <c r="CI500" s="69"/>
      <c r="CJ500" s="69"/>
      <c r="CK500" s="69"/>
      <c r="CL500" s="69"/>
      <c r="CM500" s="69"/>
      <c r="CN500" s="69"/>
      <c r="CO500" s="69"/>
      <c r="CP500" s="69"/>
      <c r="CQ500" s="69"/>
      <c r="CR500" s="69"/>
      <c r="CS500" s="69"/>
      <c r="CT500" s="69"/>
      <c r="CU500" s="69"/>
      <c r="CV500" s="69"/>
      <c r="CW500" s="69"/>
      <c r="CX500" s="69"/>
      <c r="CY500" s="69"/>
      <c r="CZ500" s="69"/>
      <c r="DA500" s="69"/>
      <c r="DB500" s="69"/>
      <c r="DC500" s="69"/>
      <c r="DD500" s="69"/>
      <c r="DE500" s="69"/>
      <c r="DF500" s="69"/>
      <c r="DG500" s="69"/>
      <c r="DH500" s="69"/>
      <c r="DI500" s="69"/>
      <c r="DJ500" s="69"/>
      <c r="DK500" s="69"/>
      <c r="DL500" s="69"/>
    </row>
    <row r="501" spans="1:116" ht="13" x14ac:dyDescent="0.3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202"/>
      <c r="V501" s="69"/>
      <c r="W501" s="69"/>
      <c r="X501" s="69"/>
      <c r="Y501" s="69"/>
      <c r="Z501" s="69"/>
      <c r="AA501" s="69"/>
      <c r="AB501" s="203"/>
      <c r="AC501" s="69"/>
      <c r="AD501" s="69"/>
      <c r="AE501" s="203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  <c r="AW501" s="69"/>
      <c r="AX501" s="69"/>
      <c r="AY501" s="69"/>
      <c r="AZ501" s="69"/>
      <c r="BA501" s="69"/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9"/>
      <c r="BY501" s="69"/>
      <c r="BZ501" s="69"/>
      <c r="CA501" s="69"/>
      <c r="CB501" s="69"/>
      <c r="CC501" s="69"/>
      <c r="CD501" s="69"/>
      <c r="CE501" s="69"/>
      <c r="CF501" s="69"/>
      <c r="CG501" s="69"/>
      <c r="CH501" s="69"/>
      <c r="CI501" s="69"/>
      <c r="CJ501" s="69"/>
      <c r="CK501" s="69"/>
      <c r="CL501" s="69"/>
      <c r="CM501" s="69"/>
      <c r="CN501" s="69"/>
      <c r="CO501" s="69"/>
      <c r="CP501" s="69"/>
      <c r="CQ501" s="69"/>
      <c r="CR501" s="69"/>
      <c r="CS501" s="69"/>
      <c r="CT501" s="69"/>
      <c r="CU501" s="69"/>
      <c r="CV501" s="69"/>
      <c r="CW501" s="69"/>
      <c r="CX501" s="69"/>
      <c r="CY501" s="69"/>
      <c r="CZ501" s="69"/>
      <c r="DA501" s="69"/>
      <c r="DB501" s="69"/>
      <c r="DC501" s="69"/>
      <c r="DD501" s="69"/>
      <c r="DE501" s="69"/>
      <c r="DF501" s="69"/>
      <c r="DG501" s="69"/>
      <c r="DH501" s="69"/>
      <c r="DI501" s="69"/>
      <c r="DJ501" s="69"/>
      <c r="DK501" s="69"/>
      <c r="DL501" s="69"/>
    </row>
    <row r="502" spans="1:116" ht="13" x14ac:dyDescent="0.3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202"/>
      <c r="V502" s="69"/>
      <c r="W502" s="69"/>
      <c r="X502" s="69"/>
      <c r="Y502" s="69"/>
      <c r="Z502" s="69"/>
      <c r="AA502" s="69"/>
      <c r="AB502" s="203"/>
      <c r="AC502" s="69"/>
      <c r="AD502" s="69"/>
      <c r="AE502" s="203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  <c r="AW502" s="69"/>
      <c r="AX502" s="69"/>
      <c r="AY502" s="69"/>
      <c r="AZ502" s="69"/>
      <c r="BA502" s="69"/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9"/>
      <c r="BY502" s="69"/>
      <c r="BZ502" s="69"/>
      <c r="CA502" s="69"/>
      <c r="CB502" s="69"/>
      <c r="CC502" s="69"/>
      <c r="CD502" s="69"/>
      <c r="CE502" s="69"/>
      <c r="CF502" s="69"/>
      <c r="CG502" s="69"/>
      <c r="CH502" s="69"/>
      <c r="CI502" s="69"/>
      <c r="CJ502" s="69"/>
      <c r="CK502" s="69"/>
      <c r="CL502" s="69"/>
      <c r="CM502" s="69"/>
      <c r="CN502" s="69"/>
      <c r="CO502" s="69"/>
      <c r="CP502" s="69"/>
      <c r="CQ502" s="69"/>
      <c r="CR502" s="69"/>
      <c r="CS502" s="69"/>
      <c r="CT502" s="69"/>
      <c r="CU502" s="69"/>
      <c r="CV502" s="69"/>
      <c r="CW502" s="69"/>
      <c r="CX502" s="69"/>
      <c r="CY502" s="69"/>
      <c r="CZ502" s="69"/>
      <c r="DA502" s="69"/>
      <c r="DB502" s="69"/>
      <c r="DC502" s="69"/>
      <c r="DD502" s="69"/>
      <c r="DE502" s="69"/>
      <c r="DF502" s="69"/>
      <c r="DG502" s="69"/>
      <c r="DH502" s="69"/>
      <c r="DI502" s="69"/>
      <c r="DJ502" s="69"/>
      <c r="DK502" s="69"/>
      <c r="DL502" s="69"/>
    </row>
    <row r="503" spans="1:116" ht="13" x14ac:dyDescent="0.3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202"/>
      <c r="V503" s="69"/>
      <c r="W503" s="69"/>
      <c r="X503" s="69"/>
      <c r="Y503" s="69"/>
      <c r="Z503" s="69"/>
      <c r="AA503" s="69"/>
      <c r="AB503" s="203"/>
      <c r="AC503" s="69"/>
      <c r="AD503" s="69"/>
      <c r="AE503" s="203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  <c r="AW503" s="69"/>
      <c r="AX503" s="69"/>
      <c r="AY503" s="69"/>
      <c r="AZ503" s="69"/>
      <c r="BA503" s="69"/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9"/>
      <c r="BY503" s="69"/>
      <c r="BZ503" s="69"/>
      <c r="CA503" s="69"/>
      <c r="CB503" s="69"/>
      <c r="CC503" s="69"/>
      <c r="CD503" s="69"/>
      <c r="CE503" s="69"/>
      <c r="CF503" s="69"/>
      <c r="CG503" s="69"/>
      <c r="CH503" s="69"/>
      <c r="CI503" s="69"/>
      <c r="CJ503" s="69"/>
      <c r="CK503" s="69"/>
      <c r="CL503" s="69"/>
      <c r="CM503" s="69"/>
      <c r="CN503" s="69"/>
      <c r="CO503" s="69"/>
      <c r="CP503" s="69"/>
      <c r="CQ503" s="69"/>
      <c r="CR503" s="69"/>
      <c r="CS503" s="69"/>
      <c r="CT503" s="69"/>
      <c r="CU503" s="69"/>
      <c r="CV503" s="69"/>
      <c r="CW503" s="69"/>
      <c r="CX503" s="69"/>
      <c r="CY503" s="69"/>
      <c r="CZ503" s="69"/>
      <c r="DA503" s="69"/>
      <c r="DB503" s="69"/>
      <c r="DC503" s="69"/>
      <c r="DD503" s="69"/>
      <c r="DE503" s="69"/>
      <c r="DF503" s="69"/>
      <c r="DG503" s="69"/>
      <c r="DH503" s="69"/>
      <c r="DI503" s="69"/>
      <c r="DJ503" s="69"/>
      <c r="DK503" s="69"/>
      <c r="DL503" s="69"/>
    </row>
    <row r="504" spans="1:116" ht="13" x14ac:dyDescent="0.3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202"/>
      <c r="V504" s="69"/>
      <c r="W504" s="69"/>
      <c r="X504" s="69"/>
      <c r="Y504" s="69"/>
      <c r="Z504" s="69"/>
      <c r="AA504" s="69"/>
      <c r="AB504" s="203"/>
      <c r="AC504" s="69"/>
      <c r="AD504" s="69"/>
      <c r="AE504" s="203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  <c r="AW504" s="69"/>
      <c r="AX504" s="69"/>
      <c r="AY504" s="69"/>
      <c r="AZ504" s="69"/>
      <c r="BA504" s="69"/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9"/>
      <c r="BY504" s="69"/>
      <c r="BZ504" s="69"/>
      <c r="CA504" s="69"/>
      <c r="CB504" s="69"/>
      <c r="CC504" s="69"/>
      <c r="CD504" s="69"/>
      <c r="CE504" s="69"/>
      <c r="CF504" s="69"/>
      <c r="CG504" s="69"/>
      <c r="CH504" s="69"/>
      <c r="CI504" s="69"/>
      <c r="CJ504" s="69"/>
      <c r="CK504" s="69"/>
      <c r="CL504" s="69"/>
      <c r="CM504" s="69"/>
      <c r="CN504" s="69"/>
      <c r="CO504" s="69"/>
      <c r="CP504" s="69"/>
      <c r="CQ504" s="69"/>
      <c r="CR504" s="69"/>
      <c r="CS504" s="69"/>
      <c r="CT504" s="69"/>
      <c r="CU504" s="69"/>
      <c r="CV504" s="69"/>
      <c r="CW504" s="69"/>
      <c r="CX504" s="69"/>
      <c r="CY504" s="69"/>
      <c r="CZ504" s="69"/>
      <c r="DA504" s="69"/>
      <c r="DB504" s="69"/>
      <c r="DC504" s="69"/>
      <c r="DD504" s="69"/>
      <c r="DE504" s="69"/>
      <c r="DF504" s="69"/>
      <c r="DG504" s="69"/>
      <c r="DH504" s="69"/>
      <c r="DI504" s="69"/>
      <c r="DJ504" s="69"/>
      <c r="DK504" s="69"/>
      <c r="DL504" s="69"/>
    </row>
    <row r="505" spans="1:116" ht="13" x14ac:dyDescent="0.3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202"/>
      <c r="V505" s="69"/>
      <c r="W505" s="69"/>
      <c r="X505" s="69"/>
      <c r="Y505" s="69"/>
      <c r="Z505" s="69"/>
      <c r="AA505" s="69"/>
      <c r="AB505" s="203"/>
      <c r="AC505" s="69"/>
      <c r="AD505" s="69"/>
      <c r="AE505" s="203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  <c r="AW505" s="69"/>
      <c r="AX505" s="69"/>
      <c r="AY505" s="69"/>
      <c r="AZ505" s="69"/>
      <c r="BA505" s="69"/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9"/>
      <c r="BY505" s="69"/>
      <c r="BZ505" s="69"/>
      <c r="CA505" s="69"/>
      <c r="CB505" s="69"/>
      <c r="CC505" s="69"/>
      <c r="CD505" s="69"/>
      <c r="CE505" s="69"/>
      <c r="CF505" s="69"/>
      <c r="CG505" s="69"/>
      <c r="CH505" s="69"/>
      <c r="CI505" s="69"/>
      <c r="CJ505" s="69"/>
      <c r="CK505" s="69"/>
      <c r="CL505" s="69"/>
      <c r="CM505" s="69"/>
      <c r="CN505" s="69"/>
      <c r="CO505" s="69"/>
      <c r="CP505" s="69"/>
      <c r="CQ505" s="69"/>
      <c r="CR505" s="69"/>
      <c r="CS505" s="69"/>
      <c r="CT505" s="69"/>
      <c r="CU505" s="69"/>
      <c r="CV505" s="69"/>
      <c r="CW505" s="69"/>
      <c r="CX505" s="69"/>
      <c r="CY505" s="69"/>
      <c r="CZ505" s="69"/>
      <c r="DA505" s="69"/>
      <c r="DB505" s="69"/>
      <c r="DC505" s="69"/>
      <c r="DD505" s="69"/>
      <c r="DE505" s="69"/>
      <c r="DF505" s="69"/>
      <c r="DG505" s="69"/>
      <c r="DH505" s="69"/>
      <c r="DI505" s="69"/>
      <c r="DJ505" s="69"/>
      <c r="DK505" s="69"/>
      <c r="DL505" s="69"/>
    </row>
    <row r="506" spans="1:116" ht="13" x14ac:dyDescent="0.3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202"/>
      <c r="V506" s="69"/>
      <c r="W506" s="69"/>
      <c r="X506" s="69"/>
      <c r="Y506" s="69"/>
      <c r="Z506" s="69"/>
      <c r="AA506" s="69"/>
      <c r="AB506" s="203"/>
      <c r="AC506" s="69"/>
      <c r="AD506" s="69"/>
      <c r="AE506" s="203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  <c r="AW506" s="69"/>
      <c r="AX506" s="69"/>
      <c r="AY506" s="69"/>
      <c r="AZ506" s="69"/>
      <c r="BA506" s="69"/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9"/>
      <c r="BY506" s="69"/>
      <c r="BZ506" s="69"/>
      <c r="CA506" s="69"/>
      <c r="CB506" s="69"/>
      <c r="CC506" s="69"/>
      <c r="CD506" s="69"/>
      <c r="CE506" s="69"/>
      <c r="CF506" s="69"/>
      <c r="CG506" s="69"/>
      <c r="CH506" s="69"/>
      <c r="CI506" s="69"/>
      <c r="CJ506" s="69"/>
      <c r="CK506" s="69"/>
      <c r="CL506" s="69"/>
      <c r="CM506" s="69"/>
      <c r="CN506" s="69"/>
      <c r="CO506" s="69"/>
      <c r="CP506" s="69"/>
      <c r="CQ506" s="69"/>
      <c r="CR506" s="69"/>
      <c r="CS506" s="69"/>
      <c r="CT506" s="69"/>
      <c r="CU506" s="69"/>
      <c r="CV506" s="69"/>
      <c r="CW506" s="69"/>
      <c r="CX506" s="69"/>
      <c r="CY506" s="69"/>
      <c r="CZ506" s="69"/>
      <c r="DA506" s="69"/>
      <c r="DB506" s="69"/>
      <c r="DC506" s="69"/>
      <c r="DD506" s="69"/>
      <c r="DE506" s="69"/>
      <c r="DF506" s="69"/>
      <c r="DG506" s="69"/>
      <c r="DH506" s="69"/>
      <c r="DI506" s="69"/>
      <c r="DJ506" s="69"/>
      <c r="DK506" s="69"/>
      <c r="DL506" s="69"/>
    </row>
    <row r="507" spans="1:116" ht="13" x14ac:dyDescent="0.3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202"/>
      <c r="V507" s="69"/>
      <c r="W507" s="69"/>
      <c r="X507" s="69"/>
      <c r="Y507" s="69"/>
      <c r="Z507" s="69"/>
      <c r="AA507" s="69"/>
      <c r="AB507" s="203"/>
      <c r="AC507" s="69"/>
      <c r="AD507" s="69"/>
      <c r="AE507" s="203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  <c r="AW507" s="69"/>
      <c r="AX507" s="69"/>
      <c r="AY507" s="69"/>
      <c r="AZ507" s="69"/>
      <c r="BA507" s="69"/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9"/>
      <c r="BY507" s="69"/>
      <c r="BZ507" s="69"/>
      <c r="CA507" s="69"/>
      <c r="CB507" s="69"/>
      <c r="CC507" s="69"/>
      <c r="CD507" s="69"/>
      <c r="CE507" s="69"/>
      <c r="CF507" s="69"/>
      <c r="CG507" s="69"/>
      <c r="CH507" s="69"/>
      <c r="CI507" s="69"/>
      <c r="CJ507" s="69"/>
      <c r="CK507" s="69"/>
      <c r="CL507" s="69"/>
      <c r="CM507" s="69"/>
      <c r="CN507" s="69"/>
      <c r="CO507" s="69"/>
      <c r="CP507" s="69"/>
      <c r="CQ507" s="69"/>
      <c r="CR507" s="69"/>
      <c r="CS507" s="69"/>
      <c r="CT507" s="69"/>
      <c r="CU507" s="69"/>
      <c r="CV507" s="69"/>
      <c r="CW507" s="69"/>
      <c r="CX507" s="69"/>
      <c r="CY507" s="69"/>
      <c r="CZ507" s="69"/>
      <c r="DA507" s="69"/>
      <c r="DB507" s="69"/>
      <c r="DC507" s="69"/>
      <c r="DD507" s="69"/>
      <c r="DE507" s="69"/>
      <c r="DF507" s="69"/>
      <c r="DG507" s="69"/>
      <c r="DH507" s="69"/>
      <c r="DI507" s="69"/>
      <c r="DJ507" s="69"/>
      <c r="DK507" s="69"/>
      <c r="DL507" s="69"/>
    </row>
    <row r="508" spans="1:116" ht="13" x14ac:dyDescent="0.3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202"/>
      <c r="V508" s="69"/>
      <c r="W508" s="69"/>
      <c r="X508" s="69"/>
      <c r="Y508" s="69"/>
      <c r="Z508" s="69"/>
      <c r="AA508" s="69"/>
      <c r="AB508" s="203"/>
      <c r="AC508" s="69"/>
      <c r="AD508" s="69"/>
      <c r="AE508" s="203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  <c r="AW508" s="69"/>
      <c r="AX508" s="69"/>
      <c r="AY508" s="69"/>
      <c r="AZ508" s="69"/>
      <c r="BA508" s="69"/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9"/>
      <c r="BY508" s="69"/>
      <c r="BZ508" s="69"/>
      <c r="CA508" s="69"/>
      <c r="CB508" s="69"/>
      <c r="CC508" s="69"/>
      <c r="CD508" s="69"/>
      <c r="CE508" s="69"/>
      <c r="CF508" s="69"/>
      <c r="CG508" s="69"/>
      <c r="CH508" s="69"/>
      <c r="CI508" s="69"/>
      <c r="CJ508" s="69"/>
      <c r="CK508" s="69"/>
      <c r="CL508" s="69"/>
      <c r="CM508" s="69"/>
      <c r="CN508" s="69"/>
      <c r="CO508" s="69"/>
      <c r="CP508" s="69"/>
      <c r="CQ508" s="69"/>
      <c r="CR508" s="69"/>
      <c r="CS508" s="69"/>
      <c r="CT508" s="69"/>
      <c r="CU508" s="69"/>
      <c r="CV508" s="69"/>
      <c r="CW508" s="69"/>
      <c r="CX508" s="69"/>
      <c r="CY508" s="69"/>
      <c r="CZ508" s="69"/>
      <c r="DA508" s="69"/>
      <c r="DB508" s="69"/>
      <c r="DC508" s="69"/>
      <c r="DD508" s="69"/>
      <c r="DE508" s="69"/>
      <c r="DF508" s="69"/>
      <c r="DG508" s="69"/>
      <c r="DH508" s="69"/>
      <c r="DI508" s="69"/>
      <c r="DJ508" s="69"/>
      <c r="DK508" s="69"/>
      <c r="DL508" s="69"/>
    </row>
    <row r="509" spans="1:116" ht="13" x14ac:dyDescent="0.3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202"/>
      <c r="V509" s="69"/>
      <c r="W509" s="69"/>
      <c r="X509" s="69"/>
      <c r="Y509" s="69"/>
      <c r="Z509" s="69"/>
      <c r="AA509" s="69"/>
      <c r="AB509" s="203"/>
      <c r="AC509" s="69"/>
      <c r="AD509" s="69"/>
      <c r="AE509" s="203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9"/>
      <c r="BY509" s="69"/>
      <c r="BZ509" s="69"/>
      <c r="CA509" s="69"/>
      <c r="CB509" s="69"/>
      <c r="CC509" s="69"/>
      <c r="CD509" s="69"/>
      <c r="CE509" s="69"/>
      <c r="CF509" s="69"/>
      <c r="CG509" s="69"/>
      <c r="CH509" s="69"/>
      <c r="CI509" s="69"/>
      <c r="CJ509" s="69"/>
      <c r="CK509" s="69"/>
      <c r="CL509" s="69"/>
      <c r="CM509" s="69"/>
      <c r="CN509" s="69"/>
      <c r="CO509" s="69"/>
      <c r="CP509" s="69"/>
      <c r="CQ509" s="69"/>
      <c r="CR509" s="69"/>
      <c r="CS509" s="69"/>
      <c r="CT509" s="69"/>
      <c r="CU509" s="69"/>
      <c r="CV509" s="69"/>
      <c r="CW509" s="69"/>
      <c r="CX509" s="69"/>
      <c r="CY509" s="69"/>
      <c r="CZ509" s="69"/>
      <c r="DA509" s="69"/>
      <c r="DB509" s="69"/>
      <c r="DC509" s="69"/>
      <c r="DD509" s="69"/>
      <c r="DE509" s="69"/>
      <c r="DF509" s="69"/>
      <c r="DG509" s="69"/>
      <c r="DH509" s="69"/>
      <c r="DI509" s="69"/>
      <c r="DJ509" s="69"/>
      <c r="DK509" s="69"/>
      <c r="DL509" s="69"/>
    </row>
    <row r="510" spans="1:116" ht="13" x14ac:dyDescent="0.3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202"/>
      <c r="V510" s="69"/>
      <c r="W510" s="69"/>
      <c r="X510" s="69"/>
      <c r="Y510" s="69"/>
      <c r="Z510" s="69"/>
      <c r="AA510" s="69"/>
      <c r="AB510" s="203"/>
      <c r="AC510" s="69"/>
      <c r="AD510" s="69"/>
      <c r="AE510" s="203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9"/>
      <c r="BY510" s="69"/>
      <c r="BZ510" s="69"/>
      <c r="CA510" s="69"/>
      <c r="CB510" s="69"/>
      <c r="CC510" s="69"/>
      <c r="CD510" s="69"/>
      <c r="CE510" s="69"/>
      <c r="CF510" s="69"/>
      <c r="CG510" s="69"/>
      <c r="CH510" s="69"/>
      <c r="CI510" s="69"/>
      <c r="CJ510" s="69"/>
      <c r="CK510" s="69"/>
      <c r="CL510" s="69"/>
      <c r="CM510" s="69"/>
      <c r="CN510" s="69"/>
      <c r="CO510" s="69"/>
      <c r="CP510" s="69"/>
      <c r="CQ510" s="69"/>
      <c r="CR510" s="69"/>
      <c r="CS510" s="69"/>
      <c r="CT510" s="69"/>
      <c r="CU510" s="69"/>
      <c r="CV510" s="69"/>
      <c r="CW510" s="69"/>
      <c r="CX510" s="69"/>
      <c r="CY510" s="69"/>
      <c r="CZ510" s="69"/>
      <c r="DA510" s="69"/>
      <c r="DB510" s="69"/>
      <c r="DC510" s="69"/>
      <c r="DD510" s="69"/>
      <c r="DE510" s="69"/>
      <c r="DF510" s="69"/>
      <c r="DG510" s="69"/>
      <c r="DH510" s="69"/>
      <c r="DI510" s="69"/>
      <c r="DJ510" s="69"/>
      <c r="DK510" s="69"/>
      <c r="DL510" s="69"/>
    </row>
    <row r="511" spans="1:116" ht="13" x14ac:dyDescent="0.3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202"/>
      <c r="V511" s="69"/>
      <c r="W511" s="69"/>
      <c r="X511" s="69"/>
      <c r="Y511" s="69"/>
      <c r="Z511" s="69"/>
      <c r="AA511" s="69"/>
      <c r="AB511" s="203"/>
      <c r="AC511" s="69"/>
      <c r="AD511" s="69"/>
      <c r="AE511" s="203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9"/>
      <c r="BY511" s="69"/>
      <c r="BZ511" s="69"/>
      <c r="CA511" s="69"/>
      <c r="CB511" s="69"/>
      <c r="CC511" s="69"/>
      <c r="CD511" s="69"/>
      <c r="CE511" s="69"/>
      <c r="CF511" s="69"/>
      <c r="CG511" s="69"/>
      <c r="CH511" s="69"/>
      <c r="CI511" s="69"/>
      <c r="CJ511" s="69"/>
      <c r="CK511" s="69"/>
      <c r="CL511" s="69"/>
      <c r="CM511" s="69"/>
      <c r="CN511" s="69"/>
      <c r="CO511" s="69"/>
      <c r="CP511" s="69"/>
      <c r="CQ511" s="69"/>
      <c r="CR511" s="69"/>
      <c r="CS511" s="69"/>
      <c r="CT511" s="69"/>
      <c r="CU511" s="69"/>
      <c r="CV511" s="69"/>
      <c r="CW511" s="69"/>
      <c r="CX511" s="69"/>
      <c r="CY511" s="69"/>
      <c r="CZ511" s="69"/>
      <c r="DA511" s="69"/>
      <c r="DB511" s="69"/>
      <c r="DC511" s="69"/>
      <c r="DD511" s="69"/>
      <c r="DE511" s="69"/>
      <c r="DF511" s="69"/>
      <c r="DG511" s="69"/>
      <c r="DH511" s="69"/>
      <c r="DI511" s="69"/>
      <c r="DJ511" s="69"/>
      <c r="DK511" s="69"/>
      <c r="DL511" s="69"/>
    </row>
    <row r="512" spans="1:116" ht="13" x14ac:dyDescent="0.3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202"/>
      <c r="V512" s="69"/>
      <c r="W512" s="69"/>
      <c r="X512" s="69"/>
      <c r="Y512" s="69"/>
      <c r="Z512" s="69"/>
      <c r="AA512" s="69"/>
      <c r="AB512" s="203"/>
      <c r="AC512" s="69"/>
      <c r="AD512" s="69"/>
      <c r="AE512" s="203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  <c r="AW512" s="69"/>
      <c r="AX512" s="69"/>
      <c r="AY512" s="69"/>
      <c r="AZ512" s="69"/>
      <c r="BA512" s="69"/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9"/>
      <c r="BY512" s="69"/>
      <c r="BZ512" s="69"/>
      <c r="CA512" s="69"/>
      <c r="CB512" s="69"/>
      <c r="CC512" s="69"/>
      <c r="CD512" s="69"/>
      <c r="CE512" s="69"/>
      <c r="CF512" s="69"/>
      <c r="CG512" s="69"/>
      <c r="CH512" s="69"/>
      <c r="CI512" s="69"/>
      <c r="CJ512" s="69"/>
      <c r="CK512" s="69"/>
      <c r="CL512" s="69"/>
      <c r="CM512" s="69"/>
      <c r="CN512" s="69"/>
      <c r="CO512" s="69"/>
      <c r="CP512" s="69"/>
      <c r="CQ512" s="69"/>
      <c r="CR512" s="69"/>
      <c r="CS512" s="69"/>
      <c r="CT512" s="69"/>
      <c r="CU512" s="69"/>
      <c r="CV512" s="69"/>
      <c r="CW512" s="69"/>
      <c r="CX512" s="69"/>
      <c r="CY512" s="69"/>
      <c r="CZ512" s="69"/>
      <c r="DA512" s="69"/>
      <c r="DB512" s="69"/>
      <c r="DC512" s="69"/>
      <c r="DD512" s="69"/>
      <c r="DE512" s="69"/>
      <c r="DF512" s="69"/>
      <c r="DG512" s="69"/>
      <c r="DH512" s="69"/>
      <c r="DI512" s="69"/>
      <c r="DJ512" s="69"/>
      <c r="DK512" s="69"/>
      <c r="DL512" s="69"/>
    </row>
    <row r="513" spans="1:116" ht="13" x14ac:dyDescent="0.3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202"/>
      <c r="V513" s="69"/>
      <c r="W513" s="69"/>
      <c r="X513" s="69"/>
      <c r="Y513" s="69"/>
      <c r="Z513" s="69"/>
      <c r="AA513" s="69"/>
      <c r="AB513" s="203"/>
      <c r="AC513" s="69"/>
      <c r="AD513" s="69"/>
      <c r="AE513" s="203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9"/>
      <c r="BY513" s="69"/>
      <c r="BZ513" s="69"/>
      <c r="CA513" s="69"/>
      <c r="CB513" s="69"/>
      <c r="CC513" s="69"/>
      <c r="CD513" s="69"/>
      <c r="CE513" s="69"/>
      <c r="CF513" s="69"/>
      <c r="CG513" s="69"/>
      <c r="CH513" s="69"/>
      <c r="CI513" s="69"/>
      <c r="CJ513" s="69"/>
      <c r="CK513" s="69"/>
      <c r="CL513" s="69"/>
      <c r="CM513" s="69"/>
      <c r="CN513" s="69"/>
      <c r="CO513" s="69"/>
      <c r="CP513" s="69"/>
      <c r="CQ513" s="69"/>
      <c r="CR513" s="69"/>
      <c r="CS513" s="69"/>
      <c r="CT513" s="69"/>
      <c r="CU513" s="69"/>
      <c r="CV513" s="69"/>
      <c r="CW513" s="69"/>
      <c r="CX513" s="69"/>
      <c r="CY513" s="69"/>
      <c r="CZ513" s="69"/>
      <c r="DA513" s="69"/>
      <c r="DB513" s="69"/>
      <c r="DC513" s="69"/>
      <c r="DD513" s="69"/>
      <c r="DE513" s="69"/>
      <c r="DF513" s="69"/>
      <c r="DG513" s="69"/>
      <c r="DH513" s="69"/>
      <c r="DI513" s="69"/>
      <c r="DJ513" s="69"/>
      <c r="DK513" s="69"/>
      <c r="DL513" s="69"/>
    </row>
    <row r="514" spans="1:116" ht="13" x14ac:dyDescent="0.3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202"/>
      <c r="V514" s="69"/>
      <c r="W514" s="69"/>
      <c r="X514" s="69"/>
      <c r="Y514" s="69"/>
      <c r="Z514" s="69"/>
      <c r="AA514" s="69"/>
      <c r="AB514" s="203"/>
      <c r="AC514" s="69"/>
      <c r="AD514" s="69"/>
      <c r="AE514" s="203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9"/>
      <c r="BY514" s="69"/>
      <c r="BZ514" s="69"/>
      <c r="CA514" s="69"/>
      <c r="CB514" s="69"/>
      <c r="CC514" s="69"/>
      <c r="CD514" s="69"/>
      <c r="CE514" s="69"/>
      <c r="CF514" s="69"/>
      <c r="CG514" s="69"/>
      <c r="CH514" s="69"/>
      <c r="CI514" s="69"/>
      <c r="CJ514" s="69"/>
      <c r="CK514" s="69"/>
      <c r="CL514" s="69"/>
      <c r="CM514" s="69"/>
      <c r="CN514" s="69"/>
      <c r="CO514" s="69"/>
      <c r="CP514" s="69"/>
      <c r="CQ514" s="69"/>
      <c r="CR514" s="69"/>
      <c r="CS514" s="69"/>
      <c r="CT514" s="69"/>
      <c r="CU514" s="69"/>
      <c r="CV514" s="69"/>
      <c r="CW514" s="69"/>
      <c r="CX514" s="69"/>
      <c r="CY514" s="69"/>
      <c r="CZ514" s="69"/>
      <c r="DA514" s="69"/>
      <c r="DB514" s="69"/>
      <c r="DC514" s="69"/>
      <c r="DD514" s="69"/>
      <c r="DE514" s="69"/>
      <c r="DF514" s="69"/>
      <c r="DG514" s="69"/>
      <c r="DH514" s="69"/>
      <c r="DI514" s="69"/>
      <c r="DJ514" s="69"/>
      <c r="DK514" s="69"/>
      <c r="DL514" s="69"/>
    </row>
    <row r="515" spans="1:116" ht="13" x14ac:dyDescent="0.3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202"/>
      <c r="V515" s="69"/>
      <c r="W515" s="69"/>
      <c r="X515" s="69"/>
      <c r="Y515" s="69"/>
      <c r="Z515" s="69"/>
      <c r="AA515" s="69"/>
      <c r="AB515" s="203"/>
      <c r="AC515" s="69"/>
      <c r="AD515" s="69"/>
      <c r="AE515" s="203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9"/>
      <c r="BY515" s="69"/>
      <c r="BZ515" s="69"/>
      <c r="CA515" s="69"/>
      <c r="CB515" s="69"/>
      <c r="CC515" s="69"/>
      <c r="CD515" s="69"/>
      <c r="CE515" s="69"/>
      <c r="CF515" s="69"/>
      <c r="CG515" s="69"/>
      <c r="CH515" s="69"/>
      <c r="CI515" s="69"/>
      <c r="CJ515" s="69"/>
      <c r="CK515" s="69"/>
      <c r="CL515" s="69"/>
      <c r="CM515" s="69"/>
      <c r="CN515" s="69"/>
      <c r="CO515" s="69"/>
      <c r="CP515" s="69"/>
      <c r="CQ515" s="69"/>
      <c r="CR515" s="69"/>
      <c r="CS515" s="69"/>
      <c r="CT515" s="69"/>
      <c r="CU515" s="69"/>
      <c r="CV515" s="69"/>
      <c r="CW515" s="69"/>
      <c r="CX515" s="69"/>
      <c r="CY515" s="69"/>
      <c r="CZ515" s="69"/>
      <c r="DA515" s="69"/>
      <c r="DB515" s="69"/>
      <c r="DC515" s="69"/>
      <c r="DD515" s="69"/>
      <c r="DE515" s="69"/>
      <c r="DF515" s="69"/>
      <c r="DG515" s="69"/>
      <c r="DH515" s="69"/>
      <c r="DI515" s="69"/>
      <c r="DJ515" s="69"/>
      <c r="DK515" s="69"/>
      <c r="DL515" s="69"/>
    </row>
    <row r="516" spans="1:116" ht="13" x14ac:dyDescent="0.3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202"/>
      <c r="V516" s="69"/>
      <c r="W516" s="69"/>
      <c r="X516" s="69"/>
      <c r="Y516" s="69"/>
      <c r="Z516" s="69"/>
      <c r="AA516" s="69"/>
      <c r="AB516" s="203"/>
      <c r="AC516" s="69"/>
      <c r="AD516" s="69"/>
      <c r="AE516" s="203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9"/>
      <c r="BY516" s="69"/>
      <c r="BZ516" s="69"/>
      <c r="CA516" s="69"/>
      <c r="CB516" s="69"/>
      <c r="CC516" s="69"/>
      <c r="CD516" s="69"/>
      <c r="CE516" s="69"/>
      <c r="CF516" s="69"/>
      <c r="CG516" s="69"/>
      <c r="CH516" s="69"/>
      <c r="CI516" s="69"/>
      <c r="CJ516" s="69"/>
      <c r="CK516" s="69"/>
      <c r="CL516" s="69"/>
      <c r="CM516" s="69"/>
      <c r="CN516" s="69"/>
      <c r="CO516" s="69"/>
      <c r="CP516" s="69"/>
      <c r="CQ516" s="69"/>
      <c r="CR516" s="69"/>
      <c r="CS516" s="69"/>
      <c r="CT516" s="69"/>
      <c r="CU516" s="69"/>
      <c r="CV516" s="69"/>
      <c r="CW516" s="69"/>
      <c r="CX516" s="69"/>
      <c r="CY516" s="69"/>
      <c r="CZ516" s="69"/>
      <c r="DA516" s="69"/>
      <c r="DB516" s="69"/>
      <c r="DC516" s="69"/>
      <c r="DD516" s="69"/>
      <c r="DE516" s="69"/>
      <c r="DF516" s="69"/>
      <c r="DG516" s="69"/>
      <c r="DH516" s="69"/>
      <c r="DI516" s="69"/>
      <c r="DJ516" s="69"/>
      <c r="DK516" s="69"/>
      <c r="DL516" s="69"/>
    </row>
    <row r="517" spans="1:116" ht="13" x14ac:dyDescent="0.3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202"/>
      <c r="V517" s="69"/>
      <c r="W517" s="69"/>
      <c r="X517" s="69"/>
      <c r="Y517" s="69"/>
      <c r="Z517" s="69"/>
      <c r="AA517" s="69"/>
      <c r="AB517" s="203"/>
      <c r="AC517" s="69"/>
      <c r="AD517" s="69"/>
      <c r="AE517" s="203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  <c r="AW517" s="69"/>
      <c r="AX517" s="69"/>
      <c r="AY517" s="69"/>
      <c r="AZ517" s="69"/>
      <c r="BA517" s="69"/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9"/>
      <c r="BY517" s="69"/>
      <c r="BZ517" s="69"/>
      <c r="CA517" s="69"/>
      <c r="CB517" s="69"/>
      <c r="CC517" s="69"/>
      <c r="CD517" s="69"/>
      <c r="CE517" s="69"/>
      <c r="CF517" s="69"/>
      <c r="CG517" s="69"/>
      <c r="CH517" s="69"/>
      <c r="CI517" s="69"/>
      <c r="CJ517" s="69"/>
      <c r="CK517" s="69"/>
      <c r="CL517" s="69"/>
      <c r="CM517" s="69"/>
      <c r="CN517" s="69"/>
      <c r="CO517" s="69"/>
      <c r="CP517" s="69"/>
      <c r="CQ517" s="69"/>
      <c r="CR517" s="69"/>
      <c r="CS517" s="69"/>
      <c r="CT517" s="69"/>
      <c r="CU517" s="69"/>
      <c r="CV517" s="69"/>
      <c r="CW517" s="69"/>
      <c r="CX517" s="69"/>
      <c r="CY517" s="69"/>
      <c r="CZ517" s="69"/>
      <c r="DA517" s="69"/>
      <c r="DB517" s="69"/>
      <c r="DC517" s="69"/>
      <c r="DD517" s="69"/>
      <c r="DE517" s="69"/>
      <c r="DF517" s="69"/>
      <c r="DG517" s="69"/>
      <c r="DH517" s="69"/>
      <c r="DI517" s="69"/>
      <c r="DJ517" s="69"/>
      <c r="DK517" s="69"/>
      <c r="DL517" s="69"/>
    </row>
    <row r="518" spans="1:116" ht="13" x14ac:dyDescent="0.3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202"/>
      <c r="V518" s="69"/>
      <c r="W518" s="69"/>
      <c r="X518" s="69"/>
      <c r="Y518" s="69"/>
      <c r="Z518" s="69"/>
      <c r="AA518" s="69"/>
      <c r="AB518" s="203"/>
      <c r="AC518" s="69"/>
      <c r="AD518" s="69"/>
      <c r="AE518" s="203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  <c r="AW518" s="69"/>
      <c r="AX518" s="69"/>
      <c r="AY518" s="69"/>
      <c r="AZ518" s="69"/>
      <c r="BA518" s="69"/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9"/>
      <c r="BY518" s="69"/>
      <c r="BZ518" s="69"/>
      <c r="CA518" s="69"/>
      <c r="CB518" s="69"/>
      <c r="CC518" s="69"/>
      <c r="CD518" s="69"/>
      <c r="CE518" s="69"/>
      <c r="CF518" s="69"/>
      <c r="CG518" s="69"/>
      <c r="CH518" s="69"/>
      <c r="CI518" s="69"/>
      <c r="CJ518" s="69"/>
      <c r="CK518" s="69"/>
      <c r="CL518" s="69"/>
      <c r="CM518" s="69"/>
      <c r="CN518" s="69"/>
      <c r="CO518" s="69"/>
      <c r="CP518" s="69"/>
      <c r="CQ518" s="69"/>
      <c r="CR518" s="69"/>
      <c r="CS518" s="69"/>
      <c r="CT518" s="69"/>
      <c r="CU518" s="69"/>
      <c r="CV518" s="69"/>
      <c r="CW518" s="69"/>
      <c r="CX518" s="69"/>
      <c r="CY518" s="69"/>
      <c r="CZ518" s="69"/>
      <c r="DA518" s="69"/>
      <c r="DB518" s="69"/>
      <c r="DC518" s="69"/>
      <c r="DD518" s="69"/>
      <c r="DE518" s="69"/>
      <c r="DF518" s="69"/>
      <c r="DG518" s="69"/>
      <c r="DH518" s="69"/>
      <c r="DI518" s="69"/>
      <c r="DJ518" s="69"/>
      <c r="DK518" s="69"/>
      <c r="DL518" s="69"/>
    </row>
    <row r="519" spans="1:116" ht="13" x14ac:dyDescent="0.3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202"/>
      <c r="V519" s="69"/>
      <c r="W519" s="69"/>
      <c r="X519" s="69"/>
      <c r="Y519" s="69"/>
      <c r="Z519" s="69"/>
      <c r="AA519" s="69"/>
      <c r="AB519" s="203"/>
      <c r="AC519" s="69"/>
      <c r="AD519" s="69"/>
      <c r="AE519" s="203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  <c r="AW519" s="69"/>
      <c r="AX519" s="69"/>
      <c r="AY519" s="69"/>
      <c r="AZ519" s="69"/>
      <c r="BA519" s="69"/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9"/>
      <c r="BY519" s="69"/>
      <c r="BZ519" s="69"/>
      <c r="CA519" s="69"/>
      <c r="CB519" s="69"/>
      <c r="CC519" s="69"/>
      <c r="CD519" s="69"/>
      <c r="CE519" s="69"/>
      <c r="CF519" s="69"/>
      <c r="CG519" s="69"/>
      <c r="CH519" s="69"/>
      <c r="CI519" s="69"/>
      <c r="CJ519" s="69"/>
      <c r="CK519" s="69"/>
      <c r="CL519" s="69"/>
      <c r="CM519" s="69"/>
      <c r="CN519" s="69"/>
      <c r="CO519" s="69"/>
      <c r="CP519" s="69"/>
      <c r="CQ519" s="69"/>
      <c r="CR519" s="69"/>
      <c r="CS519" s="69"/>
      <c r="CT519" s="69"/>
      <c r="CU519" s="69"/>
      <c r="CV519" s="69"/>
      <c r="CW519" s="69"/>
      <c r="CX519" s="69"/>
      <c r="CY519" s="69"/>
      <c r="CZ519" s="69"/>
      <c r="DA519" s="69"/>
      <c r="DB519" s="69"/>
      <c r="DC519" s="69"/>
      <c r="DD519" s="69"/>
      <c r="DE519" s="69"/>
      <c r="DF519" s="69"/>
      <c r="DG519" s="69"/>
      <c r="DH519" s="69"/>
      <c r="DI519" s="69"/>
      <c r="DJ519" s="69"/>
      <c r="DK519" s="69"/>
      <c r="DL519" s="69"/>
    </row>
    <row r="520" spans="1:116" ht="13" x14ac:dyDescent="0.3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202"/>
      <c r="V520" s="69"/>
      <c r="W520" s="69"/>
      <c r="X520" s="69"/>
      <c r="Y520" s="69"/>
      <c r="Z520" s="69"/>
      <c r="AA520" s="69"/>
      <c r="AB520" s="203"/>
      <c r="AC520" s="69"/>
      <c r="AD520" s="69"/>
      <c r="AE520" s="203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  <c r="AW520" s="69"/>
      <c r="AX520" s="69"/>
      <c r="AY520" s="69"/>
      <c r="AZ520" s="69"/>
      <c r="BA520" s="69"/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9"/>
      <c r="BY520" s="69"/>
      <c r="BZ520" s="69"/>
      <c r="CA520" s="69"/>
      <c r="CB520" s="69"/>
      <c r="CC520" s="69"/>
      <c r="CD520" s="69"/>
      <c r="CE520" s="69"/>
      <c r="CF520" s="69"/>
      <c r="CG520" s="69"/>
      <c r="CH520" s="69"/>
      <c r="CI520" s="69"/>
      <c r="CJ520" s="69"/>
      <c r="CK520" s="69"/>
      <c r="CL520" s="69"/>
      <c r="CM520" s="69"/>
      <c r="CN520" s="69"/>
      <c r="CO520" s="69"/>
      <c r="CP520" s="69"/>
      <c r="CQ520" s="69"/>
      <c r="CR520" s="69"/>
      <c r="CS520" s="69"/>
      <c r="CT520" s="69"/>
      <c r="CU520" s="69"/>
      <c r="CV520" s="69"/>
      <c r="CW520" s="69"/>
      <c r="CX520" s="69"/>
      <c r="CY520" s="69"/>
      <c r="CZ520" s="69"/>
      <c r="DA520" s="69"/>
      <c r="DB520" s="69"/>
      <c r="DC520" s="69"/>
      <c r="DD520" s="69"/>
      <c r="DE520" s="69"/>
      <c r="DF520" s="69"/>
      <c r="DG520" s="69"/>
      <c r="DH520" s="69"/>
      <c r="DI520" s="69"/>
      <c r="DJ520" s="69"/>
      <c r="DK520" s="69"/>
      <c r="DL520" s="69"/>
    </row>
    <row r="521" spans="1:116" ht="13" x14ac:dyDescent="0.3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202"/>
      <c r="V521" s="69"/>
      <c r="W521" s="69"/>
      <c r="X521" s="69"/>
      <c r="Y521" s="69"/>
      <c r="Z521" s="69"/>
      <c r="AA521" s="69"/>
      <c r="AB521" s="203"/>
      <c r="AC521" s="69"/>
      <c r="AD521" s="69"/>
      <c r="AE521" s="203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  <c r="AW521" s="69"/>
      <c r="AX521" s="69"/>
      <c r="AY521" s="69"/>
      <c r="AZ521" s="69"/>
      <c r="BA521" s="69"/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9"/>
      <c r="BY521" s="69"/>
      <c r="BZ521" s="69"/>
      <c r="CA521" s="69"/>
      <c r="CB521" s="69"/>
      <c r="CC521" s="69"/>
      <c r="CD521" s="69"/>
      <c r="CE521" s="69"/>
      <c r="CF521" s="69"/>
      <c r="CG521" s="69"/>
      <c r="CH521" s="69"/>
      <c r="CI521" s="69"/>
      <c r="CJ521" s="69"/>
      <c r="CK521" s="69"/>
      <c r="CL521" s="69"/>
      <c r="CM521" s="69"/>
      <c r="CN521" s="69"/>
      <c r="CO521" s="69"/>
      <c r="CP521" s="69"/>
      <c r="CQ521" s="69"/>
      <c r="CR521" s="69"/>
      <c r="CS521" s="69"/>
      <c r="CT521" s="69"/>
      <c r="CU521" s="69"/>
      <c r="CV521" s="69"/>
      <c r="CW521" s="69"/>
      <c r="CX521" s="69"/>
      <c r="CY521" s="69"/>
      <c r="CZ521" s="69"/>
      <c r="DA521" s="69"/>
      <c r="DB521" s="69"/>
      <c r="DC521" s="69"/>
      <c r="DD521" s="69"/>
      <c r="DE521" s="69"/>
      <c r="DF521" s="69"/>
      <c r="DG521" s="69"/>
      <c r="DH521" s="69"/>
      <c r="DI521" s="69"/>
      <c r="DJ521" s="69"/>
      <c r="DK521" s="69"/>
      <c r="DL521" s="69"/>
    </row>
    <row r="522" spans="1:116" ht="13" x14ac:dyDescent="0.3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202"/>
      <c r="V522" s="69"/>
      <c r="W522" s="69"/>
      <c r="X522" s="69"/>
      <c r="Y522" s="69"/>
      <c r="Z522" s="69"/>
      <c r="AA522" s="69"/>
      <c r="AB522" s="203"/>
      <c r="AC522" s="69"/>
      <c r="AD522" s="69"/>
      <c r="AE522" s="203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  <c r="AW522" s="69"/>
      <c r="AX522" s="69"/>
      <c r="AY522" s="69"/>
      <c r="AZ522" s="69"/>
      <c r="BA522" s="69"/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9"/>
      <c r="BY522" s="69"/>
      <c r="BZ522" s="69"/>
      <c r="CA522" s="69"/>
      <c r="CB522" s="69"/>
      <c r="CC522" s="69"/>
      <c r="CD522" s="69"/>
      <c r="CE522" s="69"/>
      <c r="CF522" s="69"/>
      <c r="CG522" s="69"/>
      <c r="CH522" s="69"/>
      <c r="CI522" s="69"/>
      <c r="CJ522" s="69"/>
      <c r="CK522" s="69"/>
      <c r="CL522" s="69"/>
      <c r="CM522" s="69"/>
      <c r="CN522" s="69"/>
      <c r="CO522" s="69"/>
      <c r="CP522" s="69"/>
      <c r="CQ522" s="69"/>
      <c r="CR522" s="69"/>
      <c r="CS522" s="69"/>
      <c r="CT522" s="69"/>
      <c r="CU522" s="69"/>
      <c r="CV522" s="69"/>
      <c r="CW522" s="69"/>
      <c r="CX522" s="69"/>
      <c r="CY522" s="69"/>
      <c r="CZ522" s="69"/>
      <c r="DA522" s="69"/>
      <c r="DB522" s="69"/>
      <c r="DC522" s="69"/>
      <c r="DD522" s="69"/>
      <c r="DE522" s="69"/>
      <c r="DF522" s="69"/>
      <c r="DG522" s="69"/>
      <c r="DH522" s="69"/>
      <c r="DI522" s="69"/>
      <c r="DJ522" s="69"/>
      <c r="DK522" s="69"/>
      <c r="DL522" s="69"/>
    </row>
    <row r="523" spans="1:116" ht="13" x14ac:dyDescent="0.3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202"/>
      <c r="V523" s="69"/>
      <c r="W523" s="69"/>
      <c r="X523" s="69"/>
      <c r="Y523" s="69"/>
      <c r="Z523" s="69"/>
      <c r="AA523" s="69"/>
      <c r="AB523" s="203"/>
      <c r="AC523" s="69"/>
      <c r="AD523" s="69"/>
      <c r="AE523" s="203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  <c r="AW523" s="69"/>
      <c r="AX523" s="69"/>
      <c r="AY523" s="69"/>
      <c r="AZ523" s="69"/>
      <c r="BA523" s="69"/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9"/>
      <c r="BY523" s="69"/>
      <c r="BZ523" s="69"/>
      <c r="CA523" s="69"/>
      <c r="CB523" s="69"/>
      <c r="CC523" s="69"/>
      <c r="CD523" s="69"/>
      <c r="CE523" s="69"/>
      <c r="CF523" s="69"/>
      <c r="CG523" s="69"/>
      <c r="CH523" s="69"/>
      <c r="CI523" s="69"/>
      <c r="CJ523" s="69"/>
      <c r="CK523" s="69"/>
      <c r="CL523" s="69"/>
      <c r="CM523" s="69"/>
      <c r="CN523" s="69"/>
      <c r="CO523" s="69"/>
      <c r="CP523" s="69"/>
      <c r="CQ523" s="69"/>
      <c r="CR523" s="69"/>
      <c r="CS523" s="69"/>
      <c r="CT523" s="69"/>
      <c r="CU523" s="69"/>
      <c r="CV523" s="69"/>
      <c r="CW523" s="69"/>
      <c r="CX523" s="69"/>
      <c r="CY523" s="69"/>
      <c r="CZ523" s="69"/>
      <c r="DA523" s="69"/>
      <c r="DB523" s="69"/>
      <c r="DC523" s="69"/>
      <c r="DD523" s="69"/>
      <c r="DE523" s="69"/>
      <c r="DF523" s="69"/>
      <c r="DG523" s="69"/>
      <c r="DH523" s="69"/>
      <c r="DI523" s="69"/>
      <c r="DJ523" s="69"/>
      <c r="DK523" s="69"/>
      <c r="DL523" s="69"/>
    </row>
    <row r="524" spans="1:116" ht="13" x14ac:dyDescent="0.3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202"/>
      <c r="V524" s="69"/>
      <c r="W524" s="69"/>
      <c r="X524" s="69"/>
      <c r="Y524" s="69"/>
      <c r="Z524" s="69"/>
      <c r="AA524" s="69"/>
      <c r="AB524" s="203"/>
      <c r="AC524" s="69"/>
      <c r="AD524" s="69"/>
      <c r="AE524" s="203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  <c r="AW524" s="69"/>
      <c r="AX524" s="69"/>
      <c r="AY524" s="69"/>
      <c r="AZ524" s="69"/>
      <c r="BA524" s="69"/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9"/>
      <c r="BY524" s="69"/>
      <c r="BZ524" s="69"/>
      <c r="CA524" s="69"/>
      <c r="CB524" s="69"/>
      <c r="CC524" s="69"/>
      <c r="CD524" s="69"/>
      <c r="CE524" s="69"/>
      <c r="CF524" s="69"/>
      <c r="CG524" s="69"/>
      <c r="CH524" s="69"/>
      <c r="CI524" s="69"/>
      <c r="CJ524" s="69"/>
      <c r="CK524" s="69"/>
      <c r="CL524" s="69"/>
      <c r="CM524" s="69"/>
      <c r="CN524" s="69"/>
      <c r="CO524" s="69"/>
      <c r="CP524" s="69"/>
      <c r="CQ524" s="69"/>
      <c r="CR524" s="69"/>
      <c r="CS524" s="69"/>
      <c r="CT524" s="69"/>
      <c r="CU524" s="69"/>
      <c r="CV524" s="69"/>
      <c r="CW524" s="69"/>
      <c r="CX524" s="69"/>
      <c r="CY524" s="69"/>
      <c r="CZ524" s="69"/>
      <c r="DA524" s="69"/>
      <c r="DB524" s="69"/>
      <c r="DC524" s="69"/>
      <c r="DD524" s="69"/>
      <c r="DE524" s="69"/>
      <c r="DF524" s="69"/>
      <c r="DG524" s="69"/>
      <c r="DH524" s="69"/>
      <c r="DI524" s="69"/>
      <c r="DJ524" s="69"/>
      <c r="DK524" s="69"/>
      <c r="DL524" s="69"/>
    </row>
    <row r="525" spans="1:116" ht="13" x14ac:dyDescent="0.3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202"/>
      <c r="V525" s="69"/>
      <c r="W525" s="69"/>
      <c r="X525" s="69"/>
      <c r="Y525" s="69"/>
      <c r="Z525" s="69"/>
      <c r="AA525" s="69"/>
      <c r="AB525" s="203"/>
      <c r="AC525" s="69"/>
      <c r="AD525" s="69"/>
      <c r="AE525" s="203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  <c r="AW525" s="69"/>
      <c r="AX525" s="69"/>
      <c r="AY525" s="69"/>
      <c r="AZ525" s="69"/>
      <c r="BA525" s="69"/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9"/>
      <c r="BY525" s="69"/>
      <c r="BZ525" s="69"/>
      <c r="CA525" s="69"/>
      <c r="CB525" s="69"/>
      <c r="CC525" s="69"/>
      <c r="CD525" s="69"/>
      <c r="CE525" s="69"/>
      <c r="CF525" s="69"/>
      <c r="CG525" s="69"/>
      <c r="CH525" s="69"/>
      <c r="CI525" s="69"/>
      <c r="CJ525" s="69"/>
      <c r="CK525" s="69"/>
      <c r="CL525" s="69"/>
      <c r="CM525" s="69"/>
      <c r="CN525" s="69"/>
      <c r="CO525" s="69"/>
      <c r="CP525" s="69"/>
      <c r="CQ525" s="69"/>
      <c r="CR525" s="69"/>
      <c r="CS525" s="69"/>
      <c r="CT525" s="69"/>
      <c r="CU525" s="69"/>
      <c r="CV525" s="69"/>
      <c r="CW525" s="69"/>
      <c r="CX525" s="69"/>
      <c r="CY525" s="69"/>
      <c r="CZ525" s="69"/>
      <c r="DA525" s="69"/>
      <c r="DB525" s="69"/>
      <c r="DC525" s="69"/>
      <c r="DD525" s="69"/>
      <c r="DE525" s="69"/>
      <c r="DF525" s="69"/>
      <c r="DG525" s="69"/>
      <c r="DH525" s="69"/>
      <c r="DI525" s="69"/>
      <c r="DJ525" s="69"/>
      <c r="DK525" s="69"/>
      <c r="DL525" s="69"/>
    </row>
    <row r="526" spans="1:116" ht="13" x14ac:dyDescent="0.3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202"/>
      <c r="V526" s="69"/>
      <c r="W526" s="69"/>
      <c r="X526" s="69"/>
      <c r="Y526" s="69"/>
      <c r="Z526" s="69"/>
      <c r="AA526" s="69"/>
      <c r="AB526" s="203"/>
      <c r="AC526" s="69"/>
      <c r="AD526" s="69"/>
      <c r="AE526" s="203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  <c r="AW526" s="69"/>
      <c r="AX526" s="69"/>
      <c r="AY526" s="69"/>
      <c r="AZ526" s="69"/>
      <c r="BA526" s="69"/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9"/>
      <c r="BY526" s="69"/>
      <c r="BZ526" s="69"/>
      <c r="CA526" s="69"/>
      <c r="CB526" s="69"/>
      <c r="CC526" s="69"/>
      <c r="CD526" s="69"/>
      <c r="CE526" s="69"/>
      <c r="CF526" s="69"/>
      <c r="CG526" s="69"/>
      <c r="CH526" s="69"/>
      <c r="CI526" s="69"/>
      <c r="CJ526" s="69"/>
      <c r="CK526" s="69"/>
      <c r="CL526" s="69"/>
      <c r="CM526" s="69"/>
      <c r="CN526" s="69"/>
      <c r="CO526" s="69"/>
      <c r="CP526" s="69"/>
      <c r="CQ526" s="69"/>
      <c r="CR526" s="69"/>
      <c r="CS526" s="69"/>
      <c r="CT526" s="69"/>
      <c r="CU526" s="69"/>
      <c r="CV526" s="69"/>
      <c r="CW526" s="69"/>
      <c r="CX526" s="69"/>
      <c r="CY526" s="69"/>
      <c r="CZ526" s="69"/>
      <c r="DA526" s="69"/>
      <c r="DB526" s="69"/>
      <c r="DC526" s="69"/>
      <c r="DD526" s="69"/>
      <c r="DE526" s="69"/>
      <c r="DF526" s="69"/>
      <c r="DG526" s="69"/>
      <c r="DH526" s="69"/>
      <c r="DI526" s="69"/>
      <c r="DJ526" s="69"/>
      <c r="DK526" s="69"/>
      <c r="DL526" s="69"/>
    </row>
    <row r="527" spans="1:116" ht="13" x14ac:dyDescent="0.3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202"/>
      <c r="V527" s="69"/>
      <c r="W527" s="69"/>
      <c r="X527" s="69"/>
      <c r="Y527" s="69"/>
      <c r="Z527" s="69"/>
      <c r="AA527" s="69"/>
      <c r="AB527" s="203"/>
      <c r="AC527" s="69"/>
      <c r="AD527" s="69"/>
      <c r="AE527" s="203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  <c r="AW527" s="69"/>
      <c r="AX527" s="69"/>
      <c r="AY527" s="69"/>
      <c r="AZ527" s="69"/>
      <c r="BA527" s="69"/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9"/>
      <c r="BY527" s="69"/>
      <c r="BZ527" s="69"/>
      <c r="CA527" s="69"/>
      <c r="CB527" s="69"/>
      <c r="CC527" s="69"/>
      <c r="CD527" s="69"/>
      <c r="CE527" s="69"/>
      <c r="CF527" s="69"/>
      <c r="CG527" s="69"/>
      <c r="CH527" s="69"/>
      <c r="CI527" s="69"/>
      <c r="CJ527" s="69"/>
      <c r="CK527" s="69"/>
      <c r="CL527" s="69"/>
      <c r="CM527" s="69"/>
      <c r="CN527" s="69"/>
      <c r="CO527" s="69"/>
      <c r="CP527" s="69"/>
      <c r="CQ527" s="69"/>
      <c r="CR527" s="69"/>
      <c r="CS527" s="69"/>
      <c r="CT527" s="69"/>
      <c r="CU527" s="69"/>
      <c r="CV527" s="69"/>
      <c r="CW527" s="69"/>
      <c r="CX527" s="69"/>
      <c r="CY527" s="69"/>
      <c r="CZ527" s="69"/>
      <c r="DA527" s="69"/>
      <c r="DB527" s="69"/>
      <c r="DC527" s="69"/>
      <c r="DD527" s="69"/>
      <c r="DE527" s="69"/>
      <c r="DF527" s="69"/>
      <c r="DG527" s="69"/>
      <c r="DH527" s="69"/>
      <c r="DI527" s="69"/>
      <c r="DJ527" s="69"/>
      <c r="DK527" s="69"/>
      <c r="DL527" s="69"/>
    </row>
    <row r="528" spans="1:116" ht="13" x14ac:dyDescent="0.3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202"/>
      <c r="V528" s="69"/>
      <c r="W528" s="69"/>
      <c r="X528" s="69"/>
      <c r="Y528" s="69"/>
      <c r="Z528" s="69"/>
      <c r="AA528" s="69"/>
      <c r="AB528" s="203"/>
      <c r="AC528" s="69"/>
      <c r="AD528" s="69"/>
      <c r="AE528" s="203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9"/>
      <c r="BY528" s="69"/>
      <c r="BZ528" s="69"/>
      <c r="CA528" s="69"/>
      <c r="CB528" s="69"/>
      <c r="CC528" s="69"/>
      <c r="CD528" s="69"/>
      <c r="CE528" s="69"/>
      <c r="CF528" s="69"/>
      <c r="CG528" s="69"/>
      <c r="CH528" s="69"/>
      <c r="CI528" s="69"/>
      <c r="CJ528" s="69"/>
      <c r="CK528" s="69"/>
      <c r="CL528" s="69"/>
      <c r="CM528" s="69"/>
      <c r="CN528" s="69"/>
      <c r="CO528" s="69"/>
      <c r="CP528" s="69"/>
      <c r="CQ528" s="69"/>
      <c r="CR528" s="69"/>
      <c r="CS528" s="69"/>
      <c r="CT528" s="69"/>
      <c r="CU528" s="69"/>
      <c r="CV528" s="69"/>
      <c r="CW528" s="69"/>
      <c r="CX528" s="69"/>
      <c r="CY528" s="69"/>
      <c r="CZ528" s="69"/>
      <c r="DA528" s="69"/>
      <c r="DB528" s="69"/>
      <c r="DC528" s="69"/>
      <c r="DD528" s="69"/>
      <c r="DE528" s="69"/>
      <c r="DF528" s="69"/>
      <c r="DG528" s="69"/>
      <c r="DH528" s="69"/>
      <c r="DI528" s="69"/>
      <c r="DJ528" s="69"/>
      <c r="DK528" s="69"/>
      <c r="DL528" s="69"/>
    </row>
    <row r="529" spans="1:116" ht="13" x14ac:dyDescent="0.3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202"/>
      <c r="V529" s="69"/>
      <c r="W529" s="69"/>
      <c r="X529" s="69"/>
      <c r="Y529" s="69"/>
      <c r="Z529" s="69"/>
      <c r="AA529" s="69"/>
      <c r="AB529" s="203"/>
      <c r="AC529" s="69"/>
      <c r="AD529" s="69"/>
      <c r="AE529" s="203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9"/>
      <c r="BY529" s="69"/>
      <c r="BZ529" s="69"/>
      <c r="CA529" s="69"/>
      <c r="CB529" s="69"/>
      <c r="CC529" s="69"/>
      <c r="CD529" s="69"/>
      <c r="CE529" s="69"/>
      <c r="CF529" s="69"/>
      <c r="CG529" s="69"/>
      <c r="CH529" s="69"/>
      <c r="CI529" s="69"/>
      <c r="CJ529" s="69"/>
      <c r="CK529" s="69"/>
      <c r="CL529" s="69"/>
      <c r="CM529" s="69"/>
      <c r="CN529" s="69"/>
      <c r="CO529" s="69"/>
      <c r="CP529" s="69"/>
      <c r="CQ529" s="69"/>
      <c r="CR529" s="69"/>
      <c r="CS529" s="69"/>
      <c r="CT529" s="69"/>
      <c r="CU529" s="69"/>
      <c r="CV529" s="69"/>
      <c r="CW529" s="69"/>
      <c r="CX529" s="69"/>
      <c r="CY529" s="69"/>
      <c r="CZ529" s="69"/>
      <c r="DA529" s="69"/>
      <c r="DB529" s="69"/>
      <c r="DC529" s="69"/>
      <c r="DD529" s="69"/>
      <c r="DE529" s="69"/>
      <c r="DF529" s="69"/>
      <c r="DG529" s="69"/>
      <c r="DH529" s="69"/>
      <c r="DI529" s="69"/>
      <c r="DJ529" s="69"/>
      <c r="DK529" s="69"/>
      <c r="DL529" s="69"/>
    </row>
    <row r="530" spans="1:116" ht="13" x14ac:dyDescent="0.3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202"/>
      <c r="V530" s="69"/>
      <c r="W530" s="69"/>
      <c r="X530" s="69"/>
      <c r="Y530" s="69"/>
      <c r="Z530" s="69"/>
      <c r="AA530" s="69"/>
      <c r="AB530" s="203"/>
      <c r="AC530" s="69"/>
      <c r="AD530" s="69"/>
      <c r="AE530" s="203"/>
      <c r="AF530" s="69"/>
      <c r="AG530" s="69"/>
      <c r="AH530" s="69"/>
      <c r="AI530" s="69"/>
      <c r="AJ530" s="69"/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  <c r="AW530" s="69"/>
      <c r="AX530" s="69"/>
      <c r="AY530" s="69"/>
      <c r="AZ530" s="69"/>
      <c r="BA530" s="69"/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  <c r="BW530" s="69"/>
      <c r="BX530" s="69"/>
      <c r="BY530" s="69"/>
      <c r="BZ530" s="69"/>
      <c r="CA530" s="69"/>
      <c r="CB530" s="69"/>
      <c r="CC530" s="69"/>
      <c r="CD530" s="69"/>
      <c r="CE530" s="69"/>
      <c r="CF530" s="69"/>
      <c r="CG530" s="69"/>
      <c r="CH530" s="69"/>
      <c r="CI530" s="69"/>
      <c r="CJ530" s="69"/>
      <c r="CK530" s="69"/>
      <c r="CL530" s="69"/>
      <c r="CM530" s="69"/>
      <c r="CN530" s="69"/>
      <c r="CO530" s="69"/>
      <c r="CP530" s="69"/>
      <c r="CQ530" s="69"/>
      <c r="CR530" s="69"/>
      <c r="CS530" s="69"/>
      <c r="CT530" s="69"/>
      <c r="CU530" s="69"/>
      <c r="CV530" s="69"/>
      <c r="CW530" s="69"/>
      <c r="CX530" s="69"/>
      <c r="CY530" s="69"/>
      <c r="CZ530" s="69"/>
      <c r="DA530" s="69"/>
      <c r="DB530" s="69"/>
      <c r="DC530" s="69"/>
      <c r="DD530" s="69"/>
      <c r="DE530" s="69"/>
      <c r="DF530" s="69"/>
      <c r="DG530" s="69"/>
      <c r="DH530" s="69"/>
      <c r="DI530" s="69"/>
      <c r="DJ530" s="69"/>
      <c r="DK530" s="69"/>
      <c r="DL530" s="69"/>
    </row>
    <row r="531" spans="1:116" ht="13" x14ac:dyDescent="0.3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202"/>
      <c r="V531" s="69"/>
      <c r="W531" s="69"/>
      <c r="X531" s="69"/>
      <c r="Y531" s="69"/>
      <c r="Z531" s="69"/>
      <c r="AA531" s="69"/>
      <c r="AB531" s="203"/>
      <c r="AC531" s="69"/>
      <c r="AD531" s="69"/>
      <c r="AE531" s="203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  <c r="AW531" s="69"/>
      <c r="AX531" s="69"/>
      <c r="AY531" s="69"/>
      <c r="AZ531" s="69"/>
      <c r="BA531" s="69"/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9"/>
      <c r="BY531" s="69"/>
      <c r="BZ531" s="69"/>
      <c r="CA531" s="69"/>
      <c r="CB531" s="69"/>
      <c r="CC531" s="69"/>
      <c r="CD531" s="69"/>
      <c r="CE531" s="69"/>
      <c r="CF531" s="69"/>
      <c r="CG531" s="69"/>
      <c r="CH531" s="69"/>
      <c r="CI531" s="69"/>
      <c r="CJ531" s="69"/>
      <c r="CK531" s="69"/>
      <c r="CL531" s="69"/>
      <c r="CM531" s="69"/>
      <c r="CN531" s="69"/>
      <c r="CO531" s="69"/>
      <c r="CP531" s="69"/>
      <c r="CQ531" s="69"/>
      <c r="CR531" s="69"/>
      <c r="CS531" s="69"/>
      <c r="CT531" s="69"/>
      <c r="CU531" s="69"/>
      <c r="CV531" s="69"/>
      <c r="CW531" s="69"/>
      <c r="CX531" s="69"/>
      <c r="CY531" s="69"/>
      <c r="CZ531" s="69"/>
      <c r="DA531" s="69"/>
      <c r="DB531" s="69"/>
      <c r="DC531" s="69"/>
      <c r="DD531" s="69"/>
      <c r="DE531" s="69"/>
      <c r="DF531" s="69"/>
      <c r="DG531" s="69"/>
      <c r="DH531" s="69"/>
      <c r="DI531" s="69"/>
      <c r="DJ531" s="69"/>
      <c r="DK531" s="69"/>
      <c r="DL531" s="69"/>
    </row>
    <row r="532" spans="1:116" ht="13" x14ac:dyDescent="0.3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202"/>
      <c r="V532" s="69"/>
      <c r="W532" s="69"/>
      <c r="X532" s="69"/>
      <c r="Y532" s="69"/>
      <c r="Z532" s="69"/>
      <c r="AA532" s="69"/>
      <c r="AB532" s="203"/>
      <c r="AC532" s="69"/>
      <c r="AD532" s="69"/>
      <c r="AE532" s="203"/>
      <c r="AF532" s="69"/>
      <c r="AG532" s="69"/>
      <c r="AH532" s="69"/>
      <c r="AI532" s="69"/>
      <c r="AJ532" s="69"/>
      <c r="AK532" s="69"/>
      <c r="AL532" s="69"/>
      <c r="AM532" s="69"/>
      <c r="AN532" s="69"/>
      <c r="AO532" s="69"/>
      <c r="AP532" s="69"/>
      <c r="AQ532" s="69"/>
      <c r="AR532" s="69"/>
      <c r="AS532" s="69"/>
      <c r="AT532" s="69"/>
      <c r="AU532" s="69"/>
      <c r="AV532" s="69"/>
      <c r="AW532" s="69"/>
      <c r="AX532" s="69"/>
      <c r="AY532" s="69"/>
      <c r="AZ532" s="69"/>
      <c r="BA532" s="69"/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  <c r="BW532" s="69"/>
      <c r="BX532" s="69"/>
      <c r="BY532" s="69"/>
      <c r="BZ532" s="69"/>
      <c r="CA532" s="69"/>
      <c r="CB532" s="69"/>
      <c r="CC532" s="69"/>
      <c r="CD532" s="69"/>
      <c r="CE532" s="69"/>
      <c r="CF532" s="69"/>
      <c r="CG532" s="69"/>
      <c r="CH532" s="69"/>
      <c r="CI532" s="69"/>
      <c r="CJ532" s="69"/>
      <c r="CK532" s="69"/>
      <c r="CL532" s="69"/>
      <c r="CM532" s="69"/>
      <c r="CN532" s="69"/>
      <c r="CO532" s="69"/>
      <c r="CP532" s="69"/>
      <c r="CQ532" s="69"/>
      <c r="CR532" s="69"/>
      <c r="CS532" s="69"/>
      <c r="CT532" s="69"/>
      <c r="CU532" s="69"/>
      <c r="CV532" s="69"/>
      <c r="CW532" s="69"/>
      <c r="CX532" s="69"/>
      <c r="CY532" s="69"/>
      <c r="CZ532" s="69"/>
      <c r="DA532" s="69"/>
      <c r="DB532" s="69"/>
      <c r="DC532" s="69"/>
      <c r="DD532" s="69"/>
      <c r="DE532" s="69"/>
      <c r="DF532" s="69"/>
      <c r="DG532" s="69"/>
      <c r="DH532" s="69"/>
      <c r="DI532" s="69"/>
      <c r="DJ532" s="69"/>
      <c r="DK532" s="69"/>
      <c r="DL532" s="69"/>
    </row>
    <row r="533" spans="1:116" ht="13" x14ac:dyDescent="0.3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202"/>
      <c r="V533" s="69"/>
      <c r="W533" s="69"/>
      <c r="X533" s="69"/>
      <c r="Y533" s="69"/>
      <c r="Z533" s="69"/>
      <c r="AA533" s="69"/>
      <c r="AB533" s="203"/>
      <c r="AC533" s="69"/>
      <c r="AD533" s="69"/>
      <c r="AE533" s="203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  <c r="AW533" s="69"/>
      <c r="AX533" s="69"/>
      <c r="AY533" s="69"/>
      <c r="AZ533" s="69"/>
      <c r="BA533" s="69"/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  <c r="BW533" s="69"/>
      <c r="BX533" s="69"/>
      <c r="BY533" s="69"/>
      <c r="BZ533" s="69"/>
      <c r="CA533" s="69"/>
      <c r="CB533" s="69"/>
      <c r="CC533" s="69"/>
      <c r="CD533" s="69"/>
      <c r="CE533" s="69"/>
      <c r="CF533" s="69"/>
      <c r="CG533" s="69"/>
      <c r="CH533" s="69"/>
      <c r="CI533" s="69"/>
      <c r="CJ533" s="69"/>
      <c r="CK533" s="69"/>
      <c r="CL533" s="69"/>
      <c r="CM533" s="69"/>
      <c r="CN533" s="69"/>
      <c r="CO533" s="69"/>
      <c r="CP533" s="69"/>
      <c r="CQ533" s="69"/>
      <c r="CR533" s="69"/>
      <c r="CS533" s="69"/>
      <c r="CT533" s="69"/>
      <c r="CU533" s="69"/>
      <c r="CV533" s="69"/>
      <c r="CW533" s="69"/>
      <c r="CX533" s="69"/>
      <c r="CY533" s="69"/>
      <c r="CZ533" s="69"/>
      <c r="DA533" s="69"/>
      <c r="DB533" s="69"/>
      <c r="DC533" s="69"/>
      <c r="DD533" s="69"/>
      <c r="DE533" s="69"/>
      <c r="DF533" s="69"/>
      <c r="DG533" s="69"/>
      <c r="DH533" s="69"/>
      <c r="DI533" s="69"/>
      <c r="DJ533" s="69"/>
      <c r="DK533" s="69"/>
      <c r="DL533" s="69"/>
    </row>
    <row r="534" spans="1:116" ht="13" x14ac:dyDescent="0.3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202"/>
      <c r="V534" s="69"/>
      <c r="W534" s="69"/>
      <c r="X534" s="69"/>
      <c r="Y534" s="69"/>
      <c r="Z534" s="69"/>
      <c r="AA534" s="69"/>
      <c r="AB534" s="203"/>
      <c r="AC534" s="69"/>
      <c r="AD534" s="69"/>
      <c r="AE534" s="203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  <c r="BW534" s="69"/>
      <c r="BX534" s="69"/>
      <c r="BY534" s="69"/>
      <c r="BZ534" s="69"/>
      <c r="CA534" s="69"/>
      <c r="CB534" s="69"/>
      <c r="CC534" s="69"/>
      <c r="CD534" s="69"/>
      <c r="CE534" s="69"/>
      <c r="CF534" s="69"/>
      <c r="CG534" s="69"/>
      <c r="CH534" s="69"/>
      <c r="CI534" s="69"/>
      <c r="CJ534" s="69"/>
      <c r="CK534" s="69"/>
      <c r="CL534" s="69"/>
      <c r="CM534" s="69"/>
      <c r="CN534" s="69"/>
      <c r="CO534" s="69"/>
      <c r="CP534" s="69"/>
      <c r="CQ534" s="69"/>
      <c r="CR534" s="69"/>
      <c r="CS534" s="69"/>
      <c r="CT534" s="69"/>
      <c r="CU534" s="69"/>
      <c r="CV534" s="69"/>
      <c r="CW534" s="69"/>
      <c r="CX534" s="69"/>
      <c r="CY534" s="69"/>
      <c r="CZ534" s="69"/>
      <c r="DA534" s="69"/>
      <c r="DB534" s="69"/>
      <c r="DC534" s="69"/>
      <c r="DD534" s="69"/>
      <c r="DE534" s="69"/>
      <c r="DF534" s="69"/>
      <c r="DG534" s="69"/>
      <c r="DH534" s="69"/>
      <c r="DI534" s="69"/>
      <c r="DJ534" s="69"/>
      <c r="DK534" s="69"/>
      <c r="DL534" s="69"/>
    </row>
    <row r="535" spans="1:116" ht="13" x14ac:dyDescent="0.3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202"/>
      <c r="V535" s="69"/>
      <c r="W535" s="69"/>
      <c r="X535" s="69"/>
      <c r="Y535" s="69"/>
      <c r="Z535" s="69"/>
      <c r="AA535" s="69"/>
      <c r="AB535" s="203"/>
      <c r="AC535" s="69"/>
      <c r="AD535" s="69"/>
      <c r="AE535" s="203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  <c r="AW535" s="69"/>
      <c r="AX535" s="69"/>
      <c r="AY535" s="69"/>
      <c r="AZ535" s="69"/>
      <c r="BA535" s="69"/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9"/>
      <c r="BY535" s="69"/>
      <c r="BZ535" s="69"/>
      <c r="CA535" s="69"/>
      <c r="CB535" s="69"/>
      <c r="CC535" s="69"/>
      <c r="CD535" s="69"/>
      <c r="CE535" s="69"/>
      <c r="CF535" s="69"/>
      <c r="CG535" s="69"/>
      <c r="CH535" s="69"/>
      <c r="CI535" s="69"/>
      <c r="CJ535" s="69"/>
      <c r="CK535" s="69"/>
      <c r="CL535" s="69"/>
      <c r="CM535" s="69"/>
      <c r="CN535" s="69"/>
      <c r="CO535" s="69"/>
      <c r="CP535" s="69"/>
      <c r="CQ535" s="69"/>
      <c r="CR535" s="69"/>
      <c r="CS535" s="69"/>
      <c r="CT535" s="69"/>
      <c r="CU535" s="69"/>
      <c r="CV535" s="69"/>
      <c r="CW535" s="69"/>
      <c r="CX535" s="69"/>
      <c r="CY535" s="69"/>
      <c r="CZ535" s="69"/>
      <c r="DA535" s="69"/>
      <c r="DB535" s="69"/>
      <c r="DC535" s="69"/>
      <c r="DD535" s="69"/>
      <c r="DE535" s="69"/>
      <c r="DF535" s="69"/>
      <c r="DG535" s="69"/>
      <c r="DH535" s="69"/>
      <c r="DI535" s="69"/>
      <c r="DJ535" s="69"/>
      <c r="DK535" s="69"/>
      <c r="DL535" s="69"/>
    </row>
    <row r="536" spans="1:116" ht="13" x14ac:dyDescent="0.3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202"/>
      <c r="V536" s="69"/>
      <c r="W536" s="69"/>
      <c r="X536" s="69"/>
      <c r="Y536" s="69"/>
      <c r="Z536" s="69"/>
      <c r="AA536" s="69"/>
      <c r="AB536" s="203"/>
      <c r="AC536" s="69"/>
      <c r="AD536" s="69"/>
      <c r="AE536" s="203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  <c r="AW536" s="69"/>
      <c r="AX536" s="69"/>
      <c r="AY536" s="69"/>
      <c r="AZ536" s="69"/>
      <c r="BA536" s="69"/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9"/>
      <c r="BY536" s="69"/>
      <c r="BZ536" s="69"/>
      <c r="CA536" s="69"/>
      <c r="CB536" s="69"/>
      <c r="CC536" s="69"/>
      <c r="CD536" s="69"/>
      <c r="CE536" s="69"/>
      <c r="CF536" s="69"/>
      <c r="CG536" s="69"/>
      <c r="CH536" s="69"/>
      <c r="CI536" s="69"/>
      <c r="CJ536" s="69"/>
      <c r="CK536" s="69"/>
      <c r="CL536" s="69"/>
      <c r="CM536" s="69"/>
      <c r="CN536" s="69"/>
      <c r="CO536" s="69"/>
      <c r="CP536" s="69"/>
      <c r="CQ536" s="69"/>
      <c r="CR536" s="69"/>
      <c r="CS536" s="69"/>
      <c r="CT536" s="69"/>
      <c r="CU536" s="69"/>
      <c r="CV536" s="69"/>
      <c r="CW536" s="69"/>
      <c r="CX536" s="69"/>
      <c r="CY536" s="69"/>
      <c r="CZ536" s="69"/>
      <c r="DA536" s="69"/>
      <c r="DB536" s="69"/>
      <c r="DC536" s="69"/>
      <c r="DD536" s="69"/>
      <c r="DE536" s="69"/>
      <c r="DF536" s="69"/>
      <c r="DG536" s="69"/>
      <c r="DH536" s="69"/>
      <c r="DI536" s="69"/>
      <c r="DJ536" s="69"/>
      <c r="DK536" s="69"/>
      <c r="DL536" s="69"/>
    </row>
    <row r="537" spans="1:116" ht="13" x14ac:dyDescent="0.3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202"/>
      <c r="V537" s="69"/>
      <c r="W537" s="69"/>
      <c r="X537" s="69"/>
      <c r="Y537" s="69"/>
      <c r="Z537" s="69"/>
      <c r="AA537" s="69"/>
      <c r="AB537" s="203"/>
      <c r="AC537" s="69"/>
      <c r="AD537" s="69"/>
      <c r="AE537" s="203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  <c r="AW537" s="69"/>
      <c r="AX537" s="69"/>
      <c r="AY537" s="69"/>
      <c r="AZ537" s="69"/>
      <c r="BA537" s="69"/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9"/>
      <c r="BY537" s="69"/>
      <c r="BZ537" s="69"/>
      <c r="CA537" s="69"/>
      <c r="CB537" s="69"/>
      <c r="CC537" s="69"/>
      <c r="CD537" s="69"/>
      <c r="CE537" s="69"/>
      <c r="CF537" s="69"/>
      <c r="CG537" s="69"/>
      <c r="CH537" s="69"/>
      <c r="CI537" s="69"/>
      <c r="CJ537" s="69"/>
      <c r="CK537" s="69"/>
      <c r="CL537" s="69"/>
      <c r="CM537" s="69"/>
      <c r="CN537" s="69"/>
      <c r="CO537" s="69"/>
      <c r="CP537" s="69"/>
      <c r="CQ537" s="69"/>
      <c r="CR537" s="69"/>
      <c r="CS537" s="69"/>
      <c r="CT537" s="69"/>
      <c r="CU537" s="69"/>
      <c r="CV537" s="69"/>
      <c r="CW537" s="69"/>
      <c r="CX537" s="69"/>
      <c r="CY537" s="69"/>
      <c r="CZ537" s="69"/>
      <c r="DA537" s="69"/>
      <c r="DB537" s="69"/>
      <c r="DC537" s="69"/>
      <c r="DD537" s="69"/>
      <c r="DE537" s="69"/>
      <c r="DF537" s="69"/>
      <c r="DG537" s="69"/>
      <c r="DH537" s="69"/>
      <c r="DI537" s="69"/>
      <c r="DJ537" s="69"/>
      <c r="DK537" s="69"/>
      <c r="DL537" s="69"/>
    </row>
    <row r="538" spans="1:116" ht="13" x14ac:dyDescent="0.3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202"/>
      <c r="V538" s="69"/>
      <c r="W538" s="69"/>
      <c r="X538" s="69"/>
      <c r="Y538" s="69"/>
      <c r="Z538" s="69"/>
      <c r="AA538" s="69"/>
      <c r="AB538" s="203"/>
      <c r="AC538" s="69"/>
      <c r="AD538" s="69"/>
      <c r="AE538" s="203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9"/>
      <c r="BY538" s="69"/>
      <c r="BZ538" s="69"/>
      <c r="CA538" s="69"/>
      <c r="CB538" s="69"/>
      <c r="CC538" s="69"/>
      <c r="CD538" s="69"/>
      <c r="CE538" s="69"/>
      <c r="CF538" s="69"/>
      <c r="CG538" s="69"/>
      <c r="CH538" s="69"/>
      <c r="CI538" s="69"/>
      <c r="CJ538" s="69"/>
      <c r="CK538" s="69"/>
      <c r="CL538" s="69"/>
      <c r="CM538" s="69"/>
      <c r="CN538" s="69"/>
      <c r="CO538" s="69"/>
      <c r="CP538" s="69"/>
      <c r="CQ538" s="69"/>
      <c r="CR538" s="69"/>
      <c r="CS538" s="69"/>
      <c r="CT538" s="69"/>
      <c r="CU538" s="69"/>
      <c r="CV538" s="69"/>
      <c r="CW538" s="69"/>
      <c r="CX538" s="69"/>
      <c r="CY538" s="69"/>
      <c r="CZ538" s="69"/>
      <c r="DA538" s="69"/>
      <c r="DB538" s="69"/>
      <c r="DC538" s="69"/>
      <c r="DD538" s="69"/>
      <c r="DE538" s="69"/>
      <c r="DF538" s="69"/>
      <c r="DG538" s="69"/>
      <c r="DH538" s="69"/>
      <c r="DI538" s="69"/>
      <c r="DJ538" s="69"/>
      <c r="DK538" s="69"/>
      <c r="DL538" s="69"/>
    </row>
    <row r="539" spans="1:116" ht="13" x14ac:dyDescent="0.3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202"/>
      <c r="V539" s="69"/>
      <c r="W539" s="69"/>
      <c r="X539" s="69"/>
      <c r="Y539" s="69"/>
      <c r="Z539" s="69"/>
      <c r="AA539" s="69"/>
      <c r="AB539" s="203"/>
      <c r="AC539" s="69"/>
      <c r="AD539" s="69"/>
      <c r="AE539" s="203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X539" s="69"/>
      <c r="BY539" s="69"/>
      <c r="BZ539" s="69"/>
      <c r="CA539" s="69"/>
      <c r="CB539" s="69"/>
      <c r="CC539" s="69"/>
      <c r="CD539" s="69"/>
      <c r="CE539" s="69"/>
      <c r="CF539" s="69"/>
      <c r="CG539" s="69"/>
      <c r="CH539" s="69"/>
      <c r="CI539" s="69"/>
      <c r="CJ539" s="69"/>
      <c r="CK539" s="69"/>
      <c r="CL539" s="69"/>
      <c r="CM539" s="69"/>
      <c r="CN539" s="69"/>
      <c r="CO539" s="69"/>
      <c r="CP539" s="69"/>
      <c r="CQ539" s="69"/>
      <c r="CR539" s="69"/>
      <c r="CS539" s="69"/>
      <c r="CT539" s="69"/>
      <c r="CU539" s="69"/>
      <c r="CV539" s="69"/>
      <c r="CW539" s="69"/>
      <c r="CX539" s="69"/>
      <c r="CY539" s="69"/>
      <c r="CZ539" s="69"/>
      <c r="DA539" s="69"/>
      <c r="DB539" s="69"/>
      <c r="DC539" s="69"/>
      <c r="DD539" s="69"/>
      <c r="DE539" s="69"/>
      <c r="DF539" s="69"/>
      <c r="DG539" s="69"/>
      <c r="DH539" s="69"/>
      <c r="DI539" s="69"/>
      <c r="DJ539" s="69"/>
      <c r="DK539" s="69"/>
      <c r="DL539" s="69"/>
    </row>
    <row r="540" spans="1:116" ht="13" x14ac:dyDescent="0.3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202"/>
      <c r="V540" s="69"/>
      <c r="W540" s="69"/>
      <c r="X540" s="69"/>
      <c r="Y540" s="69"/>
      <c r="Z540" s="69"/>
      <c r="AA540" s="69"/>
      <c r="AB540" s="203"/>
      <c r="AC540" s="69"/>
      <c r="AD540" s="69"/>
      <c r="AE540" s="203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  <c r="AW540" s="69"/>
      <c r="AX540" s="69"/>
      <c r="AY540" s="69"/>
      <c r="AZ540" s="69"/>
      <c r="BA540" s="69"/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X540" s="69"/>
      <c r="BY540" s="69"/>
      <c r="BZ540" s="69"/>
      <c r="CA540" s="69"/>
      <c r="CB540" s="69"/>
      <c r="CC540" s="69"/>
      <c r="CD540" s="69"/>
      <c r="CE540" s="69"/>
      <c r="CF540" s="69"/>
      <c r="CG540" s="69"/>
      <c r="CH540" s="69"/>
      <c r="CI540" s="69"/>
      <c r="CJ540" s="69"/>
      <c r="CK540" s="69"/>
      <c r="CL540" s="69"/>
      <c r="CM540" s="69"/>
      <c r="CN540" s="69"/>
      <c r="CO540" s="69"/>
      <c r="CP540" s="69"/>
      <c r="CQ540" s="69"/>
      <c r="CR540" s="69"/>
      <c r="CS540" s="69"/>
      <c r="CT540" s="69"/>
      <c r="CU540" s="69"/>
      <c r="CV540" s="69"/>
      <c r="CW540" s="69"/>
      <c r="CX540" s="69"/>
      <c r="CY540" s="69"/>
      <c r="CZ540" s="69"/>
      <c r="DA540" s="69"/>
      <c r="DB540" s="69"/>
      <c r="DC540" s="69"/>
      <c r="DD540" s="69"/>
      <c r="DE540" s="69"/>
      <c r="DF540" s="69"/>
      <c r="DG540" s="69"/>
      <c r="DH540" s="69"/>
      <c r="DI540" s="69"/>
      <c r="DJ540" s="69"/>
      <c r="DK540" s="69"/>
      <c r="DL540" s="69"/>
    </row>
    <row r="541" spans="1:116" ht="13" x14ac:dyDescent="0.3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202"/>
      <c r="V541" s="69"/>
      <c r="W541" s="69"/>
      <c r="X541" s="69"/>
      <c r="Y541" s="69"/>
      <c r="Z541" s="69"/>
      <c r="AA541" s="69"/>
      <c r="AB541" s="203"/>
      <c r="AC541" s="69"/>
      <c r="AD541" s="69"/>
      <c r="AE541" s="203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  <c r="AW541" s="69"/>
      <c r="AX541" s="69"/>
      <c r="AY541" s="69"/>
      <c r="AZ541" s="69"/>
      <c r="BA541" s="69"/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X541" s="69"/>
      <c r="BY541" s="69"/>
      <c r="BZ541" s="69"/>
      <c r="CA541" s="69"/>
      <c r="CB541" s="69"/>
      <c r="CC541" s="69"/>
      <c r="CD541" s="69"/>
      <c r="CE541" s="69"/>
      <c r="CF541" s="69"/>
      <c r="CG541" s="69"/>
      <c r="CH541" s="69"/>
      <c r="CI541" s="69"/>
      <c r="CJ541" s="69"/>
      <c r="CK541" s="69"/>
      <c r="CL541" s="69"/>
      <c r="CM541" s="69"/>
      <c r="CN541" s="69"/>
      <c r="CO541" s="69"/>
      <c r="CP541" s="69"/>
      <c r="CQ541" s="69"/>
      <c r="CR541" s="69"/>
      <c r="CS541" s="69"/>
      <c r="CT541" s="69"/>
      <c r="CU541" s="69"/>
      <c r="CV541" s="69"/>
      <c r="CW541" s="69"/>
      <c r="CX541" s="69"/>
      <c r="CY541" s="69"/>
      <c r="CZ541" s="69"/>
      <c r="DA541" s="69"/>
      <c r="DB541" s="69"/>
      <c r="DC541" s="69"/>
      <c r="DD541" s="69"/>
      <c r="DE541" s="69"/>
      <c r="DF541" s="69"/>
      <c r="DG541" s="69"/>
      <c r="DH541" s="69"/>
      <c r="DI541" s="69"/>
      <c r="DJ541" s="69"/>
      <c r="DK541" s="69"/>
      <c r="DL541" s="69"/>
    </row>
    <row r="542" spans="1:116" ht="13" x14ac:dyDescent="0.3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202"/>
      <c r="V542" s="69"/>
      <c r="W542" s="69"/>
      <c r="X542" s="69"/>
      <c r="Y542" s="69"/>
      <c r="Z542" s="69"/>
      <c r="AA542" s="69"/>
      <c r="AB542" s="203"/>
      <c r="AC542" s="69"/>
      <c r="AD542" s="69"/>
      <c r="AE542" s="203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  <c r="AW542" s="69"/>
      <c r="AX542" s="69"/>
      <c r="AY542" s="69"/>
      <c r="AZ542" s="69"/>
      <c r="BA542" s="69"/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X542" s="69"/>
      <c r="BY542" s="69"/>
      <c r="BZ542" s="69"/>
      <c r="CA542" s="69"/>
      <c r="CB542" s="69"/>
      <c r="CC542" s="69"/>
      <c r="CD542" s="69"/>
      <c r="CE542" s="69"/>
      <c r="CF542" s="69"/>
      <c r="CG542" s="69"/>
      <c r="CH542" s="69"/>
      <c r="CI542" s="69"/>
      <c r="CJ542" s="69"/>
      <c r="CK542" s="69"/>
      <c r="CL542" s="69"/>
      <c r="CM542" s="69"/>
      <c r="CN542" s="69"/>
      <c r="CO542" s="69"/>
      <c r="CP542" s="69"/>
      <c r="CQ542" s="69"/>
      <c r="CR542" s="69"/>
      <c r="CS542" s="69"/>
      <c r="CT542" s="69"/>
      <c r="CU542" s="69"/>
      <c r="CV542" s="69"/>
      <c r="CW542" s="69"/>
      <c r="CX542" s="69"/>
      <c r="CY542" s="69"/>
      <c r="CZ542" s="69"/>
      <c r="DA542" s="69"/>
      <c r="DB542" s="69"/>
      <c r="DC542" s="69"/>
      <c r="DD542" s="69"/>
      <c r="DE542" s="69"/>
      <c r="DF542" s="69"/>
      <c r="DG542" s="69"/>
      <c r="DH542" s="69"/>
      <c r="DI542" s="69"/>
      <c r="DJ542" s="69"/>
      <c r="DK542" s="69"/>
      <c r="DL542" s="69"/>
    </row>
    <row r="543" spans="1:116" ht="13" x14ac:dyDescent="0.3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202"/>
      <c r="V543" s="69"/>
      <c r="W543" s="69"/>
      <c r="X543" s="69"/>
      <c r="Y543" s="69"/>
      <c r="Z543" s="69"/>
      <c r="AA543" s="69"/>
      <c r="AB543" s="203"/>
      <c r="AC543" s="69"/>
      <c r="AD543" s="69"/>
      <c r="AE543" s="203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X543" s="69"/>
      <c r="BY543" s="69"/>
      <c r="BZ543" s="69"/>
      <c r="CA543" s="69"/>
      <c r="CB543" s="69"/>
      <c r="CC543" s="69"/>
      <c r="CD543" s="69"/>
      <c r="CE543" s="69"/>
      <c r="CF543" s="69"/>
      <c r="CG543" s="69"/>
      <c r="CH543" s="69"/>
      <c r="CI543" s="69"/>
      <c r="CJ543" s="69"/>
      <c r="CK543" s="69"/>
      <c r="CL543" s="69"/>
      <c r="CM543" s="69"/>
      <c r="CN543" s="69"/>
      <c r="CO543" s="69"/>
      <c r="CP543" s="69"/>
      <c r="CQ543" s="69"/>
      <c r="CR543" s="69"/>
      <c r="CS543" s="69"/>
      <c r="CT543" s="69"/>
      <c r="CU543" s="69"/>
      <c r="CV543" s="69"/>
      <c r="CW543" s="69"/>
      <c r="CX543" s="69"/>
      <c r="CY543" s="69"/>
      <c r="CZ543" s="69"/>
      <c r="DA543" s="69"/>
      <c r="DB543" s="69"/>
      <c r="DC543" s="69"/>
      <c r="DD543" s="69"/>
      <c r="DE543" s="69"/>
      <c r="DF543" s="69"/>
      <c r="DG543" s="69"/>
      <c r="DH543" s="69"/>
      <c r="DI543" s="69"/>
      <c r="DJ543" s="69"/>
      <c r="DK543" s="69"/>
      <c r="DL543" s="69"/>
    </row>
    <row r="544" spans="1:116" ht="13" x14ac:dyDescent="0.3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202"/>
      <c r="V544" s="69"/>
      <c r="W544" s="69"/>
      <c r="X544" s="69"/>
      <c r="Y544" s="69"/>
      <c r="Z544" s="69"/>
      <c r="AA544" s="69"/>
      <c r="AB544" s="203"/>
      <c r="AC544" s="69"/>
      <c r="AD544" s="69"/>
      <c r="AE544" s="203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  <c r="BW544" s="69"/>
      <c r="BX544" s="69"/>
      <c r="BY544" s="69"/>
      <c r="BZ544" s="69"/>
      <c r="CA544" s="69"/>
      <c r="CB544" s="69"/>
      <c r="CC544" s="69"/>
      <c r="CD544" s="69"/>
      <c r="CE544" s="69"/>
      <c r="CF544" s="69"/>
      <c r="CG544" s="69"/>
      <c r="CH544" s="69"/>
      <c r="CI544" s="69"/>
      <c r="CJ544" s="69"/>
      <c r="CK544" s="69"/>
      <c r="CL544" s="69"/>
      <c r="CM544" s="69"/>
      <c r="CN544" s="69"/>
      <c r="CO544" s="69"/>
      <c r="CP544" s="69"/>
      <c r="CQ544" s="69"/>
      <c r="CR544" s="69"/>
      <c r="CS544" s="69"/>
      <c r="CT544" s="69"/>
      <c r="CU544" s="69"/>
      <c r="CV544" s="69"/>
      <c r="CW544" s="69"/>
      <c r="CX544" s="69"/>
      <c r="CY544" s="69"/>
      <c r="CZ544" s="69"/>
      <c r="DA544" s="69"/>
      <c r="DB544" s="69"/>
      <c r="DC544" s="69"/>
      <c r="DD544" s="69"/>
      <c r="DE544" s="69"/>
      <c r="DF544" s="69"/>
      <c r="DG544" s="69"/>
      <c r="DH544" s="69"/>
      <c r="DI544" s="69"/>
      <c r="DJ544" s="69"/>
      <c r="DK544" s="69"/>
      <c r="DL544" s="69"/>
    </row>
    <row r="545" spans="1:116" ht="13" x14ac:dyDescent="0.3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202"/>
      <c r="V545" s="69"/>
      <c r="W545" s="69"/>
      <c r="X545" s="69"/>
      <c r="Y545" s="69"/>
      <c r="Z545" s="69"/>
      <c r="AA545" s="69"/>
      <c r="AB545" s="203"/>
      <c r="AC545" s="69"/>
      <c r="AD545" s="69"/>
      <c r="AE545" s="203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  <c r="BW545" s="69"/>
      <c r="BX545" s="69"/>
      <c r="BY545" s="69"/>
      <c r="BZ545" s="69"/>
      <c r="CA545" s="69"/>
      <c r="CB545" s="69"/>
      <c r="CC545" s="69"/>
      <c r="CD545" s="69"/>
      <c r="CE545" s="69"/>
      <c r="CF545" s="69"/>
      <c r="CG545" s="69"/>
      <c r="CH545" s="69"/>
      <c r="CI545" s="69"/>
      <c r="CJ545" s="69"/>
      <c r="CK545" s="69"/>
      <c r="CL545" s="69"/>
      <c r="CM545" s="69"/>
      <c r="CN545" s="69"/>
      <c r="CO545" s="69"/>
      <c r="CP545" s="69"/>
      <c r="CQ545" s="69"/>
      <c r="CR545" s="69"/>
      <c r="CS545" s="69"/>
      <c r="CT545" s="69"/>
      <c r="CU545" s="69"/>
      <c r="CV545" s="69"/>
      <c r="CW545" s="69"/>
      <c r="CX545" s="69"/>
      <c r="CY545" s="69"/>
      <c r="CZ545" s="69"/>
      <c r="DA545" s="69"/>
      <c r="DB545" s="69"/>
      <c r="DC545" s="69"/>
      <c r="DD545" s="69"/>
      <c r="DE545" s="69"/>
      <c r="DF545" s="69"/>
      <c r="DG545" s="69"/>
      <c r="DH545" s="69"/>
      <c r="DI545" s="69"/>
      <c r="DJ545" s="69"/>
      <c r="DK545" s="69"/>
      <c r="DL545" s="69"/>
    </row>
    <row r="546" spans="1:116" ht="13" x14ac:dyDescent="0.3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202"/>
      <c r="V546" s="69"/>
      <c r="W546" s="69"/>
      <c r="X546" s="69"/>
      <c r="Y546" s="69"/>
      <c r="Z546" s="69"/>
      <c r="AA546" s="69"/>
      <c r="AB546" s="203"/>
      <c r="AC546" s="69"/>
      <c r="AD546" s="69"/>
      <c r="AE546" s="203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  <c r="BW546" s="69"/>
      <c r="BX546" s="69"/>
      <c r="BY546" s="69"/>
      <c r="BZ546" s="69"/>
      <c r="CA546" s="69"/>
      <c r="CB546" s="69"/>
      <c r="CC546" s="69"/>
      <c r="CD546" s="69"/>
      <c r="CE546" s="69"/>
      <c r="CF546" s="69"/>
      <c r="CG546" s="69"/>
      <c r="CH546" s="69"/>
      <c r="CI546" s="69"/>
      <c r="CJ546" s="69"/>
      <c r="CK546" s="69"/>
      <c r="CL546" s="69"/>
      <c r="CM546" s="69"/>
      <c r="CN546" s="69"/>
      <c r="CO546" s="69"/>
      <c r="CP546" s="69"/>
      <c r="CQ546" s="69"/>
      <c r="CR546" s="69"/>
      <c r="CS546" s="69"/>
      <c r="CT546" s="69"/>
      <c r="CU546" s="69"/>
      <c r="CV546" s="69"/>
      <c r="CW546" s="69"/>
      <c r="CX546" s="69"/>
      <c r="CY546" s="69"/>
      <c r="CZ546" s="69"/>
      <c r="DA546" s="69"/>
      <c r="DB546" s="69"/>
      <c r="DC546" s="69"/>
      <c r="DD546" s="69"/>
      <c r="DE546" s="69"/>
      <c r="DF546" s="69"/>
      <c r="DG546" s="69"/>
      <c r="DH546" s="69"/>
      <c r="DI546" s="69"/>
      <c r="DJ546" s="69"/>
      <c r="DK546" s="69"/>
      <c r="DL546" s="69"/>
    </row>
    <row r="547" spans="1:116" ht="13" x14ac:dyDescent="0.3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202"/>
      <c r="V547" s="69"/>
      <c r="W547" s="69"/>
      <c r="X547" s="69"/>
      <c r="Y547" s="69"/>
      <c r="Z547" s="69"/>
      <c r="AA547" s="69"/>
      <c r="AB547" s="203"/>
      <c r="AC547" s="69"/>
      <c r="AD547" s="69"/>
      <c r="AE547" s="203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  <c r="BW547" s="69"/>
      <c r="BX547" s="69"/>
      <c r="BY547" s="69"/>
      <c r="BZ547" s="69"/>
      <c r="CA547" s="69"/>
      <c r="CB547" s="69"/>
      <c r="CC547" s="69"/>
      <c r="CD547" s="69"/>
      <c r="CE547" s="69"/>
      <c r="CF547" s="69"/>
      <c r="CG547" s="69"/>
      <c r="CH547" s="69"/>
      <c r="CI547" s="69"/>
      <c r="CJ547" s="69"/>
      <c r="CK547" s="69"/>
      <c r="CL547" s="69"/>
      <c r="CM547" s="69"/>
      <c r="CN547" s="69"/>
      <c r="CO547" s="69"/>
      <c r="CP547" s="69"/>
      <c r="CQ547" s="69"/>
      <c r="CR547" s="69"/>
      <c r="CS547" s="69"/>
      <c r="CT547" s="69"/>
      <c r="CU547" s="69"/>
      <c r="CV547" s="69"/>
      <c r="CW547" s="69"/>
      <c r="CX547" s="69"/>
      <c r="CY547" s="69"/>
      <c r="CZ547" s="69"/>
      <c r="DA547" s="69"/>
      <c r="DB547" s="69"/>
      <c r="DC547" s="69"/>
      <c r="DD547" s="69"/>
      <c r="DE547" s="69"/>
      <c r="DF547" s="69"/>
      <c r="DG547" s="69"/>
      <c r="DH547" s="69"/>
      <c r="DI547" s="69"/>
      <c r="DJ547" s="69"/>
      <c r="DK547" s="69"/>
      <c r="DL547" s="69"/>
    </row>
    <row r="548" spans="1:116" ht="13" x14ac:dyDescent="0.3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202"/>
      <c r="V548" s="69"/>
      <c r="W548" s="69"/>
      <c r="X548" s="69"/>
      <c r="Y548" s="69"/>
      <c r="Z548" s="69"/>
      <c r="AA548" s="69"/>
      <c r="AB548" s="203"/>
      <c r="AC548" s="69"/>
      <c r="AD548" s="69"/>
      <c r="AE548" s="203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  <c r="BW548" s="69"/>
      <c r="BX548" s="69"/>
      <c r="BY548" s="69"/>
      <c r="BZ548" s="69"/>
      <c r="CA548" s="69"/>
      <c r="CB548" s="69"/>
      <c r="CC548" s="69"/>
      <c r="CD548" s="69"/>
      <c r="CE548" s="69"/>
      <c r="CF548" s="69"/>
      <c r="CG548" s="69"/>
      <c r="CH548" s="69"/>
      <c r="CI548" s="69"/>
      <c r="CJ548" s="69"/>
      <c r="CK548" s="69"/>
      <c r="CL548" s="69"/>
      <c r="CM548" s="69"/>
      <c r="CN548" s="69"/>
      <c r="CO548" s="69"/>
      <c r="CP548" s="69"/>
      <c r="CQ548" s="69"/>
      <c r="CR548" s="69"/>
      <c r="CS548" s="69"/>
      <c r="CT548" s="69"/>
      <c r="CU548" s="69"/>
      <c r="CV548" s="69"/>
      <c r="CW548" s="69"/>
      <c r="CX548" s="69"/>
      <c r="CY548" s="69"/>
      <c r="CZ548" s="69"/>
      <c r="DA548" s="69"/>
      <c r="DB548" s="69"/>
      <c r="DC548" s="69"/>
      <c r="DD548" s="69"/>
      <c r="DE548" s="69"/>
      <c r="DF548" s="69"/>
      <c r="DG548" s="69"/>
      <c r="DH548" s="69"/>
      <c r="DI548" s="69"/>
      <c r="DJ548" s="69"/>
      <c r="DK548" s="69"/>
      <c r="DL548" s="69"/>
    </row>
    <row r="549" spans="1:116" ht="13" x14ac:dyDescent="0.3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202"/>
      <c r="V549" s="69"/>
      <c r="W549" s="69"/>
      <c r="X549" s="69"/>
      <c r="Y549" s="69"/>
      <c r="Z549" s="69"/>
      <c r="AA549" s="69"/>
      <c r="AB549" s="203"/>
      <c r="AC549" s="69"/>
      <c r="AD549" s="69"/>
      <c r="AE549" s="203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  <c r="BW549" s="69"/>
      <c r="BX549" s="69"/>
      <c r="BY549" s="69"/>
      <c r="BZ549" s="69"/>
      <c r="CA549" s="69"/>
      <c r="CB549" s="69"/>
      <c r="CC549" s="69"/>
      <c r="CD549" s="69"/>
      <c r="CE549" s="69"/>
      <c r="CF549" s="69"/>
      <c r="CG549" s="69"/>
      <c r="CH549" s="69"/>
      <c r="CI549" s="69"/>
      <c r="CJ549" s="69"/>
      <c r="CK549" s="69"/>
      <c r="CL549" s="69"/>
      <c r="CM549" s="69"/>
      <c r="CN549" s="69"/>
      <c r="CO549" s="69"/>
      <c r="CP549" s="69"/>
      <c r="CQ549" s="69"/>
      <c r="CR549" s="69"/>
      <c r="CS549" s="69"/>
      <c r="CT549" s="69"/>
      <c r="CU549" s="69"/>
      <c r="CV549" s="69"/>
      <c r="CW549" s="69"/>
      <c r="CX549" s="69"/>
      <c r="CY549" s="69"/>
      <c r="CZ549" s="69"/>
      <c r="DA549" s="69"/>
      <c r="DB549" s="69"/>
      <c r="DC549" s="69"/>
      <c r="DD549" s="69"/>
      <c r="DE549" s="69"/>
      <c r="DF549" s="69"/>
      <c r="DG549" s="69"/>
      <c r="DH549" s="69"/>
      <c r="DI549" s="69"/>
      <c r="DJ549" s="69"/>
      <c r="DK549" s="69"/>
      <c r="DL549" s="69"/>
    </row>
    <row r="550" spans="1:116" ht="13" x14ac:dyDescent="0.3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202"/>
      <c r="V550" s="69"/>
      <c r="W550" s="69"/>
      <c r="X550" s="69"/>
      <c r="Y550" s="69"/>
      <c r="Z550" s="69"/>
      <c r="AA550" s="69"/>
      <c r="AB550" s="203"/>
      <c r="AC550" s="69"/>
      <c r="AD550" s="69"/>
      <c r="AE550" s="203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  <c r="BW550" s="69"/>
      <c r="BX550" s="69"/>
      <c r="BY550" s="69"/>
      <c r="BZ550" s="69"/>
      <c r="CA550" s="69"/>
      <c r="CB550" s="69"/>
      <c r="CC550" s="69"/>
      <c r="CD550" s="69"/>
      <c r="CE550" s="69"/>
      <c r="CF550" s="69"/>
      <c r="CG550" s="69"/>
      <c r="CH550" s="69"/>
      <c r="CI550" s="69"/>
      <c r="CJ550" s="69"/>
      <c r="CK550" s="69"/>
      <c r="CL550" s="69"/>
      <c r="CM550" s="69"/>
      <c r="CN550" s="69"/>
      <c r="CO550" s="69"/>
      <c r="CP550" s="69"/>
      <c r="CQ550" s="69"/>
      <c r="CR550" s="69"/>
      <c r="CS550" s="69"/>
      <c r="CT550" s="69"/>
      <c r="CU550" s="69"/>
      <c r="CV550" s="69"/>
      <c r="CW550" s="69"/>
      <c r="CX550" s="69"/>
      <c r="CY550" s="69"/>
      <c r="CZ550" s="69"/>
      <c r="DA550" s="69"/>
      <c r="DB550" s="69"/>
      <c r="DC550" s="69"/>
      <c r="DD550" s="69"/>
      <c r="DE550" s="69"/>
      <c r="DF550" s="69"/>
      <c r="DG550" s="69"/>
      <c r="DH550" s="69"/>
      <c r="DI550" s="69"/>
      <c r="DJ550" s="69"/>
      <c r="DK550" s="69"/>
      <c r="DL550" s="69"/>
    </row>
    <row r="551" spans="1:116" ht="13" x14ac:dyDescent="0.3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202"/>
      <c r="V551" s="69"/>
      <c r="W551" s="69"/>
      <c r="X551" s="69"/>
      <c r="Y551" s="69"/>
      <c r="Z551" s="69"/>
      <c r="AA551" s="69"/>
      <c r="AB551" s="203"/>
      <c r="AC551" s="69"/>
      <c r="AD551" s="69"/>
      <c r="AE551" s="203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  <c r="BW551" s="69"/>
      <c r="BX551" s="69"/>
      <c r="BY551" s="69"/>
      <c r="BZ551" s="69"/>
      <c r="CA551" s="69"/>
      <c r="CB551" s="69"/>
      <c r="CC551" s="69"/>
      <c r="CD551" s="69"/>
      <c r="CE551" s="69"/>
      <c r="CF551" s="69"/>
      <c r="CG551" s="69"/>
      <c r="CH551" s="69"/>
      <c r="CI551" s="69"/>
      <c r="CJ551" s="69"/>
      <c r="CK551" s="69"/>
      <c r="CL551" s="69"/>
      <c r="CM551" s="69"/>
      <c r="CN551" s="69"/>
      <c r="CO551" s="69"/>
      <c r="CP551" s="69"/>
      <c r="CQ551" s="69"/>
      <c r="CR551" s="69"/>
      <c r="CS551" s="69"/>
      <c r="CT551" s="69"/>
      <c r="CU551" s="69"/>
      <c r="CV551" s="69"/>
      <c r="CW551" s="69"/>
      <c r="CX551" s="69"/>
      <c r="CY551" s="69"/>
      <c r="CZ551" s="69"/>
      <c r="DA551" s="69"/>
      <c r="DB551" s="69"/>
      <c r="DC551" s="69"/>
      <c r="DD551" s="69"/>
      <c r="DE551" s="69"/>
      <c r="DF551" s="69"/>
      <c r="DG551" s="69"/>
      <c r="DH551" s="69"/>
      <c r="DI551" s="69"/>
      <c r="DJ551" s="69"/>
      <c r="DK551" s="69"/>
      <c r="DL551" s="69"/>
    </row>
    <row r="552" spans="1:116" ht="13" x14ac:dyDescent="0.3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202"/>
      <c r="V552" s="69"/>
      <c r="W552" s="69"/>
      <c r="X552" s="69"/>
      <c r="Y552" s="69"/>
      <c r="Z552" s="69"/>
      <c r="AA552" s="69"/>
      <c r="AB552" s="203"/>
      <c r="AC552" s="69"/>
      <c r="AD552" s="69"/>
      <c r="AE552" s="203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  <c r="BW552" s="69"/>
      <c r="BX552" s="69"/>
      <c r="BY552" s="69"/>
      <c r="BZ552" s="69"/>
      <c r="CA552" s="69"/>
      <c r="CB552" s="69"/>
      <c r="CC552" s="69"/>
      <c r="CD552" s="69"/>
      <c r="CE552" s="69"/>
      <c r="CF552" s="69"/>
      <c r="CG552" s="69"/>
      <c r="CH552" s="69"/>
      <c r="CI552" s="69"/>
      <c r="CJ552" s="69"/>
      <c r="CK552" s="69"/>
      <c r="CL552" s="69"/>
      <c r="CM552" s="69"/>
      <c r="CN552" s="69"/>
      <c r="CO552" s="69"/>
      <c r="CP552" s="69"/>
      <c r="CQ552" s="69"/>
      <c r="CR552" s="69"/>
      <c r="CS552" s="69"/>
      <c r="CT552" s="69"/>
      <c r="CU552" s="69"/>
      <c r="CV552" s="69"/>
      <c r="CW552" s="69"/>
      <c r="CX552" s="69"/>
      <c r="CY552" s="69"/>
      <c r="CZ552" s="69"/>
      <c r="DA552" s="69"/>
      <c r="DB552" s="69"/>
      <c r="DC552" s="69"/>
      <c r="DD552" s="69"/>
      <c r="DE552" s="69"/>
      <c r="DF552" s="69"/>
      <c r="DG552" s="69"/>
      <c r="DH552" s="69"/>
      <c r="DI552" s="69"/>
      <c r="DJ552" s="69"/>
      <c r="DK552" s="69"/>
      <c r="DL552" s="69"/>
    </row>
    <row r="553" spans="1:116" ht="13" x14ac:dyDescent="0.3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202"/>
      <c r="V553" s="69"/>
      <c r="W553" s="69"/>
      <c r="X553" s="69"/>
      <c r="Y553" s="69"/>
      <c r="Z553" s="69"/>
      <c r="AA553" s="69"/>
      <c r="AB553" s="203"/>
      <c r="AC553" s="69"/>
      <c r="AD553" s="69"/>
      <c r="AE553" s="203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  <c r="BW553" s="69"/>
      <c r="BX553" s="69"/>
      <c r="BY553" s="69"/>
      <c r="BZ553" s="69"/>
      <c r="CA553" s="69"/>
      <c r="CB553" s="69"/>
      <c r="CC553" s="69"/>
      <c r="CD553" s="69"/>
      <c r="CE553" s="69"/>
      <c r="CF553" s="69"/>
      <c r="CG553" s="69"/>
      <c r="CH553" s="69"/>
      <c r="CI553" s="69"/>
      <c r="CJ553" s="69"/>
      <c r="CK553" s="69"/>
      <c r="CL553" s="69"/>
      <c r="CM553" s="69"/>
      <c r="CN553" s="69"/>
      <c r="CO553" s="69"/>
      <c r="CP553" s="69"/>
      <c r="CQ553" s="69"/>
      <c r="CR553" s="69"/>
      <c r="CS553" s="69"/>
      <c r="CT553" s="69"/>
      <c r="CU553" s="69"/>
      <c r="CV553" s="69"/>
      <c r="CW553" s="69"/>
      <c r="CX553" s="69"/>
      <c r="CY553" s="69"/>
      <c r="CZ553" s="69"/>
      <c r="DA553" s="69"/>
      <c r="DB553" s="69"/>
      <c r="DC553" s="69"/>
      <c r="DD553" s="69"/>
      <c r="DE553" s="69"/>
      <c r="DF553" s="69"/>
      <c r="DG553" s="69"/>
      <c r="DH553" s="69"/>
      <c r="DI553" s="69"/>
      <c r="DJ553" s="69"/>
      <c r="DK553" s="69"/>
      <c r="DL553" s="69"/>
    </row>
    <row r="554" spans="1:116" ht="13" x14ac:dyDescent="0.3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202"/>
      <c r="V554" s="69"/>
      <c r="W554" s="69"/>
      <c r="X554" s="69"/>
      <c r="Y554" s="69"/>
      <c r="Z554" s="69"/>
      <c r="AA554" s="69"/>
      <c r="AB554" s="203"/>
      <c r="AC554" s="69"/>
      <c r="AD554" s="69"/>
      <c r="AE554" s="203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  <c r="BW554" s="69"/>
      <c r="BX554" s="69"/>
      <c r="BY554" s="69"/>
      <c r="BZ554" s="69"/>
      <c r="CA554" s="69"/>
      <c r="CB554" s="69"/>
      <c r="CC554" s="69"/>
      <c r="CD554" s="69"/>
      <c r="CE554" s="69"/>
      <c r="CF554" s="69"/>
      <c r="CG554" s="69"/>
      <c r="CH554" s="69"/>
      <c r="CI554" s="69"/>
      <c r="CJ554" s="69"/>
      <c r="CK554" s="69"/>
      <c r="CL554" s="69"/>
      <c r="CM554" s="69"/>
      <c r="CN554" s="69"/>
      <c r="CO554" s="69"/>
      <c r="CP554" s="69"/>
      <c r="CQ554" s="69"/>
      <c r="CR554" s="69"/>
      <c r="CS554" s="69"/>
      <c r="CT554" s="69"/>
      <c r="CU554" s="69"/>
      <c r="CV554" s="69"/>
      <c r="CW554" s="69"/>
      <c r="CX554" s="69"/>
      <c r="CY554" s="69"/>
      <c r="CZ554" s="69"/>
      <c r="DA554" s="69"/>
      <c r="DB554" s="69"/>
      <c r="DC554" s="69"/>
      <c r="DD554" s="69"/>
      <c r="DE554" s="69"/>
      <c r="DF554" s="69"/>
      <c r="DG554" s="69"/>
      <c r="DH554" s="69"/>
      <c r="DI554" s="69"/>
      <c r="DJ554" s="69"/>
      <c r="DK554" s="69"/>
      <c r="DL554" s="69"/>
    </row>
    <row r="555" spans="1:116" ht="13" x14ac:dyDescent="0.3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202"/>
      <c r="V555" s="69"/>
      <c r="W555" s="69"/>
      <c r="X555" s="69"/>
      <c r="Y555" s="69"/>
      <c r="Z555" s="69"/>
      <c r="AA555" s="69"/>
      <c r="AB555" s="203"/>
      <c r="AC555" s="69"/>
      <c r="AD555" s="69"/>
      <c r="AE555" s="203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  <c r="BW555" s="69"/>
      <c r="BX555" s="69"/>
      <c r="BY555" s="69"/>
      <c r="BZ555" s="69"/>
      <c r="CA555" s="69"/>
      <c r="CB555" s="69"/>
      <c r="CC555" s="69"/>
      <c r="CD555" s="69"/>
      <c r="CE555" s="69"/>
      <c r="CF555" s="69"/>
      <c r="CG555" s="69"/>
      <c r="CH555" s="69"/>
      <c r="CI555" s="69"/>
      <c r="CJ555" s="69"/>
      <c r="CK555" s="69"/>
      <c r="CL555" s="69"/>
      <c r="CM555" s="69"/>
      <c r="CN555" s="69"/>
      <c r="CO555" s="69"/>
      <c r="CP555" s="69"/>
      <c r="CQ555" s="69"/>
      <c r="CR555" s="69"/>
      <c r="CS555" s="69"/>
      <c r="CT555" s="69"/>
      <c r="CU555" s="69"/>
      <c r="CV555" s="69"/>
      <c r="CW555" s="69"/>
      <c r="CX555" s="69"/>
      <c r="CY555" s="69"/>
      <c r="CZ555" s="69"/>
      <c r="DA555" s="69"/>
      <c r="DB555" s="69"/>
      <c r="DC555" s="69"/>
      <c r="DD555" s="69"/>
      <c r="DE555" s="69"/>
      <c r="DF555" s="69"/>
      <c r="DG555" s="69"/>
      <c r="DH555" s="69"/>
      <c r="DI555" s="69"/>
      <c r="DJ555" s="69"/>
      <c r="DK555" s="69"/>
      <c r="DL555" s="69"/>
    </row>
    <row r="556" spans="1:116" ht="13" x14ac:dyDescent="0.3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202"/>
      <c r="V556" s="69"/>
      <c r="W556" s="69"/>
      <c r="X556" s="69"/>
      <c r="Y556" s="69"/>
      <c r="Z556" s="69"/>
      <c r="AA556" s="69"/>
      <c r="AB556" s="203"/>
      <c r="AC556" s="69"/>
      <c r="AD556" s="69"/>
      <c r="AE556" s="203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  <c r="BW556" s="69"/>
      <c r="BX556" s="69"/>
      <c r="BY556" s="69"/>
      <c r="BZ556" s="69"/>
      <c r="CA556" s="69"/>
      <c r="CB556" s="69"/>
      <c r="CC556" s="69"/>
      <c r="CD556" s="69"/>
      <c r="CE556" s="69"/>
      <c r="CF556" s="69"/>
      <c r="CG556" s="69"/>
      <c r="CH556" s="69"/>
      <c r="CI556" s="69"/>
      <c r="CJ556" s="69"/>
      <c r="CK556" s="69"/>
      <c r="CL556" s="69"/>
      <c r="CM556" s="69"/>
      <c r="CN556" s="69"/>
      <c r="CO556" s="69"/>
      <c r="CP556" s="69"/>
      <c r="CQ556" s="69"/>
      <c r="CR556" s="69"/>
      <c r="CS556" s="69"/>
      <c r="CT556" s="69"/>
      <c r="CU556" s="69"/>
      <c r="CV556" s="69"/>
      <c r="CW556" s="69"/>
      <c r="CX556" s="69"/>
      <c r="CY556" s="69"/>
      <c r="CZ556" s="69"/>
      <c r="DA556" s="69"/>
      <c r="DB556" s="69"/>
      <c r="DC556" s="69"/>
      <c r="DD556" s="69"/>
      <c r="DE556" s="69"/>
      <c r="DF556" s="69"/>
      <c r="DG556" s="69"/>
      <c r="DH556" s="69"/>
      <c r="DI556" s="69"/>
      <c r="DJ556" s="69"/>
      <c r="DK556" s="69"/>
      <c r="DL556" s="69"/>
    </row>
    <row r="557" spans="1:116" ht="13" x14ac:dyDescent="0.3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202"/>
      <c r="V557" s="69"/>
      <c r="W557" s="69"/>
      <c r="X557" s="69"/>
      <c r="Y557" s="69"/>
      <c r="Z557" s="69"/>
      <c r="AA557" s="69"/>
      <c r="AB557" s="203"/>
      <c r="AC557" s="69"/>
      <c r="AD557" s="69"/>
      <c r="AE557" s="203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  <c r="BW557" s="69"/>
      <c r="BX557" s="69"/>
      <c r="BY557" s="69"/>
      <c r="BZ557" s="69"/>
      <c r="CA557" s="69"/>
      <c r="CB557" s="69"/>
      <c r="CC557" s="69"/>
      <c r="CD557" s="69"/>
      <c r="CE557" s="69"/>
      <c r="CF557" s="69"/>
      <c r="CG557" s="69"/>
      <c r="CH557" s="69"/>
      <c r="CI557" s="69"/>
      <c r="CJ557" s="69"/>
      <c r="CK557" s="69"/>
      <c r="CL557" s="69"/>
      <c r="CM557" s="69"/>
      <c r="CN557" s="69"/>
      <c r="CO557" s="69"/>
      <c r="CP557" s="69"/>
      <c r="CQ557" s="69"/>
      <c r="CR557" s="69"/>
      <c r="CS557" s="69"/>
      <c r="CT557" s="69"/>
      <c r="CU557" s="69"/>
      <c r="CV557" s="69"/>
      <c r="CW557" s="69"/>
      <c r="CX557" s="69"/>
      <c r="CY557" s="69"/>
      <c r="CZ557" s="69"/>
      <c r="DA557" s="69"/>
      <c r="DB557" s="69"/>
      <c r="DC557" s="69"/>
      <c r="DD557" s="69"/>
      <c r="DE557" s="69"/>
      <c r="DF557" s="69"/>
      <c r="DG557" s="69"/>
      <c r="DH557" s="69"/>
      <c r="DI557" s="69"/>
      <c r="DJ557" s="69"/>
      <c r="DK557" s="69"/>
      <c r="DL557" s="69"/>
    </row>
    <row r="558" spans="1:116" ht="13" x14ac:dyDescent="0.3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202"/>
      <c r="V558" s="69"/>
      <c r="W558" s="69"/>
      <c r="X558" s="69"/>
      <c r="Y558" s="69"/>
      <c r="Z558" s="69"/>
      <c r="AA558" s="69"/>
      <c r="AB558" s="203"/>
      <c r="AC558" s="69"/>
      <c r="AD558" s="69"/>
      <c r="AE558" s="203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  <c r="BW558" s="69"/>
      <c r="BX558" s="69"/>
      <c r="BY558" s="69"/>
      <c r="BZ558" s="69"/>
      <c r="CA558" s="69"/>
      <c r="CB558" s="69"/>
      <c r="CC558" s="69"/>
      <c r="CD558" s="69"/>
      <c r="CE558" s="69"/>
      <c r="CF558" s="69"/>
      <c r="CG558" s="69"/>
      <c r="CH558" s="69"/>
      <c r="CI558" s="69"/>
      <c r="CJ558" s="69"/>
      <c r="CK558" s="69"/>
      <c r="CL558" s="69"/>
      <c r="CM558" s="69"/>
      <c r="CN558" s="69"/>
      <c r="CO558" s="69"/>
      <c r="CP558" s="69"/>
      <c r="CQ558" s="69"/>
      <c r="CR558" s="69"/>
      <c r="CS558" s="69"/>
      <c r="CT558" s="69"/>
      <c r="CU558" s="69"/>
      <c r="CV558" s="69"/>
      <c r="CW558" s="69"/>
      <c r="CX558" s="69"/>
      <c r="CY558" s="69"/>
      <c r="CZ558" s="69"/>
      <c r="DA558" s="69"/>
      <c r="DB558" s="69"/>
      <c r="DC558" s="69"/>
      <c r="DD558" s="69"/>
      <c r="DE558" s="69"/>
      <c r="DF558" s="69"/>
      <c r="DG558" s="69"/>
      <c r="DH558" s="69"/>
      <c r="DI558" s="69"/>
      <c r="DJ558" s="69"/>
      <c r="DK558" s="69"/>
      <c r="DL558" s="69"/>
    </row>
    <row r="559" spans="1:116" ht="13" x14ac:dyDescent="0.3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202"/>
      <c r="V559" s="69"/>
      <c r="W559" s="69"/>
      <c r="X559" s="69"/>
      <c r="Y559" s="69"/>
      <c r="Z559" s="69"/>
      <c r="AA559" s="69"/>
      <c r="AB559" s="203"/>
      <c r="AC559" s="69"/>
      <c r="AD559" s="69"/>
      <c r="AE559" s="203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  <c r="BW559" s="69"/>
      <c r="BX559" s="69"/>
      <c r="BY559" s="69"/>
      <c r="BZ559" s="69"/>
      <c r="CA559" s="69"/>
      <c r="CB559" s="69"/>
      <c r="CC559" s="69"/>
      <c r="CD559" s="69"/>
      <c r="CE559" s="69"/>
      <c r="CF559" s="69"/>
      <c r="CG559" s="69"/>
      <c r="CH559" s="69"/>
      <c r="CI559" s="69"/>
      <c r="CJ559" s="69"/>
      <c r="CK559" s="69"/>
      <c r="CL559" s="69"/>
      <c r="CM559" s="69"/>
      <c r="CN559" s="69"/>
      <c r="CO559" s="69"/>
      <c r="CP559" s="69"/>
      <c r="CQ559" s="69"/>
      <c r="CR559" s="69"/>
      <c r="CS559" s="69"/>
      <c r="CT559" s="69"/>
      <c r="CU559" s="69"/>
      <c r="CV559" s="69"/>
      <c r="CW559" s="69"/>
      <c r="CX559" s="69"/>
      <c r="CY559" s="69"/>
      <c r="CZ559" s="69"/>
      <c r="DA559" s="69"/>
      <c r="DB559" s="69"/>
      <c r="DC559" s="69"/>
      <c r="DD559" s="69"/>
      <c r="DE559" s="69"/>
      <c r="DF559" s="69"/>
      <c r="DG559" s="69"/>
      <c r="DH559" s="69"/>
      <c r="DI559" s="69"/>
      <c r="DJ559" s="69"/>
      <c r="DK559" s="69"/>
      <c r="DL559" s="69"/>
    </row>
    <row r="560" spans="1:116" ht="13" x14ac:dyDescent="0.3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202"/>
      <c r="V560" s="69"/>
      <c r="W560" s="69"/>
      <c r="X560" s="69"/>
      <c r="Y560" s="69"/>
      <c r="Z560" s="69"/>
      <c r="AA560" s="69"/>
      <c r="AB560" s="203"/>
      <c r="AC560" s="69"/>
      <c r="AD560" s="69"/>
      <c r="AE560" s="203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  <c r="BW560" s="69"/>
      <c r="BX560" s="69"/>
      <c r="BY560" s="69"/>
      <c r="BZ560" s="69"/>
      <c r="CA560" s="69"/>
      <c r="CB560" s="69"/>
      <c r="CC560" s="69"/>
      <c r="CD560" s="69"/>
      <c r="CE560" s="69"/>
      <c r="CF560" s="69"/>
      <c r="CG560" s="69"/>
      <c r="CH560" s="69"/>
      <c r="CI560" s="69"/>
      <c r="CJ560" s="69"/>
      <c r="CK560" s="69"/>
      <c r="CL560" s="69"/>
      <c r="CM560" s="69"/>
      <c r="CN560" s="69"/>
      <c r="CO560" s="69"/>
      <c r="CP560" s="69"/>
      <c r="CQ560" s="69"/>
      <c r="CR560" s="69"/>
      <c r="CS560" s="69"/>
      <c r="CT560" s="69"/>
      <c r="CU560" s="69"/>
      <c r="CV560" s="69"/>
      <c r="CW560" s="69"/>
      <c r="CX560" s="69"/>
      <c r="CY560" s="69"/>
      <c r="CZ560" s="69"/>
      <c r="DA560" s="69"/>
      <c r="DB560" s="69"/>
      <c r="DC560" s="69"/>
      <c r="DD560" s="69"/>
      <c r="DE560" s="69"/>
      <c r="DF560" s="69"/>
      <c r="DG560" s="69"/>
      <c r="DH560" s="69"/>
      <c r="DI560" s="69"/>
      <c r="DJ560" s="69"/>
      <c r="DK560" s="69"/>
      <c r="DL560" s="69"/>
    </row>
    <row r="561" spans="1:116" ht="13" x14ac:dyDescent="0.3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202"/>
      <c r="V561" s="69"/>
      <c r="W561" s="69"/>
      <c r="X561" s="69"/>
      <c r="Y561" s="69"/>
      <c r="Z561" s="69"/>
      <c r="AA561" s="69"/>
      <c r="AB561" s="203"/>
      <c r="AC561" s="69"/>
      <c r="AD561" s="69"/>
      <c r="AE561" s="203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  <c r="BW561" s="69"/>
      <c r="BX561" s="69"/>
      <c r="BY561" s="69"/>
      <c r="BZ561" s="69"/>
      <c r="CA561" s="69"/>
      <c r="CB561" s="69"/>
      <c r="CC561" s="69"/>
      <c r="CD561" s="69"/>
      <c r="CE561" s="69"/>
      <c r="CF561" s="69"/>
      <c r="CG561" s="69"/>
      <c r="CH561" s="69"/>
      <c r="CI561" s="69"/>
      <c r="CJ561" s="69"/>
      <c r="CK561" s="69"/>
      <c r="CL561" s="69"/>
      <c r="CM561" s="69"/>
      <c r="CN561" s="69"/>
      <c r="CO561" s="69"/>
      <c r="CP561" s="69"/>
      <c r="CQ561" s="69"/>
      <c r="CR561" s="69"/>
      <c r="CS561" s="69"/>
      <c r="CT561" s="69"/>
      <c r="CU561" s="69"/>
      <c r="CV561" s="69"/>
      <c r="CW561" s="69"/>
      <c r="CX561" s="69"/>
      <c r="CY561" s="69"/>
      <c r="CZ561" s="69"/>
      <c r="DA561" s="69"/>
      <c r="DB561" s="69"/>
      <c r="DC561" s="69"/>
      <c r="DD561" s="69"/>
      <c r="DE561" s="69"/>
      <c r="DF561" s="69"/>
      <c r="DG561" s="69"/>
      <c r="DH561" s="69"/>
      <c r="DI561" s="69"/>
      <c r="DJ561" s="69"/>
      <c r="DK561" s="69"/>
      <c r="DL561" s="69"/>
    </row>
    <row r="562" spans="1:116" ht="13" x14ac:dyDescent="0.3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202"/>
      <c r="V562" s="69"/>
      <c r="W562" s="69"/>
      <c r="X562" s="69"/>
      <c r="Y562" s="69"/>
      <c r="Z562" s="69"/>
      <c r="AA562" s="69"/>
      <c r="AB562" s="203"/>
      <c r="AC562" s="69"/>
      <c r="AD562" s="69"/>
      <c r="AE562" s="203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  <c r="BW562" s="69"/>
      <c r="BX562" s="69"/>
      <c r="BY562" s="69"/>
      <c r="BZ562" s="69"/>
      <c r="CA562" s="69"/>
      <c r="CB562" s="69"/>
      <c r="CC562" s="69"/>
      <c r="CD562" s="69"/>
      <c r="CE562" s="69"/>
      <c r="CF562" s="69"/>
      <c r="CG562" s="69"/>
      <c r="CH562" s="69"/>
      <c r="CI562" s="69"/>
      <c r="CJ562" s="69"/>
      <c r="CK562" s="69"/>
      <c r="CL562" s="69"/>
      <c r="CM562" s="69"/>
      <c r="CN562" s="69"/>
      <c r="CO562" s="69"/>
      <c r="CP562" s="69"/>
      <c r="CQ562" s="69"/>
      <c r="CR562" s="69"/>
      <c r="CS562" s="69"/>
      <c r="CT562" s="69"/>
      <c r="CU562" s="69"/>
      <c r="CV562" s="69"/>
      <c r="CW562" s="69"/>
      <c r="CX562" s="69"/>
      <c r="CY562" s="69"/>
      <c r="CZ562" s="69"/>
      <c r="DA562" s="69"/>
      <c r="DB562" s="69"/>
      <c r="DC562" s="69"/>
      <c r="DD562" s="69"/>
      <c r="DE562" s="69"/>
      <c r="DF562" s="69"/>
      <c r="DG562" s="69"/>
      <c r="DH562" s="69"/>
      <c r="DI562" s="69"/>
      <c r="DJ562" s="69"/>
      <c r="DK562" s="69"/>
      <c r="DL562" s="69"/>
    </row>
    <row r="563" spans="1:116" ht="13" x14ac:dyDescent="0.3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202"/>
      <c r="V563" s="69"/>
      <c r="W563" s="69"/>
      <c r="X563" s="69"/>
      <c r="Y563" s="69"/>
      <c r="Z563" s="69"/>
      <c r="AA563" s="69"/>
      <c r="AB563" s="203"/>
      <c r="AC563" s="69"/>
      <c r="AD563" s="69"/>
      <c r="AE563" s="203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  <c r="BW563" s="69"/>
      <c r="BX563" s="69"/>
      <c r="BY563" s="69"/>
      <c r="BZ563" s="69"/>
      <c r="CA563" s="69"/>
      <c r="CB563" s="69"/>
      <c r="CC563" s="69"/>
      <c r="CD563" s="69"/>
      <c r="CE563" s="69"/>
      <c r="CF563" s="69"/>
      <c r="CG563" s="69"/>
      <c r="CH563" s="69"/>
      <c r="CI563" s="69"/>
      <c r="CJ563" s="69"/>
      <c r="CK563" s="69"/>
      <c r="CL563" s="69"/>
      <c r="CM563" s="69"/>
      <c r="CN563" s="69"/>
      <c r="CO563" s="69"/>
      <c r="CP563" s="69"/>
      <c r="CQ563" s="69"/>
      <c r="CR563" s="69"/>
      <c r="CS563" s="69"/>
      <c r="CT563" s="69"/>
      <c r="CU563" s="69"/>
      <c r="CV563" s="69"/>
      <c r="CW563" s="69"/>
      <c r="CX563" s="69"/>
      <c r="CY563" s="69"/>
      <c r="CZ563" s="69"/>
      <c r="DA563" s="69"/>
      <c r="DB563" s="69"/>
      <c r="DC563" s="69"/>
      <c r="DD563" s="69"/>
      <c r="DE563" s="69"/>
      <c r="DF563" s="69"/>
      <c r="DG563" s="69"/>
      <c r="DH563" s="69"/>
      <c r="DI563" s="69"/>
      <c r="DJ563" s="69"/>
      <c r="DK563" s="69"/>
      <c r="DL563" s="69"/>
    </row>
    <row r="564" spans="1:116" ht="13" x14ac:dyDescent="0.3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202"/>
      <c r="V564" s="69"/>
      <c r="W564" s="69"/>
      <c r="X564" s="69"/>
      <c r="Y564" s="69"/>
      <c r="Z564" s="69"/>
      <c r="AA564" s="69"/>
      <c r="AB564" s="203"/>
      <c r="AC564" s="69"/>
      <c r="AD564" s="69"/>
      <c r="AE564" s="203"/>
      <c r="AF564" s="69"/>
      <c r="AG564" s="69"/>
      <c r="AH564" s="69"/>
      <c r="AI564" s="69"/>
      <c r="AJ564" s="69"/>
      <c r="AK564" s="69"/>
      <c r="AL564" s="69"/>
      <c r="AM564" s="69"/>
      <c r="AN564" s="69"/>
      <c r="AO564" s="69"/>
      <c r="AP564" s="69"/>
      <c r="AQ564" s="69"/>
      <c r="AR564" s="69"/>
      <c r="AS564" s="69"/>
      <c r="AT564" s="69"/>
      <c r="AU564" s="69"/>
      <c r="AV564" s="69"/>
      <c r="AW564" s="69"/>
      <c r="AX564" s="69"/>
      <c r="AY564" s="69"/>
      <c r="AZ564" s="69"/>
      <c r="BA564" s="69"/>
      <c r="BB564" s="69"/>
      <c r="BC564" s="69"/>
      <c r="BD564" s="69"/>
      <c r="BE564" s="69"/>
      <c r="BF564" s="69"/>
      <c r="BG564" s="69"/>
      <c r="BH564" s="69"/>
      <c r="BI564" s="69"/>
      <c r="BJ564" s="69"/>
      <c r="BK564" s="69"/>
      <c r="BL564" s="69"/>
      <c r="BM564" s="69"/>
      <c r="BN564" s="69"/>
      <c r="BO564" s="69"/>
      <c r="BP564" s="69"/>
      <c r="BQ564" s="69"/>
      <c r="BR564" s="69"/>
      <c r="BS564" s="69"/>
      <c r="BT564" s="69"/>
      <c r="BU564" s="69"/>
      <c r="BV564" s="69"/>
      <c r="BW564" s="69"/>
      <c r="BX564" s="69"/>
      <c r="BY564" s="69"/>
      <c r="BZ564" s="69"/>
      <c r="CA564" s="69"/>
      <c r="CB564" s="69"/>
      <c r="CC564" s="69"/>
      <c r="CD564" s="69"/>
      <c r="CE564" s="69"/>
      <c r="CF564" s="69"/>
      <c r="CG564" s="69"/>
      <c r="CH564" s="69"/>
      <c r="CI564" s="69"/>
      <c r="CJ564" s="69"/>
      <c r="CK564" s="69"/>
      <c r="CL564" s="69"/>
      <c r="CM564" s="69"/>
      <c r="CN564" s="69"/>
      <c r="CO564" s="69"/>
      <c r="CP564" s="69"/>
      <c r="CQ564" s="69"/>
      <c r="CR564" s="69"/>
      <c r="CS564" s="69"/>
      <c r="CT564" s="69"/>
      <c r="CU564" s="69"/>
      <c r="CV564" s="69"/>
      <c r="CW564" s="69"/>
      <c r="CX564" s="69"/>
      <c r="CY564" s="69"/>
      <c r="CZ564" s="69"/>
      <c r="DA564" s="69"/>
      <c r="DB564" s="69"/>
      <c r="DC564" s="69"/>
      <c r="DD564" s="69"/>
      <c r="DE564" s="69"/>
      <c r="DF564" s="69"/>
      <c r="DG564" s="69"/>
      <c r="DH564" s="69"/>
      <c r="DI564" s="69"/>
      <c r="DJ564" s="69"/>
      <c r="DK564" s="69"/>
      <c r="DL564" s="69"/>
    </row>
    <row r="565" spans="1:116" ht="13" x14ac:dyDescent="0.3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202"/>
      <c r="V565" s="69"/>
      <c r="W565" s="69"/>
      <c r="X565" s="69"/>
      <c r="Y565" s="69"/>
      <c r="Z565" s="69"/>
      <c r="AA565" s="69"/>
      <c r="AB565" s="203"/>
      <c r="AC565" s="69"/>
      <c r="AD565" s="69"/>
      <c r="AE565" s="203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69"/>
      <c r="AR565" s="69"/>
      <c r="AS565" s="69"/>
      <c r="AT565" s="69"/>
      <c r="AU565" s="69"/>
      <c r="AV565" s="69"/>
      <c r="AW565" s="69"/>
      <c r="AX565" s="69"/>
      <c r="AY565" s="69"/>
      <c r="AZ565" s="69"/>
      <c r="BA565" s="69"/>
      <c r="BB565" s="69"/>
      <c r="BC565" s="69"/>
      <c r="BD565" s="69"/>
      <c r="BE565" s="69"/>
      <c r="BF565" s="69"/>
      <c r="BG565" s="69"/>
      <c r="BH565" s="69"/>
      <c r="BI565" s="69"/>
      <c r="BJ565" s="69"/>
      <c r="BK565" s="69"/>
      <c r="BL565" s="69"/>
      <c r="BM565" s="69"/>
      <c r="BN565" s="69"/>
      <c r="BO565" s="69"/>
      <c r="BP565" s="69"/>
      <c r="BQ565" s="69"/>
      <c r="BR565" s="69"/>
      <c r="BS565" s="69"/>
      <c r="BT565" s="69"/>
      <c r="BU565" s="69"/>
      <c r="BV565" s="69"/>
      <c r="BW565" s="69"/>
      <c r="BX565" s="69"/>
      <c r="BY565" s="69"/>
      <c r="BZ565" s="69"/>
      <c r="CA565" s="69"/>
      <c r="CB565" s="69"/>
      <c r="CC565" s="69"/>
      <c r="CD565" s="69"/>
      <c r="CE565" s="69"/>
      <c r="CF565" s="69"/>
      <c r="CG565" s="69"/>
      <c r="CH565" s="69"/>
      <c r="CI565" s="69"/>
      <c r="CJ565" s="69"/>
      <c r="CK565" s="69"/>
      <c r="CL565" s="69"/>
      <c r="CM565" s="69"/>
      <c r="CN565" s="69"/>
      <c r="CO565" s="69"/>
      <c r="CP565" s="69"/>
      <c r="CQ565" s="69"/>
      <c r="CR565" s="69"/>
      <c r="CS565" s="69"/>
      <c r="CT565" s="69"/>
      <c r="CU565" s="69"/>
      <c r="CV565" s="69"/>
      <c r="CW565" s="69"/>
      <c r="CX565" s="69"/>
      <c r="CY565" s="69"/>
      <c r="CZ565" s="69"/>
      <c r="DA565" s="69"/>
      <c r="DB565" s="69"/>
      <c r="DC565" s="69"/>
      <c r="DD565" s="69"/>
      <c r="DE565" s="69"/>
      <c r="DF565" s="69"/>
      <c r="DG565" s="69"/>
      <c r="DH565" s="69"/>
      <c r="DI565" s="69"/>
      <c r="DJ565" s="69"/>
      <c r="DK565" s="69"/>
      <c r="DL565" s="69"/>
    </row>
    <row r="566" spans="1:116" ht="13" x14ac:dyDescent="0.3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202"/>
      <c r="V566" s="69"/>
      <c r="W566" s="69"/>
      <c r="X566" s="69"/>
      <c r="Y566" s="69"/>
      <c r="Z566" s="69"/>
      <c r="AA566" s="69"/>
      <c r="AB566" s="203"/>
      <c r="AC566" s="69"/>
      <c r="AD566" s="69"/>
      <c r="AE566" s="203"/>
      <c r="AF566" s="69"/>
      <c r="AG566" s="69"/>
      <c r="AH566" s="69"/>
      <c r="AI566" s="69"/>
      <c r="AJ566" s="69"/>
      <c r="AK566" s="69"/>
      <c r="AL566" s="69"/>
      <c r="AM566" s="69"/>
      <c r="AN566" s="69"/>
      <c r="AO566" s="69"/>
      <c r="AP566" s="69"/>
      <c r="AQ566" s="69"/>
      <c r="AR566" s="69"/>
      <c r="AS566" s="69"/>
      <c r="AT566" s="69"/>
      <c r="AU566" s="69"/>
      <c r="AV566" s="69"/>
      <c r="AW566" s="69"/>
      <c r="AX566" s="69"/>
      <c r="AY566" s="69"/>
      <c r="AZ566" s="69"/>
      <c r="BA566" s="69"/>
      <c r="BB566" s="69"/>
      <c r="BC566" s="69"/>
      <c r="BD566" s="69"/>
      <c r="BE566" s="69"/>
      <c r="BF566" s="69"/>
      <c r="BG566" s="69"/>
      <c r="BH566" s="69"/>
      <c r="BI566" s="69"/>
      <c r="BJ566" s="69"/>
      <c r="BK566" s="69"/>
      <c r="BL566" s="69"/>
      <c r="BM566" s="69"/>
      <c r="BN566" s="69"/>
      <c r="BO566" s="69"/>
      <c r="BP566" s="69"/>
      <c r="BQ566" s="69"/>
      <c r="BR566" s="69"/>
      <c r="BS566" s="69"/>
      <c r="BT566" s="69"/>
      <c r="BU566" s="69"/>
      <c r="BV566" s="69"/>
      <c r="BW566" s="69"/>
      <c r="BX566" s="69"/>
      <c r="BY566" s="69"/>
      <c r="BZ566" s="69"/>
      <c r="CA566" s="69"/>
      <c r="CB566" s="69"/>
      <c r="CC566" s="69"/>
      <c r="CD566" s="69"/>
      <c r="CE566" s="69"/>
      <c r="CF566" s="69"/>
      <c r="CG566" s="69"/>
      <c r="CH566" s="69"/>
      <c r="CI566" s="69"/>
      <c r="CJ566" s="69"/>
      <c r="CK566" s="69"/>
      <c r="CL566" s="69"/>
      <c r="CM566" s="69"/>
      <c r="CN566" s="69"/>
      <c r="CO566" s="69"/>
      <c r="CP566" s="69"/>
      <c r="CQ566" s="69"/>
      <c r="CR566" s="69"/>
      <c r="CS566" s="69"/>
      <c r="CT566" s="69"/>
      <c r="CU566" s="69"/>
      <c r="CV566" s="69"/>
      <c r="CW566" s="69"/>
      <c r="CX566" s="69"/>
      <c r="CY566" s="69"/>
      <c r="CZ566" s="69"/>
      <c r="DA566" s="69"/>
      <c r="DB566" s="69"/>
      <c r="DC566" s="69"/>
      <c r="DD566" s="69"/>
      <c r="DE566" s="69"/>
      <c r="DF566" s="69"/>
      <c r="DG566" s="69"/>
      <c r="DH566" s="69"/>
      <c r="DI566" s="69"/>
      <c r="DJ566" s="69"/>
      <c r="DK566" s="69"/>
      <c r="DL566" s="69"/>
    </row>
    <row r="567" spans="1:116" ht="13" x14ac:dyDescent="0.3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202"/>
      <c r="V567" s="69"/>
      <c r="W567" s="69"/>
      <c r="X567" s="69"/>
      <c r="Y567" s="69"/>
      <c r="Z567" s="69"/>
      <c r="AA567" s="69"/>
      <c r="AB567" s="203"/>
      <c r="AC567" s="69"/>
      <c r="AD567" s="69"/>
      <c r="AE567" s="203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69"/>
      <c r="AR567" s="69"/>
      <c r="AS567" s="69"/>
      <c r="AT567" s="69"/>
      <c r="AU567" s="69"/>
      <c r="AV567" s="69"/>
      <c r="AW567" s="69"/>
      <c r="AX567" s="69"/>
      <c r="AY567" s="69"/>
      <c r="AZ567" s="69"/>
      <c r="BA567" s="69"/>
      <c r="BB567" s="69"/>
      <c r="BC567" s="69"/>
      <c r="BD567" s="69"/>
      <c r="BE567" s="69"/>
      <c r="BF567" s="69"/>
      <c r="BG567" s="69"/>
      <c r="BH567" s="69"/>
      <c r="BI567" s="69"/>
      <c r="BJ567" s="69"/>
      <c r="BK567" s="69"/>
      <c r="BL567" s="69"/>
      <c r="BM567" s="69"/>
      <c r="BN567" s="69"/>
      <c r="BO567" s="69"/>
      <c r="BP567" s="69"/>
      <c r="BQ567" s="69"/>
      <c r="BR567" s="69"/>
      <c r="BS567" s="69"/>
      <c r="BT567" s="69"/>
      <c r="BU567" s="69"/>
      <c r="BV567" s="69"/>
      <c r="BW567" s="69"/>
      <c r="BX567" s="69"/>
      <c r="BY567" s="69"/>
      <c r="BZ567" s="69"/>
      <c r="CA567" s="69"/>
      <c r="CB567" s="69"/>
      <c r="CC567" s="69"/>
      <c r="CD567" s="69"/>
      <c r="CE567" s="69"/>
      <c r="CF567" s="69"/>
      <c r="CG567" s="69"/>
      <c r="CH567" s="69"/>
      <c r="CI567" s="69"/>
      <c r="CJ567" s="69"/>
      <c r="CK567" s="69"/>
      <c r="CL567" s="69"/>
      <c r="CM567" s="69"/>
      <c r="CN567" s="69"/>
      <c r="CO567" s="69"/>
      <c r="CP567" s="69"/>
      <c r="CQ567" s="69"/>
      <c r="CR567" s="69"/>
      <c r="CS567" s="69"/>
      <c r="CT567" s="69"/>
      <c r="CU567" s="69"/>
      <c r="CV567" s="69"/>
      <c r="CW567" s="69"/>
      <c r="CX567" s="69"/>
      <c r="CY567" s="69"/>
      <c r="CZ567" s="69"/>
      <c r="DA567" s="69"/>
      <c r="DB567" s="69"/>
      <c r="DC567" s="69"/>
      <c r="DD567" s="69"/>
      <c r="DE567" s="69"/>
      <c r="DF567" s="69"/>
      <c r="DG567" s="69"/>
      <c r="DH567" s="69"/>
      <c r="DI567" s="69"/>
      <c r="DJ567" s="69"/>
      <c r="DK567" s="69"/>
      <c r="DL567" s="69"/>
    </row>
    <row r="568" spans="1:116" ht="13" x14ac:dyDescent="0.3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202"/>
      <c r="V568" s="69"/>
      <c r="W568" s="69"/>
      <c r="X568" s="69"/>
      <c r="Y568" s="69"/>
      <c r="Z568" s="69"/>
      <c r="AA568" s="69"/>
      <c r="AB568" s="203"/>
      <c r="AC568" s="69"/>
      <c r="AD568" s="69"/>
      <c r="AE568" s="203"/>
      <c r="AF568" s="69"/>
      <c r="AG568" s="69"/>
      <c r="AH568" s="69"/>
      <c r="AI568" s="69"/>
      <c r="AJ568" s="69"/>
      <c r="AK568" s="69"/>
      <c r="AL568" s="69"/>
      <c r="AM568" s="69"/>
      <c r="AN568" s="69"/>
      <c r="AO568" s="69"/>
      <c r="AP568" s="69"/>
      <c r="AQ568" s="69"/>
      <c r="AR568" s="69"/>
      <c r="AS568" s="69"/>
      <c r="AT568" s="69"/>
      <c r="AU568" s="69"/>
      <c r="AV568" s="69"/>
      <c r="AW568" s="69"/>
      <c r="AX568" s="69"/>
      <c r="AY568" s="69"/>
      <c r="AZ568" s="69"/>
      <c r="BA568" s="69"/>
      <c r="BB568" s="69"/>
      <c r="BC568" s="69"/>
      <c r="BD568" s="69"/>
      <c r="BE568" s="69"/>
      <c r="BF568" s="69"/>
      <c r="BG568" s="69"/>
      <c r="BH568" s="69"/>
      <c r="BI568" s="69"/>
      <c r="BJ568" s="69"/>
      <c r="BK568" s="69"/>
      <c r="BL568" s="69"/>
      <c r="BM568" s="69"/>
      <c r="BN568" s="69"/>
      <c r="BO568" s="69"/>
      <c r="BP568" s="69"/>
      <c r="BQ568" s="69"/>
      <c r="BR568" s="69"/>
      <c r="BS568" s="69"/>
      <c r="BT568" s="69"/>
      <c r="BU568" s="69"/>
      <c r="BV568" s="69"/>
      <c r="BW568" s="69"/>
      <c r="BX568" s="69"/>
      <c r="BY568" s="69"/>
      <c r="BZ568" s="69"/>
      <c r="CA568" s="69"/>
      <c r="CB568" s="69"/>
      <c r="CC568" s="69"/>
      <c r="CD568" s="69"/>
      <c r="CE568" s="69"/>
      <c r="CF568" s="69"/>
      <c r="CG568" s="69"/>
      <c r="CH568" s="69"/>
      <c r="CI568" s="69"/>
      <c r="CJ568" s="69"/>
      <c r="CK568" s="69"/>
      <c r="CL568" s="69"/>
      <c r="CM568" s="69"/>
      <c r="CN568" s="69"/>
      <c r="CO568" s="69"/>
      <c r="CP568" s="69"/>
      <c r="CQ568" s="69"/>
      <c r="CR568" s="69"/>
      <c r="CS568" s="69"/>
      <c r="CT568" s="69"/>
      <c r="CU568" s="69"/>
      <c r="CV568" s="69"/>
      <c r="CW568" s="69"/>
      <c r="CX568" s="69"/>
      <c r="CY568" s="69"/>
      <c r="CZ568" s="69"/>
      <c r="DA568" s="69"/>
      <c r="DB568" s="69"/>
      <c r="DC568" s="69"/>
      <c r="DD568" s="69"/>
      <c r="DE568" s="69"/>
      <c r="DF568" s="69"/>
      <c r="DG568" s="69"/>
      <c r="DH568" s="69"/>
      <c r="DI568" s="69"/>
      <c r="DJ568" s="69"/>
      <c r="DK568" s="69"/>
      <c r="DL568" s="69"/>
    </row>
    <row r="569" spans="1:116" ht="13" x14ac:dyDescent="0.3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202"/>
      <c r="V569" s="69"/>
      <c r="W569" s="69"/>
      <c r="X569" s="69"/>
      <c r="Y569" s="69"/>
      <c r="Z569" s="69"/>
      <c r="AA569" s="69"/>
      <c r="AB569" s="203"/>
      <c r="AC569" s="69"/>
      <c r="AD569" s="69"/>
      <c r="AE569" s="203"/>
      <c r="AF569" s="69"/>
      <c r="AG569" s="69"/>
      <c r="AH569" s="69"/>
      <c r="AI569" s="69"/>
      <c r="AJ569" s="69"/>
      <c r="AK569" s="69"/>
      <c r="AL569" s="69"/>
      <c r="AM569" s="69"/>
      <c r="AN569" s="69"/>
      <c r="AO569" s="69"/>
      <c r="AP569" s="69"/>
      <c r="AQ569" s="69"/>
      <c r="AR569" s="69"/>
      <c r="AS569" s="69"/>
      <c r="AT569" s="69"/>
      <c r="AU569" s="69"/>
      <c r="AV569" s="69"/>
      <c r="AW569" s="69"/>
      <c r="AX569" s="69"/>
      <c r="AY569" s="69"/>
      <c r="AZ569" s="69"/>
      <c r="BA569" s="69"/>
      <c r="BB569" s="69"/>
      <c r="BC569" s="69"/>
      <c r="BD569" s="69"/>
      <c r="BE569" s="69"/>
      <c r="BF569" s="69"/>
      <c r="BG569" s="69"/>
      <c r="BH569" s="69"/>
      <c r="BI569" s="69"/>
      <c r="BJ569" s="69"/>
      <c r="BK569" s="69"/>
      <c r="BL569" s="69"/>
      <c r="BM569" s="69"/>
      <c r="BN569" s="69"/>
      <c r="BO569" s="69"/>
      <c r="BP569" s="69"/>
      <c r="BQ569" s="69"/>
      <c r="BR569" s="69"/>
      <c r="BS569" s="69"/>
      <c r="BT569" s="69"/>
      <c r="BU569" s="69"/>
      <c r="BV569" s="69"/>
      <c r="BW569" s="69"/>
      <c r="BX569" s="69"/>
      <c r="BY569" s="69"/>
      <c r="BZ569" s="69"/>
      <c r="CA569" s="69"/>
      <c r="CB569" s="69"/>
      <c r="CC569" s="69"/>
      <c r="CD569" s="69"/>
      <c r="CE569" s="69"/>
      <c r="CF569" s="69"/>
      <c r="CG569" s="69"/>
      <c r="CH569" s="69"/>
      <c r="CI569" s="69"/>
      <c r="CJ569" s="69"/>
      <c r="CK569" s="69"/>
      <c r="CL569" s="69"/>
      <c r="CM569" s="69"/>
      <c r="CN569" s="69"/>
      <c r="CO569" s="69"/>
      <c r="CP569" s="69"/>
      <c r="CQ569" s="69"/>
      <c r="CR569" s="69"/>
      <c r="CS569" s="69"/>
      <c r="CT569" s="69"/>
      <c r="CU569" s="69"/>
      <c r="CV569" s="69"/>
      <c r="CW569" s="69"/>
      <c r="CX569" s="69"/>
      <c r="CY569" s="69"/>
      <c r="CZ569" s="69"/>
      <c r="DA569" s="69"/>
      <c r="DB569" s="69"/>
      <c r="DC569" s="69"/>
      <c r="DD569" s="69"/>
      <c r="DE569" s="69"/>
      <c r="DF569" s="69"/>
      <c r="DG569" s="69"/>
      <c r="DH569" s="69"/>
      <c r="DI569" s="69"/>
      <c r="DJ569" s="69"/>
      <c r="DK569" s="69"/>
      <c r="DL569" s="69"/>
    </row>
    <row r="570" spans="1:116" ht="13" x14ac:dyDescent="0.3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202"/>
      <c r="V570" s="69"/>
      <c r="W570" s="69"/>
      <c r="X570" s="69"/>
      <c r="Y570" s="69"/>
      <c r="Z570" s="69"/>
      <c r="AA570" s="69"/>
      <c r="AB570" s="203"/>
      <c r="AC570" s="69"/>
      <c r="AD570" s="69"/>
      <c r="AE570" s="203"/>
      <c r="AF570" s="69"/>
      <c r="AG570" s="69"/>
      <c r="AH570" s="69"/>
      <c r="AI570" s="69"/>
      <c r="AJ570" s="69"/>
      <c r="AK570" s="69"/>
      <c r="AL570" s="69"/>
      <c r="AM570" s="69"/>
      <c r="AN570" s="69"/>
      <c r="AO570" s="69"/>
      <c r="AP570" s="69"/>
      <c r="AQ570" s="69"/>
      <c r="AR570" s="69"/>
      <c r="AS570" s="69"/>
      <c r="AT570" s="69"/>
      <c r="AU570" s="69"/>
      <c r="AV570" s="69"/>
      <c r="AW570" s="69"/>
      <c r="AX570" s="69"/>
      <c r="AY570" s="69"/>
      <c r="AZ570" s="69"/>
      <c r="BA570" s="69"/>
      <c r="BB570" s="69"/>
      <c r="BC570" s="69"/>
      <c r="BD570" s="69"/>
      <c r="BE570" s="69"/>
      <c r="BF570" s="69"/>
      <c r="BG570" s="69"/>
      <c r="BH570" s="69"/>
      <c r="BI570" s="69"/>
      <c r="BJ570" s="69"/>
      <c r="BK570" s="69"/>
      <c r="BL570" s="69"/>
      <c r="BM570" s="69"/>
      <c r="BN570" s="69"/>
      <c r="BO570" s="69"/>
      <c r="BP570" s="69"/>
      <c r="BQ570" s="69"/>
      <c r="BR570" s="69"/>
      <c r="BS570" s="69"/>
      <c r="BT570" s="69"/>
      <c r="BU570" s="69"/>
      <c r="BV570" s="69"/>
      <c r="BW570" s="69"/>
      <c r="BX570" s="69"/>
      <c r="BY570" s="69"/>
      <c r="BZ570" s="69"/>
      <c r="CA570" s="69"/>
      <c r="CB570" s="69"/>
      <c r="CC570" s="69"/>
      <c r="CD570" s="69"/>
      <c r="CE570" s="69"/>
      <c r="CF570" s="69"/>
      <c r="CG570" s="69"/>
      <c r="CH570" s="69"/>
      <c r="CI570" s="69"/>
      <c r="CJ570" s="69"/>
      <c r="CK570" s="69"/>
      <c r="CL570" s="69"/>
      <c r="CM570" s="69"/>
      <c r="CN570" s="69"/>
      <c r="CO570" s="69"/>
      <c r="CP570" s="69"/>
      <c r="CQ570" s="69"/>
      <c r="CR570" s="69"/>
      <c r="CS570" s="69"/>
      <c r="CT570" s="69"/>
      <c r="CU570" s="69"/>
      <c r="CV570" s="69"/>
      <c r="CW570" s="69"/>
      <c r="CX570" s="69"/>
      <c r="CY570" s="69"/>
      <c r="CZ570" s="69"/>
      <c r="DA570" s="69"/>
      <c r="DB570" s="69"/>
      <c r="DC570" s="69"/>
      <c r="DD570" s="69"/>
      <c r="DE570" s="69"/>
      <c r="DF570" s="69"/>
      <c r="DG570" s="69"/>
      <c r="DH570" s="69"/>
      <c r="DI570" s="69"/>
      <c r="DJ570" s="69"/>
      <c r="DK570" s="69"/>
      <c r="DL570" s="69"/>
    </row>
    <row r="571" spans="1:116" ht="13" x14ac:dyDescent="0.3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202"/>
      <c r="V571" s="69"/>
      <c r="W571" s="69"/>
      <c r="X571" s="69"/>
      <c r="Y571" s="69"/>
      <c r="Z571" s="69"/>
      <c r="AA571" s="69"/>
      <c r="AB571" s="203"/>
      <c r="AC571" s="69"/>
      <c r="AD571" s="69"/>
      <c r="AE571" s="203"/>
      <c r="AF571" s="69"/>
      <c r="AG571" s="69"/>
      <c r="AH571" s="69"/>
      <c r="AI571" s="69"/>
      <c r="AJ571" s="69"/>
      <c r="AK571" s="69"/>
      <c r="AL571" s="69"/>
      <c r="AM571" s="69"/>
      <c r="AN571" s="69"/>
      <c r="AO571" s="69"/>
      <c r="AP571" s="69"/>
      <c r="AQ571" s="69"/>
      <c r="AR571" s="69"/>
      <c r="AS571" s="69"/>
      <c r="AT571" s="69"/>
      <c r="AU571" s="69"/>
      <c r="AV571" s="69"/>
      <c r="AW571" s="69"/>
      <c r="AX571" s="69"/>
      <c r="AY571" s="69"/>
      <c r="AZ571" s="69"/>
      <c r="BA571" s="69"/>
      <c r="BB571" s="69"/>
      <c r="BC571" s="69"/>
      <c r="BD571" s="69"/>
      <c r="BE571" s="69"/>
      <c r="BF571" s="69"/>
      <c r="BG571" s="69"/>
      <c r="BH571" s="69"/>
      <c r="BI571" s="69"/>
      <c r="BJ571" s="69"/>
      <c r="BK571" s="69"/>
      <c r="BL571" s="69"/>
      <c r="BM571" s="69"/>
      <c r="BN571" s="69"/>
      <c r="BO571" s="69"/>
      <c r="BP571" s="69"/>
      <c r="BQ571" s="69"/>
      <c r="BR571" s="69"/>
      <c r="BS571" s="69"/>
      <c r="BT571" s="69"/>
      <c r="BU571" s="69"/>
      <c r="BV571" s="69"/>
      <c r="BW571" s="69"/>
      <c r="BX571" s="69"/>
      <c r="BY571" s="69"/>
      <c r="BZ571" s="69"/>
      <c r="CA571" s="69"/>
      <c r="CB571" s="69"/>
      <c r="CC571" s="69"/>
      <c r="CD571" s="69"/>
      <c r="CE571" s="69"/>
      <c r="CF571" s="69"/>
      <c r="CG571" s="69"/>
      <c r="CH571" s="69"/>
      <c r="CI571" s="69"/>
      <c r="CJ571" s="69"/>
      <c r="CK571" s="69"/>
      <c r="CL571" s="69"/>
      <c r="CM571" s="69"/>
      <c r="CN571" s="69"/>
      <c r="CO571" s="69"/>
      <c r="CP571" s="69"/>
      <c r="CQ571" s="69"/>
      <c r="CR571" s="69"/>
      <c r="CS571" s="69"/>
      <c r="CT571" s="69"/>
      <c r="CU571" s="69"/>
      <c r="CV571" s="69"/>
      <c r="CW571" s="69"/>
      <c r="CX571" s="69"/>
      <c r="CY571" s="69"/>
      <c r="CZ571" s="69"/>
      <c r="DA571" s="69"/>
      <c r="DB571" s="69"/>
      <c r="DC571" s="69"/>
      <c r="DD571" s="69"/>
      <c r="DE571" s="69"/>
      <c r="DF571" s="69"/>
      <c r="DG571" s="69"/>
      <c r="DH571" s="69"/>
      <c r="DI571" s="69"/>
      <c r="DJ571" s="69"/>
      <c r="DK571" s="69"/>
      <c r="DL571" s="69"/>
    </row>
    <row r="572" spans="1:116" ht="13" x14ac:dyDescent="0.3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202"/>
      <c r="V572" s="69"/>
      <c r="W572" s="69"/>
      <c r="X572" s="69"/>
      <c r="Y572" s="69"/>
      <c r="Z572" s="69"/>
      <c r="AA572" s="69"/>
      <c r="AB572" s="203"/>
      <c r="AC572" s="69"/>
      <c r="AD572" s="69"/>
      <c r="AE572" s="203"/>
      <c r="AF572" s="69"/>
      <c r="AG572" s="69"/>
      <c r="AH572" s="69"/>
      <c r="AI572" s="69"/>
      <c r="AJ572" s="69"/>
      <c r="AK572" s="69"/>
      <c r="AL572" s="69"/>
      <c r="AM572" s="69"/>
      <c r="AN572" s="69"/>
      <c r="AO572" s="69"/>
      <c r="AP572" s="69"/>
      <c r="AQ572" s="69"/>
      <c r="AR572" s="69"/>
      <c r="AS572" s="69"/>
      <c r="AT572" s="69"/>
      <c r="AU572" s="69"/>
      <c r="AV572" s="69"/>
      <c r="AW572" s="69"/>
      <c r="AX572" s="69"/>
      <c r="AY572" s="69"/>
      <c r="AZ572" s="69"/>
      <c r="BA572" s="69"/>
      <c r="BB572" s="69"/>
      <c r="BC572" s="69"/>
      <c r="BD572" s="69"/>
      <c r="BE572" s="69"/>
      <c r="BF572" s="69"/>
      <c r="BG572" s="69"/>
      <c r="BH572" s="69"/>
      <c r="BI572" s="69"/>
      <c r="BJ572" s="69"/>
      <c r="BK572" s="69"/>
      <c r="BL572" s="69"/>
      <c r="BM572" s="69"/>
      <c r="BN572" s="69"/>
      <c r="BO572" s="69"/>
      <c r="BP572" s="69"/>
      <c r="BQ572" s="69"/>
      <c r="BR572" s="69"/>
      <c r="BS572" s="69"/>
      <c r="BT572" s="69"/>
      <c r="BU572" s="69"/>
      <c r="BV572" s="69"/>
      <c r="BW572" s="69"/>
      <c r="BX572" s="69"/>
      <c r="BY572" s="69"/>
      <c r="BZ572" s="69"/>
      <c r="CA572" s="69"/>
      <c r="CB572" s="69"/>
      <c r="CC572" s="69"/>
      <c r="CD572" s="69"/>
      <c r="CE572" s="69"/>
      <c r="CF572" s="69"/>
      <c r="CG572" s="69"/>
      <c r="CH572" s="69"/>
      <c r="CI572" s="69"/>
      <c r="CJ572" s="69"/>
      <c r="CK572" s="69"/>
      <c r="CL572" s="69"/>
      <c r="CM572" s="69"/>
      <c r="CN572" s="69"/>
      <c r="CO572" s="69"/>
      <c r="CP572" s="69"/>
      <c r="CQ572" s="69"/>
      <c r="CR572" s="69"/>
      <c r="CS572" s="69"/>
      <c r="CT572" s="69"/>
      <c r="CU572" s="69"/>
      <c r="CV572" s="69"/>
      <c r="CW572" s="69"/>
      <c r="CX572" s="69"/>
      <c r="CY572" s="69"/>
      <c r="CZ572" s="69"/>
      <c r="DA572" s="69"/>
      <c r="DB572" s="69"/>
      <c r="DC572" s="69"/>
      <c r="DD572" s="69"/>
      <c r="DE572" s="69"/>
      <c r="DF572" s="69"/>
      <c r="DG572" s="69"/>
      <c r="DH572" s="69"/>
      <c r="DI572" s="69"/>
      <c r="DJ572" s="69"/>
      <c r="DK572" s="69"/>
      <c r="DL572" s="69"/>
    </row>
    <row r="573" spans="1:116" ht="13" x14ac:dyDescent="0.3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202"/>
      <c r="V573" s="69"/>
      <c r="W573" s="69"/>
      <c r="X573" s="69"/>
      <c r="Y573" s="69"/>
      <c r="Z573" s="69"/>
      <c r="AA573" s="69"/>
      <c r="AB573" s="203"/>
      <c r="AC573" s="69"/>
      <c r="AD573" s="69"/>
      <c r="AE573" s="203"/>
      <c r="AF573" s="69"/>
      <c r="AG573" s="69"/>
      <c r="AH573" s="69"/>
      <c r="AI573" s="69"/>
      <c r="AJ573" s="69"/>
      <c r="AK573" s="69"/>
      <c r="AL573" s="69"/>
      <c r="AM573" s="69"/>
      <c r="AN573" s="69"/>
      <c r="AO573" s="69"/>
      <c r="AP573" s="69"/>
      <c r="AQ573" s="69"/>
      <c r="AR573" s="69"/>
      <c r="AS573" s="69"/>
      <c r="AT573" s="69"/>
      <c r="AU573" s="69"/>
      <c r="AV573" s="69"/>
      <c r="AW573" s="69"/>
      <c r="AX573" s="69"/>
      <c r="AY573" s="69"/>
      <c r="AZ573" s="69"/>
      <c r="BA573" s="69"/>
      <c r="BB573" s="69"/>
      <c r="BC573" s="69"/>
      <c r="BD573" s="69"/>
      <c r="BE573" s="69"/>
      <c r="BF573" s="69"/>
      <c r="BG573" s="69"/>
      <c r="BH573" s="69"/>
      <c r="BI573" s="69"/>
      <c r="BJ573" s="69"/>
      <c r="BK573" s="69"/>
      <c r="BL573" s="69"/>
      <c r="BM573" s="69"/>
      <c r="BN573" s="69"/>
      <c r="BO573" s="69"/>
      <c r="BP573" s="69"/>
      <c r="BQ573" s="69"/>
      <c r="BR573" s="69"/>
      <c r="BS573" s="69"/>
      <c r="BT573" s="69"/>
      <c r="BU573" s="69"/>
      <c r="BV573" s="69"/>
      <c r="BW573" s="69"/>
      <c r="BX573" s="69"/>
      <c r="BY573" s="69"/>
      <c r="BZ573" s="69"/>
      <c r="CA573" s="69"/>
      <c r="CB573" s="69"/>
      <c r="CC573" s="69"/>
      <c r="CD573" s="69"/>
      <c r="CE573" s="69"/>
      <c r="CF573" s="69"/>
      <c r="CG573" s="69"/>
      <c r="CH573" s="69"/>
      <c r="CI573" s="69"/>
      <c r="CJ573" s="69"/>
      <c r="CK573" s="69"/>
      <c r="CL573" s="69"/>
      <c r="CM573" s="69"/>
      <c r="CN573" s="69"/>
      <c r="CO573" s="69"/>
      <c r="CP573" s="69"/>
      <c r="CQ573" s="69"/>
      <c r="CR573" s="69"/>
      <c r="CS573" s="69"/>
      <c r="CT573" s="69"/>
      <c r="CU573" s="69"/>
      <c r="CV573" s="69"/>
      <c r="CW573" s="69"/>
      <c r="CX573" s="69"/>
      <c r="CY573" s="69"/>
      <c r="CZ573" s="69"/>
      <c r="DA573" s="69"/>
      <c r="DB573" s="69"/>
      <c r="DC573" s="69"/>
      <c r="DD573" s="69"/>
      <c r="DE573" s="69"/>
      <c r="DF573" s="69"/>
      <c r="DG573" s="69"/>
      <c r="DH573" s="69"/>
      <c r="DI573" s="69"/>
      <c r="DJ573" s="69"/>
      <c r="DK573" s="69"/>
      <c r="DL573" s="69"/>
    </row>
    <row r="574" spans="1:116" ht="13" x14ac:dyDescent="0.3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202"/>
      <c r="V574" s="69"/>
      <c r="W574" s="69"/>
      <c r="X574" s="69"/>
      <c r="Y574" s="69"/>
      <c r="Z574" s="69"/>
      <c r="AA574" s="69"/>
      <c r="AB574" s="203"/>
      <c r="AC574" s="69"/>
      <c r="AD574" s="69"/>
      <c r="AE574" s="203"/>
      <c r="AF574" s="69"/>
      <c r="AG574" s="69"/>
      <c r="AH574" s="69"/>
      <c r="AI574" s="69"/>
      <c r="AJ574" s="69"/>
      <c r="AK574" s="69"/>
      <c r="AL574" s="69"/>
      <c r="AM574" s="69"/>
      <c r="AN574" s="69"/>
      <c r="AO574" s="69"/>
      <c r="AP574" s="69"/>
      <c r="AQ574" s="69"/>
      <c r="AR574" s="69"/>
      <c r="AS574" s="69"/>
      <c r="AT574" s="69"/>
      <c r="AU574" s="69"/>
      <c r="AV574" s="69"/>
      <c r="AW574" s="69"/>
      <c r="AX574" s="69"/>
      <c r="AY574" s="69"/>
      <c r="AZ574" s="69"/>
      <c r="BA574" s="69"/>
      <c r="BB574" s="69"/>
      <c r="BC574" s="69"/>
      <c r="BD574" s="69"/>
      <c r="BE574" s="69"/>
      <c r="BF574" s="69"/>
      <c r="BG574" s="69"/>
      <c r="BH574" s="69"/>
      <c r="BI574" s="69"/>
      <c r="BJ574" s="69"/>
      <c r="BK574" s="69"/>
      <c r="BL574" s="69"/>
      <c r="BM574" s="69"/>
      <c r="BN574" s="69"/>
      <c r="BO574" s="69"/>
      <c r="BP574" s="69"/>
      <c r="BQ574" s="69"/>
      <c r="BR574" s="69"/>
      <c r="BS574" s="69"/>
      <c r="BT574" s="69"/>
      <c r="BU574" s="69"/>
      <c r="BV574" s="69"/>
      <c r="BW574" s="69"/>
      <c r="BX574" s="69"/>
      <c r="BY574" s="69"/>
      <c r="BZ574" s="69"/>
      <c r="CA574" s="69"/>
      <c r="CB574" s="69"/>
      <c r="CC574" s="69"/>
      <c r="CD574" s="69"/>
      <c r="CE574" s="69"/>
      <c r="CF574" s="69"/>
      <c r="CG574" s="69"/>
      <c r="CH574" s="69"/>
      <c r="CI574" s="69"/>
      <c r="CJ574" s="69"/>
      <c r="CK574" s="69"/>
      <c r="CL574" s="69"/>
      <c r="CM574" s="69"/>
      <c r="CN574" s="69"/>
      <c r="CO574" s="69"/>
      <c r="CP574" s="69"/>
      <c r="CQ574" s="69"/>
      <c r="CR574" s="69"/>
      <c r="CS574" s="69"/>
      <c r="CT574" s="69"/>
      <c r="CU574" s="69"/>
      <c r="CV574" s="69"/>
      <c r="CW574" s="69"/>
      <c r="CX574" s="69"/>
      <c r="CY574" s="69"/>
      <c r="CZ574" s="69"/>
      <c r="DA574" s="69"/>
      <c r="DB574" s="69"/>
      <c r="DC574" s="69"/>
      <c r="DD574" s="69"/>
      <c r="DE574" s="69"/>
      <c r="DF574" s="69"/>
      <c r="DG574" s="69"/>
      <c r="DH574" s="69"/>
      <c r="DI574" s="69"/>
      <c r="DJ574" s="69"/>
      <c r="DK574" s="69"/>
      <c r="DL574" s="69"/>
    </row>
    <row r="575" spans="1:116" ht="13" x14ac:dyDescent="0.3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202"/>
      <c r="V575" s="69"/>
      <c r="W575" s="69"/>
      <c r="X575" s="69"/>
      <c r="Y575" s="69"/>
      <c r="Z575" s="69"/>
      <c r="AA575" s="69"/>
      <c r="AB575" s="203"/>
      <c r="AC575" s="69"/>
      <c r="AD575" s="69"/>
      <c r="AE575" s="203"/>
      <c r="AF575" s="69"/>
      <c r="AG575" s="69"/>
      <c r="AH575" s="69"/>
      <c r="AI575" s="69"/>
      <c r="AJ575" s="69"/>
      <c r="AK575" s="69"/>
      <c r="AL575" s="69"/>
      <c r="AM575" s="69"/>
      <c r="AN575" s="69"/>
      <c r="AO575" s="69"/>
      <c r="AP575" s="69"/>
      <c r="AQ575" s="69"/>
      <c r="AR575" s="69"/>
      <c r="AS575" s="69"/>
      <c r="AT575" s="69"/>
      <c r="AU575" s="69"/>
      <c r="AV575" s="69"/>
      <c r="AW575" s="69"/>
      <c r="AX575" s="69"/>
      <c r="AY575" s="69"/>
      <c r="AZ575" s="69"/>
      <c r="BA575" s="69"/>
      <c r="BB575" s="69"/>
      <c r="BC575" s="69"/>
      <c r="BD575" s="69"/>
      <c r="BE575" s="69"/>
      <c r="BF575" s="69"/>
      <c r="BG575" s="69"/>
      <c r="BH575" s="69"/>
      <c r="BI575" s="69"/>
      <c r="BJ575" s="69"/>
      <c r="BK575" s="69"/>
      <c r="BL575" s="69"/>
      <c r="BM575" s="69"/>
      <c r="BN575" s="69"/>
      <c r="BO575" s="69"/>
      <c r="BP575" s="69"/>
      <c r="BQ575" s="69"/>
      <c r="BR575" s="69"/>
      <c r="BS575" s="69"/>
      <c r="BT575" s="69"/>
      <c r="BU575" s="69"/>
      <c r="BV575" s="69"/>
      <c r="BW575" s="69"/>
      <c r="BX575" s="69"/>
      <c r="BY575" s="69"/>
      <c r="BZ575" s="69"/>
      <c r="CA575" s="69"/>
      <c r="CB575" s="69"/>
      <c r="CC575" s="69"/>
      <c r="CD575" s="69"/>
      <c r="CE575" s="69"/>
      <c r="CF575" s="69"/>
      <c r="CG575" s="69"/>
      <c r="CH575" s="69"/>
      <c r="CI575" s="69"/>
      <c r="CJ575" s="69"/>
      <c r="CK575" s="69"/>
      <c r="CL575" s="69"/>
      <c r="CM575" s="69"/>
      <c r="CN575" s="69"/>
      <c r="CO575" s="69"/>
      <c r="CP575" s="69"/>
      <c r="CQ575" s="69"/>
      <c r="CR575" s="69"/>
      <c r="CS575" s="69"/>
      <c r="CT575" s="69"/>
      <c r="CU575" s="69"/>
      <c r="CV575" s="69"/>
      <c r="CW575" s="69"/>
      <c r="CX575" s="69"/>
      <c r="CY575" s="69"/>
      <c r="CZ575" s="69"/>
      <c r="DA575" s="69"/>
      <c r="DB575" s="69"/>
      <c r="DC575" s="69"/>
      <c r="DD575" s="69"/>
      <c r="DE575" s="69"/>
      <c r="DF575" s="69"/>
      <c r="DG575" s="69"/>
      <c r="DH575" s="69"/>
      <c r="DI575" s="69"/>
      <c r="DJ575" s="69"/>
      <c r="DK575" s="69"/>
      <c r="DL575" s="69"/>
    </row>
    <row r="576" spans="1:116" ht="13" x14ac:dyDescent="0.3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202"/>
      <c r="V576" s="69"/>
      <c r="W576" s="69"/>
      <c r="X576" s="69"/>
      <c r="Y576" s="69"/>
      <c r="Z576" s="69"/>
      <c r="AA576" s="69"/>
      <c r="AB576" s="203"/>
      <c r="AC576" s="69"/>
      <c r="AD576" s="69"/>
      <c r="AE576" s="203"/>
      <c r="AF576" s="69"/>
      <c r="AG576" s="69"/>
      <c r="AH576" s="69"/>
      <c r="AI576" s="69"/>
      <c r="AJ576" s="69"/>
      <c r="AK576" s="69"/>
      <c r="AL576" s="69"/>
      <c r="AM576" s="69"/>
      <c r="AN576" s="69"/>
      <c r="AO576" s="69"/>
      <c r="AP576" s="69"/>
      <c r="AQ576" s="69"/>
      <c r="AR576" s="69"/>
      <c r="AS576" s="69"/>
      <c r="AT576" s="69"/>
      <c r="AU576" s="69"/>
      <c r="AV576" s="69"/>
      <c r="AW576" s="69"/>
      <c r="AX576" s="69"/>
      <c r="AY576" s="69"/>
      <c r="AZ576" s="69"/>
      <c r="BA576" s="69"/>
      <c r="BB576" s="69"/>
      <c r="BC576" s="69"/>
      <c r="BD576" s="69"/>
      <c r="BE576" s="69"/>
      <c r="BF576" s="69"/>
      <c r="BG576" s="69"/>
      <c r="BH576" s="69"/>
      <c r="BI576" s="69"/>
      <c r="BJ576" s="69"/>
      <c r="BK576" s="69"/>
      <c r="BL576" s="69"/>
      <c r="BM576" s="69"/>
      <c r="BN576" s="69"/>
      <c r="BO576" s="69"/>
      <c r="BP576" s="69"/>
      <c r="BQ576" s="69"/>
      <c r="BR576" s="69"/>
      <c r="BS576" s="69"/>
      <c r="BT576" s="69"/>
      <c r="BU576" s="69"/>
      <c r="BV576" s="69"/>
      <c r="BW576" s="69"/>
      <c r="BX576" s="69"/>
      <c r="BY576" s="69"/>
      <c r="BZ576" s="69"/>
      <c r="CA576" s="69"/>
      <c r="CB576" s="69"/>
      <c r="CC576" s="69"/>
      <c r="CD576" s="69"/>
      <c r="CE576" s="69"/>
      <c r="CF576" s="69"/>
      <c r="CG576" s="69"/>
      <c r="CH576" s="69"/>
      <c r="CI576" s="69"/>
      <c r="CJ576" s="69"/>
      <c r="CK576" s="69"/>
      <c r="CL576" s="69"/>
      <c r="CM576" s="69"/>
      <c r="CN576" s="69"/>
      <c r="CO576" s="69"/>
      <c r="CP576" s="69"/>
      <c r="CQ576" s="69"/>
      <c r="CR576" s="69"/>
      <c r="CS576" s="69"/>
      <c r="CT576" s="69"/>
      <c r="CU576" s="69"/>
      <c r="CV576" s="69"/>
      <c r="CW576" s="69"/>
      <c r="CX576" s="69"/>
      <c r="CY576" s="69"/>
      <c r="CZ576" s="69"/>
      <c r="DA576" s="69"/>
      <c r="DB576" s="69"/>
      <c r="DC576" s="69"/>
      <c r="DD576" s="69"/>
      <c r="DE576" s="69"/>
      <c r="DF576" s="69"/>
      <c r="DG576" s="69"/>
      <c r="DH576" s="69"/>
      <c r="DI576" s="69"/>
      <c r="DJ576" s="69"/>
      <c r="DK576" s="69"/>
      <c r="DL576" s="69"/>
    </row>
    <row r="577" spans="1:116" ht="13" x14ac:dyDescent="0.3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202"/>
      <c r="V577" s="69"/>
      <c r="W577" s="69"/>
      <c r="X577" s="69"/>
      <c r="Y577" s="69"/>
      <c r="Z577" s="69"/>
      <c r="AA577" s="69"/>
      <c r="AB577" s="203"/>
      <c r="AC577" s="69"/>
      <c r="AD577" s="69"/>
      <c r="AE577" s="203"/>
      <c r="AF577" s="69"/>
      <c r="AG577" s="69"/>
      <c r="AH577" s="69"/>
      <c r="AI577" s="69"/>
      <c r="AJ577" s="69"/>
      <c r="AK577" s="69"/>
      <c r="AL577" s="69"/>
      <c r="AM577" s="69"/>
      <c r="AN577" s="69"/>
      <c r="AO577" s="69"/>
      <c r="AP577" s="69"/>
      <c r="AQ577" s="69"/>
      <c r="AR577" s="69"/>
      <c r="AS577" s="69"/>
      <c r="AT577" s="69"/>
      <c r="AU577" s="69"/>
      <c r="AV577" s="69"/>
      <c r="AW577" s="69"/>
      <c r="AX577" s="69"/>
      <c r="AY577" s="69"/>
      <c r="AZ577" s="69"/>
      <c r="BA577" s="69"/>
      <c r="BB577" s="69"/>
      <c r="BC577" s="69"/>
      <c r="BD577" s="69"/>
      <c r="BE577" s="69"/>
      <c r="BF577" s="69"/>
      <c r="BG577" s="69"/>
      <c r="BH577" s="69"/>
      <c r="BI577" s="69"/>
      <c r="BJ577" s="69"/>
      <c r="BK577" s="69"/>
      <c r="BL577" s="69"/>
      <c r="BM577" s="69"/>
      <c r="BN577" s="69"/>
      <c r="BO577" s="69"/>
      <c r="BP577" s="69"/>
      <c r="BQ577" s="69"/>
      <c r="BR577" s="69"/>
      <c r="BS577" s="69"/>
      <c r="BT577" s="69"/>
      <c r="BU577" s="69"/>
      <c r="BV577" s="69"/>
      <c r="BW577" s="69"/>
      <c r="BX577" s="69"/>
      <c r="BY577" s="69"/>
      <c r="BZ577" s="69"/>
      <c r="CA577" s="69"/>
      <c r="CB577" s="69"/>
      <c r="CC577" s="69"/>
      <c r="CD577" s="69"/>
      <c r="CE577" s="69"/>
      <c r="CF577" s="69"/>
      <c r="CG577" s="69"/>
      <c r="CH577" s="69"/>
      <c r="CI577" s="69"/>
      <c r="CJ577" s="69"/>
      <c r="CK577" s="69"/>
      <c r="CL577" s="69"/>
      <c r="CM577" s="69"/>
      <c r="CN577" s="69"/>
      <c r="CO577" s="69"/>
      <c r="CP577" s="69"/>
      <c r="CQ577" s="69"/>
      <c r="CR577" s="69"/>
      <c r="CS577" s="69"/>
      <c r="CT577" s="69"/>
      <c r="CU577" s="69"/>
      <c r="CV577" s="69"/>
      <c r="CW577" s="69"/>
      <c r="CX577" s="69"/>
      <c r="CY577" s="69"/>
      <c r="CZ577" s="69"/>
      <c r="DA577" s="69"/>
      <c r="DB577" s="69"/>
      <c r="DC577" s="69"/>
      <c r="DD577" s="69"/>
      <c r="DE577" s="69"/>
      <c r="DF577" s="69"/>
      <c r="DG577" s="69"/>
      <c r="DH577" s="69"/>
      <c r="DI577" s="69"/>
      <c r="DJ577" s="69"/>
      <c r="DK577" s="69"/>
      <c r="DL577" s="69"/>
    </row>
    <row r="578" spans="1:116" ht="13" x14ac:dyDescent="0.3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202"/>
      <c r="V578" s="69"/>
      <c r="W578" s="69"/>
      <c r="X578" s="69"/>
      <c r="Y578" s="69"/>
      <c r="Z578" s="69"/>
      <c r="AA578" s="69"/>
      <c r="AB578" s="203"/>
      <c r="AC578" s="69"/>
      <c r="AD578" s="69"/>
      <c r="AE578" s="203"/>
      <c r="AF578" s="69"/>
      <c r="AG578" s="69"/>
      <c r="AH578" s="69"/>
      <c r="AI578" s="69"/>
      <c r="AJ578" s="69"/>
      <c r="AK578" s="69"/>
      <c r="AL578" s="69"/>
      <c r="AM578" s="69"/>
      <c r="AN578" s="69"/>
      <c r="AO578" s="69"/>
      <c r="AP578" s="69"/>
      <c r="AQ578" s="69"/>
      <c r="AR578" s="69"/>
      <c r="AS578" s="69"/>
      <c r="AT578" s="69"/>
      <c r="AU578" s="69"/>
      <c r="AV578" s="69"/>
      <c r="AW578" s="69"/>
      <c r="AX578" s="69"/>
      <c r="AY578" s="69"/>
      <c r="AZ578" s="69"/>
      <c r="BA578" s="69"/>
      <c r="BB578" s="69"/>
      <c r="BC578" s="69"/>
      <c r="BD578" s="69"/>
      <c r="BE578" s="69"/>
      <c r="BF578" s="69"/>
      <c r="BG578" s="69"/>
      <c r="BH578" s="69"/>
      <c r="BI578" s="69"/>
      <c r="BJ578" s="69"/>
      <c r="BK578" s="69"/>
      <c r="BL578" s="69"/>
      <c r="BM578" s="69"/>
      <c r="BN578" s="69"/>
      <c r="BO578" s="69"/>
      <c r="BP578" s="69"/>
      <c r="BQ578" s="69"/>
      <c r="BR578" s="69"/>
      <c r="BS578" s="69"/>
      <c r="BT578" s="69"/>
      <c r="BU578" s="69"/>
      <c r="BV578" s="69"/>
      <c r="BW578" s="69"/>
      <c r="BX578" s="69"/>
      <c r="BY578" s="69"/>
      <c r="BZ578" s="69"/>
      <c r="CA578" s="69"/>
      <c r="CB578" s="69"/>
      <c r="CC578" s="69"/>
      <c r="CD578" s="69"/>
      <c r="CE578" s="69"/>
      <c r="CF578" s="69"/>
      <c r="CG578" s="69"/>
      <c r="CH578" s="69"/>
      <c r="CI578" s="69"/>
      <c r="CJ578" s="69"/>
      <c r="CK578" s="69"/>
      <c r="CL578" s="69"/>
      <c r="CM578" s="69"/>
      <c r="CN578" s="69"/>
      <c r="CO578" s="69"/>
      <c r="CP578" s="69"/>
      <c r="CQ578" s="69"/>
      <c r="CR578" s="69"/>
      <c r="CS578" s="69"/>
      <c r="CT578" s="69"/>
      <c r="CU578" s="69"/>
      <c r="CV578" s="69"/>
      <c r="CW578" s="69"/>
      <c r="CX578" s="69"/>
      <c r="CY578" s="69"/>
      <c r="CZ578" s="69"/>
      <c r="DA578" s="69"/>
      <c r="DB578" s="69"/>
      <c r="DC578" s="69"/>
      <c r="DD578" s="69"/>
      <c r="DE578" s="69"/>
      <c r="DF578" s="69"/>
      <c r="DG578" s="69"/>
      <c r="DH578" s="69"/>
      <c r="DI578" s="69"/>
      <c r="DJ578" s="69"/>
      <c r="DK578" s="69"/>
      <c r="DL578" s="69"/>
    </row>
    <row r="579" spans="1:116" ht="13" x14ac:dyDescent="0.3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202"/>
      <c r="V579" s="69"/>
      <c r="W579" s="69"/>
      <c r="X579" s="69"/>
      <c r="Y579" s="69"/>
      <c r="Z579" s="69"/>
      <c r="AA579" s="69"/>
      <c r="AB579" s="203"/>
      <c r="AC579" s="69"/>
      <c r="AD579" s="69"/>
      <c r="AE579" s="203"/>
      <c r="AF579" s="69"/>
      <c r="AG579" s="69"/>
      <c r="AH579" s="69"/>
      <c r="AI579" s="69"/>
      <c r="AJ579" s="69"/>
      <c r="AK579" s="69"/>
      <c r="AL579" s="69"/>
      <c r="AM579" s="69"/>
      <c r="AN579" s="69"/>
      <c r="AO579" s="69"/>
      <c r="AP579" s="69"/>
      <c r="AQ579" s="69"/>
      <c r="AR579" s="69"/>
      <c r="AS579" s="69"/>
      <c r="AT579" s="69"/>
      <c r="AU579" s="69"/>
      <c r="AV579" s="69"/>
      <c r="AW579" s="69"/>
      <c r="AX579" s="69"/>
      <c r="AY579" s="69"/>
      <c r="AZ579" s="69"/>
      <c r="BA579" s="69"/>
      <c r="BB579" s="69"/>
      <c r="BC579" s="69"/>
      <c r="BD579" s="69"/>
      <c r="BE579" s="69"/>
      <c r="BF579" s="69"/>
      <c r="BG579" s="69"/>
      <c r="BH579" s="69"/>
      <c r="BI579" s="69"/>
      <c r="BJ579" s="69"/>
      <c r="BK579" s="69"/>
      <c r="BL579" s="69"/>
      <c r="BM579" s="69"/>
      <c r="BN579" s="69"/>
      <c r="BO579" s="69"/>
      <c r="BP579" s="69"/>
      <c r="BQ579" s="69"/>
      <c r="BR579" s="69"/>
      <c r="BS579" s="69"/>
      <c r="BT579" s="69"/>
      <c r="BU579" s="69"/>
      <c r="BV579" s="69"/>
      <c r="BW579" s="69"/>
      <c r="BX579" s="69"/>
      <c r="BY579" s="69"/>
      <c r="BZ579" s="69"/>
      <c r="CA579" s="69"/>
      <c r="CB579" s="69"/>
      <c r="CC579" s="69"/>
      <c r="CD579" s="69"/>
      <c r="CE579" s="69"/>
      <c r="CF579" s="69"/>
      <c r="CG579" s="69"/>
      <c r="CH579" s="69"/>
      <c r="CI579" s="69"/>
      <c r="CJ579" s="69"/>
      <c r="CK579" s="69"/>
      <c r="CL579" s="69"/>
      <c r="CM579" s="69"/>
      <c r="CN579" s="69"/>
      <c r="CO579" s="69"/>
      <c r="CP579" s="69"/>
      <c r="CQ579" s="69"/>
      <c r="CR579" s="69"/>
      <c r="CS579" s="69"/>
      <c r="CT579" s="69"/>
      <c r="CU579" s="69"/>
      <c r="CV579" s="69"/>
      <c r="CW579" s="69"/>
      <c r="CX579" s="69"/>
      <c r="CY579" s="69"/>
      <c r="CZ579" s="69"/>
      <c r="DA579" s="69"/>
      <c r="DB579" s="69"/>
      <c r="DC579" s="69"/>
      <c r="DD579" s="69"/>
      <c r="DE579" s="69"/>
      <c r="DF579" s="69"/>
      <c r="DG579" s="69"/>
      <c r="DH579" s="69"/>
      <c r="DI579" s="69"/>
      <c r="DJ579" s="69"/>
      <c r="DK579" s="69"/>
      <c r="DL579" s="69"/>
    </row>
    <row r="580" spans="1:116" ht="13" x14ac:dyDescent="0.3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202"/>
      <c r="V580" s="69"/>
      <c r="W580" s="69"/>
      <c r="X580" s="69"/>
      <c r="Y580" s="69"/>
      <c r="Z580" s="69"/>
      <c r="AA580" s="69"/>
      <c r="AB580" s="203"/>
      <c r="AC580" s="69"/>
      <c r="AD580" s="69"/>
      <c r="AE580" s="203"/>
      <c r="AF580" s="69"/>
      <c r="AG580" s="69"/>
      <c r="AH580" s="69"/>
      <c r="AI580" s="69"/>
      <c r="AJ580" s="69"/>
      <c r="AK580" s="69"/>
      <c r="AL580" s="69"/>
      <c r="AM580" s="69"/>
      <c r="AN580" s="69"/>
      <c r="AO580" s="69"/>
      <c r="AP580" s="69"/>
      <c r="AQ580" s="69"/>
      <c r="AR580" s="69"/>
      <c r="AS580" s="69"/>
      <c r="AT580" s="69"/>
      <c r="AU580" s="69"/>
      <c r="AV580" s="69"/>
      <c r="AW580" s="69"/>
      <c r="AX580" s="69"/>
      <c r="AY580" s="69"/>
      <c r="AZ580" s="69"/>
      <c r="BA580" s="69"/>
      <c r="BB580" s="69"/>
      <c r="BC580" s="69"/>
      <c r="BD580" s="69"/>
      <c r="BE580" s="69"/>
      <c r="BF580" s="69"/>
      <c r="BG580" s="69"/>
      <c r="BH580" s="69"/>
      <c r="BI580" s="69"/>
      <c r="BJ580" s="69"/>
      <c r="BK580" s="69"/>
      <c r="BL580" s="69"/>
      <c r="BM580" s="69"/>
      <c r="BN580" s="69"/>
      <c r="BO580" s="69"/>
      <c r="BP580" s="69"/>
      <c r="BQ580" s="69"/>
      <c r="BR580" s="69"/>
      <c r="BS580" s="69"/>
      <c r="BT580" s="69"/>
      <c r="BU580" s="69"/>
      <c r="BV580" s="69"/>
      <c r="BW580" s="69"/>
      <c r="BX580" s="69"/>
      <c r="BY580" s="69"/>
      <c r="BZ580" s="69"/>
      <c r="CA580" s="69"/>
      <c r="CB580" s="69"/>
      <c r="CC580" s="69"/>
      <c r="CD580" s="69"/>
      <c r="CE580" s="69"/>
      <c r="CF580" s="69"/>
      <c r="CG580" s="69"/>
      <c r="CH580" s="69"/>
      <c r="CI580" s="69"/>
      <c r="CJ580" s="69"/>
      <c r="CK580" s="69"/>
      <c r="CL580" s="69"/>
      <c r="CM580" s="69"/>
      <c r="CN580" s="69"/>
      <c r="CO580" s="69"/>
      <c r="CP580" s="69"/>
      <c r="CQ580" s="69"/>
      <c r="CR580" s="69"/>
      <c r="CS580" s="69"/>
      <c r="CT580" s="69"/>
      <c r="CU580" s="69"/>
      <c r="CV580" s="69"/>
      <c r="CW580" s="69"/>
      <c r="CX580" s="69"/>
      <c r="CY580" s="69"/>
      <c r="CZ580" s="69"/>
      <c r="DA580" s="69"/>
      <c r="DB580" s="69"/>
      <c r="DC580" s="69"/>
      <c r="DD580" s="69"/>
      <c r="DE580" s="69"/>
      <c r="DF580" s="69"/>
      <c r="DG580" s="69"/>
      <c r="DH580" s="69"/>
      <c r="DI580" s="69"/>
      <c r="DJ580" s="69"/>
      <c r="DK580" s="69"/>
      <c r="DL580" s="69"/>
    </row>
    <row r="581" spans="1:116" ht="13" x14ac:dyDescent="0.3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202"/>
      <c r="V581" s="69"/>
      <c r="W581" s="69"/>
      <c r="X581" s="69"/>
      <c r="Y581" s="69"/>
      <c r="Z581" s="69"/>
      <c r="AA581" s="69"/>
      <c r="AB581" s="203"/>
      <c r="AC581" s="69"/>
      <c r="AD581" s="69"/>
      <c r="AE581" s="203"/>
      <c r="AF581" s="69"/>
      <c r="AG581" s="69"/>
      <c r="AH581" s="69"/>
      <c r="AI581" s="69"/>
      <c r="AJ581" s="69"/>
      <c r="AK581" s="69"/>
      <c r="AL581" s="69"/>
      <c r="AM581" s="69"/>
      <c r="AN581" s="69"/>
      <c r="AO581" s="69"/>
      <c r="AP581" s="69"/>
      <c r="AQ581" s="69"/>
      <c r="AR581" s="69"/>
      <c r="AS581" s="69"/>
      <c r="AT581" s="69"/>
      <c r="AU581" s="69"/>
      <c r="AV581" s="69"/>
      <c r="AW581" s="69"/>
      <c r="AX581" s="69"/>
      <c r="AY581" s="69"/>
      <c r="AZ581" s="69"/>
      <c r="BA581" s="69"/>
      <c r="BB581" s="69"/>
      <c r="BC581" s="69"/>
      <c r="BD581" s="69"/>
      <c r="BE581" s="69"/>
      <c r="BF581" s="69"/>
      <c r="BG581" s="69"/>
      <c r="BH581" s="69"/>
      <c r="BI581" s="69"/>
      <c r="BJ581" s="69"/>
      <c r="BK581" s="69"/>
      <c r="BL581" s="69"/>
      <c r="BM581" s="69"/>
      <c r="BN581" s="69"/>
      <c r="BO581" s="69"/>
      <c r="BP581" s="69"/>
      <c r="BQ581" s="69"/>
      <c r="BR581" s="69"/>
      <c r="BS581" s="69"/>
      <c r="BT581" s="69"/>
      <c r="BU581" s="69"/>
      <c r="BV581" s="69"/>
      <c r="BW581" s="69"/>
      <c r="BX581" s="69"/>
      <c r="BY581" s="69"/>
      <c r="BZ581" s="69"/>
      <c r="CA581" s="69"/>
      <c r="CB581" s="69"/>
      <c r="CC581" s="69"/>
      <c r="CD581" s="69"/>
      <c r="CE581" s="69"/>
      <c r="CF581" s="69"/>
      <c r="CG581" s="69"/>
      <c r="CH581" s="69"/>
      <c r="CI581" s="69"/>
      <c r="CJ581" s="69"/>
      <c r="CK581" s="69"/>
      <c r="CL581" s="69"/>
      <c r="CM581" s="69"/>
      <c r="CN581" s="69"/>
      <c r="CO581" s="69"/>
      <c r="CP581" s="69"/>
      <c r="CQ581" s="69"/>
      <c r="CR581" s="69"/>
      <c r="CS581" s="69"/>
      <c r="CT581" s="69"/>
      <c r="CU581" s="69"/>
      <c r="CV581" s="69"/>
      <c r="CW581" s="69"/>
      <c r="CX581" s="69"/>
      <c r="CY581" s="69"/>
      <c r="CZ581" s="69"/>
      <c r="DA581" s="69"/>
      <c r="DB581" s="69"/>
      <c r="DC581" s="69"/>
      <c r="DD581" s="69"/>
      <c r="DE581" s="69"/>
      <c r="DF581" s="69"/>
      <c r="DG581" s="69"/>
      <c r="DH581" s="69"/>
      <c r="DI581" s="69"/>
      <c r="DJ581" s="69"/>
      <c r="DK581" s="69"/>
      <c r="DL581" s="69"/>
    </row>
    <row r="582" spans="1:116" ht="13" x14ac:dyDescent="0.3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202"/>
      <c r="V582" s="69"/>
      <c r="W582" s="69"/>
      <c r="X582" s="69"/>
      <c r="Y582" s="69"/>
      <c r="Z582" s="69"/>
      <c r="AA582" s="69"/>
      <c r="AB582" s="203"/>
      <c r="AC582" s="69"/>
      <c r="AD582" s="69"/>
      <c r="AE582" s="203"/>
      <c r="AF582" s="69"/>
      <c r="AG582" s="69"/>
      <c r="AH582" s="69"/>
      <c r="AI582" s="69"/>
      <c r="AJ582" s="69"/>
      <c r="AK582" s="69"/>
      <c r="AL582" s="69"/>
      <c r="AM582" s="69"/>
      <c r="AN582" s="69"/>
      <c r="AO582" s="69"/>
      <c r="AP582" s="69"/>
      <c r="AQ582" s="69"/>
      <c r="AR582" s="69"/>
      <c r="AS582" s="69"/>
      <c r="AT582" s="69"/>
      <c r="AU582" s="69"/>
      <c r="AV582" s="69"/>
      <c r="AW582" s="69"/>
      <c r="AX582" s="69"/>
      <c r="AY582" s="69"/>
      <c r="AZ582" s="69"/>
      <c r="BA582" s="69"/>
      <c r="BB582" s="69"/>
      <c r="BC582" s="69"/>
      <c r="BD582" s="69"/>
      <c r="BE582" s="69"/>
      <c r="BF582" s="69"/>
      <c r="BG582" s="69"/>
      <c r="BH582" s="69"/>
      <c r="BI582" s="69"/>
      <c r="BJ582" s="69"/>
      <c r="BK582" s="69"/>
      <c r="BL582" s="69"/>
      <c r="BM582" s="69"/>
      <c r="BN582" s="69"/>
      <c r="BO582" s="69"/>
      <c r="BP582" s="69"/>
      <c r="BQ582" s="69"/>
      <c r="BR582" s="69"/>
      <c r="BS582" s="69"/>
      <c r="BT582" s="69"/>
      <c r="BU582" s="69"/>
      <c r="BV582" s="69"/>
      <c r="BW582" s="69"/>
      <c r="BX582" s="69"/>
      <c r="BY582" s="69"/>
      <c r="BZ582" s="69"/>
      <c r="CA582" s="69"/>
      <c r="CB582" s="69"/>
      <c r="CC582" s="69"/>
      <c r="CD582" s="69"/>
      <c r="CE582" s="69"/>
      <c r="CF582" s="69"/>
      <c r="CG582" s="69"/>
      <c r="CH582" s="69"/>
      <c r="CI582" s="69"/>
      <c r="CJ582" s="69"/>
      <c r="CK582" s="69"/>
      <c r="CL582" s="69"/>
      <c r="CM582" s="69"/>
      <c r="CN582" s="69"/>
      <c r="CO582" s="69"/>
      <c r="CP582" s="69"/>
      <c r="CQ582" s="69"/>
      <c r="CR582" s="69"/>
      <c r="CS582" s="69"/>
      <c r="CT582" s="69"/>
      <c r="CU582" s="69"/>
      <c r="CV582" s="69"/>
      <c r="CW582" s="69"/>
      <c r="CX582" s="69"/>
      <c r="CY582" s="69"/>
      <c r="CZ582" s="69"/>
      <c r="DA582" s="69"/>
      <c r="DB582" s="69"/>
      <c r="DC582" s="69"/>
      <c r="DD582" s="69"/>
      <c r="DE582" s="69"/>
      <c r="DF582" s="69"/>
      <c r="DG582" s="69"/>
      <c r="DH582" s="69"/>
      <c r="DI582" s="69"/>
      <c r="DJ582" s="69"/>
      <c r="DK582" s="69"/>
      <c r="DL582" s="69"/>
    </row>
    <row r="583" spans="1:116" ht="13" x14ac:dyDescent="0.3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202"/>
      <c r="V583" s="69"/>
      <c r="W583" s="69"/>
      <c r="X583" s="69"/>
      <c r="Y583" s="69"/>
      <c r="Z583" s="69"/>
      <c r="AA583" s="69"/>
      <c r="AB583" s="203"/>
      <c r="AC583" s="69"/>
      <c r="AD583" s="69"/>
      <c r="AE583" s="203"/>
      <c r="AF583" s="69"/>
      <c r="AG583" s="69"/>
      <c r="AH583" s="69"/>
      <c r="AI583" s="69"/>
      <c r="AJ583" s="69"/>
      <c r="AK583" s="69"/>
      <c r="AL583" s="69"/>
      <c r="AM583" s="69"/>
      <c r="AN583" s="69"/>
      <c r="AO583" s="69"/>
      <c r="AP583" s="69"/>
      <c r="AQ583" s="69"/>
      <c r="AR583" s="69"/>
      <c r="AS583" s="69"/>
      <c r="AT583" s="69"/>
      <c r="AU583" s="69"/>
      <c r="AV583" s="69"/>
      <c r="AW583" s="69"/>
      <c r="AX583" s="69"/>
      <c r="AY583" s="69"/>
      <c r="AZ583" s="69"/>
      <c r="BA583" s="69"/>
      <c r="BB583" s="69"/>
      <c r="BC583" s="69"/>
      <c r="BD583" s="69"/>
      <c r="BE583" s="69"/>
      <c r="BF583" s="69"/>
      <c r="BG583" s="69"/>
      <c r="BH583" s="69"/>
      <c r="BI583" s="69"/>
      <c r="BJ583" s="69"/>
      <c r="BK583" s="69"/>
      <c r="BL583" s="69"/>
      <c r="BM583" s="69"/>
      <c r="BN583" s="69"/>
      <c r="BO583" s="69"/>
      <c r="BP583" s="69"/>
      <c r="BQ583" s="69"/>
      <c r="BR583" s="69"/>
      <c r="BS583" s="69"/>
      <c r="BT583" s="69"/>
      <c r="BU583" s="69"/>
      <c r="BV583" s="69"/>
      <c r="BW583" s="69"/>
      <c r="BX583" s="69"/>
      <c r="BY583" s="69"/>
      <c r="BZ583" s="69"/>
      <c r="CA583" s="69"/>
      <c r="CB583" s="69"/>
      <c r="CC583" s="69"/>
      <c r="CD583" s="69"/>
      <c r="CE583" s="69"/>
      <c r="CF583" s="69"/>
      <c r="CG583" s="69"/>
      <c r="CH583" s="69"/>
      <c r="CI583" s="69"/>
      <c r="CJ583" s="69"/>
      <c r="CK583" s="69"/>
      <c r="CL583" s="69"/>
      <c r="CM583" s="69"/>
      <c r="CN583" s="69"/>
      <c r="CO583" s="69"/>
      <c r="CP583" s="69"/>
      <c r="CQ583" s="69"/>
      <c r="CR583" s="69"/>
      <c r="CS583" s="69"/>
      <c r="CT583" s="69"/>
      <c r="CU583" s="69"/>
      <c r="CV583" s="69"/>
      <c r="CW583" s="69"/>
      <c r="CX583" s="69"/>
      <c r="CY583" s="69"/>
      <c r="CZ583" s="69"/>
      <c r="DA583" s="69"/>
      <c r="DB583" s="69"/>
      <c r="DC583" s="69"/>
      <c r="DD583" s="69"/>
      <c r="DE583" s="69"/>
      <c r="DF583" s="69"/>
      <c r="DG583" s="69"/>
      <c r="DH583" s="69"/>
      <c r="DI583" s="69"/>
      <c r="DJ583" s="69"/>
      <c r="DK583" s="69"/>
      <c r="DL583" s="69"/>
    </row>
    <row r="584" spans="1:116" ht="13" x14ac:dyDescent="0.3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202"/>
      <c r="V584" s="69"/>
      <c r="W584" s="69"/>
      <c r="X584" s="69"/>
      <c r="Y584" s="69"/>
      <c r="Z584" s="69"/>
      <c r="AA584" s="69"/>
      <c r="AB584" s="203"/>
      <c r="AC584" s="69"/>
      <c r="AD584" s="69"/>
      <c r="AE584" s="203"/>
      <c r="AF584" s="69"/>
      <c r="AG584" s="69"/>
      <c r="AH584" s="69"/>
      <c r="AI584" s="69"/>
      <c r="AJ584" s="69"/>
      <c r="AK584" s="69"/>
      <c r="AL584" s="69"/>
      <c r="AM584" s="69"/>
      <c r="AN584" s="69"/>
      <c r="AO584" s="69"/>
      <c r="AP584" s="69"/>
      <c r="AQ584" s="69"/>
      <c r="AR584" s="69"/>
      <c r="AS584" s="69"/>
      <c r="AT584" s="69"/>
      <c r="AU584" s="69"/>
      <c r="AV584" s="69"/>
      <c r="AW584" s="69"/>
      <c r="AX584" s="69"/>
      <c r="AY584" s="69"/>
      <c r="AZ584" s="69"/>
      <c r="BA584" s="69"/>
      <c r="BB584" s="69"/>
      <c r="BC584" s="69"/>
      <c r="BD584" s="69"/>
      <c r="BE584" s="69"/>
      <c r="BF584" s="69"/>
      <c r="BG584" s="69"/>
      <c r="BH584" s="69"/>
      <c r="BI584" s="69"/>
      <c r="BJ584" s="69"/>
      <c r="BK584" s="69"/>
      <c r="BL584" s="69"/>
      <c r="BM584" s="69"/>
      <c r="BN584" s="69"/>
      <c r="BO584" s="69"/>
      <c r="BP584" s="69"/>
      <c r="BQ584" s="69"/>
      <c r="BR584" s="69"/>
      <c r="BS584" s="69"/>
      <c r="BT584" s="69"/>
      <c r="BU584" s="69"/>
      <c r="BV584" s="69"/>
      <c r="BW584" s="69"/>
      <c r="BX584" s="69"/>
      <c r="BY584" s="69"/>
      <c r="BZ584" s="69"/>
      <c r="CA584" s="69"/>
      <c r="CB584" s="69"/>
      <c r="CC584" s="69"/>
      <c r="CD584" s="69"/>
      <c r="CE584" s="69"/>
      <c r="CF584" s="69"/>
      <c r="CG584" s="69"/>
      <c r="CH584" s="69"/>
      <c r="CI584" s="69"/>
      <c r="CJ584" s="69"/>
      <c r="CK584" s="69"/>
      <c r="CL584" s="69"/>
      <c r="CM584" s="69"/>
      <c r="CN584" s="69"/>
      <c r="CO584" s="69"/>
      <c r="CP584" s="69"/>
      <c r="CQ584" s="69"/>
      <c r="CR584" s="69"/>
      <c r="CS584" s="69"/>
      <c r="CT584" s="69"/>
      <c r="CU584" s="69"/>
      <c r="CV584" s="69"/>
      <c r="CW584" s="69"/>
      <c r="CX584" s="69"/>
      <c r="CY584" s="69"/>
      <c r="CZ584" s="69"/>
      <c r="DA584" s="69"/>
      <c r="DB584" s="69"/>
      <c r="DC584" s="69"/>
      <c r="DD584" s="69"/>
      <c r="DE584" s="69"/>
      <c r="DF584" s="69"/>
      <c r="DG584" s="69"/>
      <c r="DH584" s="69"/>
      <c r="DI584" s="69"/>
      <c r="DJ584" s="69"/>
      <c r="DK584" s="69"/>
      <c r="DL584" s="69"/>
    </row>
    <row r="585" spans="1:116" ht="13" x14ac:dyDescent="0.3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202"/>
      <c r="V585" s="69"/>
      <c r="W585" s="69"/>
      <c r="X585" s="69"/>
      <c r="Y585" s="69"/>
      <c r="Z585" s="69"/>
      <c r="AA585" s="69"/>
      <c r="AB585" s="203"/>
      <c r="AC585" s="69"/>
      <c r="AD585" s="69"/>
      <c r="AE585" s="203"/>
      <c r="AF585" s="69"/>
      <c r="AG585" s="69"/>
      <c r="AH585" s="69"/>
      <c r="AI585" s="69"/>
      <c r="AJ585" s="69"/>
      <c r="AK585" s="69"/>
      <c r="AL585" s="69"/>
      <c r="AM585" s="69"/>
      <c r="AN585" s="69"/>
      <c r="AO585" s="69"/>
      <c r="AP585" s="69"/>
      <c r="AQ585" s="69"/>
      <c r="AR585" s="69"/>
      <c r="AS585" s="69"/>
      <c r="AT585" s="69"/>
      <c r="AU585" s="69"/>
      <c r="AV585" s="69"/>
      <c r="AW585" s="69"/>
      <c r="AX585" s="69"/>
      <c r="AY585" s="69"/>
      <c r="AZ585" s="69"/>
      <c r="BA585" s="69"/>
      <c r="BB585" s="69"/>
      <c r="BC585" s="69"/>
      <c r="BD585" s="69"/>
      <c r="BE585" s="69"/>
      <c r="BF585" s="69"/>
      <c r="BG585" s="69"/>
      <c r="BH585" s="69"/>
      <c r="BI585" s="69"/>
      <c r="BJ585" s="69"/>
      <c r="BK585" s="69"/>
      <c r="BL585" s="69"/>
      <c r="BM585" s="69"/>
      <c r="BN585" s="69"/>
      <c r="BO585" s="69"/>
      <c r="BP585" s="69"/>
      <c r="BQ585" s="69"/>
      <c r="BR585" s="69"/>
      <c r="BS585" s="69"/>
      <c r="BT585" s="69"/>
      <c r="BU585" s="69"/>
      <c r="BV585" s="69"/>
      <c r="BW585" s="69"/>
      <c r="BX585" s="69"/>
      <c r="BY585" s="69"/>
      <c r="BZ585" s="69"/>
      <c r="CA585" s="69"/>
      <c r="CB585" s="69"/>
      <c r="CC585" s="69"/>
      <c r="CD585" s="69"/>
      <c r="CE585" s="69"/>
      <c r="CF585" s="69"/>
      <c r="CG585" s="69"/>
      <c r="CH585" s="69"/>
      <c r="CI585" s="69"/>
      <c r="CJ585" s="69"/>
      <c r="CK585" s="69"/>
      <c r="CL585" s="69"/>
      <c r="CM585" s="69"/>
      <c r="CN585" s="69"/>
      <c r="CO585" s="69"/>
      <c r="CP585" s="69"/>
      <c r="CQ585" s="69"/>
      <c r="CR585" s="69"/>
      <c r="CS585" s="69"/>
      <c r="CT585" s="69"/>
      <c r="CU585" s="69"/>
      <c r="CV585" s="69"/>
      <c r="CW585" s="69"/>
      <c r="CX585" s="69"/>
      <c r="CY585" s="69"/>
      <c r="CZ585" s="69"/>
      <c r="DA585" s="69"/>
      <c r="DB585" s="69"/>
      <c r="DC585" s="69"/>
      <c r="DD585" s="69"/>
      <c r="DE585" s="69"/>
      <c r="DF585" s="69"/>
      <c r="DG585" s="69"/>
      <c r="DH585" s="69"/>
      <c r="DI585" s="69"/>
      <c r="DJ585" s="69"/>
      <c r="DK585" s="69"/>
      <c r="DL585" s="69"/>
    </row>
    <row r="586" spans="1:116" ht="13" x14ac:dyDescent="0.3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202"/>
      <c r="V586" s="69"/>
      <c r="W586" s="69"/>
      <c r="X586" s="69"/>
      <c r="Y586" s="69"/>
      <c r="Z586" s="69"/>
      <c r="AA586" s="69"/>
      <c r="AB586" s="203"/>
      <c r="AC586" s="69"/>
      <c r="AD586" s="69"/>
      <c r="AE586" s="203"/>
      <c r="AF586" s="69"/>
      <c r="AG586" s="69"/>
      <c r="AH586" s="69"/>
      <c r="AI586" s="69"/>
      <c r="AJ586" s="69"/>
      <c r="AK586" s="69"/>
      <c r="AL586" s="69"/>
      <c r="AM586" s="69"/>
      <c r="AN586" s="69"/>
      <c r="AO586" s="69"/>
      <c r="AP586" s="69"/>
      <c r="AQ586" s="69"/>
      <c r="AR586" s="69"/>
      <c r="AS586" s="69"/>
      <c r="AT586" s="69"/>
      <c r="AU586" s="69"/>
      <c r="AV586" s="69"/>
      <c r="AW586" s="69"/>
      <c r="AX586" s="69"/>
      <c r="AY586" s="69"/>
      <c r="AZ586" s="69"/>
      <c r="BA586" s="69"/>
      <c r="BB586" s="69"/>
      <c r="BC586" s="69"/>
      <c r="BD586" s="69"/>
      <c r="BE586" s="69"/>
      <c r="BF586" s="69"/>
      <c r="BG586" s="69"/>
      <c r="BH586" s="69"/>
      <c r="BI586" s="69"/>
      <c r="BJ586" s="69"/>
      <c r="BK586" s="69"/>
      <c r="BL586" s="69"/>
      <c r="BM586" s="69"/>
      <c r="BN586" s="69"/>
      <c r="BO586" s="69"/>
      <c r="BP586" s="69"/>
      <c r="BQ586" s="69"/>
      <c r="BR586" s="69"/>
      <c r="BS586" s="69"/>
      <c r="BT586" s="69"/>
      <c r="BU586" s="69"/>
      <c r="BV586" s="69"/>
      <c r="BW586" s="69"/>
      <c r="BX586" s="69"/>
      <c r="BY586" s="69"/>
      <c r="BZ586" s="69"/>
      <c r="CA586" s="69"/>
      <c r="CB586" s="69"/>
      <c r="CC586" s="69"/>
      <c r="CD586" s="69"/>
      <c r="CE586" s="69"/>
      <c r="CF586" s="69"/>
      <c r="CG586" s="69"/>
      <c r="CH586" s="69"/>
      <c r="CI586" s="69"/>
      <c r="CJ586" s="69"/>
      <c r="CK586" s="69"/>
      <c r="CL586" s="69"/>
      <c r="CM586" s="69"/>
      <c r="CN586" s="69"/>
      <c r="CO586" s="69"/>
      <c r="CP586" s="69"/>
      <c r="CQ586" s="69"/>
      <c r="CR586" s="69"/>
      <c r="CS586" s="69"/>
      <c r="CT586" s="69"/>
      <c r="CU586" s="69"/>
      <c r="CV586" s="69"/>
      <c r="CW586" s="69"/>
      <c r="CX586" s="69"/>
      <c r="CY586" s="69"/>
      <c r="CZ586" s="69"/>
      <c r="DA586" s="69"/>
      <c r="DB586" s="69"/>
      <c r="DC586" s="69"/>
      <c r="DD586" s="69"/>
      <c r="DE586" s="69"/>
      <c r="DF586" s="69"/>
      <c r="DG586" s="69"/>
      <c r="DH586" s="69"/>
      <c r="DI586" s="69"/>
      <c r="DJ586" s="69"/>
      <c r="DK586" s="69"/>
      <c r="DL586" s="69"/>
    </row>
    <row r="587" spans="1:116" ht="13" x14ac:dyDescent="0.3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202"/>
      <c r="V587" s="69"/>
      <c r="W587" s="69"/>
      <c r="X587" s="69"/>
      <c r="Y587" s="69"/>
      <c r="Z587" s="69"/>
      <c r="AA587" s="69"/>
      <c r="AB587" s="203"/>
      <c r="AC587" s="69"/>
      <c r="AD587" s="69"/>
      <c r="AE587" s="203"/>
      <c r="AF587" s="69"/>
      <c r="AG587" s="69"/>
      <c r="AH587" s="69"/>
      <c r="AI587" s="69"/>
      <c r="AJ587" s="69"/>
      <c r="AK587" s="69"/>
      <c r="AL587" s="69"/>
      <c r="AM587" s="69"/>
      <c r="AN587" s="69"/>
      <c r="AO587" s="69"/>
      <c r="AP587" s="69"/>
      <c r="AQ587" s="69"/>
      <c r="AR587" s="69"/>
      <c r="AS587" s="69"/>
      <c r="AT587" s="69"/>
      <c r="AU587" s="69"/>
      <c r="AV587" s="69"/>
      <c r="AW587" s="69"/>
      <c r="AX587" s="69"/>
      <c r="AY587" s="69"/>
      <c r="AZ587" s="69"/>
      <c r="BA587" s="69"/>
      <c r="BB587" s="69"/>
      <c r="BC587" s="69"/>
      <c r="BD587" s="69"/>
      <c r="BE587" s="69"/>
      <c r="BF587" s="69"/>
      <c r="BG587" s="69"/>
      <c r="BH587" s="69"/>
      <c r="BI587" s="69"/>
      <c r="BJ587" s="69"/>
      <c r="BK587" s="69"/>
      <c r="BL587" s="69"/>
      <c r="BM587" s="69"/>
      <c r="BN587" s="69"/>
      <c r="BO587" s="69"/>
      <c r="BP587" s="69"/>
      <c r="BQ587" s="69"/>
      <c r="BR587" s="69"/>
      <c r="BS587" s="69"/>
      <c r="BT587" s="69"/>
      <c r="BU587" s="69"/>
      <c r="BV587" s="69"/>
      <c r="BW587" s="69"/>
      <c r="BX587" s="69"/>
      <c r="BY587" s="69"/>
      <c r="BZ587" s="69"/>
      <c r="CA587" s="69"/>
      <c r="CB587" s="69"/>
      <c r="CC587" s="69"/>
      <c r="CD587" s="69"/>
      <c r="CE587" s="69"/>
      <c r="CF587" s="69"/>
      <c r="CG587" s="69"/>
      <c r="CH587" s="69"/>
      <c r="CI587" s="69"/>
      <c r="CJ587" s="69"/>
      <c r="CK587" s="69"/>
      <c r="CL587" s="69"/>
      <c r="CM587" s="69"/>
      <c r="CN587" s="69"/>
      <c r="CO587" s="69"/>
      <c r="CP587" s="69"/>
      <c r="CQ587" s="69"/>
      <c r="CR587" s="69"/>
      <c r="CS587" s="69"/>
      <c r="CT587" s="69"/>
      <c r="CU587" s="69"/>
      <c r="CV587" s="69"/>
      <c r="CW587" s="69"/>
      <c r="CX587" s="69"/>
      <c r="CY587" s="69"/>
      <c r="CZ587" s="69"/>
      <c r="DA587" s="69"/>
      <c r="DB587" s="69"/>
      <c r="DC587" s="69"/>
      <c r="DD587" s="69"/>
      <c r="DE587" s="69"/>
      <c r="DF587" s="69"/>
      <c r="DG587" s="69"/>
      <c r="DH587" s="69"/>
      <c r="DI587" s="69"/>
      <c r="DJ587" s="69"/>
      <c r="DK587" s="69"/>
      <c r="DL587" s="69"/>
    </row>
    <row r="588" spans="1:116" ht="13" x14ac:dyDescent="0.3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202"/>
      <c r="V588" s="69"/>
      <c r="W588" s="69"/>
      <c r="X588" s="69"/>
      <c r="Y588" s="69"/>
      <c r="Z588" s="69"/>
      <c r="AA588" s="69"/>
      <c r="AB588" s="203"/>
      <c r="AC588" s="69"/>
      <c r="AD588" s="69"/>
      <c r="AE588" s="203"/>
      <c r="AF588" s="69"/>
      <c r="AG588" s="69"/>
      <c r="AH588" s="69"/>
      <c r="AI588" s="69"/>
      <c r="AJ588" s="69"/>
      <c r="AK588" s="69"/>
      <c r="AL588" s="69"/>
      <c r="AM588" s="69"/>
      <c r="AN588" s="69"/>
      <c r="AO588" s="69"/>
      <c r="AP588" s="69"/>
      <c r="AQ588" s="69"/>
      <c r="AR588" s="69"/>
      <c r="AS588" s="69"/>
      <c r="AT588" s="69"/>
      <c r="AU588" s="69"/>
      <c r="AV588" s="69"/>
      <c r="AW588" s="69"/>
      <c r="AX588" s="69"/>
      <c r="AY588" s="69"/>
      <c r="AZ588" s="69"/>
      <c r="BA588" s="69"/>
      <c r="BB588" s="69"/>
      <c r="BC588" s="69"/>
      <c r="BD588" s="69"/>
      <c r="BE588" s="69"/>
      <c r="BF588" s="69"/>
      <c r="BG588" s="69"/>
      <c r="BH588" s="69"/>
      <c r="BI588" s="69"/>
      <c r="BJ588" s="69"/>
      <c r="BK588" s="69"/>
      <c r="BL588" s="69"/>
      <c r="BM588" s="69"/>
      <c r="BN588" s="69"/>
      <c r="BO588" s="69"/>
      <c r="BP588" s="69"/>
      <c r="BQ588" s="69"/>
      <c r="BR588" s="69"/>
      <c r="BS588" s="69"/>
      <c r="BT588" s="69"/>
      <c r="BU588" s="69"/>
      <c r="BV588" s="69"/>
      <c r="BW588" s="69"/>
      <c r="BX588" s="69"/>
      <c r="BY588" s="69"/>
      <c r="BZ588" s="69"/>
      <c r="CA588" s="69"/>
      <c r="CB588" s="69"/>
      <c r="CC588" s="69"/>
      <c r="CD588" s="69"/>
      <c r="CE588" s="69"/>
      <c r="CF588" s="69"/>
      <c r="CG588" s="69"/>
      <c r="CH588" s="69"/>
      <c r="CI588" s="69"/>
      <c r="CJ588" s="69"/>
      <c r="CK588" s="69"/>
      <c r="CL588" s="69"/>
      <c r="CM588" s="69"/>
      <c r="CN588" s="69"/>
      <c r="CO588" s="69"/>
      <c r="CP588" s="69"/>
      <c r="CQ588" s="69"/>
      <c r="CR588" s="69"/>
      <c r="CS588" s="69"/>
      <c r="CT588" s="69"/>
      <c r="CU588" s="69"/>
      <c r="CV588" s="69"/>
      <c r="CW588" s="69"/>
      <c r="CX588" s="69"/>
      <c r="CY588" s="69"/>
      <c r="CZ588" s="69"/>
      <c r="DA588" s="69"/>
      <c r="DB588" s="69"/>
      <c r="DC588" s="69"/>
      <c r="DD588" s="69"/>
      <c r="DE588" s="69"/>
      <c r="DF588" s="69"/>
      <c r="DG588" s="69"/>
      <c r="DH588" s="69"/>
      <c r="DI588" s="69"/>
      <c r="DJ588" s="69"/>
      <c r="DK588" s="69"/>
      <c r="DL588" s="69"/>
    </row>
    <row r="589" spans="1:116" ht="13" x14ac:dyDescent="0.3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202"/>
      <c r="V589" s="69"/>
      <c r="W589" s="69"/>
      <c r="X589" s="69"/>
      <c r="Y589" s="69"/>
      <c r="Z589" s="69"/>
      <c r="AA589" s="69"/>
      <c r="AB589" s="203"/>
      <c r="AC589" s="69"/>
      <c r="AD589" s="69"/>
      <c r="AE589" s="203"/>
      <c r="AF589" s="69"/>
      <c r="AG589" s="69"/>
      <c r="AH589" s="69"/>
      <c r="AI589" s="69"/>
      <c r="AJ589" s="69"/>
      <c r="AK589" s="69"/>
      <c r="AL589" s="69"/>
      <c r="AM589" s="69"/>
      <c r="AN589" s="69"/>
      <c r="AO589" s="69"/>
      <c r="AP589" s="69"/>
      <c r="AQ589" s="69"/>
      <c r="AR589" s="69"/>
      <c r="AS589" s="69"/>
      <c r="AT589" s="69"/>
      <c r="AU589" s="69"/>
      <c r="AV589" s="69"/>
      <c r="AW589" s="69"/>
      <c r="AX589" s="69"/>
      <c r="AY589" s="69"/>
      <c r="AZ589" s="69"/>
      <c r="BA589" s="69"/>
      <c r="BB589" s="69"/>
      <c r="BC589" s="69"/>
      <c r="BD589" s="69"/>
      <c r="BE589" s="69"/>
      <c r="BF589" s="69"/>
      <c r="BG589" s="69"/>
      <c r="BH589" s="69"/>
      <c r="BI589" s="69"/>
      <c r="BJ589" s="69"/>
      <c r="BK589" s="69"/>
      <c r="BL589" s="69"/>
      <c r="BM589" s="69"/>
      <c r="BN589" s="69"/>
      <c r="BO589" s="69"/>
      <c r="BP589" s="69"/>
      <c r="BQ589" s="69"/>
      <c r="BR589" s="69"/>
      <c r="BS589" s="69"/>
      <c r="BT589" s="69"/>
      <c r="BU589" s="69"/>
      <c r="BV589" s="69"/>
      <c r="BW589" s="69"/>
      <c r="BX589" s="69"/>
      <c r="BY589" s="69"/>
      <c r="BZ589" s="69"/>
      <c r="CA589" s="69"/>
      <c r="CB589" s="69"/>
      <c r="CC589" s="69"/>
      <c r="CD589" s="69"/>
      <c r="CE589" s="69"/>
      <c r="CF589" s="69"/>
      <c r="CG589" s="69"/>
      <c r="CH589" s="69"/>
      <c r="CI589" s="69"/>
      <c r="CJ589" s="69"/>
      <c r="CK589" s="69"/>
      <c r="CL589" s="69"/>
      <c r="CM589" s="69"/>
      <c r="CN589" s="69"/>
      <c r="CO589" s="69"/>
      <c r="CP589" s="69"/>
      <c r="CQ589" s="69"/>
      <c r="CR589" s="69"/>
      <c r="CS589" s="69"/>
      <c r="CT589" s="69"/>
      <c r="CU589" s="69"/>
      <c r="CV589" s="69"/>
      <c r="CW589" s="69"/>
      <c r="CX589" s="69"/>
      <c r="CY589" s="69"/>
      <c r="CZ589" s="69"/>
      <c r="DA589" s="69"/>
      <c r="DB589" s="69"/>
      <c r="DC589" s="69"/>
      <c r="DD589" s="69"/>
      <c r="DE589" s="69"/>
      <c r="DF589" s="69"/>
      <c r="DG589" s="69"/>
      <c r="DH589" s="69"/>
      <c r="DI589" s="69"/>
      <c r="DJ589" s="69"/>
      <c r="DK589" s="69"/>
      <c r="DL589" s="69"/>
    </row>
    <row r="590" spans="1:116" ht="13" x14ac:dyDescent="0.3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202"/>
      <c r="V590" s="69"/>
      <c r="W590" s="69"/>
      <c r="X590" s="69"/>
      <c r="Y590" s="69"/>
      <c r="Z590" s="69"/>
      <c r="AA590" s="69"/>
      <c r="AB590" s="203"/>
      <c r="AC590" s="69"/>
      <c r="AD590" s="69"/>
      <c r="AE590" s="203"/>
      <c r="AF590" s="69"/>
      <c r="AG590" s="69"/>
      <c r="AH590" s="69"/>
      <c r="AI590" s="69"/>
      <c r="AJ590" s="69"/>
      <c r="AK590" s="69"/>
      <c r="AL590" s="69"/>
      <c r="AM590" s="69"/>
      <c r="AN590" s="69"/>
      <c r="AO590" s="69"/>
      <c r="AP590" s="69"/>
      <c r="AQ590" s="69"/>
      <c r="AR590" s="69"/>
      <c r="AS590" s="69"/>
      <c r="AT590" s="69"/>
      <c r="AU590" s="69"/>
      <c r="AV590" s="69"/>
      <c r="AW590" s="69"/>
      <c r="AX590" s="69"/>
      <c r="AY590" s="69"/>
      <c r="AZ590" s="69"/>
      <c r="BA590" s="69"/>
      <c r="BB590" s="69"/>
      <c r="BC590" s="69"/>
      <c r="BD590" s="69"/>
      <c r="BE590" s="69"/>
      <c r="BF590" s="69"/>
      <c r="BG590" s="69"/>
      <c r="BH590" s="69"/>
      <c r="BI590" s="69"/>
      <c r="BJ590" s="69"/>
      <c r="BK590" s="69"/>
      <c r="BL590" s="69"/>
      <c r="BM590" s="69"/>
      <c r="BN590" s="69"/>
      <c r="BO590" s="69"/>
      <c r="BP590" s="69"/>
      <c r="BQ590" s="69"/>
      <c r="BR590" s="69"/>
      <c r="BS590" s="69"/>
      <c r="BT590" s="69"/>
      <c r="BU590" s="69"/>
      <c r="BV590" s="69"/>
      <c r="BW590" s="69"/>
      <c r="BX590" s="69"/>
      <c r="BY590" s="69"/>
      <c r="BZ590" s="69"/>
      <c r="CA590" s="69"/>
      <c r="CB590" s="69"/>
      <c r="CC590" s="69"/>
      <c r="CD590" s="69"/>
      <c r="CE590" s="69"/>
      <c r="CF590" s="69"/>
      <c r="CG590" s="69"/>
      <c r="CH590" s="69"/>
      <c r="CI590" s="69"/>
      <c r="CJ590" s="69"/>
      <c r="CK590" s="69"/>
      <c r="CL590" s="69"/>
      <c r="CM590" s="69"/>
      <c r="CN590" s="69"/>
      <c r="CO590" s="69"/>
      <c r="CP590" s="69"/>
      <c r="CQ590" s="69"/>
      <c r="CR590" s="69"/>
      <c r="CS590" s="69"/>
      <c r="CT590" s="69"/>
      <c r="CU590" s="69"/>
      <c r="CV590" s="69"/>
      <c r="CW590" s="69"/>
      <c r="CX590" s="69"/>
      <c r="CY590" s="69"/>
      <c r="CZ590" s="69"/>
      <c r="DA590" s="69"/>
      <c r="DB590" s="69"/>
      <c r="DC590" s="69"/>
      <c r="DD590" s="69"/>
      <c r="DE590" s="69"/>
      <c r="DF590" s="69"/>
      <c r="DG590" s="69"/>
      <c r="DH590" s="69"/>
      <c r="DI590" s="69"/>
      <c r="DJ590" s="69"/>
      <c r="DK590" s="69"/>
      <c r="DL590" s="69"/>
    </row>
    <row r="591" spans="1:116" ht="13" x14ac:dyDescent="0.3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202"/>
      <c r="V591" s="69"/>
      <c r="W591" s="69"/>
      <c r="X591" s="69"/>
      <c r="Y591" s="69"/>
      <c r="Z591" s="69"/>
      <c r="AA591" s="69"/>
      <c r="AB591" s="203"/>
      <c r="AC591" s="69"/>
      <c r="AD591" s="69"/>
      <c r="AE591" s="203"/>
      <c r="AF591" s="69"/>
      <c r="AG591" s="69"/>
      <c r="AH591" s="69"/>
      <c r="AI591" s="69"/>
      <c r="AJ591" s="69"/>
      <c r="AK591" s="69"/>
      <c r="AL591" s="69"/>
      <c r="AM591" s="69"/>
      <c r="AN591" s="69"/>
      <c r="AO591" s="69"/>
      <c r="AP591" s="69"/>
      <c r="AQ591" s="69"/>
      <c r="AR591" s="69"/>
      <c r="AS591" s="69"/>
      <c r="AT591" s="69"/>
      <c r="AU591" s="69"/>
      <c r="AV591" s="69"/>
      <c r="AW591" s="69"/>
      <c r="AX591" s="69"/>
      <c r="AY591" s="69"/>
      <c r="AZ591" s="69"/>
      <c r="BA591" s="69"/>
      <c r="BB591" s="69"/>
      <c r="BC591" s="69"/>
      <c r="BD591" s="69"/>
      <c r="BE591" s="69"/>
      <c r="BF591" s="69"/>
      <c r="BG591" s="69"/>
      <c r="BH591" s="69"/>
      <c r="BI591" s="69"/>
      <c r="BJ591" s="69"/>
      <c r="BK591" s="69"/>
      <c r="BL591" s="69"/>
      <c r="BM591" s="69"/>
      <c r="BN591" s="69"/>
      <c r="BO591" s="69"/>
      <c r="BP591" s="69"/>
      <c r="BQ591" s="69"/>
      <c r="BR591" s="69"/>
      <c r="BS591" s="69"/>
      <c r="BT591" s="69"/>
      <c r="BU591" s="69"/>
      <c r="BV591" s="69"/>
      <c r="BW591" s="69"/>
      <c r="BX591" s="69"/>
      <c r="BY591" s="69"/>
      <c r="BZ591" s="69"/>
      <c r="CA591" s="69"/>
      <c r="CB591" s="69"/>
      <c r="CC591" s="69"/>
      <c r="CD591" s="69"/>
      <c r="CE591" s="69"/>
      <c r="CF591" s="69"/>
      <c r="CG591" s="69"/>
      <c r="CH591" s="69"/>
      <c r="CI591" s="69"/>
      <c r="CJ591" s="69"/>
      <c r="CK591" s="69"/>
      <c r="CL591" s="69"/>
      <c r="CM591" s="69"/>
      <c r="CN591" s="69"/>
      <c r="CO591" s="69"/>
      <c r="CP591" s="69"/>
      <c r="CQ591" s="69"/>
      <c r="CR591" s="69"/>
      <c r="CS591" s="69"/>
      <c r="CT591" s="69"/>
      <c r="CU591" s="69"/>
      <c r="CV591" s="69"/>
      <c r="CW591" s="69"/>
      <c r="CX591" s="69"/>
      <c r="CY591" s="69"/>
      <c r="CZ591" s="69"/>
      <c r="DA591" s="69"/>
      <c r="DB591" s="69"/>
      <c r="DC591" s="69"/>
      <c r="DD591" s="69"/>
      <c r="DE591" s="69"/>
      <c r="DF591" s="69"/>
      <c r="DG591" s="69"/>
      <c r="DH591" s="69"/>
      <c r="DI591" s="69"/>
      <c r="DJ591" s="69"/>
      <c r="DK591" s="69"/>
      <c r="DL591" s="69"/>
    </row>
    <row r="592" spans="1:116" ht="13" x14ac:dyDescent="0.3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202"/>
      <c r="V592" s="69"/>
      <c r="W592" s="69"/>
      <c r="X592" s="69"/>
      <c r="Y592" s="69"/>
      <c r="Z592" s="69"/>
      <c r="AA592" s="69"/>
      <c r="AB592" s="203"/>
      <c r="AC592" s="69"/>
      <c r="AD592" s="69"/>
      <c r="AE592" s="203"/>
      <c r="AF592" s="69"/>
      <c r="AG592" s="69"/>
      <c r="AH592" s="69"/>
      <c r="AI592" s="69"/>
      <c r="AJ592" s="69"/>
      <c r="AK592" s="69"/>
      <c r="AL592" s="69"/>
      <c r="AM592" s="69"/>
      <c r="AN592" s="69"/>
      <c r="AO592" s="69"/>
      <c r="AP592" s="69"/>
      <c r="AQ592" s="69"/>
      <c r="AR592" s="69"/>
      <c r="AS592" s="69"/>
      <c r="AT592" s="69"/>
      <c r="AU592" s="69"/>
      <c r="AV592" s="69"/>
      <c r="AW592" s="69"/>
      <c r="AX592" s="69"/>
      <c r="AY592" s="69"/>
      <c r="AZ592" s="69"/>
      <c r="BA592" s="69"/>
      <c r="BB592" s="69"/>
      <c r="BC592" s="69"/>
      <c r="BD592" s="69"/>
      <c r="BE592" s="69"/>
      <c r="BF592" s="69"/>
      <c r="BG592" s="69"/>
      <c r="BH592" s="69"/>
      <c r="BI592" s="69"/>
      <c r="BJ592" s="69"/>
      <c r="BK592" s="69"/>
      <c r="BL592" s="69"/>
      <c r="BM592" s="69"/>
      <c r="BN592" s="69"/>
      <c r="BO592" s="69"/>
      <c r="BP592" s="69"/>
      <c r="BQ592" s="69"/>
      <c r="BR592" s="69"/>
      <c r="BS592" s="69"/>
      <c r="BT592" s="69"/>
      <c r="BU592" s="69"/>
      <c r="BV592" s="69"/>
      <c r="BW592" s="69"/>
      <c r="BX592" s="69"/>
      <c r="BY592" s="69"/>
      <c r="BZ592" s="69"/>
      <c r="CA592" s="69"/>
      <c r="CB592" s="69"/>
      <c r="CC592" s="69"/>
      <c r="CD592" s="69"/>
      <c r="CE592" s="69"/>
      <c r="CF592" s="69"/>
      <c r="CG592" s="69"/>
      <c r="CH592" s="69"/>
      <c r="CI592" s="69"/>
      <c r="CJ592" s="69"/>
      <c r="CK592" s="69"/>
      <c r="CL592" s="69"/>
      <c r="CM592" s="69"/>
      <c r="CN592" s="69"/>
      <c r="CO592" s="69"/>
      <c r="CP592" s="69"/>
      <c r="CQ592" s="69"/>
      <c r="CR592" s="69"/>
      <c r="CS592" s="69"/>
      <c r="CT592" s="69"/>
      <c r="CU592" s="69"/>
      <c r="CV592" s="69"/>
      <c r="CW592" s="69"/>
      <c r="CX592" s="69"/>
      <c r="CY592" s="69"/>
      <c r="CZ592" s="69"/>
      <c r="DA592" s="69"/>
      <c r="DB592" s="69"/>
      <c r="DC592" s="69"/>
      <c r="DD592" s="69"/>
      <c r="DE592" s="69"/>
      <c r="DF592" s="69"/>
      <c r="DG592" s="69"/>
      <c r="DH592" s="69"/>
      <c r="DI592" s="69"/>
      <c r="DJ592" s="69"/>
      <c r="DK592" s="69"/>
      <c r="DL592" s="69"/>
    </row>
    <row r="593" spans="1:116" ht="13" x14ac:dyDescent="0.3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202"/>
      <c r="V593" s="69"/>
      <c r="W593" s="69"/>
      <c r="X593" s="69"/>
      <c r="Y593" s="69"/>
      <c r="Z593" s="69"/>
      <c r="AA593" s="69"/>
      <c r="AB593" s="203"/>
      <c r="AC593" s="69"/>
      <c r="AD593" s="69"/>
      <c r="AE593" s="203"/>
      <c r="AF593" s="69"/>
      <c r="AG593" s="69"/>
      <c r="AH593" s="69"/>
      <c r="AI593" s="69"/>
      <c r="AJ593" s="69"/>
      <c r="AK593" s="69"/>
      <c r="AL593" s="69"/>
      <c r="AM593" s="69"/>
      <c r="AN593" s="69"/>
      <c r="AO593" s="69"/>
      <c r="AP593" s="69"/>
      <c r="AQ593" s="69"/>
      <c r="AR593" s="69"/>
      <c r="AS593" s="69"/>
      <c r="AT593" s="69"/>
      <c r="AU593" s="69"/>
      <c r="AV593" s="69"/>
      <c r="AW593" s="69"/>
      <c r="AX593" s="69"/>
      <c r="AY593" s="69"/>
      <c r="AZ593" s="69"/>
      <c r="BA593" s="69"/>
      <c r="BB593" s="69"/>
      <c r="BC593" s="69"/>
      <c r="BD593" s="69"/>
      <c r="BE593" s="69"/>
      <c r="BF593" s="69"/>
      <c r="BG593" s="69"/>
      <c r="BH593" s="69"/>
      <c r="BI593" s="69"/>
      <c r="BJ593" s="69"/>
      <c r="BK593" s="69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9"/>
      <c r="CA593" s="69"/>
      <c r="CB593" s="69"/>
      <c r="CC593" s="69"/>
      <c r="CD593" s="69"/>
      <c r="CE593" s="69"/>
      <c r="CF593" s="69"/>
      <c r="CG593" s="69"/>
      <c r="CH593" s="69"/>
      <c r="CI593" s="69"/>
      <c r="CJ593" s="69"/>
      <c r="CK593" s="69"/>
      <c r="CL593" s="69"/>
      <c r="CM593" s="69"/>
      <c r="CN593" s="69"/>
      <c r="CO593" s="69"/>
      <c r="CP593" s="69"/>
      <c r="CQ593" s="69"/>
      <c r="CR593" s="69"/>
      <c r="CS593" s="69"/>
      <c r="CT593" s="69"/>
      <c r="CU593" s="69"/>
      <c r="CV593" s="69"/>
      <c r="CW593" s="69"/>
      <c r="CX593" s="69"/>
      <c r="CY593" s="69"/>
      <c r="CZ593" s="69"/>
      <c r="DA593" s="69"/>
      <c r="DB593" s="69"/>
      <c r="DC593" s="69"/>
      <c r="DD593" s="69"/>
      <c r="DE593" s="69"/>
      <c r="DF593" s="69"/>
      <c r="DG593" s="69"/>
      <c r="DH593" s="69"/>
      <c r="DI593" s="69"/>
      <c r="DJ593" s="69"/>
      <c r="DK593" s="69"/>
      <c r="DL593" s="69"/>
    </row>
    <row r="594" spans="1:116" ht="13" x14ac:dyDescent="0.3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202"/>
      <c r="V594" s="69"/>
      <c r="W594" s="69"/>
      <c r="X594" s="69"/>
      <c r="Y594" s="69"/>
      <c r="Z594" s="69"/>
      <c r="AA594" s="69"/>
      <c r="AB594" s="203"/>
      <c r="AC594" s="69"/>
      <c r="AD594" s="69"/>
      <c r="AE594" s="203"/>
      <c r="AF594" s="69"/>
      <c r="AG594" s="69"/>
      <c r="AH594" s="69"/>
      <c r="AI594" s="69"/>
      <c r="AJ594" s="69"/>
      <c r="AK594" s="69"/>
      <c r="AL594" s="69"/>
      <c r="AM594" s="69"/>
      <c r="AN594" s="69"/>
      <c r="AO594" s="69"/>
      <c r="AP594" s="69"/>
      <c r="AQ594" s="69"/>
      <c r="AR594" s="69"/>
      <c r="AS594" s="69"/>
      <c r="AT594" s="69"/>
      <c r="AU594" s="69"/>
      <c r="AV594" s="69"/>
      <c r="AW594" s="69"/>
      <c r="AX594" s="69"/>
      <c r="AY594" s="69"/>
      <c r="AZ594" s="69"/>
      <c r="BA594" s="69"/>
      <c r="BB594" s="69"/>
      <c r="BC594" s="69"/>
      <c r="BD594" s="69"/>
      <c r="BE594" s="69"/>
      <c r="BF594" s="69"/>
      <c r="BG594" s="69"/>
      <c r="BH594" s="69"/>
      <c r="BI594" s="69"/>
      <c r="BJ594" s="69"/>
      <c r="BK594" s="69"/>
      <c r="BL594" s="69"/>
      <c r="BM594" s="69"/>
      <c r="BN594" s="69"/>
      <c r="BO594" s="69"/>
      <c r="BP594" s="69"/>
      <c r="BQ594" s="69"/>
      <c r="BR594" s="69"/>
      <c r="BS594" s="69"/>
      <c r="BT594" s="69"/>
      <c r="BU594" s="69"/>
      <c r="BV594" s="69"/>
      <c r="BW594" s="69"/>
      <c r="BX594" s="69"/>
      <c r="BY594" s="69"/>
      <c r="BZ594" s="69"/>
      <c r="CA594" s="69"/>
      <c r="CB594" s="69"/>
      <c r="CC594" s="69"/>
      <c r="CD594" s="69"/>
      <c r="CE594" s="69"/>
      <c r="CF594" s="69"/>
      <c r="CG594" s="69"/>
      <c r="CH594" s="69"/>
      <c r="CI594" s="69"/>
      <c r="CJ594" s="69"/>
      <c r="CK594" s="69"/>
      <c r="CL594" s="69"/>
      <c r="CM594" s="69"/>
      <c r="CN594" s="69"/>
      <c r="CO594" s="69"/>
      <c r="CP594" s="69"/>
      <c r="CQ594" s="69"/>
      <c r="CR594" s="69"/>
      <c r="CS594" s="69"/>
      <c r="CT594" s="69"/>
      <c r="CU594" s="69"/>
      <c r="CV594" s="69"/>
      <c r="CW594" s="69"/>
      <c r="CX594" s="69"/>
      <c r="CY594" s="69"/>
      <c r="CZ594" s="69"/>
      <c r="DA594" s="69"/>
      <c r="DB594" s="69"/>
      <c r="DC594" s="69"/>
      <c r="DD594" s="69"/>
      <c r="DE594" s="69"/>
      <c r="DF594" s="69"/>
      <c r="DG594" s="69"/>
      <c r="DH594" s="69"/>
      <c r="DI594" s="69"/>
      <c r="DJ594" s="69"/>
      <c r="DK594" s="69"/>
      <c r="DL594" s="69"/>
    </row>
    <row r="595" spans="1:116" ht="13" x14ac:dyDescent="0.3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202"/>
      <c r="V595" s="69"/>
      <c r="W595" s="69"/>
      <c r="X595" s="69"/>
      <c r="Y595" s="69"/>
      <c r="Z595" s="69"/>
      <c r="AA595" s="69"/>
      <c r="AB595" s="203"/>
      <c r="AC595" s="69"/>
      <c r="AD595" s="69"/>
      <c r="AE595" s="203"/>
      <c r="AF595" s="69"/>
      <c r="AG595" s="69"/>
      <c r="AH595" s="69"/>
      <c r="AI595" s="69"/>
      <c r="AJ595" s="69"/>
      <c r="AK595" s="69"/>
      <c r="AL595" s="69"/>
      <c r="AM595" s="69"/>
      <c r="AN595" s="69"/>
      <c r="AO595" s="69"/>
      <c r="AP595" s="69"/>
      <c r="AQ595" s="69"/>
      <c r="AR595" s="69"/>
      <c r="AS595" s="69"/>
      <c r="AT595" s="69"/>
      <c r="AU595" s="69"/>
      <c r="AV595" s="69"/>
      <c r="AW595" s="69"/>
      <c r="AX595" s="69"/>
      <c r="AY595" s="69"/>
      <c r="AZ595" s="69"/>
      <c r="BA595" s="69"/>
      <c r="BB595" s="69"/>
      <c r="BC595" s="69"/>
      <c r="BD595" s="69"/>
      <c r="BE595" s="69"/>
      <c r="BF595" s="69"/>
      <c r="BG595" s="69"/>
      <c r="BH595" s="69"/>
      <c r="BI595" s="69"/>
      <c r="BJ595" s="69"/>
      <c r="BK595" s="69"/>
      <c r="BL595" s="69"/>
      <c r="BM595" s="69"/>
      <c r="BN595" s="69"/>
      <c r="BO595" s="69"/>
      <c r="BP595" s="69"/>
      <c r="BQ595" s="69"/>
      <c r="BR595" s="69"/>
      <c r="BS595" s="69"/>
      <c r="BT595" s="69"/>
      <c r="BU595" s="69"/>
      <c r="BV595" s="69"/>
      <c r="BW595" s="69"/>
      <c r="BX595" s="69"/>
      <c r="BY595" s="69"/>
      <c r="BZ595" s="69"/>
      <c r="CA595" s="69"/>
      <c r="CB595" s="69"/>
      <c r="CC595" s="69"/>
      <c r="CD595" s="69"/>
      <c r="CE595" s="69"/>
      <c r="CF595" s="69"/>
      <c r="CG595" s="69"/>
      <c r="CH595" s="69"/>
      <c r="CI595" s="69"/>
      <c r="CJ595" s="69"/>
      <c r="CK595" s="69"/>
      <c r="CL595" s="69"/>
      <c r="CM595" s="69"/>
      <c r="CN595" s="69"/>
      <c r="CO595" s="69"/>
      <c r="CP595" s="69"/>
      <c r="CQ595" s="69"/>
      <c r="CR595" s="69"/>
      <c r="CS595" s="69"/>
      <c r="CT595" s="69"/>
      <c r="CU595" s="69"/>
      <c r="CV595" s="69"/>
      <c r="CW595" s="69"/>
      <c r="CX595" s="69"/>
      <c r="CY595" s="69"/>
      <c r="CZ595" s="69"/>
      <c r="DA595" s="69"/>
      <c r="DB595" s="69"/>
      <c r="DC595" s="69"/>
      <c r="DD595" s="69"/>
      <c r="DE595" s="69"/>
      <c r="DF595" s="69"/>
      <c r="DG595" s="69"/>
      <c r="DH595" s="69"/>
      <c r="DI595" s="69"/>
      <c r="DJ595" s="69"/>
      <c r="DK595" s="69"/>
      <c r="DL595" s="69"/>
    </row>
    <row r="596" spans="1:116" ht="13" x14ac:dyDescent="0.3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202"/>
      <c r="V596" s="69"/>
      <c r="W596" s="69"/>
      <c r="X596" s="69"/>
      <c r="Y596" s="69"/>
      <c r="Z596" s="69"/>
      <c r="AA596" s="69"/>
      <c r="AB596" s="203"/>
      <c r="AC596" s="69"/>
      <c r="AD596" s="69"/>
      <c r="AE596" s="203"/>
      <c r="AF596" s="69"/>
      <c r="AG596" s="69"/>
      <c r="AH596" s="69"/>
      <c r="AI596" s="69"/>
      <c r="AJ596" s="69"/>
      <c r="AK596" s="69"/>
      <c r="AL596" s="69"/>
      <c r="AM596" s="69"/>
      <c r="AN596" s="69"/>
      <c r="AO596" s="69"/>
      <c r="AP596" s="69"/>
      <c r="AQ596" s="69"/>
      <c r="AR596" s="69"/>
      <c r="AS596" s="69"/>
      <c r="AT596" s="69"/>
      <c r="AU596" s="69"/>
      <c r="AV596" s="69"/>
      <c r="AW596" s="69"/>
      <c r="AX596" s="69"/>
      <c r="AY596" s="69"/>
      <c r="AZ596" s="69"/>
      <c r="BA596" s="69"/>
      <c r="BB596" s="69"/>
      <c r="BC596" s="69"/>
      <c r="BD596" s="69"/>
      <c r="BE596" s="69"/>
      <c r="BF596" s="69"/>
      <c r="BG596" s="69"/>
      <c r="BH596" s="69"/>
      <c r="BI596" s="69"/>
      <c r="BJ596" s="69"/>
      <c r="BK596" s="69"/>
      <c r="BL596" s="69"/>
      <c r="BM596" s="69"/>
      <c r="BN596" s="69"/>
      <c r="BO596" s="69"/>
      <c r="BP596" s="69"/>
      <c r="BQ596" s="69"/>
      <c r="BR596" s="69"/>
      <c r="BS596" s="69"/>
      <c r="BT596" s="69"/>
      <c r="BU596" s="69"/>
      <c r="BV596" s="69"/>
      <c r="BW596" s="69"/>
      <c r="BX596" s="69"/>
      <c r="BY596" s="69"/>
      <c r="BZ596" s="69"/>
      <c r="CA596" s="69"/>
      <c r="CB596" s="69"/>
      <c r="CC596" s="69"/>
      <c r="CD596" s="69"/>
      <c r="CE596" s="69"/>
      <c r="CF596" s="69"/>
      <c r="CG596" s="69"/>
      <c r="CH596" s="69"/>
      <c r="CI596" s="69"/>
      <c r="CJ596" s="69"/>
      <c r="CK596" s="69"/>
      <c r="CL596" s="69"/>
      <c r="CM596" s="69"/>
      <c r="CN596" s="69"/>
      <c r="CO596" s="69"/>
      <c r="CP596" s="69"/>
      <c r="CQ596" s="69"/>
      <c r="CR596" s="69"/>
      <c r="CS596" s="69"/>
      <c r="CT596" s="69"/>
      <c r="CU596" s="69"/>
      <c r="CV596" s="69"/>
      <c r="CW596" s="69"/>
      <c r="CX596" s="69"/>
      <c r="CY596" s="69"/>
      <c r="CZ596" s="69"/>
      <c r="DA596" s="69"/>
      <c r="DB596" s="69"/>
      <c r="DC596" s="69"/>
      <c r="DD596" s="69"/>
      <c r="DE596" s="69"/>
      <c r="DF596" s="69"/>
      <c r="DG596" s="69"/>
      <c r="DH596" s="69"/>
      <c r="DI596" s="69"/>
      <c r="DJ596" s="69"/>
      <c r="DK596" s="69"/>
      <c r="DL596" s="69"/>
    </row>
    <row r="597" spans="1:116" ht="13" x14ac:dyDescent="0.3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202"/>
      <c r="V597" s="69"/>
      <c r="W597" s="69"/>
      <c r="X597" s="69"/>
      <c r="Y597" s="69"/>
      <c r="Z597" s="69"/>
      <c r="AA597" s="69"/>
      <c r="AB597" s="203"/>
      <c r="AC597" s="69"/>
      <c r="AD597" s="69"/>
      <c r="AE597" s="203"/>
      <c r="AF597" s="69"/>
      <c r="AG597" s="69"/>
      <c r="AH597" s="69"/>
      <c r="AI597" s="69"/>
      <c r="AJ597" s="69"/>
      <c r="AK597" s="69"/>
      <c r="AL597" s="69"/>
      <c r="AM597" s="69"/>
      <c r="AN597" s="69"/>
      <c r="AO597" s="69"/>
      <c r="AP597" s="69"/>
      <c r="AQ597" s="69"/>
      <c r="AR597" s="69"/>
      <c r="AS597" s="69"/>
      <c r="AT597" s="69"/>
      <c r="AU597" s="69"/>
      <c r="AV597" s="69"/>
      <c r="AW597" s="69"/>
      <c r="AX597" s="69"/>
      <c r="AY597" s="69"/>
      <c r="AZ597" s="69"/>
      <c r="BA597" s="69"/>
      <c r="BB597" s="69"/>
      <c r="BC597" s="69"/>
      <c r="BD597" s="69"/>
      <c r="BE597" s="69"/>
      <c r="BF597" s="69"/>
      <c r="BG597" s="69"/>
      <c r="BH597" s="69"/>
      <c r="BI597" s="69"/>
      <c r="BJ597" s="69"/>
      <c r="BK597" s="69"/>
      <c r="BL597" s="69"/>
      <c r="BM597" s="69"/>
      <c r="BN597" s="69"/>
      <c r="BO597" s="69"/>
      <c r="BP597" s="69"/>
      <c r="BQ597" s="69"/>
      <c r="BR597" s="69"/>
      <c r="BS597" s="69"/>
      <c r="BT597" s="69"/>
      <c r="BU597" s="69"/>
      <c r="BV597" s="69"/>
      <c r="BW597" s="69"/>
      <c r="BX597" s="69"/>
      <c r="BY597" s="69"/>
      <c r="BZ597" s="69"/>
      <c r="CA597" s="69"/>
      <c r="CB597" s="69"/>
      <c r="CC597" s="69"/>
      <c r="CD597" s="69"/>
      <c r="CE597" s="69"/>
      <c r="CF597" s="69"/>
      <c r="CG597" s="69"/>
      <c r="CH597" s="69"/>
      <c r="CI597" s="69"/>
      <c r="CJ597" s="69"/>
      <c r="CK597" s="69"/>
      <c r="CL597" s="69"/>
      <c r="CM597" s="69"/>
      <c r="CN597" s="69"/>
      <c r="CO597" s="69"/>
      <c r="CP597" s="69"/>
      <c r="CQ597" s="69"/>
      <c r="CR597" s="69"/>
      <c r="CS597" s="69"/>
      <c r="CT597" s="69"/>
      <c r="CU597" s="69"/>
      <c r="CV597" s="69"/>
      <c r="CW597" s="69"/>
      <c r="CX597" s="69"/>
      <c r="CY597" s="69"/>
      <c r="CZ597" s="69"/>
      <c r="DA597" s="69"/>
      <c r="DB597" s="69"/>
      <c r="DC597" s="69"/>
      <c r="DD597" s="69"/>
      <c r="DE597" s="69"/>
      <c r="DF597" s="69"/>
      <c r="DG597" s="69"/>
      <c r="DH597" s="69"/>
      <c r="DI597" s="69"/>
      <c r="DJ597" s="69"/>
      <c r="DK597" s="69"/>
      <c r="DL597" s="69"/>
    </row>
    <row r="598" spans="1:116" ht="13" x14ac:dyDescent="0.3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202"/>
      <c r="V598" s="69"/>
      <c r="W598" s="69"/>
      <c r="X598" s="69"/>
      <c r="Y598" s="69"/>
      <c r="Z598" s="69"/>
      <c r="AA598" s="69"/>
      <c r="AB598" s="203"/>
      <c r="AC598" s="69"/>
      <c r="AD598" s="69"/>
      <c r="AE598" s="203"/>
      <c r="AF598" s="69"/>
      <c r="AG598" s="69"/>
      <c r="AH598" s="69"/>
      <c r="AI598" s="69"/>
      <c r="AJ598" s="69"/>
      <c r="AK598" s="69"/>
      <c r="AL598" s="69"/>
      <c r="AM598" s="69"/>
      <c r="AN598" s="69"/>
      <c r="AO598" s="69"/>
      <c r="AP598" s="69"/>
      <c r="AQ598" s="69"/>
      <c r="AR598" s="69"/>
      <c r="AS598" s="69"/>
      <c r="AT598" s="69"/>
      <c r="AU598" s="69"/>
      <c r="AV598" s="69"/>
      <c r="AW598" s="69"/>
      <c r="AX598" s="69"/>
      <c r="AY598" s="69"/>
      <c r="AZ598" s="69"/>
      <c r="BA598" s="69"/>
      <c r="BB598" s="69"/>
      <c r="BC598" s="69"/>
      <c r="BD598" s="69"/>
      <c r="BE598" s="69"/>
      <c r="BF598" s="69"/>
      <c r="BG598" s="69"/>
      <c r="BH598" s="69"/>
      <c r="BI598" s="69"/>
      <c r="BJ598" s="69"/>
      <c r="BK598" s="69"/>
      <c r="BL598" s="69"/>
      <c r="BM598" s="69"/>
      <c r="BN598" s="69"/>
      <c r="BO598" s="69"/>
      <c r="BP598" s="69"/>
      <c r="BQ598" s="69"/>
      <c r="BR598" s="69"/>
      <c r="BS598" s="69"/>
      <c r="BT598" s="69"/>
      <c r="BU598" s="69"/>
      <c r="BV598" s="69"/>
      <c r="BW598" s="69"/>
      <c r="BX598" s="69"/>
      <c r="BY598" s="69"/>
      <c r="BZ598" s="69"/>
      <c r="CA598" s="69"/>
      <c r="CB598" s="69"/>
      <c r="CC598" s="69"/>
      <c r="CD598" s="69"/>
      <c r="CE598" s="69"/>
      <c r="CF598" s="69"/>
      <c r="CG598" s="69"/>
      <c r="CH598" s="69"/>
      <c r="CI598" s="69"/>
      <c r="CJ598" s="69"/>
      <c r="CK598" s="69"/>
      <c r="CL598" s="69"/>
      <c r="CM598" s="69"/>
      <c r="CN598" s="69"/>
      <c r="CO598" s="69"/>
      <c r="CP598" s="69"/>
      <c r="CQ598" s="69"/>
      <c r="CR598" s="69"/>
      <c r="CS598" s="69"/>
      <c r="CT598" s="69"/>
      <c r="CU598" s="69"/>
      <c r="CV598" s="69"/>
      <c r="CW598" s="69"/>
      <c r="CX598" s="69"/>
      <c r="CY598" s="69"/>
      <c r="CZ598" s="69"/>
      <c r="DA598" s="69"/>
      <c r="DB598" s="69"/>
      <c r="DC598" s="69"/>
      <c r="DD598" s="69"/>
      <c r="DE598" s="69"/>
      <c r="DF598" s="69"/>
      <c r="DG598" s="69"/>
      <c r="DH598" s="69"/>
      <c r="DI598" s="69"/>
      <c r="DJ598" s="69"/>
      <c r="DK598" s="69"/>
      <c r="DL598" s="69"/>
    </row>
    <row r="599" spans="1:116" ht="13" x14ac:dyDescent="0.3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202"/>
      <c r="V599" s="69"/>
      <c r="W599" s="69"/>
      <c r="X599" s="69"/>
      <c r="Y599" s="69"/>
      <c r="Z599" s="69"/>
      <c r="AA599" s="69"/>
      <c r="AB599" s="203"/>
      <c r="AC599" s="69"/>
      <c r="AD599" s="69"/>
      <c r="AE599" s="203"/>
      <c r="AF599" s="69"/>
      <c r="AG599" s="69"/>
      <c r="AH599" s="69"/>
      <c r="AI599" s="69"/>
      <c r="AJ599" s="69"/>
      <c r="AK599" s="69"/>
      <c r="AL599" s="69"/>
      <c r="AM599" s="69"/>
      <c r="AN599" s="69"/>
      <c r="AO599" s="69"/>
      <c r="AP599" s="69"/>
      <c r="AQ599" s="69"/>
      <c r="AR599" s="69"/>
      <c r="AS599" s="69"/>
      <c r="AT599" s="69"/>
      <c r="AU599" s="69"/>
      <c r="AV599" s="69"/>
      <c r="AW599" s="69"/>
      <c r="AX599" s="69"/>
      <c r="AY599" s="69"/>
      <c r="AZ599" s="69"/>
      <c r="BA599" s="69"/>
      <c r="BB599" s="69"/>
      <c r="BC599" s="69"/>
      <c r="BD599" s="69"/>
      <c r="BE599" s="69"/>
      <c r="BF599" s="69"/>
      <c r="BG599" s="69"/>
      <c r="BH599" s="69"/>
      <c r="BI599" s="69"/>
      <c r="BJ599" s="69"/>
      <c r="BK599" s="69"/>
      <c r="BL599" s="69"/>
      <c r="BM599" s="69"/>
      <c r="BN599" s="69"/>
      <c r="BO599" s="69"/>
      <c r="BP599" s="69"/>
      <c r="BQ599" s="69"/>
      <c r="BR599" s="69"/>
      <c r="BS599" s="69"/>
      <c r="BT599" s="69"/>
      <c r="BU599" s="69"/>
      <c r="BV599" s="69"/>
      <c r="BW599" s="69"/>
      <c r="BX599" s="69"/>
      <c r="BY599" s="69"/>
      <c r="BZ599" s="69"/>
      <c r="CA599" s="69"/>
      <c r="CB599" s="69"/>
      <c r="CC599" s="69"/>
      <c r="CD599" s="69"/>
      <c r="CE599" s="69"/>
      <c r="CF599" s="69"/>
      <c r="CG599" s="69"/>
      <c r="CH599" s="69"/>
      <c r="CI599" s="69"/>
      <c r="CJ599" s="69"/>
      <c r="CK599" s="69"/>
      <c r="CL599" s="69"/>
      <c r="CM599" s="69"/>
      <c r="CN599" s="69"/>
      <c r="CO599" s="69"/>
      <c r="CP599" s="69"/>
      <c r="CQ599" s="69"/>
      <c r="CR599" s="69"/>
      <c r="CS599" s="69"/>
      <c r="CT599" s="69"/>
      <c r="CU599" s="69"/>
      <c r="CV599" s="69"/>
      <c r="CW599" s="69"/>
      <c r="CX599" s="69"/>
      <c r="CY599" s="69"/>
      <c r="CZ599" s="69"/>
      <c r="DA599" s="69"/>
      <c r="DB599" s="69"/>
      <c r="DC599" s="69"/>
      <c r="DD599" s="69"/>
      <c r="DE599" s="69"/>
      <c r="DF599" s="69"/>
      <c r="DG599" s="69"/>
      <c r="DH599" s="69"/>
      <c r="DI599" s="69"/>
      <c r="DJ599" s="69"/>
      <c r="DK599" s="69"/>
      <c r="DL599" s="69"/>
    </row>
    <row r="600" spans="1:116" ht="13" x14ac:dyDescent="0.3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202"/>
      <c r="V600" s="69"/>
      <c r="W600" s="69"/>
      <c r="X600" s="69"/>
      <c r="Y600" s="69"/>
      <c r="Z600" s="69"/>
      <c r="AA600" s="69"/>
      <c r="AB600" s="203"/>
      <c r="AC600" s="69"/>
      <c r="AD600" s="69"/>
      <c r="AE600" s="203"/>
      <c r="AF600" s="69"/>
      <c r="AG600" s="69"/>
      <c r="AH600" s="69"/>
      <c r="AI600" s="69"/>
      <c r="AJ600" s="69"/>
      <c r="AK600" s="69"/>
      <c r="AL600" s="69"/>
      <c r="AM600" s="69"/>
      <c r="AN600" s="69"/>
      <c r="AO600" s="69"/>
      <c r="AP600" s="69"/>
      <c r="AQ600" s="69"/>
      <c r="AR600" s="69"/>
      <c r="AS600" s="69"/>
      <c r="AT600" s="69"/>
      <c r="AU600" s="69"/>
      <c r="AV600" s="69"/>
      <c r="AW600" s="69"/>
      <c r="AX600" s="69"/>
      <c r="AY600" s="69"/>
      <c r="AZ600" s="69"/>
      <c r="BA600" s="69"/>
      <c r="BB600" s="69"/>
      <c r="BC600" s="69"/>
      <c r="BD600" s="69"/>
      <c r="BE600" s="69"/>
      <c r="BF600" s="69"/>
      <c r="BG600" s="69"/>
      <c r="BH600" s="69"/>
      <c r="BI600" s="69"/>
      <c r="BJ600" s="69"/>
      <c r="BK600" s="69"/>
      <c r="BL600" s="69"/>
      <c r="BM600" s="69"/>
      <c r="BN600" s="69"/>
      <c r="BO600" s="69"/>
      <c r="BP600" s="69"/>
      <c r="BQ600" s="69"/>
      <c r="BR600" s="69"/>
      <c r="BS600" s="69"/>
      <c r="BT600" s="69"/>
      <c r="BU600" s="69"/>
      <c r="BV600" s="69"/>
      <c r="BW600" s="69"/>
      <c r="BX600" s="69"/>
      <c r="BY600" s="69"/>
      <c r="BZ600" s="69"/>
      <c r="CA600" s="69"/>
      <c r="CB600" s="69"/>
      <c r="CC600" s="69"/>
      <c r="CD600" s="69"/>
      <c r="CE600" s="69"/>
      <c r="CF600" s="69"/>
      <c r="CG600" s="69"/>
      <c r="CH600" s="69"/>
      <c r="CI600" s="69"/>
      <c r="CJ600" s="69"/>
      <c r="CK600" s="69"/>
      <c r="CL600" s="69"/>
      <c r="CM600" s="69"/>
      <c r="CN600" s="69"/>
      <c r="CO600" s="69"/>
      <c r="CP600" s="69"/>
      <c r="CQ600" s="69"/>
      <c r="CR600" s="69"/>
      <c r="CS600" s="69"/>
      <c r="CT600" s="69"/>
      <c r="CU600" s="69"/>
      <c r="CV600" s="69"/>
      <c r="CW600" s="69"/>
      <c r="CX600" s="69"/>
      <c r="CY600" s="69"/>
      <c r="CZ600" s="69"/>
      <c r="DA600" s="69"/>
      <c r="DB600" s="69"/>
      <c r="DC600" s="69"/>
      <c r="DD600" s="69"/>
      <c r="DE600" s="69"/>
      <c r="DF600" s="69"/>
      <c r="DG600" s="69"/>
      <c r="DH600" s="69"/>
      <c r="DI600" s="69"/>
      <c r="DJ600" s="69"/>
      <c r="DK600" s="69"/>
      <c r="DL600" s="69"/>
    </row>
    <row r="601" spans="1:116" ht="13" x14ac:dyDescent="0.3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202"/>
      <c r="V601" s="69"/>
      <c r="W601" s="69"/>
      <c r="X601" s="69"/>
      <c r="Y601" s="69"/>
      <c r="Z601" s="69"/>
      <c r="AA601" s="69"/>
      <c r="AB601" s="203"/>
      <c r="AC601" s="69"/>
      <c r="AD601" s="69"/>
      <c r="AE601" s="203"/>
      <c r="AF601" s="69"/>
      <c r="AG601" s="69"/>
      <c r="AH601" s="69"/>
      <c r="AI601" s="69"/>
      <c r="AJ601" s="69"/>
      <c r="AK601" s="69"/>
      <c r="AL601" s="69"/>
      <c r="AM601" s="69"/>
      <c r="AN601" s="69"/>
      <c r="AO601" s="69"/>
      <c r="AP601" s="69"/>
      <c r="AQ601" s="69"/>
      <c r="AR601" s="69"/>
      <c r="AS601" s="69"/>
      <c r="AT601" s="69"/>
      <c r="AU601" s="69"/>
      <c r="AV601" s="69"/>
      <c r="AW601" s="69"/>
      <c r="AX601" s="69"/>
      <c r="AY601" s="69"/>
      <c r="AZ601" s="69"/>
      <c r="BA601" s="69"/>
      <c r="BB601" s="69"/>
      <c r="BC601" s="69"/>
      <c r="BD601" s="69"/>
      <c r="BE601" s="69"/>
      <c r="BF601" s="69"/>
      <c r="BG601" s="69"/>
      <c r="BH601" s="69"/>
      <c r="BI601" s="69"/>
      <c r="BJ601" s="69"/>
      <c r="BK601" s="69"/>
      <c r="BL601" s="69"/>
      <c r="BM601" s="69"/>
      <c r="BN601" s="69"/>
      <c r="BO601" s="69"/>
      <c r="BP601" s="69"/>
      <c r="BQ601" s="69"/>
      <c r="BR601" s="69"/>
      <c r="BS601" s="69"/>
      <c r="BT601" s="69"/>
      <c r="BU601" s="69"/>
      <c r="BV601" s="69"/>
      <c r="BW601" s="69"/>
      <c r="BX601" s="69"/>
      <c r="BY601" s="69"/>
      <c r="BZ601" s="69"/>
      <c r="CA601" s="69"/>
      <c r="CB601" s="69"/>
      <c r="CC601" s="69"/>
      <c r="CD601" s="69"/>
      <c r="CE601" s="69"/>
      <c r="CF601" s="69"/>
      <c r="CG601" s="69"/>
      <c r="CH601" s="69"/>
      <c r="CI601" s="69"/>
      <c r="CJ601" s="69"/>
      <c r="CK601" s="69"/>
      <c r="CL601" s="69"/>
      <c r="CM601" s="69"/>
      <c r="CN601" s="69"/>
      <c r="CO601" s="69"/>
      <c r="CP601" s="69"/>
      <c r="CQ601" s="69"/>
      <c r="CR601" s="69"/>
      <c r="CS601" s="69"/>
      <c r="CT601" s="69"/>
      <c r="CU601" s="69"/>
      <c r="CV601" s="69"/>
      <c r="CW601" s="69"/>
      <c r="CX601" s="69"/>
      <c r="CY601" s="69"/>
      <c r="CZ601" s="69"/>
      <c r="DA601" s="69"/>
      <c r="DB601" s="69"/>
      <c r="DC601" s="69"/>
      <c r="DD601" s="69"/>
      <c r="DE601" s="69"/>
      <c r="DF601" s="69"/>
      <c r="DG601" s="69"/>
      <c r="DH601" s="69"/>
      <c r="DI601" s="69"/>
      <c r="DJ601" s="69"/>
      <c r="DK601" s="69"/>
      <c r="DL601" s="69"/>
    </row>
    <row r="602" spans="1:116" ht="13" x14ac:dyDescent="0.3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202"/>
      <c r="V602" s="69"/>
      <c r="W602" s="69"/>
      <c r="X602" s="69"/>
      <c r="Y602" s="69"/>
      <c r="Z602" s="69"/>
      <c r="AA602" s="69"/>
      <c r="AB602" s="203"/>
      <c r="AC602" s="69"/>
      <c r="AD602" s="69"/>
      <c r="AE602" s="203"/>
      <c r="AF602" s="69"/>
      <c r="AG602" s="69"/>
      <c r="AH602" s="69"/>
      <c r="AI602" s="69"/>
      <c r="AJ602" s="69"/>
      <c r="AK602" s="69"/>
      <c r="AL602" s="69"/>
      <c r="AM602" s="69"/>
      <c r="AN602" s="69"/>
      <c r="AO602" s="69"/>
      <c r="AP602" s="69"/>
      <c r="AQ602" s="69"/>
      <c r="AR602" s="69"/>
      <c r="AS602" s="69"/>
      <c r="AT602" s="69"/>
      <c r="AU602" s="69"/>
      <c r="AV602" s="69"/>
      <c r="AW602" s="69"/>
      <c r="AX602" s="69"/>
      <c r="AY602" s="69"/>
      <c r="AZ602" s="69"/>
      <c r="BA602" s="69"/>
      <c r="BB602" s="69"/>
      <c r="BC602" s="69"/>
      <c r="BD602" s="69"/>
      <c r="BE602" s="69"/>
      <c r="BF602" s="69"/>
      <c r="BG602" s="69"/>
      <c r="BH602" s="69"/>
      <c r="BI602" s="69"/>
      <c r="BJ602" s="69"/>
      <c r="BK602" s="69"/>
      <c r="BL602" s="69"/>
      <c r="BM602" s="69"/>
      <c r="BN602" s="69"/>
      <c r="BO602" s="69"/>
      <c r="BP602" s="69"/>
      <c r="BQ602" s="69"/>
      <c r="BR602" s="69"/>
      <c r="BS602" s="69"/>
      <c r="BT602" s="69"/>
      <c r="BU602" s="69"/>
      <c r="BV602" s="69"/>
      <c r="BW602" s="69"/>
      <c r="BX602" s="69"/>
      <c r="BY602" s="69"/>
      <c r="BZ602" s="69"/>
      <c r="CA602" s="69"/>
      <c r="CB602" s="69"/>
      <c r="CC602" s="69"/>
      <c r="CD602" s="69"/>
      <c r="CE602" s="69"/>
      <c r="CF602" s="69"/>
      <c r="CG602" s="69"/>
      <c r="CH602" s="69"/>
      <c r="CI602" s="69"/>
      <c r="CJ602" s="69"/>
      <c r="CK602" s="69"/>
      <c r="CL602" s="69"/>
      <c r="CM602" s="69"/>
      <c r="CN602" s="69"/>
      <c r="CO602" s="69"/>
      <c r="CP602" s="69"/>
      <c r="CQ602" s="69"/>
      <c r="CR602" s="69"/>
      <c r="CS602" s="69"/>
      <c r="CT602" s="69"/>
      <c r="CU602" s="69"/>
      <c r="CV602" s="69"/>
      <c r="CW602" s="69"/>
      <c r="CX602" s="69"/>
      <c r="CY602" s="69"/>
      <c r="CZ602" s="69"/>
      <c r="DA602" s="69"/>
      <c r="DB602" s="69"/>
      <c r="DC602" s="69"/>
      <c r="DD602" s="69"/>
      <c r="DE602" s="69"/>
      <c r="DF602" s="69"/>
      <c r="DG602" s="69"/>
      <c r="DH602" s="69"/>
      <c r="DI602" s="69"/>
      <c r="DJ602" s="69"/>
      <c r="DK602" s="69"/>
      <c r="DL602" s="69"/>
    </row>
    <row r="603" spans="1:116" ht="13" x14ac:dyDescent="0.3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202"/>
      <c r="V603" s="69"/>
      <c r="W603" s="69"/>
      <c r="X603" s="69"/>
      <c r="Y603" s="69"/>
      <c r="Z603" s="69"/>
      <c r="AA603" s="69"/>
      <c r="AB603" s="203"/>
      <c r="AC603" s="69"/>
      <c r="AD603" s="69"/>
      <c r="AE603" s="203"/>
      <c r="AF603" s="69"/>
      <c r="AG603" s="69"/>
      <c r="AH603" s="69"/>
      <c r="AI603" s="69"/>
      <c r="AJ603" s="69"/>
      <c r="AK603" s="69"/>
      <c r="AL603" s="69"/>
      <c r="AM603" s="69"/>
      <c r="AN603" s="69"/>
      <c r="AO603" s="69"/>
      <c r="AP603" s="69"/>
      <c r="AQ603" s="69"/>
      <c r="AR603" s="69"/>
      <c r="AS603" s="69"/>
      <c r="AT603" s="69"/>
      <c r="AU603" s="69"/>
      <c r="AV603" s="69"/>
      <c r="AW603" s="69"/>
      <c r="AX603" s="69"/>
      <c r="AY603" s="69"/>
      <c r="AZ603" s="69"/>
      <c r="BA603" s="69"/>
      <c r="BB603" s="69"/>
      <c r="BC603" s="69"/>
      <c r="BD603" s="69"/>
      <c r="BE603" s="69"/>
      <c r="BF603" s="69"/>
      <c r="BG603" s="69"/>
      <c r="BH603" s="69"/>
      <c r="BI603" s="69"/>
      <c r="BJ603" s="69"/>
      <c r="BK603" s="69"/>
      <c r="BL603" s="69"/>
      <c r="BM603" s="69"/>
      <c r="BN603" s="69"/>
      <c r="BO603" s="69"/>
      <c r="BP603" s="69"/>
      <c r="BQ603" s="69"/>
      <c r="BR603" s="69"/>
      <c r="BS603" s="69"/>
      <c r="BT603" s="69"/>
      <c r="BU603" s="69"/>
      <c r="BV603" s="69"/>
      <c r="BW603" s="69"/>
      <c r="BX603" s="69"/>
      <c r="BY603" s="69"/>
      <c r="BZ603" s="69"/>
      <c r="CA603" s="69"/>
      <c r="CB603" s="69"/>
      <c r="CC603" s="69"/>
      <c r="CD603" s="69"/>
      <c r="CE603" s="69"/>
      <c r="CF603" s="69"/>
      <c r="CG603" s="69"/>
      <c r="CH603" s="69"/>
      <c r="CI603" s="69"/>
      <c r="CJ603" s="69"/>
      <c r="CK603" s="69"/>
      <c r="CL603" s="69"/>
      <c r="CM603" s="69"/>
      <c r="CN603" s="69"/>
      <c r="CO603" s="69"/>
      <c r="CP603" s="69"/>
      <c r="CQ603" s="69"/>
      <c r="CR603" s="69"/>
      <c r="CS603" s="69"/>
      <c r="CT603" s="69"/>
      <c r="CU603" s="69"/>
      <c r="CV603" s="69"/>
      <c r="CW603" s="69"/>
      <c r="CX603" s="69"/>
      <c r="CY603" s="69"/>
      <c r="CZ603" s="69"/>
      <c r="DA603" s="69"/>
      <c r="DB603" s="69"/>
      <c r="DC603" s="69"/>
      <c r="DD603" s="69"/>
      <c r="DE603" s="69"/>
      <c r="DF603" s="69"/>
      <c r="DG603" s="69"/>
      <c r="DH603" s="69"/>
      <c r="DI603" s="69"/>
      <c r="DJ603" s="69"/>
      <c r="DK603" s="69"/>
      <c r="DL603" s="69"/>
    </row>
    <row r="604" spans="1:116" ht="13" x14ac:dyDescent="0.3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202"/>
      <c r="V604" s="69"/>
      <c r="W604" s="69"/>
      <c r="X604" s="69"/>
      <c r="Y604" s="69"/>
      <c r="Z604" s="69"/>
      <c r="AA604" s="69"/>
      <c r="AB604" s="203"/>
      <c r="AC604" s="69"/>
      <c r="AD604" s="69"/>
      <c r="AE604" s="203"/>
      <c r="AF604" s="69"/>
      <c r="AG604" s="69"/>
      <c r="AH604" s="69"/>
      <c r="AI604" s="69"/>
      <c r="AJ604" s="69"/>
      <c r="AK604" s="69"/>
      <c r="AL604" s="69"/>
      <c r="AM604" s="69"/>
      <c r="AN604" s="69"/>
      <c r="AO604" s="69"/>
      <c r="AP604" s="69"/>
      <c r="AQ604" s="69"/>
      <c r="AR604" s="69"/>
      <c r="AS604" s="69"/>
      <c r="AT604" s="69"/>
      <c r="AU604" s="69"/>
      <c r="AV604" s="69"/>
      <c r="AW604" s="69"/>
      <c r="AX604" s="69"/>
      <c r="AY604" s="69"/>
      <c r="AZ604" s="69"/>
      <c r="BA604" s="69"/>
      <c r="BB604" s="69"/>
      <c r="BC604" s="69"/>
      <c r="BD604" s="69"/>
      <c r="BE604" s="69"/>
      <c r="BF604" s="69"/>
      <c r="BG604" s="69"/>
      <c r="BH604" s="69"/>
      <c r="BI604" s="69"/>
      <c r="BJ604" s="69"/>
      <c r="BK604" s="69"/>
      <c r="BL604" s="69"/>
      <c r="BM604" s="69"/>
      <c r="BN604" s="69"/>
      <c r="BO604" s="69"/>
      <c r="BP604" s="69"/>
      <c r="BQ604" s="69"/>
      <c r="BR604" s="69"/>
      <c r="BS604" s="69"/>
      <c r="BT604" s="69"/>
      <c r="BU604" s="69"/>
      <c r="BV604" s="69"/>
      <c r="BW604" s="69"/>
      <c r="BX604" s="69"/>
      <c r="BY604" s="69"/>
      <c r="BZ604" s="69"/>
      <c r="CA604" s="69"/>
      <c r="CB604" s="69"/>
      <c r="CC604" s="69"/>
      <c r="CD604" s="69"/>
      <c r="CE604" s="69"/>
      <c r="CF604" s="69"/>
      <c r="CG604" s="69"/>
      <c r="CH604" s="69"/>
      <c r="CI604" s="69"/>
      <c r="CJ604" s="69"/>
      <c r="CK604" s="69"/>
      <c r="CL604" s="69"/>
      <c r="CM604" s="69"/>
      <c r="CN604" s="69"/>
      <c r="CO604" s="69"/>
      <c r="CP604" s="69"/>
      <c r="CQ604" s="69"/>
      <c r="CR604" s="69"/>
      <c r="CS604" s="69"/>
      <c r="CT604" s="69"/>
      <c r="CU604" s="69"/>
      <c r="CV604" s="69"/>
      <c r="CW604" s="69"/>
      <c r="CX604" s="69"/>
      <c r="CY604" s="69"/>
      <c r="CZ604" s="69"/>
      <c r="DA604" s="69"/>
      <c r="DB604" s="69"/>
      <c r="DC604" s="69"/>
      <c r="DD604" s="69"/>
      <c r="DE604" s="69"/>
      <c r="DF604" s="69"/>
      <c r="DG604" s="69"/>
      <c r="DH604" s="69"/>
      <c r="DI604" s="69"/>
      <c r="DJ604" s="69"/>
      <c r="DK604" s="69"/>
      <c r="DL604" s="69"/>
    </row>
    <row r="605" spans="1:116" ht="13" x14ac:dyDescent="0.3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202"/>
      <c r="V605" s="69"/>
      <c r="W605" s="69"/>
      <c r="X605" s="69"/>
      <c r="Y605" s="69"/>
      <c r="Z605" s="69"/>
      <c r="AA605" s="69"/>
      <c r="AB605" s="203"/>
      <c r="AC605" s="69"/>
      <c r="AD605" s="69"/>
      <c r="AE605" s="203"/>
      <c r="AF605" s="69"/>
      <c r="AG605" s="69"/>
      <c r="AH605" s="69"/>
      <c r="AI605" s="69"/>
      <c r="AJ605" s="69"/>
      <c r="AK605" s="69"/>
      <c r="AL605" s="69"/>
      <c r="AM605" s="69"/>
      <c r="AN605" s="69"/>
      <c r="AO605" s="69"/>
      <c r="AP605" s="69"/>
      <c r="AQ605" s="69"/>
      <c r="AR605" s="69"/>
      <c r="AS605" s="69"/>
      <c r="AT605" s="69"/>
      <c r="AU605" s="69"/>
      <c r="AV605" s="69"/>
      <c r="AW605" s="69"/>
      <c r="AX605" s="69"/>
      <c r="AY605" s="69"/>
      <c r="AZ605" s="69"/>
      <c r="BA605" s="69"/>
      <c r="BB605" s="69"/>
      <c r="BC605" s="69"/>
      <c r="BD605" s="69"/>
      <c r="BE605" s="69"/>
      <c r="BF605" s="69"/>
      <c r="BG605" s="69"/>
      <c r="BH605" s="69"/>
      <c r="BI605" s="69"/>
      <c r="BJ605" s="69"/>
      <c r="BK605" s="69"/>
      <c r="BL605" s="69"/>
      <c r="BM605" s="69"/>
      <c r="BN605" s="69"/>
      <c r="BO605" s="69"/>
      <c r="BP605" s="69"/>
      <c r="BQ605" s="69"/>
      <c r="BR605" s="69"/>
      <c r="BS605" s="69"/>
      <c r="BT605" s="69"/>
      <c r="BU605" s="69"/>
      <c r="BV605" s="69"/>
      <c r="BW605" s="69"/>
      <c r="BX605" s="69"/>
      <c r="BY605" s="69"/>
      <c r="BZ605" s="69"/>
      <c r="CA605" s="69"/>
      <c r="CB605" s="69"/>
      <c r="CC605" s="69"/>
      <c r="CD605" s="69"/>
      <c r="CE605" s="69"/>
      <c r="CF605" s="69"/>
      <c r="CG605" s="69"/>
      <c r="CH605" s="69"/>
      <c r="CI605" s="69"/>
      <c r="CJ605" s="69"/>
      <c r="CK605" s="69"/>
      <c r="CL605" s="69"/>
      <c r="CM605" s="69"/>
      <c r="CN605" s="69"/>
      <c r="CO605" s="69"/>
      <c r="CP605" s="69"/>
      <c r="CQ605" s="69"/>
      <c r="CR605" s="69"/>
      <c r="CS605" s="69"/>
      <c r="CT605" s="69"/>
      <c r="CU605" s="69"/>
      <c r="CV605" s="69"/>
      <c r="CW605" s="69"/>
      <c r="CX605" s="69"/>
      <c r="CY605" s="69"/>
      <c r="CZ605" s="69"/>
      <c r="DA605" s="69"/>
      <c r="DB605" s="69"/>
      <c r="DC605" s="69"/>
      <c r="DD605" s="69"/>
      <c r="DE605" s="69"/>
      <c r="DF605" s="69"/>
      <c r="DG605" s="69"/>
      <c r="DH605" s="69"/>
      <c r="DI605" s="69"/>
      <c r="DJ605" s="69"/>
      <c r="DK605" s="69"/>
      <c r="DL605" s="69"/>
    </row>
    <row r="606" spans="1:116" ht="13" x14ac:dyDescent="0.3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202"/>
      <c r="V606" s="69"/>
      <c r="W606" s="69"/>
      <c r="X606" s="69"/>
      <c r="Y606" s="69"/>
      <c r="Z606" s="69"/>
      <c r="AA606" s="69"/>
      <c r="AB606" s="203"/>
      <c r="AC606" s="69"/>
      <c r="AD606" s="69"/>
      <c r="AE606" s="203"/>
      <c r="AF606" s="69"/>
      <c r="AG606" s="69"/>
      <c r="AH606" s="69"/>
      <c r="AI606" s="69"/>
      <c r="AJ606" s="69"/>
      <c r="AK606" s="69"/>
      <c r="AL606" s="69"/>
      <c r="AM606" s="69"/>
      <c r="AN606" s="69"/>
      <c r="AO606" s="69"/>
      <c r="AP606" s="69"/>
      <c r="AQ606" s="69"/>
      <c r="AR606" s="69"/>
      <c r="AS606" s="69"/>
      <c r="AT606" s="69"/>
      <c r="AU606" s="69"/>
      <c r="AV606" s="69"/>
      <c r="AW606" s="69"/>
      <c r="AX606" s="69"/>
      <c r="AY606" s="69"/>
      <c r="AZ606" s="69"/>
      <c r="BA606" s="69"/>
      <c r="BB606" s="69"/>
      <c r="BC606" s="69"/>
      <c r="BD606" s="69"/>
      <c r="BE606" s="69"/>
      <c r="BF606" s="69"/>
      <c r="BG606" s="69"/>
      <c r="BH606" s="69"/>
      <c r="BI606" s="69"/>
      <c r="BJ606" s="69"/>
      <c r="BK606" s="69"/>
      <c r="BL606" s="69"/>
      <c r="BM606" s="69"/>
      <c r="BN606" s="69"/>
      <c r="BO606" s="69"/>
      <c r="BP606" s="69"/>
      <c r="BQ606" s="69"/>
      <c r="BR606" s="69"/>
      <c r="BS606" s="69"/>
      <c r="BT606" s="69"/>
      <c r="BU606" s="69"/>
      <c r="BV606" s="69"/>
      <c r="BW606" s="69"/>
      <c r="BX606" s="69"/>
      <c r="BY606" s="69"/>
      <c r="BZ606" s="69"/>
      <c r="CA606" s="69"/>
      <c r="CB606" s="69"/>
      <c r="CC606" s="69"/>
      <c r="CD606" s="69"/>
      <c r="CE606" s="69"/>
      <c r="CF606" s="69"/>
      <c r="CG606" s="69"/>
      <c r="CH606" s="69"/>
      <c r="CI606" s="69"/>
      <c r="CJ606" s="69"/>
      <c r="CK606" s="69"/>
      <c r="CL606" s="69"/>
      <c r="CM606" s="69"/>
      <c r="CN606" s="69"/>
      <c r="CO606" s="69"/>
      <c r="CP606" s="69"/>
      <c r="CQ606" s="69"/>
      <c r="CR606" s="69"/>
      <c r="CS606" s="69"/>
      <c r="CT606" s="69"/>
      <c r="CU606" s="69"/>
      <c r="CV606" s="69"/>
      <c r="CW606" s="69"/>
      <c r="CX606" s="69"/>
      <c r="CY606" s="69"/>
      <c r="CZ606" s="69"/>
      <c r="DA606" s="69"/>
      <c r="DB606" s="69"/>
      <c r="DC606" s="69"/>
      <c r="DD606" s="69"/>
      <c r="DE606" s="69"/>
      <c r="DF606" s="69"/>
      <c r="DG606" s="69"/>
      <c r="DH606" s="69"/>
      <c r="DI606" s="69"/>
      <c r="DJ606" s="69"/>
      <c r="DK606" s="69"/>
      <c r="DL606" s="69"/>
    </row>
    <row r="607" spans="1:116" ht="13" x14ac:dyDescent="0.3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202"/>
      <c r="V607" s="69"/>
      <c r="W607" s="69"/>
      <c r="X607" s="69"/>
      <c r="Y607" s="69"/>
      <c r="Z607" s="69"/>
      <c r="AA607" s="69"/>
      <c r="AB607" s="203"/>
      <c r="AC607" s="69"/>
      <c r="AD607" s="69"/>
      <c r="AE607" s="203"/>
      <c r="AF607" s="69"/>
      <c r="AG607" s="69"/>
      <c r="AH607" s="69"/>
      <c r="AI607" s="69"/>
      <c r="AJ607" s="69"/>
      <c r="AK607" s="69"/>
      <c r="AL607" s="69"/>
      <c r="AM607" s="69"/>
      <c r="AN607" s="69"/>
      <c r="AO607" s="69"/>
      <c r="AP607" s="69"/>
      <c r="AQ607" s="69"/>
      <c r="AR607" s="69"/>
      <c r="AS607" s="69"/>
      <c r="AT607" s="69"/>
      <c r="AU607" s="69"/>
      <c r="AV607" s="69"/>
      <c r="AW607" s="69"/>
      <c r="AX607" s="69"/>
      <c r="AY607" s="69"/>
      <c r="AZ607" s="69"/>
      <c r="BA607" s="69"/>
      <c r="BB607" s="69"/>
      <c r="BC607" s="69"/>
      <c r="BD607" s="69"/>
      <c r="BE607" s="69"/>
      <c r="BF607" s="69"/>
      <c r="BG607" s="69"/>
      <c r="BH607" s="69"/>
      <c r="BI607" s="69"/>
      <c r="BJ607" s="69"/>
      <c r="BK607" s="69"/>
      <c r="BL607" s="69"/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69"/>
      <c r="CA607" s="69"/>
      <c r="CB607" s="69"/>
      <c r="CC607" s="69"/>
      <c r="CD607" s="69"/>
      <c r="CE607" s="69"/>
      <c r="CF607" s="69"/>
      <c r="CG607" s="69"/>
      <c r="CH607" s="69"/>
      <c r="CI607" s="69"/>
      <c r="CJ607" s="69"/>
      <c r="CK607" s="69"/>
      <c r="CL607" s="69"/>
      <c r="CM607" s="69"/>
      <c r="CN607" s="69"/>
      <c r="CO607" s="69"/>
      <c r="CP607" s="69"/>
      <c r="CQ607" s="69"/>
      <c r="CR607" s="69"/>
      <c r="CS607" s="69"/>
      <c r="CT607" s="69"/>
      <c r="CU607" s="69"/>
      <c r="CV607" s="69"/>
      <c r="CW607" s="69"/>
      <c r="CX607" s="69"/>
      <c r="CY607" s="69"/>
      <c r="CZ607" s="69"/>
      <c r="DA607" s="69"/>
      <c r="DB607" s="69"/>
      <c r="DC607" s="69"/>
      <c r="DD607" s="69"/>
      <c r="DE607" s="69"/>
      <c r="DF607" s="69"/>
      <c r="DG607" s="69"/>
      <c r="DH607" s="69"/>
      <c r="DI607" s="69"/>
      <c r="DJ607" s="69"/>
      <c r="DK607" s="69"/>
      <c r="DL607" s="69"/>
    </row>
    <row r="608" spans="1:116" ht="13" x14ac:dyDescent="0.3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202"/>
      <c r="V608" s="69"/>
      <c r="W608" s="69"/>
      <c r="X608" s="69"/>
      <c r="Y608" s="69"/>
      <c r="Z608" s="69"/>
      <c r="AA608" s="69"/>
      <c r="AB608" s="203"/>
      <c r="AC608" s="69"/>
      <c r="AD608" s="69"/>
      <c r="AE608" s="203"/>
      <c r="AF608" s="69"/>
      <c r="AG608" s="69"/>
      <c r="AH608" s="69"/>
      <c r="AI608" s="69"/>
      <c r="AJ608" s="69"/>
      <c r="AK608" s="69"/>
      <c r="AL608" s="69"/>
      <c r="AM608" s="69"/>
      <c r="AN608" s="69"/>
      <c r="AO608" s="69"/>
      <c r="AP608" s="69"/>
      <c r="AQ608" s="69"/>
      <c r="AR608" s="69"/>
      <c r="AS608" s="69"/>
      <c r="AT608" s="69"/>
      <c r="AU608" s="69"/>
      <c r="AV608" s="69"/>
      <c r="AW608" s="69"/>
      <c r="AX608" s="69"/>
      <c r="AY608" s="69"/>
      <c r="AZ608" s="69"/>
      <c r="BA608" s="69"/>
      <c r="BB608" s="69"/>
      <c r="BC608" s="69"/>
      <c r="BD608" s="69"/>
      <c r="BE608" s="69"/>
      <c r="BF608" s="69"/>
      <c r="BG608" s="69"/>
      <c r="BH608" s="69"/>
      <c r="BI608" s="69"/>
      <c r="BJ608" s="69"/>
      <c r="BK608" s="69"/>
      <c r="BL608" s="69"/>
      <c r="BM608" s="69"/>
      <c r="BN608" s="69"/>
      <c r="BO608" s="69"/>
      <c r="BP608" s="69"/>
      <c r="BQ608" s="69"/>
      <c r="BR608" s="69"/>
      <c r="BS608" s="69"/>
      <c r="BT608" s="69"/>
      <c r="BU608" s="69"/>
      <c r="BV608" s="69"/>
      <c r="BW608" s="69"/>
      <c r="BX608" s="69"/>
      <c r="BY608" s="69"/>
      <c r="BZ608" s="69"/>
      <c r="CA608" s="69"/>
      <c r="CB608" s="69"/>
      <c r="CC608" s="69"/>
      <c r="CD608" s="69"/>
      <c r="CE608" s="69"/>
      <c r="CF608" s="69"/>
      <c r="CG608" s="69"/>
      <c r="CH608" s="69"/>
      <c r="CI608" s="69"/>
      <c r="CJ608" s="69"/>
      <c r="CK608" s="69"/>
      <c r="CL608" s="69"/>
      <c r="CM608" s="69"/>
      <c r="CN608" s="69"/>
      <c r="CO608" s="69"/>
      <c r="CP608" s="69"/>
      <c r="CQ608" s="69"/>
      <c r="CR608" s="69"/>
      <c r="CS608" s="69"/>
      <c r="CT608" s="69"/>
      <c r="CU608" s="69"/>
      <c r="CV608" s="69"/>
      <c r="CW608" s="69"/>
      <c r="CX608" s="69"/>
      <c r="CY608" s="69"/>
      <c r="CZ608" s="69"/>
      <c r="DA608" s="69"/>
      <c r="DB608" s="69"/>
      <c r="DC608" s="69"/>
      <c r="DD608" s="69"/>
      <c r="DE608" s="69"/>
      <c r="DF608" s="69"/>
      <c r="DG608" s="69"/>
      <c r="DH608" s="69"/>
      <c r="DI608" s="69"/>
      <c r="DJ608" s="69"/>
      <c r="DK608" s="69"/>
      <c r="DL608" s="69"/>
    </row>
    <row r="609" spans="1:116" ht="13" x14ac:dyDescent="0.3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202"/>
      <c r="V609" s="69"/>
      <c r="W609" s="69"/>
      <c r="X609" s="69"/>
      <c r="Y609" s="69"/>
      <c r="Z609" s="69"/>
      <c r="AA609" s="69"/>
      <c r="AB609" s="203"/>
      <c r="AC609" s="69"/>
      <c r="AD609" s="69"/>
      <c r="AE609" s="203"/>
      <c r="AF609" s="69"/>
      <c r="AG609" s="69"/>
      <c r="AH609" s="69"/>
      <c r="AI609" s="69"/>
      <c r="AJ609" s="69"/>
      <c r="AK609" s="69"/>
      <c r="AL609" s="69"/>
      <c r="AM609" s="69"/>
      <c r="AN609" s="69"/>
      <c r="AO609" s="69"/>
      <c r="AP609" s="69"/>
      <c r="AQ609" s="69"/>
      <c r="AR609" s="69"/>
      <c r="AS609" s="69"/>
      <c r="AT609" s="69"/>
      <c r="AU609" s="69"/>
      <c r="AV609" s="69"/>
      <c r="AW609" s="69"/>
      <c r="AX609" s="69"/>
      <c r="AY609" s="69"/>
      <c r="AZ609" s="69"/>
      <c r="BA609" s="69"/>
      <c r="BB609" s="69"/>
      <c r="BC609" s="69"/>
      <c r="BD609" s="69"/>
      <c r="BE609" s="69"/>
      <c r="BF609" s="69"/>
      <c r="BG609" s="69"/>
      <c r="BH609" s="69"/>
      <c r="BI609" s="69"/>
      <c r="BJ609" s="69"/>
      <c r="BK609" s="69"/>
      <c r="BL609" s="69"/>
      <c r="BM609" s="69"/>
      <c r="BN609" s="69"/>
      <c r="BO609" s="69"/>
      <c r="BP609" s="69"/>
      <c r="BQ609" s="69"/>
      <c r="BR609" s="69"/>
      <c r="BS609" s="69"/>
      <c r="BT609" s="69"/>
      <c r="BU609" s="69"/>
      <c r="BV609" s="69"/>
      <c r="BW609" s="69"/>
      <c r="BX609" s="69"/>
      <c r="BY609" s="69"/>
      <c r="BZ609" s="69"/>
      <c r="CA609" s="69"/>
      <c r="CB609" s="69"/>
      <c r="CC609" s="69"/>
      <c r="CD609" s="69"/>
      <c r="CE609" s="69"/>
      <c r="CF609" s="69"/>
      <c r="CG609" s="69"/>
      <c r="CH609" s="69"/>
      <c r="CI609" s="69"/>
      <c r="CJ609" s="69"/>
      <c r="CK609" s="69"/>
      <c r="CL609" s="69"/>
      <c r="CM609" s="69"/>
      <c r="CN609" s="69"/>
      <c r="CO609" s="69"/>
      <c r="CP609" s="69"/>
      <c r="CQ609" s="69"/>
      <c r="CR609" s="69"/>
      <c r="CS609" s="69"/>
      <c r="CT609" s="69"/>
      <c r="CU609" s="69"/>
      <c r="CV609" s="69"/>
      <c r="CW609" s="69"/>
      <c r="CX609" s="69"/>
      <c r="CY609" s="69"/>
      <c r="CZ609" s="69"/>
      <c r="DA609" s="69"/>
      <c r="DB609" s="69"/>
      <c r="DC609" s="69"/>
      <c r="DD609" s="69"/>
      <c r="DE609" s="69"/>
      <c r="DF609" s="69"/>
      <c r="DG609" s="69"/>
      <c r="DH609" s="69"/>
      <c r="DI609" s="69"/>
      <c r="DJ609" s="69"/>
      <c r="DK609" s="69"/>
      <c r="DL609" s="69"/>
    </row>
    <row r="610" spans="1:116" ht="13" x14ac:dyDescent="0.3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202"/>
      <c r="V610" s="69"/>
      <c r="W610" s="69"/>
      <c r="X610" s="69"/>
      <c r="Y610" s="69"/>
      <c r="Z610" s="69"/>
      <c r="AA610" s="69"/>
      <c r="AB610" s="203"/>
      <c r="AC610" s="69"/>
      <c r="AD610" s="69"/>
      <c r="AE610" s="203"/>
      <c r="AF610" s="69"/>
      <c r="AG610" s="69"/>
      <c r="AH610" s="69"/>
      <c r="AI610" s="69"/>
      <c r="AJ610" s="69"/>
      <c r="AK610" s="69"/>
      <c r="AL610" s="69"/>
      <c r="AM610" s="69"/>
      <c r="AN610" s="69"/>
      <c r="AO610" s="69"/>
      <c r="AP610" s="69"/>
      <c r="AQ610" s="69"/>
      <c r="AR610" s="69"/>
      <c r="AS610" s="69"/>
      <c r="AT610" s="69"/>
      <c r="AU610" s="69"/>
      <c r="AV610" s="69"/>
      <c r="AW610" s="69"/>
      <c r="AX610" s="69"/>
      <c r="AY610" s="69"/>
      <c r="AZ610" s="69"/>
      <c r="BA610" s="69"/>
      <c r="BB610" s="69"/>
      <c r="BC610" s="69"/>
      <c r="BD610" s="69"/>
      <c r="BE610" s="69"/>
      <c r="BF610" s="69"/>
      <c r="BG610" s="69"/>
      <c r="BH610" s="69"/>
      <c r="BI610" s="69"/>
      <c r="BJ610" s="69"/>
      <c r="BK610" s="69"/>
      <c r="BL610" s="69"/>
      <c r="BM610" s="69"/>
      <c r="BN610" s="69"/>
      <c r="BO610" s="69"/>
      <c r="BP610" s="69"/>
      <c r="BQ610" s="69"/>
      <c r="BR610" s="69"/>
      <c r="BS610" s="69"/>
      <c r="BT610" s="69"/>
      <c r="BU610" s="69"/>
      <c r="BV610" s="69"/>
      <c r="BW610" s="69"/>
      <c r="BX610" s="69"/>
      <c r="BY610" s="69"/>
      <c r="BZ610" s="69"/>
      <c r="CA610" s="69"/>
      <c r="CB610" s="69"/>
      <c r="CC610" s="69"/>
      <c r="CD610" s="69"/>
      <c r="CE610" s="69"/>
      <c r="CF610" s="69"/>
      <c r="CG610" s="69"/>
      <c r="CH610" s="69"/>
      <c r="CI610" s="69"/>
      <c r="CJ610" s="69"/>
      <c r="CK610" s="69"/>
      <c r="CL610" s="69"/>
      <c r="CM610" s="69"/>
      <c r="CN610" s="69"/>
      <c r="CO610" s="69"/>
      <c r="CP610" s="69"/>
      <c r="CQ610" s="69"/>
      <c r="CR610" s="69"/>
      <c r="CS610" s="69"/>
      <c r="CT610" s="69"/>
      <c r="CU610" s="69"/>
      <c r="CV610" s="69"/>
      <c r="CW610" s="69"/>
      <c r="CX610" s="69"/>
      <c r="CY610" s="69"/>
      <c r="CZ610" s="69"/>
      <c r="DA610" s="69"/>
      <c r="DB610" s="69"/>
      <c r="DC610" s="69"/>
      <c r="DD610" s="69"/>
      <c r="DE610" s="69"/>
      <c r="DF610" s="69"/>
      <c r="DG610" s="69"/>
      <c r="DH610" s="69"/>
      <c r="DI610" s="69"/>
      <c r="DJ610" s="69"/>
      <c r="DK610" s="69"/>
      <c r="DL610" s="69"/>
    </row>
    <row r="611" spans="1:116" ht="13" x14ac:dyDescent="0.3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202"/>
      <c r="V611" s="69"/>
      <c r="W611" s="69"/>
      <c r="X611" s="69"/>
      <c r="Y611" s="69"/>
      <c r="Z611" s="69"/>
      <c r="AA611" s="69"/>
      <c r="AB611" s="203"/>
      <c r="AC611" s="69"/>
      <c r="AD611" s="69"/>
      <c r="AE611" s="203"/>
      <c r="AF611" s="69"/>
      <c r="AG611" s="69"/>
      <c r="AH611" s="69"/>
      <c r="AI611" s="69"/>
      <c r="AJ611" s="69"/>
      <c r="AK611" s="69"/>
      <c r="AL611" s="69"/>
      <c r="AM611" s="69"/>
      <c r="AN611" s="69"/>
      <c r="AO611" s="69"/>
      <c r="AP611" s="69"/>
      <c r="AQ611" s="69"/>
      <c r="AR611" s="69"/>
      <c r="AS611" s="69"/>
      <c r="AT611" s="69"/>
      <c r="AU611" s="69"/>
      <c r="AV611" s="69"/>
      <c r="AW611" s="69"/>
      <c r="AX611" s="69"/>
      <c r="AY611" s="69"/>
      <c r="AZ611" s="69"/>
      <c r="BA611" s="69"/>
      <c r="BB611" s="69"/>
      <c r="BC611" s="69"/>
      <c r="BD611" s="69"/>
      <c r="BE611" s="69"/>
      <c r="BF611" s="69"/>
      <c r="BG611" s="69"/>
      <c r="BH611" s="69"/>
      <c r="BI611" s="69"/>
      <c r="BJ611" s="69"/>
      <c r="BK611" s="69"/>
      <c r="BL611" s="69"/>
      <c r="BM611" s="69"/>
      <c r="BN611" s="69"/>
      <c r="BO611" s="69"/>
      <c r="BP611" s="69"/>
      <c r="BQ611" s="69"/>
      <c r="BR611" s="69"/>
      <c r="BS611" s="69"/>
      <c r="BT611" s="69"/>
      <c r="BU611" s="69"/>
      <c r="BV611" s="69"/>
      <c r="BW611" s="69"/>
      <c r="BX611" s="69"/>
      <c r="BY611" s="69"/>
      <c r="BZ611" s="69"/>
      <c r="CA611" s="69"/>
      <c r="CB611" s="69"/>
      <c r="CC611" s="69"/>
      <c r="CD611" s="69"/>
      <c r="CE611" s="69"/>
      <c r="CF611" s="69"/>
      <c r="CG611" s="69"/>
      <c r="CH611" s="69"/>
      <c r="CI611" s="69"/>
      <c r="CJ611" s="69"/>
      <c r="CK611" s="69"/>
      <c r="CL611" s="69"/>
      <c r="CM611" s="69"/>
      <c r="CN611" s="69"/>
      <c r="CO611" s="69"/>
      <c r="CP611" s="69"/>
      <c r="CQ611" s="69"/>
      <c r="CR611" s="69"/>
      <c r="CS611" s="69"/>
      <c r="CT611" s="69"/>
      <c r="CU611" s="69"/>
      <c r="CV611" s="69"/>
      <c r="CW611" s="69"/>
      <c r="CX611" s="69"/>
      <c r="CY611" s="69"/>
      <c r="CZ611" s="69"/>
      <c r="DA611" s="69"/>
      <c r="DB611" s="69"/>
      <c r="DC611" s="69"/>
      <c r="DD611" s="69"/>
      <c r="DE611" s="69"/>
      <c r="DF611" s="69"/>
      <c r="DG611" s="69"/>
      <c r="DH611" s="69"/>
      <c r="DI611" s="69"/>
      <c r="DJ611" s="69"/>
      <c r="DK611" s="69"/>
      <c r="DL611" s="69"/>
    </row>
    <row r="612" spans="1:116" ht="13" x14ac:dyDescent="0.3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202"/>
      <c r="V612" s="69"/>
      <c r="W612" s="69"/>
      <c r="X612" s="69"/>
      <c r="Y612" s="69"/>
      <c r="Z612" s="69"/>
      <c r="AA612" s="69"/>
      <c r="AB612" s="203"/>
      <c r="AC612" s="69"/>
      <c r="AD612" s="69"/>
      <c r="AE612" s="203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  <c r="AW612" s="69"/>
      <c r="AX612" s="69"/>
      <c r="AY612" s="69"/>
      <c r="AZ612" s="69"/>
      <c r="BA612" s="69"/>
      <c r="BB612" s="69"/>
      <c r="BC612" s="69"/>
      <c r="BD612" s="69"/>
      <c r="BE612" s="69"/>
      <c r="BF612" s="69"/>
      <c r="BG612" s="69"/>
      <c r="BH612" s="69"/>
      <c r="BI612" s="69"/>
      <c r="BJ612" s="69"/>
      <c r="BK612" s="69"/>
      <c r="BL612" s="69"/>
      <c r="BM612" s="69"/>
      <c r="BN612" s="69"/>
      <c r="BO612" s="69"/>
      <c r="BP612" s="69"/>
      <c r="BQ612" s="69"/>
      <c r="BR612" s="69"/>
      <c r="BS612" s="69"/>
      <c r="BT612" s="69"/>
      <c r="BU612" s="69"/>
      <c r="BV612" s="69"/>
      <c r="BW612" s="69"/>
      <c r="BX612" s="69"/>
      <c r="BY612" s="69"/>
      <c r="BZ612" s="69"/>
      <c r="CA612" s="69"/>
      <c r="CB612" s="69"/>
      <c r="CC612" s="69"/>
      <c r="CD612" s="69"/>
      <c r="CE612" s="69"/>
      <c r="CF612" s="69"/>
      <c r="CG612" s="69"/>
      <c r="CH612" s="69"/>
      <c r="CI612" s="69"/>
      <c r="CJ612" s="69"/>
      <c r="CK612" s="69"/>
      <c r="CL612" s="69"/>
      <c r="CM612" s="69"/>
      <c r="CN612" s="69"/>
      <c r="CO612" s="69"/>
      <c r="CP612" s="69"/>
      <c r="CQ612" s="69"/>
      <c r="CR612" s="69"/>
      <c r="CS612" s="69"/>
      <c r="CT612" s="69"/>
      <c r="CU612" s="69"/>
      <c r="CV612" s="69"/>
      <c r="CW612" s="69"/>
      <c r="CX612" s="69"/>
      <c r="CY612" s="69"/>
      <c r="CZ612" s="69"/>
      <c r="DA612" s="69"/>
      <c r="DB612" s="69"/>
      <c r="DC612" s="69"/>
      <c r="DD612" s="69"/>
      <c r="DE612" s="69"/>
      <c r="DF612" s="69"/>
      <c r="DG612" s="69"/>
      <c r="DH612" s="69"/>
      <c r="DI612" s="69"/>
      <c r="DJ612" s="69"/>
      <c r="DK612" s="69"/>
      <c r="DL612" s="69"/>
    </row>
    <row r="613" spans="1:116" ht="13" x14ac:dyDescent="0.3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202"/>
      <c r="V613" s="69"/>
      <c r="W613" s="69"/>
      <c r="X613" s="69"/>
      <c r="Y613" s="69"/>
      <c r="Z613" s="69"/>
      <c r="AA613" s="69"/>
      <c r="AB613" s="203"/>
      <c r="AC613" s="69"/>
      <c r="AD613" s="69"/>
      <c r="AE613" s="203"/>
      <c r="AF613" s="69"/>
      <c r="AG613" s="69"/>
      <c r="AH613" s="69"/>
      <c r="AI613" s="69"/>
      <c r="AJ613" s="69"/>
      <c r="AK613" s="69"/>
      <c r="AL613" s="69"/>
      <c r="AM613" s="69"/>
      <c r="AN613" s="69"/>
      <c r="AO613" s="69"/>
      <c r="AP613" s="69"/>
      <c r="AQ613" s="69"/>
      <c r="AR613" s="69"/>
      <c r="AS613" s="69"/>
      <c r="AT613" s="69"/>
      <c r="AU613" s="69"/>
      <c r="AV613" s="69"/>
      <c r="AW613" s="69"/>
      <c r="AX613" s="69"/>
      <c r="AY613" s="69"/>
      <c r="AZ613" s="69"/>
      <c r="BA613" s="69"/>
      <c r="BB613" s="69"/>
      <c r="BC613" s="69"/>
      <c r="BD613" s="69"/>
      <c r="BE613" s="69"/>
      <c r="BF613" s="69"/>
      <c r="BG613" s="69"/>
      <c r="BH613" s="69"/>
      <c r="BI613" s="69"/>
      <c r="BJ613" s="69"/>
      <c r="BK613" s="69"/>
      <c r="BL613" s="69"/>
      <c r="BM613" s="69"/>
      <c r="BN613" s="69"/>
      <c r="BO613" s="69"/>
      <c r="BP613" s="69"/>
      <c r="BQ613" s="69"/>
      <c r="BR613" s="69"/>
      <c r="BS613" s="69"/>
      <c r="BT613" s="69"/>
      <c r="BU613" s="69"/>
      <c r="BV613" s="69"/>
      <c r="BW613" s="69"/>
      <c r="BX613" s="69"/>
      <c r="BY613" s="69"/>
      <c r="BZ613" s="69"/>
      <c r="CA613" s="69"/>
      <c r="CB613" s="69"/>
      <c r="CC613" s="69"/>
      <c r="CD613" s="69"/>
      <c r="CE613" s="69"/>
      <c r="CF613" s="69"/>
      <c r="CG613" s="69"/>
      <c r="CH613" s="69"/>
      <c r="CI613" s="69"/>
      <c r="CJ613" s="69"/>
      <c r="CK613" s="69"/>
      <c r="CL613" s="69"/>
      <c r="CM613" s="69"/>
      <c r="CN613" s="69"/>
      <c r="CO613" s="69"/>
      <c r="CP613" s="69"/>
      <c r="CQ613" s="69"/>
      <c r="CR613" s="69"/>
      <c r="CS613" s="69"/>
      <c r="CT613" s="69"/>
      <c r="CU613" s="69"/>
      <c r="CV613" s="69"/>
      <c r="CW613" s="69"/>
      <c r="CX613" s="69"/>
      <c r="CY613" s="69"/>
      <c r="CZ613" s="69"/>
      <c r="DA613" s="69"/>
      <c r="DB613" s="69"/>
      <c r="DC613" s="69"/>
      <c r="DD613" s="69"/>
      <c r="DE613" s="69"/>
      <c r="DF613" s="69"/>
      <c r="DG613" s="69"/>
      <c r="DH613" s="69"/>
      <c r="DI613" s="69"/>
      <c r="DJ613" s="69"/>
      <c r="DK613" s="69"/>
      <c r="DL613" s="69"/>
    </row>
    <row r="614" spans="1:116" ht="13" x14ac:dyDescent="0.3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202"/>
      <c r="V614" s="69"/>
      <c r="W614" s="69"/>
      <c r="X614" s="69"/>
      <c r="Y614" s="69"/>
      <c r="Z614" s="69"/>
      <c r="AA614" s="69"/>
      <c r="AB614" s="203"/>
      <c r="AC614" s="69"/>
      <c r="AD614" s="69"/>
      <c r="AE614" s="203"/>
      <c r="AF614" s="69"/>
      <c r="AG614" s="69"/>
      <c r="AH614" s="69"/>
      <c r="AI614" s="69"/>
      <c r="AJ614" s="69"/>
      <c r="AK614" s="69"/>
      <c r="AL614" s="69"/>
      <c r="AM614" s="69"/>
      <c r="AN614" s="69"/>
      <c r="AO614" s="69"/>
      <c r="AP614" s="69"/>
      <c r="AQ614" s="69"/>
      <c r="AR614" s="69"/>
      <c r="AS614" s="69"/>
      <c r="AT614" s="69"/>
      <c r="AU614" s="69"/>
      <c r="AV614" s="69"/>
      <c r="AW614" s="69"/>
      <c r="AX614" s="69"/>
      <c r="AY614" s="69"/>
      <c r="AZ614" s="69"/>
      <c r="BA614" s="69"/>
      <c r="BB614" s="69"/>
      <c r="BC614" s="69"/>
      <c r="BD614" s="69"/>
      <c r="BE614" s="69"/>
      <c r="BF614" s="69"/>
      <c r="BG614" s="69"/>
      <c r="BH614" s="69"/>
      <c r="BI614" s="69"/>
      <c r="BJ614" s="69"/>
      <c r="BK614" s="69"/>
      <c r="BL614" s="69"/>
      <c r="BM614" s="69"/>
      <c r="BN614" s="69"/>
      <c r="BO614" s="69"/>
      <c r="BP614" s="69"/>
      <c r="BQ614" s="69"/>
      <c r="BR614" s="69"/>
      <c r="BS614" s="69"/>
      <c r="BT614" s="69"/>
      <c r="BU614" s="69"/>
      <c r="BV614" s="69"/>
      <c r="BW614" s="69"/>
      <c r="BX614" s="69"/>
      <c r="BY614" s="69"/>
      <c r="BZ614" s="69"/>
      <c r="CA614" s="69"/>
      <c r="CB614" s="69"/>
      <c r="CC614" s="69"/>
      <c r="CD614" s="69"/>
      <c r="CE614" s="69"/>
      <c r="CF614" s="69"/>
      <c r="CG614" s="69"/>
      <c r="CH614" s="69"/>
      <c r="CI614" s="69"/>
      <c r="CJ614" s="69"/>
      <c r="CK614" s="69"/>
      <c r="CL614" s="69"/>
      <c r="CM614" s="69"/>
      <c r="CN614" s="69"/>
      <c r="CO614" s="69"/>
      <c r="CP614" s="69"/>
      <c r="CQ614" s="69"/>
      <c r="CR614" s="69"/>
      <c r="CS614" s="69"/>
      <c r="CT614" s="69"/>
      <c r="CU614" s="69"/>
      <c r="CV614" s="69"/>
      <c r="CW614" s="69"/>
      <c r="CX614" s="69"/>
      <c r="CY614" s="69"/>
      <c r="CZ614" s="69"/>
      <c r="DA614" s="69"/>
      <c r="DB614" s="69"/>
      <c r="DC614" s="69"/>
      <c r="DD614" s="69"/>
      <c r="DE614" s="69"/>
      <c r="DF614" s="69"/>
      <c r="DG614" s="69"/>
      <c r="DH614" s="69"/>
      <c r="DI614" s="69"/>
      <c r="DJ614" s="69"/>
      <c r="DK614" s="69"/>
      <c r="DL614" s="69"/>
    </row>
    <row r="615" spans="1:116" ht="13" x14ac:dyDescent="0.3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202"/>
      <c r="V615" s="69"/>
      <c r="W615" s="69"/>
      <c r="X615" s="69"/>
      <c r="Y615" s="69"/>
      <c r="Z615" s="69"/>
      <c r="AA615" s="69"/>
      <c r="AB615" s="203"/>
      <c r="AC615" s="69"/>
      <c r="AD615" s="69"/>
      <c r="AE615" s="203"/>
      <c r="AF615" s="69"/>
      <c r="AG615" s="69"/>
      <c r="AH615" s="69"/>
      <c r="AI615" s="69"/>
      <c r="AJ615" s="69"/>
      <c r="AK615" s="69"/>
      <c r="AL615" s="69"/>
      <c r="AM615" s="69"/>
      <c r="AN615" s="69"/>
      <c r="AO615" s="69"/>
      <c r="AP615" s="69"/>
      <c r="AQ615" s="69"/>
      <c r="AR615" s="69"/>
      <c r="AS615" s="69"/>
      <c r="AT615" s="69"/>
      <c r="AU615" s="69"/>
      <c r="AV615" s="69"/>
      <c r="AW615" s="69"/>
      <c r="AX615" s="69"/>
      <c r="AY615" s="69"/>
      <c r="AZ615" s="69"/>
      <c r="BA615" s="69"/>
      <c r="BB615" s="69"/>
      <c r="BC615" s="69"/>
      <c r="BD615" s="69"/>
      <c r="BE615" s="69"/>
      <c r="BF615" s="69"/>
      <c r="BG615" s="69"/>
      <c r="BH615" s="69"/>
      <c r="BI615" s="69"/>
      <c r="BJ615" s="69"/>
      <c r="BK615" s="69"/>
      <c r="BL615" s="69"/>
      <c r="BM615" s="69"/>
      <c r="BN615" s="69"/>
      <c r="BO615" s="69"/>
      <c r="BP615" s="69"/>
      <c r="BQ615" s="69"/>
      <c r="BR615" s="69"/>
      <c r="BS615" s="69"/>
      <c r="BT615" s="69"/>
      <c r="BU615" s="69"/>
      <c r="BV615" s="69"/>
      <c r="BW615" s="69"/>
      <c r="BX615" s="69"/>
      <c r="BY615" s="69"/>
      <c r="BZ615" s="69"/>
      <c r="CA615" s="69"/>
      <c r="CB615" s="69"/>
      <c r="CC615" s="69"/>
      <c r="CD615" s="69"/>
      <c r="CE615" s="69"/>
      <c r="CF615" s="69"/>
      <c r="CG615" s="69"/>
      <c r="CH615" s="69"/>
      <c r="CI615" s="69"/>
      <c r="CJ615" s="69"/>
      <c r="CK615" s="69"/>
      <c r="CL615" s="69"/>
      <c r="CM615" s="69"/>
      <c r="CN615" s="69"/>
      <c r="CO615" s="69"/>
      <c r="CP615" s="69"/>
      <c r="CQ615" s="69"/>
      <c r="CR615" s="69"/>
      <c r="CS615" s="69"/>
      <c r="CT615" s="69"/>
      <c r="CU615" s="69"/>
      <c r="CV615" s="69"/>
      <c r="CW615" s="69"/>
      <c r="CX615" s="69"/>
      <c r="CY615" s="69"/>
      <c r="CZ615" s="69"/>
      <c r="DA615" s="69"/>
      <c r="DB615" s="69"/>
      <c r="DC615" s="69"/>
      <c r="DD615" s="69"/>
      <c r="DE615" s="69"/>
      <c r="DF615" s="69"/>
      <c r="DG615" s="69"/>
      <c r="DH615" s="69"/>
      <c r="DI615" s="69"/>
      <c r="DJ615" s="69"/>
      <c r="DK615" s="69"/>
      <c r="DL615" s="69"/>
    </row>
    <row r="616" spans="1:116" ht="13" x14ac:dyDescent="0.3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202"/>
      <c r="V616" s="69"/>
      <c r="W616" s="69"/>
      <c r="X616" s="69"/>
      <c r="Y616" s="69"/>
      <c r="Z616" s="69"/>
      <c r="AA616" s="69"/>
      <c r="AB616" s="203"/>
      <c r="AC616" s="69"/>
      <c r="AD616" s="69"/>
      <c r="AE616" s="203"/>
      <c r="AF616" s="69"/>
      <c r="AG616" s="69"/>
      <c r="AH616" s="69"/>
      <c r="AI616" s="69"/>
      <c r="AJ616" s="69"/>
      <c r="AK616" s="69"/>
      <c r="AL616" s="69"/>
      <c r="AM616" s="69"/>
      <c r="AN616" s="69"/>
      <c r="AO616" s="69"/>
      <c r="AP616" s="69"/>
      <c r="AQ616" s="69"/>
      <c r="AR616" s="69"/>
      <c r="AS616" s="69"/>
      <c r="AT616" s="69"/>
      <c r="AU616" s="69"/>
      <c r="AV616" s="69"/>
      <c r="AW616" s="69"/>
      <c r="AX616" s="69"/>
      <c r="AY616" s="69"/>
      <c r="AZ616" s="69"/>
      <c r="BA616" s="69"/>
      <c r="BB616" s="69"/>
      <c r="BC616" s="69"/>
      <c r="BD616" s="69"/>
      <c r="BE616" s="69"/>
      <c r="BF616" s="69"/>
      <c r="BG616" s="69"/>
      <c r="BH616" s="69"/>
      <c r="BI616" s="69"/>
      <c r="BJ616" s="69"/>
      <c r="BK616" s="69"/>
      <c r="BL616" s="69"/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69"/>
      <c r="CA616" s="69"/>
      <c r="CB616" s="69"/>
      <c r="CC616" s="69"/>
      <c r="CD616" s="69"/>
      <c r="CE616" s="69"/>
      <c r="CF616" s="69"/>
      <c r="CG616" s="69"/>
      <c r="CH616" s="69"/>
      <c r="CI616" s="69"/>
      <c r="CJ616" s="69"/>
      <c r="CK616" s="69"/>
      <c r="CL616" s="69"/>
      <c r="CM616" s="69"/>
      <c r="CN616" s="69"/>
      <c r="CO616" s="69"/>
      <c r="CP616" s="69"/>
      <c r="CQ616" s="69"/>
      <c r="CR616" s="69"/>
      <c r="CS616" s="69"/>
      <c r="CT616" s="69"/>
      <c r="CU616" s="69"/>
      <c r="CV616" s="69"/>
      <c r="CW616" s="69"/>
      <c r="CX616" s="69"/>
      <c r="CY616" s="69"/>
      <c r="CZ616" s="69"/>
      <c r="DA616" s="69"/>
      <c r="DB616" s="69"/>
      <c r="DC616" s="69"/>
      <c r="DD616" s="69"/>
      <c r="DE616" s="69"/>
      <c r="DF616" s="69"/>
      <c r="DG616" s="69"/>
      <c r="DH616" s="69"/>
      <c r="DI616" s="69"/>
      <c r="DJ616" s="69"/>
      <c r="DK616" s="69"/>
      <c r="DL616" s="69"/>
    </row>
    <row r="617" spans="1:116" ht="13" x14ac:dyDescent="0.3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202"/>
      <c r="V617" s="69"/>
      <c r="W617" s="69"/>
      <c r="X617" s="69"/>
      <c r="Y617" s="69"/>
      <c r="Z617" s="69"/>
      <c r="AA617" s="69"/>
      <c r="AB617" s="203"/>
      <c r="AC617" s="69"/>
      <c r="AD617" s="69"/>
      <c r="AE617" s="203"/>
      <c r="AF617" s="69"/>
      <c r="AG617" s="69"/>
      <c r="AH617" s="69"/>
      <c r="AI617" s="69"/>
      <c r="AJ617" s="69"/>
      <c r="AK617" s="69"/>
      <c r="AL617" s="69"/>
      <c r="AM617" s="69"/>
      <c r="AN617" s="69"/>
      <c r="AO617" s="69"/>
      <c r="AP617" s="69"/>
      <c r="AQ617" s="69"/>
      <c r="AR617" s="69"/>
      <c r="AS617" s="69"/>
      <c r="AT617" s="69"/>
      <c r="AU617" s="69"/>
      <c r="AV617" s="69"/>
      <c r="AW617" s="69"/>
      <c r="AX617" s="69"/>
      <c r="AY617" s="69"/>
      <c r="AZ617" s="69"/>
      <c r="BA617" s="69"/>
      <c r="BB617" s="69"/>
      <c r="BC617" s="69"/>
      <c r="BD617" s="69"/>
      <c r="BE617" s="69"/>
      <c r="BF617" s="69"/>
      <c r="BG617" s="69"/>
      <c r="BH617" s="69"/>
      <c r="BI617" s="69"/>
      <c r="BJ617" s="69"/>
      <c r="BK617" s="69"/>
      <c r="BL617" s="69"/>
      <c r="BM617" s="69"/>
      <c r="BN617" s="69"/>
      <c r="BO617" s="69"/>
      <c r="BP617" s="69"/>
      <c r="BQ617" s="69"/>
      <c r="BR617" s="69"/>
      <c r="BS617" s="69"/>
      <c r="BT617" s="69"/>
      <c r="BU617" s="69"/>
      <c r="BV617" s="69"/>
      <c r="BW617" s="69"/>
      <c r="BX617" s="69"/>
      <c r="BY617" s="69"/>
      <c r="BZ617" s="69"/>
      <c r="CA617" s="69"/>
      <c r="CB617" s="69"/>
      <c r="CC617" s="69"/>
      <c r="CD617" s="69"/>
      <c r="CE617" s="69"/>
      <c r="CF617" s="69"/>
      <c r="CG617" s="69"/>
      <c r="CH617" s="69"/>
      <c r="CI617" s="69"/>
      <c r="CJ617" s="69"/>
      <c r="CK617" s="69"/>
      <c r="CL617" s="69"/>
      <c r="CM617" s="69"/>
      <c r="CN617" s="69"/>
      <c r="CO617" s="69"/>
      <c r="CP617" s="69"/>
      <c r="CQ617" s="69"/>
      <c r="CR617" s="69"/>
      <c r="CS617" s="69"/>
      <c r="CT617" s="69"/>
      <c r="CU617" s="69"/>
      <c r="CV617" s="69"/>
      <c r="CW617" s="69"/>
      <c r="CX617" s="69"/>
      <c r="CY617" s="69"/>
      <c r="CZ617" s="69"/>
      <c r="DA617" s="69"/>
      <c r="DB617" s="69"/>
      <c r="DC617" s="69"/>
      <c r="DD617" s="69"/>
      <c r="DE617" s="69"/>
      <c r="DF617" s="69"/>
      <c r="DG617" s="69"/>
      <c r="DH617" s="69"/>
      <c r="DI617" s="69"/>
      <c r="DJ617" s="69"/>
      <c r="DK617" s="69"/>
      <c r="DL617" s="69"/>
    </row>
    <row r="618" spans="1:116" ht="13" x14ac:dyDescent="0.3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202"/>
      <c r="V618" s="69"/>
      <c r="W618" s="69"/>
      <c r="X618" s="69"/>
      <c r="Y618" s="69"/>
      <c r="Z618" s="69"/>
      <c r="AA618" s="69"/>
      <c r="AB618" s="203"/>
      <c r="AC618" s="69"/>
      <c r="AD618" s="69"/>
      <c r="AE618" s="203"/>
      <c r="AF618" s="69"/>
      <c r="AG618" s="69"/>
      <c r="AH618" s="69"/>
      <c r="AI618" s="69"/>
      <c r="AJ618" s="69"/>
      <c r="AK618" s="69"/>
      <c r="AL618" s="69"/>
      <c r="AM618" s="69"/>
      <c r="AN618" s="69"/>
      <c r="AO618" s="69"/>
      <c r="AP618" s="69"/>
      <c r="AQ618" s="69"/>
      <c r="AR618" s="69"/>
      <c r="AS618" s="69"/>
      <c r="AT618" s="69"/>
      <c r="AU618" s="69"/>
      <c r="AV618" s="69"/>
      <c r="AW618" s="69"/>
      <c r="AX618" s="69"/>
      <c r="AY618" s="69"/>
      <c r="AZ618" s="69"/>
      <c r="BA618" s="69"/>
      <c r="BB618" s="69"/>
      <c r="BC618" s="69"/>
      <c r="BD618" s="69"/>
      <c r="BE618" s="69"/>
      <c r="BF618" s="69"/>
      <c r="BG618" s="69"/>
      <c r="BH618" s="69"/>
      <c r="BI618" s="69"/>
      <c r="BJ618" s="69"/>
      <c r="BK618" s="69"/>
      <c r="BL618" s="69"/>
      <c r="BM618" s="69"/>
      <c r="BN618" s="69"/>
      <c r="BO618" s="69"/>
      <c r="BP618" s="69"/>
      <c r="BQ618" s="69"/>
      <c r="BR618" s="69"/>
      <c r="BS618" s="69"/>
      <c r="BT618" s="69"/>
      <c r="BU618" s="69"/>
      <c r="BV618" s="69"/>
      <c r="BW618" s="69"/>
      <c r="BX618" s="69"/>
      <c r="BY618" s="69"/>
      <c r="BZ618" s="69"/>
      <c r="CA618" s="69"/>
      <c r="CB618" s="69"/>
      <c r="CC618" s="69"/>
      <c r="CD618" s="69"/>
      <c r="CE618" s="69"/>
      <c r="CF618" s="69"/>
      <c r="CG618" s="69"/>
      <c r="CH618" s="69"/>
      <c r="CI618" s="69"/>
      <c r="CJ618" s="69"/>
      <c r="CK618" s="69"/>
      <c r="CL618" s="69"/>
      <c r="CM618" s="69"/>
      <c r="CN618" s="69"/>
      <c r="CO618" s="69"/>
      <c r="CP618" s="69"/>
      <c r="CQ618" s="69"/>
      <c r="CR618" s="69"/>
      <c r="CS618" s="69"/>
      <c r="CT618" s="69"/>
      <c r="CU618" s="69"/>
      <c r="CV618" s="69"/>
      <c r="CW618" s="69"/>
      <c r="CX618" s="69"/>
      <c r="CY618" s="69"/>
      <c r="CZ618" s="69"/>
      <c r="DA618" s="69"/>
      <c r="DB618" s="69"/>
      <c r="DC618" s="69"/>
      <c r="DD618" s="69"/>
      <c r="DE618" s="69"/>
      <c r="DF618" s="69"/>
      <c r="DG618" s="69"/>
      <c r="DH618" s="69"/>
      <c r="DI618" s="69"/>
      <c r="DJ618" s="69"/>
      <c r="DK618" s="69"/>
      <c r="DL618" s="69"/>
    </row>
    <row r="619" spans="1:116" ht="13" x14ac:dyDescent="0.3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202"/>
      <c r="V619" s="69"/>
      <c r="W619" s="69"/>
      <c r="X619" s="69"/>
      <c r="Y619" s="69"/>
      <c r="Z619" s="69"/>
      <c r="AA619" s="69"/>
      <c r="AB619" s="203"/>
      <c r="AC619" s="69"/>
      <c r="AD619" s="69"/>
      <c r="AE619" s="203"/>
      <c r="AF619" s="69"/>
      <c r="AG619" s="69"/>
      <c r="AH619" s="69"/>
      <c r="AI619" s="69"/>
      <c r="AJ619" s="69"/>
      <c r="AK619" s="69"/>
      <c r="AL619" s="69"/>
      <c r="AM619" s="69"/>
      <c r="AN619" s="69"/>
      <c r="AO619" s="69"/>
      <c r="AP619" s="69"/>
      <c r="AQ619" s="69"/>
      <c r="AR619" s="69"/>
      <c r="AS619" s="69"/>
      <c r="AT619" s="69"/>
      <c r="AU619" s="69"/>
      <c r="AV619" s="69"/>
      <c r="AW619" s="69"/>
      <c r="AX619" s="69"/>
      <c r="AY619" s="69"/>
      <c r="AZ619" s="69"/>
      <c r="BA619" s="69"/>
      <c r="BB619" s="69"/>
      <c r="BC619" s="69"/>
      <c r="BD619" s="69"/>
      <c r="BE619" s="69"/>
      <c r="BF619" s="69"/>
      <c r="BG619" s="69"/>
      <c r="BH619" s="69"/>
      <c r="BI619" s="69"/>
      <c r="BJ619" s="69"/>
      <c r="BK619" s="69"/>
      <c r="BL619" s="69"/>
      <c r="BM619" s="69"/>
      <c r="BN619" s="69"/>
      <c r="BO619" s="69"/>
      <c r="BP619" s="69"/>
      <c r="BQ619" s="69"/>
      <c r="BR619" s="69"/>
      <c r="BS619" s="69"/>
      <c r="BT619" s="69"/>
      <c r="BU619" s="69"/>
      <c r="BV619" s="69"/>
      <c r="BW619" s="69"/>
      <c r="BX619" s="69"/>
      <c r="BY619" s="69"/>
      <c r="BZ619" s="69"/>
      <c r="CA619" s="69"/>
      <c r="CB619" s="69"/>
      <c r="CC619" s="69"/>
      <c r="CD619" s="69"/>
      <c r="CE619" s="69"/>
      <c r="CF619" s="69"/>
      <c r="CG619" s="69"/>
      <c r="CH619" s="69"/>
      <c r="CI619" s="69"/>
      <c r="CJ619" s="69"/>
      <c r="CK619" s="69"/>
      <c r="CL619" s="69"/>
      <c r="CM619" s="69"/>
      <c r="CN619" s="69"/>
      <c r="CO619" s="69"/>
      <c r="CP619" s="69"/>
      <c r="CQ619" s="69"/>
      <c r="CR619" s="69"/>
      <c r="CS619" s="69"/>
      <c r="CT619" s="69"/>
      <c r="CU619" s="69"/>
      <c r="CV619" s="69"/>
      <c r="CW619" s="69"/>
      <c r="CX619" s="69"/>
      <c r="CY619" s="69"/>
      <c r="CZ619" s="69"/>
      <c r="DA619" s="69"/>
      <c r="DB619" s="69"/>
      <c r="DC619" s="69"/>
      <c r="DD619" s="69"/>
      <c r="DE619" s="69"/>
      <c r="DF619" s="69"/>
      <c r="DG619" s="69"/>
      <c r="DH619" s="69"/>
      <c r="DI619" s="69"/>
      <c r="DJ619" s="69"/>
      <c r="DK619" s="69"/>
      <c r="DL619" s="69"/>
    </row>
    <row r="620" spans="1:116" ht="13" x14ac:dyDescent="0.3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202"/>
      <c r="V620" s="69"/>
      <c r="W620" s="69"/>
      <c r="X620" s="69"/>
      <c r="Y620" s="69"/>
      <c r="Z620" s="69"/>
      <c r="AA620" s="69"/>
      <c r="AB620" s="203"/>
      <c r="AC620" s="69"/>
      <c r="AD620" s="69"/>
      <c r="AE620" s="203"/>
      <c r="AF620" s="69"/>
      <c r="AG620" s="69"/>
      <c r="AH620" s="69"/>
      <c r="AI620" s="69"/>
      <c r="AJ620" s="69"/>
      <c r="AK620" s="69"/>
      <c r="AL620" s="69"/>
      <c r="AM620" s="69"/>
      <c r="AN620" s="69"/>
      <c r="AO620" s="69"/>
      <c r="AP620" s="69"/>
      <c r="AQ620" s="69"/>
      <c r="AR620" s="69"/>
      <c r="AS620" s="69"/>
      <c r="AT620" s="69"/>
      <c r="AU620" s="69"/>
      <c r="AV620" s="69"/>
      <c r="AW620" s="69"/>
      <c r="AX620" s="69"/>
      <c r="AY620" s="69"/>
      <c r="AZ620" s="69"/>
      <c r="BA620" s="69"/>
      <c r="BB620" s="69"/>
      <c r="BC620" s="69"/>
      <c r="BD620" s="69"/>
      <c r="BE620" s="69"/>
      <c r="BF620" s="69"/>
      <c r="BG620" s="69"/>
      <c r="BH620" s="69"/>
      <c r="BI620" s="69"/>
      <c r="BJ620" s="69"/>
      <c r="BK620" s="69"/>
      <c r="BL620" s="69"/>
      <c r="BM620" s="69"/>
      <c r="BN620" s="69"/>
      <c r="BO620" s="69"/>
      <c r="BP620" s="69"/>
      <c r="BQ620" s="69"/>
      <c r="BR620" s="69"/>
      <c r="BS620" s="69"/>
      <c r="BT620" s="69"/>
      <c r="BU620" s="69"/>
      <c r="BV620" s="69"/>
      <c r="BW620" s="69"/>
      <c r="BX620" s="69"/>
      <c r="BY620" s="69"/>
      <c r="BZ620" s="69"/>
      <c r="CA620" s="69"/>
      <c r="CB620" s="69"/>
      <c r="CC620" s="69"/>
      <c r="CD620" s="69"/>
      <c r="CE620" s="69"/>
      <c r="CF620" s="69"/>
      <c r="CG620" s="69"/>
      <c r="CH620" s="69"/>
      <c r="CI620" s="69"/>
      <c r="CJ620" s="69"/>
      <c r="CK620" s="69"/>
      <c r="CL620" s="69"/>
      <c r="CM620" s="69"/>
      <c r="CN620" s="69"/>
      <c r="CO620" s="69"/>
      <c r="CP620" s="69"/>
      <c r="CQ620" s="69"/>
      <c r="CR620" s="69"/>
      <c r="CS620" s="69"/>
      <c r="CT620" s="69"/>
      <c r="CU620" s="69"/>
      <c r="CV620" s="69"/>
      <c r="CW620" s="69"/>
      <c r="CX620" s="69"/>
      <c r="CY620" s="69"/>
      <c r="CZ620" s="69"/>
      <c r="DA620" s="69"/>
      <c r="DB620" s="69"/>
      <c r="DC620" s="69"/>
      <c r="DD620" s="69"/>
      <c r="DE620" s="69"/>
      <c r="DF620" s="69"/>
      <c r="DG620" s="69"/>
      <c r="DH620" s="69"/>
      <c r="DI620" s="69"/>
      <c r="DJ620" s="69"/>
      <c r="DK620" s="69"/>
      <c r="DL620" s="69"/>
    </row>
    <row r="621" spans="1:116" ht="13" x14ac:dyDescent="0.3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202"/>
      <c r="V621" s="69"/>
      <c r="W621" s="69"/>
      <c r="X621" s="69"/>
      <c r="Y621" s="69"/>
      <c r="Z621" s="69"/>
      <c r="AA621" s="69"/>
      <c r="AB621" s="203"/>
      <c r="AC621" s="69"/>
      <c r="AD621" s="69"/>
      <c r="AE621" s="203"/>
      <c r="AF621" s="69"/>
      <c r="AG621" s="69"/>
      <c r="AH621" s="69"/>
      <c r="AI621" s="69"/>
      <c r="AJ621" s="69"/>
      <c r="AK621" s="69"/>
      <c r="AL621" s="69"/>
      <c r="AM621" s="69"/>
      <c r="AN621" s="69"/>
      <c r="AO621" s="69"/>
      <c r="AP621" s="69"/>
      <c r="AQ621" s="69"/>
      <c r="AR621" s="69"/>
      <c r="AS621" s="69"/>
      <c r="AT621" s="69"/>
      <c r="AU621" s="69"/>
      <c r="AV621" s="69"/>
      <c r="AW621" s="69"/>
      <c r="AX621" s="69"/>
      <c r="AY621" s="69"/>
      <c r="AZ621" s="69"/>
      <c r="BA621" s="69"/>
      <c r="BB621" s="69"/>
      <c r="BC621" s="69"/>
      <c r="BD621" s="69"/>
      <c r="BE621" s="69"/>
      <c r="BF621" s="69"/>
      <c r="BG621" s="69"/>
      <c r="BH621" s="69"/>
      <c r="BI621" s="69"/>
      <c r="BJ621" s="69"/>
      <c r="BK621" s="69"/>
      <c r="BL621" s="69"/>
      <c r="BM621" s="69"/>
      <c r="BN621" s="69"/>
      <c r="BO621" s="69"/>
      <c r="BP621" s="69"/>
      <c r="BQ621" s="69"/>
      <c r="BR621" s="69"/>
      <c r="BS621" s="69"/>
      <c r="BT621" s="69"/>
      <c r="BU621" s="69"/>
      <c r="BV621" s="69"/>
      <c r="BW621" s="69"/>
      <c r="BX621" s="69"/>
      <c r="BY621" s="69"/>
      <c r="BZ621" s="69"/>
      <c r="CA621" s="69"/>
      <c r="CB621" s="69"/>
      <c r="CC621" s="69"/>
      <c r="CD621" s="69"/>
      <c r="CE621" s="69"/>
      <c r="CF621" s="69"/>
      <c r="CG621" s="69"/>
      <c r="CH621" s="69"/>
      <c r="CI621" s="69"/>
      <c r="CJ621" s="69"/>
      <c r="CK621" s="69"/>
      <c r="CL621" s="69"/>
      <c r="CM621" s="69"/>
      <c r="CN621" s="69"/>
      <c r="CO621" s="69"/>
      <c r="CP621" s="69"/>
      <c r="CQ621" s="69"/>
      <c r="CR621" s="69"/>
      <c r="CS621" s="69"/>
      <c r="CT621" s="69"/>
      <c r="CU621" s="69"/>
      <c r="CV621" s="69"/>
      <c r="CW621" s="69"/>
      <c r="CX621" s="69"/>
      <c r="CY621" s="69"/>
      <c r="CZ621" s="69"/>
      <c r="DA621" s="69"/>
      <c r="DB621" s="69"/>
      <c r="DC621" s="69"/>
      <c r="DD621" s="69"/>
      <c r="DE621" s="69"/>
      <c r="DF621" s="69"/>
      <c r="DG621" s="69"/>
      <c r="DH621" s="69"/>
      <c r="DI621" s="69"/>
      <c r="DJ621" s="69"/>
      <c r="DK621" s="69"/>
      <c r="DL621" s="69"/>
    </row>
    <row r="622" spans="1:116" ht="13" x14ac:dyDescent="0.3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202"/>
      <c r="V622" s="69"/>
      <c r="W622" s="69"/>
      <c r="X622" s="69"/>
      <c r="Y622" s="69"/>
      <c r="Z622" s="69"/>
      <c r="AA622" s="69"/>
      <c r="AB622" s="203"/>
      <c r="AC622" s="69"/>
      <c r="AD622" s="69"/>
      <c r="AE622" s="203"/>
      <c r="AF622" s="69"/>
      <c r="AG622" s="69"/>
      <c r="AH622" s="69"/>
      <c r="AI622" s="69"/>
      <c r="AJ622" s="69"/>
      <c r="AK622" s="69"/>
      <c r="AL622" s="69"/>
      <c r="AM622" s="69"/>
      <c r="AN622" s="69"/>
      <c r="AO622" s="69"/>
      <c r="AP622" s="69"/>
      <c r="AQ622" s="69"/>
      <c r="AR622" s="69"/>
      <c r="AS622" s="69"/>
      <c r="AT622" s="69"/>
      <c r="AU622" s="69"/>
      <c r="AV622" s="69"/>
      <c r="AW622" s="69"/>
      <c r="AX622" s="69"/>
      <c r="AY622" s="69"/>
      <c r="AZ622" s="69"/>
      <c r="BA622" s="69"/>
      <c r="BB622" s="69"/>
      <c r="BC622" s="69"/>
      <c r="BD622" s="69"/>
      <c r="BE622" s="69"/>
      <c r="BF622" s="69"/>
      <c r="BG622" s="69"/>
      <c r="BH622" s="69"/>
      <c r="BI622" s="69"/>
      <c r="BJ622" s="69"/>
      <c r="BK622" s="69"/>
      <c r="BL622" s="69"/>
      <c r="BM622" s="69"/>
      <c r="BN622" s="69"/>
      <c r="BO622" s="69"/>
      <c r="BP622" s="69"/>
      <c r="BQ622" s="69"/>
      <c r="BR622" s="69"/>
      <c r="BS622" s="69"/>
      <c r="BT622" s="69"/>
      <c r="BU622" s="69"/>
      <c r="BV622" s="69"/>
      <c r="BW622" s="69"/>
      <c r="BX622" s="69"/>
      <c r="BY622" s="69"/>
      <c r="BZ622" s="69"/>
      <c r="CA622" s="69"/>
      <c r="CB622" s="69"/>
      <c r="CC622" s="69"/>
      <c r="CD622" s="69"/>
      <c r="CE622" s="69"/>
      <c r="CF622" s="69"/>
      <c r="CG622" s="69"/>
      <c r="CH622" s="69"/>
      <c r="CI622" s="69"/>
      <c r="CJ622" s="69"/>
      <c r="CK622" s="69"/>
      <c r="CL622" s="69"/>
      <c r="CM622" s="69"/>
      <c r="CN622" s="69"/>
      <c r="CO622" s="69"/>
      <c r="CP622" s="69"/>
      <c r="CQ622" s="69"/>
      <c r="CR622" s="69"/>
      <c r="CS622" s="69"/>
      <c r="CT622" s="69"/>
      <c r="CU622" s="69"/>
      <c r="CV622" s="69"/>
      <c r="CW622" s="69"/>
      <c r="CX622" s="69"/>
      <c r="CY622" s="69"/>
      <c r="CZ622" s="69"/>
      <c r="DA622" s="69"/>
      <c r="DB622" s="69"/>
      <c r="DC622" s="69"/>
      <c r="DD622" s="69"/>
      <c r="DE622" s="69"/>
      <c r="DF622" s="69"/>
      <c r="DG622" s="69"/>
      <c r="DH622" s="69"/>
      <c r="DI622" s="69"/>
      <c r="DJ622" s="69"/>
      <c r="DK622" s="69"/>
      <c r="DL622" s="69"/>
    </row>
    <row r="623" spans="1:116" ht="13" x14ac:dyDescent="0.3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202"/>
      <c r="V623" s="69"/>
      <c r="W623" s="69"/>
      <c r="X623" s="69"/>
      <c r="Y623" s="69"/>
      <c r="Z623" s="69"/>
      <c r="AA623" s="69"/>
      <c r="AB623" s="203"/>
      <c r="AC623" s="69"/>
      <c r="AD623" s="69"/>
      <c r="AE623" s="203"/>
      <c r="AF623" s="69"/>
      <c r="AG623" s="69"/>
      <c r="AH623" s="69"/>
      <c r="AI623" s="69"/>
      <c r="AJ623" s="69"/>
      <c r="AK623" s="69"/>
      <c r="AL623" s="69"/>
      <c r="AM623" s="69"/>
      <c r="AN623" s="69"/>
      <c r="AO623" s="69"/>
      <c r="AP623" s="69"/>
      <c r="AQ623" s="69"/>
      <c r="AR623" s="69"/>
      <c r="AS623" s="69"/>
      <c r="AT623" s="69"/>
      <c r="AU623" s="69"/>
      <c r="AV623" s="69"/>
      <c r="AW623" s="69"/>
      <c r="AX623" s="69"/>
      <c r="AY623" s="69"/>
      <c r="AZ623" s="69"/>
      <c r="BA623" s="69"/>
      <c r="BB623" s="69"/>
      <c r="BC623" s="69"/>
      <c r="BD623" s="69"/>
      <c r="BE623" s="69"/>
      <c r="BF623" s="69"/>
      <c r="BG623" s="69"/>
      <c r="BH623" s="69"/>
      <c r="BI623" s="69"/>
      <c r="BJ623" s="69"/>
      <c r="BK623" s="69"/>
      <c r="BL623" s="69"/>
      <c r="BM623" s="69"/>
      <c r="BN623" s="69"/>
      <c r="BO623" s="69"/>
      <c r="BP623" s="69"/>
      <c r="BQ623" s="69"/>
      <c r="BR623" s="69"/>
      <c r="BS623" s="69"/>
      <c r="BT623" s="69"/>
      <c r="BU623" s="69"/>
      <c r="BV623" s="69"/>
      <c r="BW623" s="69"/>
      <c r="BX623" s="69"/>
      <c r="BY623" s="69"/>
      <c r="BZ623" s="69"/>
      <c r="CA623" s="69"/>
      <c r="CB623" s="69"/>
      <c r="CC623" s="69"/>
      <c r="CD623" s="69"/>
      <c r="CE623" s="69"/>
      <c r="CF623" s="69"/>
      <c r="CG623" s="69"/>
      <c r="CH623" s="69"/>
      <c r="CI623" s="69"/>
      <c r="CJ623" s="69"/>
      <c r="CK623" s="69"/>
      <c r="CL623" s="69"/>
      <c r="CM623" s="69"/>
      <c r="CN623" s="69"/>
      <c r="CO623" s="69"/>
      <c r="CP623" s="69"/>
      <c r="CQ623" s="69"/>
      <c r="CR623" s="69"/>
      <c r="CS623" s="69"/>
      <c r="CT623" s="69"/>
      <c r="CU623" s="69"/>
      <c r="CV623" s="69"/>
      <c r="CW623" s="69"/>
      <c r="CX623" s="69"/>
      <c r="CY623" s="69"/>
      <c r="CZ623" s="69"/>
      <c r="DA623" s="69"/>
      <c r="DB623" s="69"/>
      <c r="DC623" s="69"/>
      <c r="DD623" s="69"/>
      <c r="DE623" s="69"/>
      <c r="DF623" s="69"/>
      <c r="DG623" s="69"/>
      <c r="DH623" s="69"/>
      <c r="DI623" s="69"/>
      <c r="DJ623" s="69"/>
      <c r="DK623" s="69"/>
      <c r="DL623" s="69"/>
    </row>
    <row r="624" spans="1:116" ht="13" x14ac:dyDescent="0.3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202"/>
      <c r="V624" s="69"/>
      <c r="W624" s="69"/>
      <c r="X624" s="69"/>
      <c r="Y624" s="69"/>
      <c r="Z624" s="69"/>
      <c r="AA624" s="69"/>
      <c r="AB624" s="203"/>
      <c r="AC624" s="69"/>
      <c r="AD624" s="69"/>
      <c r="AE624" s="203"/>
      <c r="AF624" s="69"/>
      <c r="AG624" s="69"/>
      <c r="AH624" s="69"/>
      <c r="AI624" s="69"/>
      <c r="AJ624" s="69"/>
      <c r="AK624" s="69"/>
      <c r="AL624" s="69"/>
      <c r="AM624" s="69"/>
      <c r="AN624" s="69"/>
      <c r="AO624" s="69"/>
      <c r="AP624" s="69"/>
      <c r="AQ624" s="69"/>
      <c r="AR624" s="69"/>
      <c r="AS624" s="69"/>
      <c r="AT624" s="69"/>
      <c r="AU624" s="69"/>
      <c r="AV624" s="69"/>
      <c r="AW624" s="69"/>
      <c r="AX624" s="69"/>
      <c r="AY624" s="69"/>
      <c r="AZ624" s="69"/>
      <c r="BA624" s="69"/>
      <c r="BB624" s="69"/>
      <c r="BC624" s="69"/>
      <c r="BD624" s="69"/>
      <c r="BE624" s="69"/>
      <c r="BF624" s="69"/>
      <c r="BG624" s="69"/>
      <c r="BH624" s="69"/>
      <c r="BI624" s="69"/>
      <c r="BJ624" s="69"/>
      <c r="BK624" s="69"/>
      <c r="BL624" s="69"/>
      <c r="BM624" s="69"/>
      <c r="BN624" s="69"/>
      <c r="BO624" s="69"/>
      <c r="BP624" s="69"/>
      <c r="BQ624" s="69"/>
      <c r="BR624" s="69"/>
      <c r="BS624" s="69"/>
      <c r="BT624" s="69"/>
      <c r="BU624" s="69"/>
      <c r="BV624" s="69"/>
      <c r="BW624" s="69"/>
      <c r="BX624" s="69"/>
      <c r="BY624" s="69"/>
      <c r="BZ624" s="69"/>
      <c r="CA624" s="69"/>
      <c r="CB624" s="69"/>
      <c r="CC624" s="69"/>
      <c r="CD624" s="69"/>
      <c r="CE624" s="69"/>
      <c r="CF624" s="69"/>
      <c r="CG624" s="69"/>
      <c r="CH624" s="69"/>
      <c r="CI624" s="69"/>
      <c r="CJ624" s="69"/>
      <c r="CK624" s="69"/>
      <c r="CL624" s="69"/>
      <c r="CM624" s="69"/>
      <c r="CN624" s="69"/>
      <c r="CO624" s="69"/>
      <c r="CP624" s="69"/>
      <c r="CQ624" s="69"/>
      <c r="CR624" s="69"/>
      <c r="CS624" s="69"/>
      <c r="CT624" s="69"/>
      <c r="CU624" s="69"/>
      <c r="CV624" s="69"/>
      <c r="CW624" s="69"/>
      <c r="CX624" s="69"/>
      <c r="CY624" s="69"/>
      <c r="CZ624" s="69"/>
      <c r="DA624" s="69"/>
      <c r="DB624" s="69"/>
      <c r="DC624" s="69"/>
      <c r="DD624" s="69"/>
      <c r="DE624" s="69"/>
      <c r="DF624" s="69"/>
      <c r="DG624" s="69"/>
      <c r="DH624" s="69"/>
      <c r="DI624" s="69"/>
      <c r="DJ624" s="69"/>
      <c r="DK624" s="69"/>
      <c r="DL624" s="69"/>
    </row>
    <row r="625" spans="1:116" ht="13" x14ac:dyDescent="0.3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202"/>
      <c r="V625" s="69"/>
      <c r="W625" s="69"/>
      <c r="X625" s="69"/>
      <c r="Y625" s="69"/>
      <c r="Z625" s="69"/>
      <c r="AA625" s="69"/>
      <c r="AB625" s="203"/>
      <c r="AC625" s="69"/>
      <c r="AD625" s="69"/>
      <c r="AE625" s="203"/>
      <c r="AF625" s="69"/>
      <c r="AG625" s="69"/>
      <c r="AH625" s="69"/>
      <c r="AI625" s="69"/>
      <c r="AJ625" s="69"/>
      <c r="AK625" s="69"/>
      <c r="AL625" s="69"/>
      <c r="AM625" s="69"/>
      <c r="AN625" s="69"/>
      <c r="AO625" s="69"/>
      <c r="AP625" s="69"/>
      <c r="AQ625" s="69"/>
      <c r="AR625" s="69"/>
      <c r="AS625" s="69"/>
      <c r="AT625" s="69"/>
      <c r="AU625" s="69"/>
      <c r="AV625" s="69"/>
      <c r="AW625" s="69"/>
      <c r="AX625" s="69"/>
      <c r="AY625" s="69"/>
      <c r="AZ625" s="69"/>
      <c r="BA625" s="69"/>
      <c r="BB625" s="69"/>
      <c r="BC625" s="69"/>
      <c r="BD625" s="69"/>
      <c r="BE625" s="69"/>
      <c r="BF625" s="69"/>
      <c r="BG625" s="69"/>
      <c r="BH625" s="69"/>
      <c r="BI625" s="69"/>
      <c r="BJ625" s="69"/>
      <c r="BK625" s="69"/>
      <c r="BL625" s="69"/>
      <c r="BM625" s="69"/>
      <c r="BN625" s="69"/>
      <c r="BO625" s="69"/>
      <c r="BP625" s="69"/>
      <c r="BQ625" s="69"/>
      <c r="BR625" s="69"/>
      <c r="BS625" s="69"/>
      <c r="BT625" s="69"/>
      <c r="BU625" s="69"/>
      <c r="BV625" s="69"/>
      <c r="BW625" s="69"/>
      <c r="BX625" s="69"/>
      <c r="BY625" s="69"/>
      <c r="BZ625" s="69"/>
      <c r="CA625" s="69"/>
      <c r="CB625" s="69"/>
      <c r="CC625" s="69"/>
      <c r="CD625" s="69"/>
      <c r="CE625" s="69"/>
      <c r="CF625" s="69"/>
      <c r="CG625" s="69"/>
      <c r="CH625" s="69"/>
      <c r="CI625" s="69"/>
      <c r="CJ625" s="69"/>
      <c r="CK625" s="69"/>
      <c r="CL625" s="69"/>
      <c r="CM625" s="69"/>
      <c r="CN625" s="69"/>
      <c r="CO625" s="69"/>
      <c r="CP625" s="69"/>
      <c r="CQ625" s="69"/>
      <c r="CR625" s="69"/>
      <c r="CS625" s="69"/>
      <c r="CT625" s="69"/>
      <c r="CU625" s="69"/>
      <c r="CV625" s="69"/>
      <c r="CW625" s="69"/>
      <c r="CX625" s="69"/>
      <c r="CY625" s="69"/>
      <c r="CZ625" s="69"/>
      <c r="DA625" s="69"/>
      <c r="DB625" s="69"/>
      <c r="DC625" s="69"/>
      <c r="DD625" s="69"/>
      <c r="DE625" s="69"/>
      <c r="DF625" s="69"/>
      <c r="DG625" s="69"/>
      <c r="DH625" s="69"/>
      <c r="DI625" s="69"/>
      <c r="DJ625" s="69"/>
      <c r="DK625" s="69"/>
      <c r="DL625" s="69"/>
    </row>
    <row r="626" spans="1:116" ht="13" x14ac:dyDescent="0.3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202"/>
      <c r="V626" s="69"/>
      <c r="W626" s="69"/>
      <c r="X626" s="69"/>
      <c r="Y626" s="69"/>
      <c r="Z626" s="69"/>
      <c r="AA626" s="69"/>
      <c r="AB626" s="203"/>
      <c r="AC626" s="69"/>
      <c r="AD626" s="69"/>
      <c r="AE626" s="203"/>
      <c r="AF626" s="69"/>
      <c r="AG626" s="69"/>
      <c r="AH626" s="69"/>
      <c r="AI626" s="69"/>
      <c r="AJ626" s="69"/>
      <c r="AK626" s="69"/>
      <c r="AL626" s="69"/>
      <c r="AM626" s="69"/>
      <c r="AN626" s="69"/>
      <c r="AO626" s="69"/>
      <c r="AP626" s="69"/>
      <c r="AQ626" s="69"/>
      <c r="AR626" s="69"/>
      <c r="AS626" s="69"/>
      <c r="AT626" s="69"/>
      <c r="AU626" s="69"/>
      <c r="AV626" s="69"/>
      <c r="AW626" s="69"/>
      <c r="AX626" s="69"/>
      <c r="AY626" s="69"/>
      <c r="AZ626" s="69"/>
      <c r="BA626" s="69"/>
      <c r="BB626" s="69"/>
      <c r="BC626" s="69"/>
      <c r="BD626" s="69"/>
      <c r="BE626" s="69"/>
      <c r="BF626" s="69"/>
      <c r="BG626" s="69"/>
      <c r="BH626" s="69"/>
      <c r="BI626" s="69"/>
      <c r="BJ626" s="69"/>
      <c r="BK626" s="69"/>
      <c r="BL626" s="69"/>
      <c r="BM626" s="69"/>
      <c r="BN626" s="69"/>
      <c r="BO626" s="69"/>
      <c r="BP626" s="69"/>
      <c r="BQ626" s="69"/>
      <c r="BR626" s="69"/>
      <c r="BS626" s="69"/>
      <c r="BT626" s="69"/>
      <c r="BU626" s="69"/>
      <c r="BV626" s="69"/>
      <c r="BW626" s="69"/>
      <c r="BX626" s="69"/>
      <c r="BY626" s="69"/>
      <c r="BZ626" s="69"/>
      <c r="CA626" s="69"/>
      <c r="CB626" s="69"/>
      <c r="CC626" s="69"/>
      <c r="CD626" s="69"/>
      <c r="CE626" s="69"/>
      <c r="CF626" s="69"/>
      <c r="CG626" s="69"/>
      <c r="CH626" s="69"/>
      <c r="CI626" s="69"/>
      <c r="CJ626" s="69"/>
      <c r="CK626" s="69"/>
      <c r="CL626" s="69"/>
      <c r="CM626" s="69"/>
      <c r="CN626" s="69"/>
      <c r="CO626" s="69"/>
      <c r="CP626" s="69"/>
      <c r="CQ626" s="69"/>
      <c r="CR626" s="69"/>
      <c r="CS626" s="69"/>
      <c r="CT626" s="69"/>
      <c r="CU626" s="69"/>
      <c r="CV626" s="69"/>
      <c r="CW626" s="69"/>
      <c r="CX626" s="69"/>
      <c r="CY626" s="69"/>
      <c r="CZ626" s="69"/>
      <c r="DA626" s="69"/>
      <c r="DB626" s="69"/>
      <c r="DC626" s="69"/>
      <c r="DD626" s="69"/>
      <c r="DE626" s="69"/>
      <c r="DF626" s="69"/>
      <c r="DG626" s="69"/>
      <c r="DH626" s="69"/>
      <c r="DI626" s="69"/>
      <c r="DJ626" s="69"/>
      <c r="DK626" s="69"/>
      <c r="DL626" s="69"/>
    </row>
    <row r="627" spans="1:116" ht="13" x14ac:dyDescent="0.3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202"/>
      <c r="V627" s="69"/>
      <c r="W627" s="69"/>
      <c r="X627" s="69"/>
      <c r="Y627" s="69"/>
      <c r="Z627" s="69"/>
      <c r="AA627" s="69"/>
      <c r="AB627" s="203"/>
      <c r="AC627" s="69"/>
      <c r="AD627" s="69"/>
      <c r="AE627" s="203"/>
      <c r="AF627" s="69"/>
      <c r="AG627" s="69"/>
      <c r="AH627" s="69"/>
      <c r="AI627" s="69"/>
      <c r="AJ627" s="69"/>
      <c r="AK627" s="69"/>
      <c r="AL627" s="69"/>
      <c r="AM627" s="69"/>
      <c r="AN627" s="69"/>
      <c r="AO627" s="69"/>
      <c r="AP627" s="69"/>
      <c r="AQ627" s="69"/>
      <c r="AR627" s="69"/>
      <c r="AS627" s="69"/>
      <c r="AT627" s="69"/>
      <c r="AU627" s="69"/>
      <c r="AV627" s="69"/>
      <c r="AW627" s="69"/>
      <c r="AX627" s="69"/>
      <c r="AY627" s="69"/>
      <c r="AZ627" s="69"/>
      <c r="BA627" s="69"/>
      <c r="BB627" s="69"/>
      <c r="BC627" s="69"/>
      <c r="BD627" s="69"/>
      <c r="BE627" s="69"/>
      <c r="BF627" s="69"/>
      <c r="BG627" s="69"/>
      <c r="BH627" s="69"/>
      <c r="BI627" s="69"/>
      <c r="BJ627" s="69"/>
      <c r="BK627" s="69"/>
      <c r="BL627" s="69"/>
      <c r="BM627" s="69"/>
      <c r="BN627" s="69"/>
      <c r="BO627" s="69"/>
      <c r="BP627" s="69"/>
      <c r="BQ627" s="69"/>
      <c r="BR627" s="69"/>
      <c r="BS627" s="69"/>
      <c r="BT627" s="69"/>
      <c r="BU627" s="69"/>
      <c r="BV627" s="69"/>
      <c r="BW627" s="69"/>
      <c r="BX627" s="69"/>
      <c r="BY627" s="69"/>
      <c r="BZ627" s="69"/>
      <c r="CA627" s="69"/>
      <c r="CB627" s="69"/>
      <c r="CC627" s="69"/>
      <c r="CD627" s="69"/>
      <c r="CE627" s="69"/>
      <c r="CF627" s="69"/>
      <c r="CG627" s="69"/>
      <c r="CH627" s="69"/>
      <c r="CI627" s="69"/>
      <c r="CJ627" s="69"/>
      <c r="CK627" s="69"/>
      <c r="CL627" s="69"/>
      <c r="CM627" s="69"/>
      <c r="CN627" s="69"/>
      <c r="CO627" s="69"/>
      <c r="CP627" s="69"/>
      <c r="CQ627" s="69"/>
      <c r="CR627" s="69"/>
      <c r="CS627" s="69"/>
      <c r="CT627" s="69"/>
      <c r="CU627" s="69"/>
      <c r="CV627" s="69"/>
      <c r="CW627" s="69"/>
      <c r="CX627" s="69"/>
      <c r="CY627" s="69"/>
      <c r="CZ627" s="69"/>
      <c r="DA627" s="69"/>
      <c r="DB627" s="69"/>
      <c r="DC627" s="69"/>
      <c r="DD627" s="69"/>
      <c r="DE627" s="69"/>
      <c r="DF627" s="69"/>
      <c r="DG627" s="69"/>
      <c r="DH627" s="69"/>
      <c r="DI627" s="69"/>
      <c r="DJ627" s="69"/>
      <c r="DK627" s="69"/>
      <c r="DL627" s="69"/>
    </row>
    <row r="628" spans="1:116" ht="13" x14ac:dyDescent="0.3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202"/>
      <c r="V628" s="69"/>
      <c r="W628" s="69"/>
      <c r="X628" s="69"/>
      <c r="Y628" s="69"/>
      <c r="Z628" s="69"/>
      <c r="AA628" s="69"/>
      <c r="AB628" s="203"/>
      <c r="AC628" s="69"/>
      <c r="AD628" s="69"/>
      <c r="AE628" s="203"/>
      <c r="AF628" s="69"/>
      <c r="AG628" s="69"/>
      <c r="AH628" s="69"/>
      <c r="AI628" s="69"/>
      <c r="AJ628" s="69"/>
      <c r="AK628" s="69"/>
      <c r="AL628" s="69"/>
      <c r="AM628" s="69"/>
      <c r="AN628" s="69"/>
      <c r="AO628" s="69"/>
      <c r="AP628" s="69"/>
      <c r="AQ628" s="69"/>
      <c r="AR628" s="69"/>
      <c r="AS628" s="69"/>
      <c r="AT628" s="69"/>
      <c r="AU628" s="69"/>
      <c r="AV628" s="69"/>
      <c r="AW628" s="69"/>
      <c r="AX628" s="69"/>
      <c r="AY628" s="69"/>
      <c r="AZ628" s="69"/>
      <c r="BA628" s="69"/>
      <c r="BB628" s="69"/>
      <c r="BC628" s="69"/>
      <c r="BD628" s="69"/>
      <c r="BE628" s="69"/>
      <c r="BF628" s="69"/>
      <c r="BG628" s="69"/>
      <c r="BH628" s="69"/>
      <c r="BI628" s="69"/>
      <c r="BJ628" s="69"/>
      <c r="BK628" s="69"/>
      <c r="BL628" s="69"/>
      <c r="BM628" s="69"/>
      <c r="BN628" s="69"/>
      <c r="BO628" s="69"/>
      <c r="BP628" s="69"/>
      <c r="BQ628" s="69"/>
      <c r="BR628" s="69"/>
      <c r="BS628" s="69"/>
      <c r="BT628" s="69"/>
      <c r="BU628" s="69"/>
      <c r="BV628" s="69"/>
      <c r="BW628" s="69"/>
      <c r="BX628" s="69"/>
      <c r="BY628" s="69"/>
      <c r="BZ628" s="69"/>
      <c r="CA628" s="69"/>
      <c r="CB628" s="69"/>
      <c r="CC628" s="69"/>
      <c r="CD628" s="69"/>
      <c r="CE628" s="69"/>
      <c r="CF628" s="69"/>
      <c r="CG628" s="69"/>
      <c r="CH628" s="69"/>
      <c r="CI628" s="69"/>
      <c r="CJ628" s="69"/>
      <c r="CK628" s="69"/>
      <c r="CL628" s="69"/>
      <c r="CM628" s="69"/>
      <c r="CN628" s="69"/>
      <c r="CO628" s="69"/>
      <c r="CP628" s="69"/>
      <c r="CQ628" s="69"/>
      <c r="CR628" s="69"/>
      <c r="CS628" s="69"/>
      <c r="CT628" s="69"/>
      <c r="CU628" s="69"/>
      <c r="CV628" s="69"/>
      <c r="CW628" s="69"/>
      <c r="CX628" s="69"/>
      <c r="CY628" s="69"/>
      <c r="CZ628" s="69"/>
      <c r="DA628" s="69"/>
      <c r="DB628" s="69"/>
      <c r="DC628" s="69"/>
      <c r="DD628" s="69"/>
      <c r="DE628" s="69"/>
      <c r="DF628" s="69"/>
      <c r="DG628" s="69"/>
      <c r="DH628" s="69"/>
      <c r="DI628" s="69"/>
      <c r="DJ628" s="69"/>
      <c r="DK628" s="69"/>
      <c r="DL628" s="69"/>
    </row>
    <row r="629" spans="1:116" ht="13" x14ac:dyDescent="0.3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202"/>
      <c r="V629" s="69"/>
      <c r="W629" s="69"/>
      <c r="X629" s="69"/>
      <c r="Y629" s="69"/>
      <c r="Z629" s="69"/>
      <c r="AA629" s="69"/>
      <c r="AB629" s="203"/>
      <c r="AC629" s="69"/>
      <c r="AD629" s="69"/>
      <c r="AE629" s="203"/>
      <c r="AF629" s="69"/>
      <c r="AG629" s="69"/>
      <c r="AH629" s="69"/>
      <c r="AI629" s="69"/>
      <c r="AJ629" s="69"/>
      <c r="AK629" s="69"/>
      <c r="AL629" s="69"/>
      <c r="AM629" s="69"/>
      <c r="AN629" s="69"/>
      <c r="AO629" s="69"/>
      <c r="AP629" s="69"/>
      <c r="AQ629" s="69"/>
      <c r="AR629" s="69"/>
      <c r="AS629" s="69"/>
      <c r="AT629" s="69"/>
      <c r="AU629" s="69"/>
      <c r="AV629" s="69"/>
      <c r="AW629" s="69"/>
      <c r="AX629" s="69"/>
      <c r="AY629" s="69"/>
      <c r="AZ629" s="69"/>
      <c r="BA629" s="69"/>
      <c r="BB629" s="69"/>
      <c r="BC629" s="69"/>
      <c r="BD629" s="69"/>
      <c r="BE629" s="69"/>
      <c r="BF629" s="69"/>
      <c r="BG629" s="69"/>
      <c r="BH629" s="69"/>
      <c r="BI629" s="69"/>
      <c r="BJ629" s="69"/>
      <c r="BK629" s="69"/>
      <c r="BL629" s="69"/>
      <c r="BM629" s="69"/>
      <c r="BN629" s="69"/>
      <c r="BO629" s="69"/>
      <c r="BP629" s="69"/>
      <c r="BQ629" s="69"/>
      <c r="BR629" s="69"/>
      <c r="BS629" s="69"/>
      <c r="BT629" s="69"/>
      <c r="BU629" s="69"/>
      <c r="BV629" s="69"/>
      <c r="BW629" s="69"/>
      <c r="BX629" s="69"/>
      <c r="BY629" s="69"/>
      <c r="BZ629" s="69"/>
      <c r="CA629" s="69"/>
      <c r="CB629" s="69"/>
      <c r="CC629" s="69"/>
      <c r="CD629" s="69"/>
      <c r="CE629" s="69"/>
      <c r="CF629" s="69"/>
      <c r="CG629" s="69"/>
      <c r="CH629" s="69"/>
      <c r="CI629" s="69"/>
      <c r="CJ629" s="69"/>
      <c r="CK629" s="69"/>
      <c r="CL629" s="69"/>
      <c r="CM629" s="69"/>
      <c r="CN629" s="69"/>
      <c r="CO629" s="69"/>
      <c r="CP629" s="69"/>
      <c r="CQ629" s="69"/>
      <c r="CR629" s="69"/>
      <c r="CS629" s="69"/>
      <c r="CT629" s="69"/>
      <c r="CU629" s="69"/>
      <c r="CV629" s="69"/>
      <c r="CW629" s="69"/>
      <c r="CX629" s="69"/>
      <c r="CY629" s="69"/>
      <c r="CZ629" s="69"/>
      <c r="DA629" s="69"/>
      <c r="DB629" s="69"/>
      <c r="DC629" s="69"/>
      <c r="DD629" s="69"/>
      <c r="DE629" s="69"/>
      <c r="DF629" s="69"/>
      <c r="DG629" s="69"/>
      <c r="DH629" s="69"/>
      <c r="DI629" s="69"/>
      <c r="DJ629" s="69"/>
      <c r="DK629" s="69"/>
      <c r="DL629" s="69"/>
    </row>
    <row r="630" spans="1:116" ht="13" x14ac:dyDescent="0.3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202"/>
      <c r="V630" s="69"/>
      <c r="W630" s="69"/>
      <c r="X630" s="69"/>
      <c r="Y630" s="69"/>
      <c r="Z630" s="69"/>
      <c r="AA630" s="69"/>
      <c r="AB630" s="203"/>
      <c r="AC630" s="69"/>
      <c r="AD630" s="69"/>
      <c r="AE630" s="203"/>
      <c r="AF630" s="69"/>
      <c r="AG630" s="69"/>
      <c r="AH630" s="69"/>
      <c r="AI630" s="69"/>
      <c r="AJ630" s="69"/>
      <c r="AK630" s="69"/>
      <c r="AL630" s="69"/>
      <c r="AM630" s="69"/>
      <c r="AN630" s="69"/>
      <c r="AO630" s="69"/>
      <c r="AP630" s="69"/>
      <c r="AQ630" s="69"/>
      <c r="AR630" s="69"/>
      <c r="AS630" s="69"/>
      <c r="AT630" s="69"/>
      <c r="AU630" s="69"/>
      <c r="AV630" s="69"/>
      <c r="AW630" s="69"/>
      <c r="AX630" s="69"/>
      <c r="AY630" s="69"/>
      <c r="AZ630" s="69"/>
      <c r="BA630" s="69"/>
      <c r="BB630" s="69"/>
      <c r="BC630" s="69"/>
      <c r="BD630" s="69"/>
      <c r="BE630" s="69"/>
      <c r="BF630" s="69"/>
      <c r="BG630" s="69"/>
      <c r="BH630" s="69"/>
      <c r="BI630" s="69"/>
      <c r="BJ630" s="69"/>
      <c r="BK630" s="69"/>
      <c r="BL630" s="69"/>
      <c r="BM630" s="69"/>
      <c r="BN630" s="69"/>
      <c r="BO630" s="69"/>
      <c r="BP630" s="69"/>
      <c r="BQ630" s="69"/>
      <c r="BR630" s="69"/>
      <c r="BS630" s="69"/>
      <c r="BT630" s="69"/>
      <c r="BU630" s="69"/>
      <c r="BV630" s="69"/>
      <c r="BW630" s="69"/>
      <c r="BX630" s="69"/>
      <c r="BY630" s="69"/>
      <c r="BZ630" s="69"/>
      <c r="CA630" s="69"/>
      <c r="CB630" s="69"/>
      <c r="CC630" s="69"/>
      <c r="CD630" s="69"/>
      <c r="CE630" s="69"/>
      <c r="CF630" s="69"/>
      <c r="CG630" s="69"/>
      <c r="CH630" s="69"/>
      <c r="CI630" s="69"/>
      <c r="CJ630" s="69"/>
      <c r="CK630" s="69"/>
      <c r="CL630" s="69"/>
      <c r="CM630" s="69"/>
      <c r="CN630" s="69"/>
      <c r="CO630" s="69"/>
      <c r="CP630" s="69"/>
      <c r="CQ630" s="69"/>
      <c r="CR630" s="69"/>
      <c r="CS630" s="69"/>
      <c r="CT630" s="69"/>
      <c r="CU630" s="69"/>
      <c r="CV630" s="69"/>
      <c r="CW630" s="69"/>
      <c r="CX630" s="69"/>
      <c r="CY630" s="69"/>
      <c r="CZ630" s="69"/>
      <c r="DA630" s="69"/>
      <c r="DB630" s="69"/>
      <c r="DC630" s="69"/>
      <c r="DD630" s="69"/>
      <c r="DE630" s="69"/>
      <c r="DF630" s="69"/>
      <c r="DG630" s="69"/>
      <c r="DH630" s="69"/>
      <c r="DI630" s="69"/>
      <c r="DJ630" s="69"/>
      <c r="DK630" s="69"/>
      <c r="DL630" s="69"/>
    </row>
    <row r="631" spans="1:116" ht="13" x14ac:dyDescent="0.3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202"/>
      <c r="V631" s="69"/>
      <c r="W631" s="69"/>
      <c r="X631" s="69"/>
      <c r="Y631" s="69"/>
      <c r="Z631" s="69"/>
      <c r="AA631" s="69"/>
      <c r="AB631" s="203"/>
      <c r="AC631" s="69"/>
      <c r="AD631" s="69"/>
      <c r="AE631" s="203"/>
      <c r="AF631" s="69"/>
      <c r="AG631" s="69"/>
      <c r="AH631" s="69"/>
      <c r="AI631" s="69"/>
      <c r="AJ631" s="69"/>
      <c r="AK631" s="69"/>
      <c r="AL631" s="69"/>
      <c r="AM631" s="69"/>
      <c r="AN631" s="69"/>
      <c r="AO631" s="69"/>
      <c r="AP631" s="69"/>
      <c r="AQ631" s="69"/>
      <c r="AR631" s="69"/>
      <c r="AS631" s="69"/>
      <c r="AT631" s="69"/>
      <c r="AU631" s="69"/>
      <c r="AV631" s="69"/>
      <c r="AW631" s="69"/>
      <c r="AX631" s="69"/>
      <c r="AY631" s="69"/>
      <c r="AZ631" s="69"/>
      <c r="BA631" s="69"/>
      <c r="BB631" s="69"/>
      <c r="BC631" s="69"/>
      <c r="BD631" s="69"/>
      <c r="BE631" s="69"/>
      <c r="BF631" s="69"/>
      <c r="BG631" s="69"/>
      <c r="BH631" s="69"/>
      <c r="BI631" s="69"/>
      <c r="BJ631" s="69"/>
      <c r="BK631" s="69"/>
      <c r="BL631" s="69"/>
      <c r="BM631" s="69"/>
      <c r="BN631" s="69"/>
      <c r="BO631" s="69"/>
      <c r="BP631" s="69"/>
      <c r="BQ631" s="69"/>
      <c r="BR631" s="69"/>
      <c r="BS631" s="69"/>
      <c r="BT631" s="69"/>
      <c r="BU631" s="69"/>
      <c r="BV631" s="69"/>
      <c r="BW631" s="69"/>
      <c r="BX631" s="69"/>
      <c r="BY631" s="69"/>
      <c r="BZ631" s="69"/>
      <c r="CA631" s="69"/>
      <c r="CB631" s="69"/>
      <c r="CC631" s="69"/>
      <c r="CD631" s="69"/>
      <c r="CE631" s="69"/>
      <c r="CF631" s="69"/>
      <c r="CG631" s="69"/>
      <c r="CH631" s="69"/>
      <c r="CI631" s="69"/>
      <c r="CJ631" s="69"/>
      <c r="CK631" s="69"/>
      <c r="CL631" s="69"/>
      <c r="CM631" s="69"/>
      <c r="CN631" s="69"/>
      <c r="CO631" s="69"/>
      <c r="CP631" s="69"/>
      <c r="CQ631" s="69"/>
      <c r="CR631" s="69"/>
      <c r="CS631" s="69"/>
      <c r="CT631" s="69"/>
      <c r="CU631" s="69"/>
      <c r="CV631" s="69"/>
      <c r="CW631" s="69"/>
      <c r="CX631" s="69"/>
      <c r="CY631" s="69"/>
      <c r="CZ631" s="69"/>
      <c r="DA631" s="69"/>
      <c r="DB631" s="69"/>
      <c r="DC631" s="69"/>
      <c r="DD631" s="69"/>
      <c r="DE631" s="69"/>
      <c r="DF631" s="69"/>
      <c r="DG631" s="69"/>
      <c r="DH631" s="69"/>
      <c r="DI631" s="69"/>
      <c r="DJ631" s="69"/>
      <c r="DK631" s="69"/>
      <c r="DL631" s="69"/>
    </row>
    <row r="632" spans="1:116" ht="13" x14ac:dyDescent="0.3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202"/>
      <c r="V632" s="69"/>
      <c r="W632" s="69"/>
      <c r="X632" s="69"/>
      <c r="Y632" s="69"/>
      <c r="Z632" s="69"/>
      <c r="AA632" s="69"/>
      <c r="AB632" s="203"/>
      <c r="AC632" s="69"/>
      <c r="AD632" s="69"/>
      <c r="AE632" s="203"/>
      <c r="AF632" s="69"/>
      <c r="AG632" s="69"/>
      <c r="AH632" s="69"/>
      <c r="AI632" s="69"/>
      <c r="AJ632" s="69"/>
      <c r="AK632" s="69"/>
      <c r="AL632" s="69"/>
      <c r="AM632" s="69"/>
      <c r="AN632" s="69"/>
      <c r="AO632" s="69"/>
      <c r="AP632" s="69"/>
      <c r="AQ632" s="69"/>
      <c r="AR632" s="69"/>
      <c r="AS632" s="69"/>
      <c r="AT632" s="69"/>
      <c r="AU632" s="69"/>
      <c r="AV632" s="69"/>
      <c r="AW632" s="69"/>
      <c r="AX632" s="69"/>
      <c r="AY632" s="69"/>
      <c r="AZ632" s="69"/>
      <c r="BA632" s="69"/>
      <c r="BB632" s="69"/>
      <c r="BC632" s="69"/>
      <c r="BD632" s="69"/>
      <c r="BE632" s="69"/>
      <c r="BF632" s="69"/>
      <c r="BG632" s="69"/>
      <c r="BH632" s="69"/>
      <c r="BI632" s="69"/>
      <c r="BJ632" s="69"/>
      <c r="BK632" s="69"/>
      <c r="BL632" s="69"/>
      <c r="BM632" s="69"/>
      <c r="BN632" s="69"/>
      <c r="BO632" s="69"/>
      <c r="BP632" s="69"/>
      <c r="BQ632" s="69"/>
      <c r="BR632" s="69"/>
      <c r="BS632" s="69"/>
      <c r="BT632" s="69"/>
      <c r="BU632" s="69"/>
      <c r="BV632" s="69"/>
      <c r="BW632" s="69"/>
      <c r="BX632" s="69"/>
      <c r="BY632" s="69"/>
      <c r="BZ632" s="69"/>
      <c r="CA632" s="69"/>
      <c r="CB632" s="69"/>
      <c r="CC632" s="69"/>
      <c r="CD632" s="69"/>
      <c r="CE632" s="69"/>
      <c r="CF632" s="69"/>
      <c r="CG632" s="69"/>
      <c r="CH632" s="69"/>
      <c r="CI632" s="69"/>
      <c r="CJ632" s="69"/>
      <c r="CK632" s="69"/>
      <c r="CL632" s="69"/>
      <c r="CM632" s="69"/>
      <c r="CN632" s="69"/>
      <c r="CO632" s="69"/>
      <c r="CP632" s="69"/>
      <c r="CQ632" s="69"/>
      <c r="CR632" s="69"/>
      <c r="CS632" s="69"/>
      <c r="CT632" s="69"/>
      <c r="CU632" s="69"/>
      <c r="CV632" s="69"/>
      <c r="CW632" s="69"/>
      <c r="CX632" s="69"/>
      <c r="CY632" s="69"/>
      <c r="CZ632" s="69"/>
      <c r="DA632" s="69"/>
      <c r="DB632" s="69"/>
      <c r="DC632" s="69"/>
      <c r="DD632" s="69"/>
      <c r="DE632" s="69"/>
      <c r="DF632" s="69"/>
      <c r="DG632" s="69"/>
      <c r="DH632" s="69"/>
      <c r="DI632" s="69"/>
      <c r="DJ632" s="69"/>
      <c r="DK632" s="69"/>
      <c r="DL632" s="69"/>
    </row>
    <row r="633" spans="1:116" ht="13" x14ac:dyDescent="0.3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202"/>
      <c r="V633" s="69"/>
      <c r="W633" s="69"/>
      <c r="X633" s="69"/>
      <c r="Y633" s="69"/>
      <c r="Z633" s="69"/>
      <c r="AA633" s="69"/>
      <c r="AB633" s="203"/>
      <c r="AC633" s="69"/>
      <c r="AD633" s="69"/>
      <c r="AE633" s="203"/>
      <c r="AF633" s="69"/>
      <c r="AG633" s="69"/>
      <c r="AH633" s="69"/>
      <c r="AI633" s="69"/>
      <c r="AJ633" s="69"/>
      <c r="AK633" s="69"/>
      <c r="AL633" s="69"/>
      <c r="AM633" s="69"/>
      <c r="AN633" s="69"/>
      <c r="AO633" s="69"/>
      <c r="AP633" s="69"/>
      <c r="AQ633" s="69"/>
      <c r="AR633" s="69"/>
      <c r="AS633" s="69"/>
      <c r="AT633" s="69"/>
      <c r="AU633" s="69"/>
      <c r="AV633" s="69"/>
      <c r="AW633" s="69"/>
      <c r="AX633" s="69"/>
      <c r="AY633" s="69"/>
      <c r="AZ633" s="69"/>
      <c r="BA633" s="69"/>
      <c r="BB633" s="69"/>
      <c r="BC633" s="69"/>
      <c r="BD633" s="69"/>
      <c r="BE633" s="69"/>
      <c r="BF633" s="69"/>
      <c r="BG633" s="69"/>
      <c r="BH633" s="69"/>
      <c r="BI633" s="69"/>
      <c r="BJ633" s="69"/>
      <c r="BK633" s="69"/>
      <c r="BL633" s="69"/>
      <c r="BM633" s="69"/>
      <c r="BN633" s="69"/>
      <c r="BO633" s="69"/>
      <c r="BP633" s="69"/>
      <c r="BQ633" s="69"/>
      <c r="BR633" s="69"/>
      <c r="BS633" s="69"/>
      <c r="BT633" s="69"/>
      <c r="BU633" s="69"/>
      <c r="BV633" s="69"/>
      <c r="BW633" s="69"/>
      <c r="BX633" s="69"/>
      <c r="BY633" s="69"/>
      <c r="BZ633" s="69"/>
      <c r="CA633" s="69"/>
      <c r="CB633" s="69"/>
      <c r="CC633" s="69"/>
      <c r="CD633" s="69"/>
      <c r="CE633" s="69"/>
      <c r="CF633" s="69"/>
      <c r="CG633" s="69"/>
      <c r="CH633" s="69"/>
      <c r="CI633" s="69"/>
      <c r="CJ633" s="69"/>
      <c r="CK633" s="69"/>
      <c r="CL633" s="69"/>
      <c r="CM633" s="69"/>
      <c r="CN633" s="69"/>
      <c r="CO633" s="69"/>
      <c r="CP633" s="69"/>
      <c r="CQ633" s="69"/>
      <c r="CR633" s="69"/>
      <c r="CS633" s="69"/>
      <c r="CT633" s="69"/>
      <c r="CU633" s="69"/>
      <c r="CV633" s="69"/>
      <c r="CW633" s="69"/>
      <c r="CX633" s="69"/>
      <c r="CY633" s="69"/>
      <c r="CZ633" s="69"/>
      <c r="DA633" s="69"/>
      <c r="DB633" s="69"/>
      <c r="DC633" s="69"/>
      <c r="DD633" s="69"/>
      <c r="DE633" s="69"/>
      <c r="DF633" s="69"/>
      <c r="DG633" s="69"/>
      <c r="DH633" s="69"/>
      <c r="DI633" s="69"/>
      <c r="DJ633" s="69"/>
      <c r="DK633" s="69"/>
      <c r="DL633" s="69"/>
    </row>
    <row r="634" spans="1:116" ht="13" x14ac:dyDescent="0.3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202"/>
      <c r="V634" s="69"/>
      <c r="W634" s="69"/>
      <c r="X634" s="69"/>
      <c r="Y634" s="69"/>
      <c r="Z634" s="69"/>
      <c r="AA634" s="69"/>
      <c r="AB634" s="203"/>
      <c r="AC634" s="69"/>
      <c r="AD634" s="69"/>
      <c r="AE634" s="203"/>
      <c r="AF634" s="69"/>
      <c r="AG634" s="69"/>
      <c r="AH634" s="69"/>
      <c r="AI634" s="69"/>
      <c r="AJ634" s="69"/>
      <c r="AK634" s="69"/>
      <c r="AL634" s="69"/>
      <c r="AM634" s="69"/>
      <c r="AN634" s="69"/>
      <c r="AO634" s="69"/>
      <c r="AP634" s="69"/>
      <c r="AQ634" s="69"/>
      <c r="AR634" s="69"/>
      <c r="AS634" s="69"/>
      <c r="AT634" s="69"/>
      <c r="AU634" s="69"/>
      <c r="AV634" s="69"/>
      <c r="AW634" s="69"/>
      <c r="AX634" s="69"/>
      <c r="AY634" s="69"/>
      <c r="AZ634" s="69"/>
      <c r="BA634" s="69"/>
      <c r="BB634" s="69"/>
      <c r="BC634" s="69"/>
      <c r="BD634" s="69"/>
      <c r="BE634" s="69"/>
      <c r="BF634" s="69"/>
      <c r="BG634" s="69"/>
      <c r="BH634" s="69"/>
      <c r="BI634" s="69"/>
      <c r="BJ634" s="69"/>
      <c r="BK634" s="69"/>
      <c r="BL634" s="69"/>
      <c r="BM634" s="69"/>
      <c r="BN634" s="69"/>
      <c r="BO634" s="69"/>
      <c r="BP634" s="69"/>
      <c r="BQ634" s="69"/>
      <c r="BR634" s="69"/>
      <c r="BS634" s="69"/>
      <c r="BT634" s="69"/>
      <c r="BU634" s="69"/>
      <c r="BV634" s="69"/>
      <c r="BW634" s="69"/>
      <c r="BX634" s="69"/>
      <c r="BY634" s="69"/>
      <c r="BZ634" s="69"/>
      <c r="CA634" s="69"/>
      <c r="CB634" s="69"/>
      <c r="CC634" s="69"/>
      <c r="CD634" s="69"/>
      <c r="CE634" s="69"/>
      <c r="CF634" s="69"/>
      <c r="CG634" s="69"/>
      <c r="CH634" s="69"/>
      <c r="CI634" s="69"/>
      <c r="CJ634" s="69"/>
      <c r="CK634" s="69"/>
      <c r="CL634" s="69"/>
      <c r="CM634" s="69"/>
      <c r="CN634" s="69"/>
      <c r="CO634" s="69"/>
      <c r="CP634" s="69"/>
      <c r="CQ634" s="69"/>
      <c r="CR634" s="69"/>
      <c r="CS634" s="69"/>
      <c r="CT634" s="69"/>
      <c r="CU634" s="69"/>
      <c r="CV634" s="69"/>
      <c r="CW634" s="69"/>
      <c r="CX634" s="69"/>
      <c r="CY634" s="69"/>
      <c r="CZ634" s="69"/>
      <c r="DA634" s="69"/>
      <c r="DB634" s="69"/>
      <c r="DC634" s="69"/>
      <c r="DD634" s="69"/>
      <c r="DE634" s="69"/>
      <c r="DF634" s="69"/>
      <c r="DG634" s="69"/>
      <c r="DH634" s="69"/>
      <c r="DI634" s="69"/>
      <c r="DJ634" s="69"/>
      <c r="DK634" s="69"/>
      <c r="DL634" s="69"/>
    </row>
    <row r="635" spans="1:116" ht="13" x14ac:dyDescent="0.3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202"/>
      <c r="V635" s="69"/>
      <c r="W635" s="69"/>
      <c r="X635" s="69"/>
      <c r="Y635" s="69"/>
      <c r="Z635" s="69"/>
      <c r="AA635" s="69"/>
      <c r="AB635" s="203"/>
      <c r="AC635" s="69"/>
      <c r="AD635" s="69"/>
      <c r="AE635" s="203"/>
      <c r="AF635" s="69"/>
      <c r="AG635" s="69"/>
      <c r="AH635" s="69"/>
      <c r="AI635" s="69"/>
      <c r="AJ635" s="69"/>
      <c r="AK635" s="69"/>
      <c r="AL635" s="69"/>
      <c r="AM635" s="69"/>
      <c r="AN635" s="69"/>
      <c r="AO635" s="69"/>
      <c r="AP635" s="69"/>
      <c r="AQ635" s="69"/>
      <c r="AR635" s="69"/>
      <c r="AS635" s="69"/>
      <c r="AT635" s="69"/>
      <c r="AU635" s="69"/>
      <c r="AV635" s="69"/>
      <c r="AW635" s="69"/>
      <c r="AX635" s="69"/>
      <c r="AY635" s="69"/>
      <c r="AZ635" s="69"/>
      <c r="BA635" s="69"/>
      <c r="BB635" s="69"/>
      <c r="BC635" s="69"/>
      <c r="BD635" s="69"/>
      <c r="BE635" s="69"/>
      <c r="BF635" s="69"/>
      <c r="BG635" s="69"/>
      <c r="BH635" s="69"/>
      <c r="BI635" s="69"/>
      <c r="BJ635" s="69"/>
      <c r="BK635" s="69"/>
      <c r="BL635" s="69"/>
      <c r="BM635" s="69"/>
      <c r="BN635" s="69"/>
      <c r="BO635" s="69"/>
      <c r="BP635" s="69"/>
      <c r="BQ635" s="69"/>
      <c r="BR635" s="69"/>
      <c r="BS635" s="69"/>
      <c r="BT635" s="69"/>
      <c r="BU635" s="69"/>
      <c r="BV635" s="69"/>
      <c r="BW635" s="69"/>
      <c r="BX635" s="69"/>
      <c r="BY635" s="69"/>
      <c r="BZ635" s="69"/>
      <c r="CA635" s="69"/>
      <c r="CB635" s="69"/>
      <c r="CC635" s="69"/>
      <c r="CD635" s="69"/>
      <c r="CE635" s="69"/>
      <c r="CF635" s="69"/>
      <c r="CG635" s="69"/>
      <c r="CH635" s="69"/>
      <c r="CI635" s="69"/>
      <c r="CJ635" s="69"/>
      <c r="CK635" s="69"/>
      <c r="CL635" s="69"/>
      <c r="CM635" s="69"/>
      <c r="CN635" s="69"/>
      <c r="CO635" s="69"/>
      <c r="CP635" s="69"/>
      <c r="CQ635" s="69"/>
      <c r="CR635" s="69"/>
      <c r="CS635" s="69"/>
      <c r="CT635" s="69"/>
      <c r="CU635" s="69"/>
      <c r="CV635" s="69"/>
      <c r="CW635" s="69"/>
      <c r="CX635" s="69"/>
      <c r="CY635" s="69"/>
      <c r="CZ635" s="69"/>
      <c r="DA635" s="69"/>
      <c r="DB635" s="69"/>
      <c r="DC635" s="69"/>
      <c r="DD635" s="69"/>
      <c r="DE635" s="69"/>
      <c r="DF635" s="69"/>
      <c r="DG635" s="69"/>
      <c r="DH635" s="69"/>
      <c r="DI635" s="69"/>
      <c r="DJ635" s="69"/>
      <c r="DK635" s="69"/>
      <c r="DL635" s="69"/>
    </row>
    <row r="636" spans="1:116" ht="13" x14ac:dyDescent="0.3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202"/>
      <c r="V636" s="69"/>
      <c r="W636" s="69"/>
      <c r="X636" s="69"/>
      <c r="Y636" s="69"/>
      <c r="Z636" s="69"/>
      <c r="AA636" s="69"/>
      <c r="AB636" s="203"/>
      <c r="AC636" s="69"/>
      <c r="AD636" s="69"/>
      <c r="AE636" s="203"/>
      <c r="AF636" s="69"/>
      <c r="AG636" s="69"/>
      <c r="AH636" s="69"/>
      <c r="AI636" s="69"/>
      <c r="AJ636" s="69"/>
      <c r="AK636" s="69"/>
      <c r="AL636" s="69"/>
      <c r="AM636" s="69"/>
      <c r="AN636" s="69"/>
      <c r="AO636" s="69"/>
      <c r="AP636" s="69"/>
      <c r="AQ636" s="69"/>
      <c r="AR636" s="69"/>
      <c r="AS636" s="69"/>
      <c r="AT636" s="69"/>
      <c r="AU636" s="69"/>
      <c r="AV636" s="69"/>
      <c r="AW636" s="69"/>
      <c r="AX636" s="69"/>
      <c r="AY636" s="69"/>
      <c r="AZ636" s="69"/>
      <c r="BA636" s="69"/>
      <c r="BB636" s="69"/>
      <c r="BC636" s="69"/>
      <c r="BD636" s="69"/>
      <c r="BE636" s="69"/>
      <c r="BF636" s="69"/>
      <c r="BG636" s="69"/>
      <c r="BH636" s="69"/>
      <c r="BI636" s="69"/>
      <c r="BJ636" s="69"/>
      <c r="BK636" s="69"/>
      <c r="BL636" s="69"/>
      <c r="BM636" s="69"/>
      <c r="BN636" s="69"/>
      <c r="BO636" s="69"/>
      <c r="BP636" s="69"/>
      <c r="BQ636" s="69"/>
      <c r="BR636" s="69"/>
      <c r="BS636" s="69"/>
      <c r="BT636" s="69"/>
      <c r="BU636" s="69"/>
      <c r="BV636" s="69"/>
      <c r="BW636" s="69"/>
      <c r="BX636" s="69"/>
      <c r="BY636" s="69"/>
      <c r="BZ636" s="69"/>
      <c r="CA636" s="69"/>
      <c r="CB636" s="69"/>
      <c r="CC636" s="69"/>
      <c r="CD636" s="69"/>
      <c r="CE636" s="69"/>
      <c r="CF636" s="69"/>
      <c r="CG636" s="69"/>
      <c r="CH636" s="69"/>
      <c r="CI636" s="69"/>
      <c r="CJ636" s="69"/>
      <c r="CK636" s="69"/>
      <c r="CL636" s="69"/>
      <c r="CM636" s="69"/>
      <c r="CN636" s="69"/>
      <c r="CO636" s="69"/>
      <c r="CP636" s="69"/>
      <c r="CQ636" s="69"/>
      <c r="CR636" s="69"/>
      <c r="CS636" s="69"/>
      <c r="CT636" s="69"/>
      <c r="CU636" s="69"/>
      <c r="CV636" s="69"/>
      <c r="CW636" s="69"/>
      <c r="CX636" s="69"/>
      <c r="CY636" s="69"/>
      <c r="CZ636" s="69"/>
      <c r="DA636" s="69"/>
      <c r="DB636" s="69"/>
      <c r="DC636" s="69"/>
      <c r="DD636" s="69"/>
      <c r="DE636" s="69"/>
      <c r="DF636" s="69"/>
      <c r="DG636" s="69"/>
      <c r="DH636" s="69"/>
      <c r="DI636" s="69"/>
      <c r="DJ636" s="69"/>
      <c r="DK636" s="69"/>
      <c r="DL636" s="69"/>
    </row>
    <row r="637" spans="1:116" ht="13" x14ac:dyDescent="0.3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202"/>
      <c r="V637" s="69"/>
      <c r="W637" s="69"/>
      <c r="X637" s="69"/>
      <c r="Y637" s="69"/>
      <c r="Z637" s="69"/>
      <c r="AA637" s="69"/>
      <c r="AB637" s="203"/>
      <c r="AC637" s="69"/>
      <c r="AD637" s="69"/>
      <c r="AE637" s="203"/>
      <c r="AF637" s="69"/>
      <c r="AG637" s="69"/>
      <c r="AH637" s="69"/>
      <c r="AI637" s="69"/>
      <c r="AJ637" s="69"/>
      <c r="AK637" s="69"/>
      <c r="AL637" s="69"/>
      <c r="AM637" s="69"/>
      <c r="AN637" s="69"/>
      <c r="AO637" s="69"/>
      <c r="AP637" s="69"/>
      <c r="AQ637" s="69"/>
      <c r="AR637" s="69"/>
      <c r="AS637" s="69"/>
      <c r="AT637" s="69"/>
      <c r="AU637" s="69"/>
      <c r="AV637" s="69"/>
      <c r="AW637" s="69"/>
      <c r="AX637" s="69"/>
      <c r="AY637" s="69"/>
      <c r="AZ637" s="69"/>
      <c r="BA637" s="69"/>
      <c r="BB637" s="69"/>
      <c r="BC637" s="69"/>
      <c r="BD637" s="69"/>
      <c r="BE637" s="69"/>
      <c r="BF637" s="69"/>
      <c r="BG637" s="69"/>
      <c r="BH637" s="69"/>
      <c r="BI637" s="69"/>
      <c r="BJ637" s="69"/>
      <c r="BK637" s="69"/>
      <c r="BL637" s="69"/>
      <c r="BM637" s="69"/>
      <c r="BN637" s="69"/>
      <c r="BO637" s="69"/>
      <c r="BP637" s="69"/>
      <c r="BQ637" s="69"/>
      <c r="BR637" s="69"/>
      <c r="BS637" s="69"/>
      <c r="BT637" s="69"/>
      <c r="BU637" s="69"/>
      <c r="BV637" s="69"/>
      <c r="BW637" s="69"/>
      <c r="BX637" s="69"/>
      <c r="BY637" s="69"/>
      <c r="BZ637" s="69"/>
      <c r="CA637" s="69"/>
      <c r="CB637" s="69"/>
      <c r="CC637" s="69"/>
      <c r="CD637" s="69"/>
      <c r="CE637" s="69"/>
      <c r="CF637" s="69"/>
      <c r="CG637" s="69"/>
      <c r="CH637" s="69"/>
      <c r="CI637" s="69"/>
      <c r="CJ637" s="69"/>
      <c r="CK637" s="69"/>
      <c r="CL637" s="69"/>
      <c r="CM637" s="69"/>
      <c r="CN637" s="69"/>
      <c r="CO637" s="69"/>
      <c r="CP637" s="69"/>
      <c r="CQ637" s="69"/>
      <c r="CR637" s="69"/>
      <c r="CS637" s="69"/>
      <c r="CT637" s="69"/>
      <c r="CU637" s="69"/>
      <c r="CV637" s="69"/>
      <c r="CW637" s="69"/>
      <c r="CX637" s="69"/>
      <c r="CY637" s="69"/>
      <c r="CZ637" s="69"/>
      <c r="DA637" s="69"/>
      <c r="DB637" s="69"/>
      <c r="DC637" s="69"/>
      <c r="DD637" s="69"/>
      <c r="DE637" s="69"/>
      <c r="DF637" s="69"/>
      <c r="DG637" s="69"/>
      <c r="DH637" s="69"/>
      <c r="DI637" s="69"/>
      <c r="DJ637" s="69"/>
      <c r="DK637" s="69"/>
      <c r="DL637" s="69"/>
    </row>
    <row r="638" spans="1:116" ht="13" x14ac:dyDescent="0.3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202"/>
      <c r="V638" s="69"/>
      <c r="W638" s="69"/>
      <c r="X638" s="69"/>
      <c r="Y638" s="69"/>
      <c r="Z638" s="69"/>
      <c r="AA638" s="69"/>
      <c r="AB638" s="203"/>
      <c r="AC638" s="69"/>
      <c r="AD638" s="69"/>
      <c r="AE638" s="203"/>
      <c r="AF638" s="69"/>
      <c r="AG638" s="69"/>
      <c r="AH638" s="69"/>
      <c r="AI638" s="69"/>
      <c r="AJ638" s="69"/>
      <c r="AK638" s="69"/>
      <c r="AL638" s="69"/>
      <c r="AM638" s="69"/>
      <c r="AN638" s="69"/>
      <c r="AO638" s="69"/>
      <c r="AP638" s="69"/>
      <c r="AQ638" s="69"/>
      <c r="AR638" s="69"/>
      <c r="AS638" s="69"/>
      <c r="AT638" s="69"/>
      <c r="AU638" s="69"/>
      <c r="AV638" s="69"/>
      <c r="AW638" s="69"/>
      <c r="AX638" s="69"/>
      <c r="AY638" s="69"/>
      <c r="AZ638" s="69"/>
      <c r="BA638" s="69"/>
      <c r="BB638" s="69"/>
      <c r="BC638" s="69"/>
      <c r="BD638" s="69"/>
      <c r="BE638" s="69"/>
      <c r="BF638" s="69"/>
      <c r="BG638" s="69"/>
      <c r="BH638" s="69"/>
      <c r="BI638" s="69"/>
      <c r="BJ638" s="69"/>
      <c r="BK638" s="69"/>
      <c r="BL638" s="69"/>
      <c r="BM638" s="69"/>
      <c r="BN638" s="69"/>
      <c r="BO638" s="69"/>
      <c r="BP638" s="69"/>
      <c r="BQ638" s="69"/>
      <c r="BR638" s="69"/>
      <c r="BS638" s="69"/>
      <c r="BT638" s="69"/>
      <c r="BU638" s="69"/>
      <c r="BV638" s="69"/>
      <c r="BW638" s="69"/>
      <c r="BX638" s="69"/>
      <c r="BY638" s="69"/>
      <c r="BZ638" s="69"/>
      <c r="CA638" s="69"/>
      <c r="CB638" s="69"/>
      <c r="CC638" s="69"/>
      <c r="CD638" s="69"/>
      <c r="CE638" s="69"/>
      <c r="CF638" s="69"/>
      <c r="CG638" s="69"/>
      <c r="CH638" s="69"/>
      <c r="CI638" s="69"/>
      <c r="CJ638" s="69"/>
      <c r="CK638" s="69"/>
      <c r="CL638" s="69"/>
      <c r="CM638" s="69"/>
      <c r="CN638" s="69"/>
      <c r="CO638" s="69"/>
      <c r="CP638" s="69"/>
      <c r="CQ638" s="69"/>
      <c r="CR638" s="69"/>
      <c r="CS638" s="69"/>
      <c r="CT638" s="69"/>
      <c r="CU638" s="69"/>
      <c r="CV638" s="69"/>
      <c r="CW638" s="69"/>
      <c r="CX638" s="69"/>
      <c r="CY638" s="69"/>
      <c r="CZ638" s="69"/>
      <c r="DA638" s="69"/>
      <c r="DB638" s="69"/>
      <c r="DC638" s="69"/>
      <c r="DD638" s="69"/>
      <c r="DE638" s="69"/>
      <c r="DF638" s="69"/>
      <c r="DG638" s="69"/>
      <c r="DH638" s="69"/>
      <c r="DI638" s="69"/>
      <c r="DJ638" s="69"/>
      <c r="DK638" s="69"/>
      <c r="DL638" s="69"/>
    </row>
    <row r="639" spans="1:116" ht="13" x14ac:dyDescent="0.3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202"/>
      <c r="V639" s="69"/>
      <c r="W639" s="69"/>
      <c r="X639" s="69"/>
      <c r="Y639" s="69"/>
      <c r="Z639" s="69"/>
      <c r="AA639" s="69"/>
      <c r="AB639" s="203"/>
      <c r="AC639" s="69"/>
      <c r="AD639" s="69"/>
      <c r="AE639" s="203"/>
      <c r="AF639" s="69"/>
      <c r="AG639" s="69"/>
      <c r="AH639" s="69"/>
      <c r="AI639" s="69"/>
      <c r="AJ639" s="69"/>
      <c r="AK639" s="69"/>
      <c r="AL639" s="69"/>
      <c r="AM639" s="69"/>
      <c r="AN639" s="69"/>
      <c r="AO639" s="69"/>
      <c r="AP639" s="69"/>
      <c r="AQ639" s="69"/>
      <c r="AR639" s="69"/>
      <c r="AS639" s="69"/>
      <c r="AT639" s="69"/>
      <c r="AU639" s="69"/>
      <c r="AV639" s="69"/>
      <c r="AW639" s="69"/>
      <c r="AX639" s="69"/>
      <c r="AY639" s="69"/>
      <c r="AZ639" s="69"/>
      <c r="BA639" s="69"/>
      <c r="BB639" s="69"/>
      <c r="BC639" s="69"/>
      <c r="BD639" s="69"/>
      <c r="BE639" s="69"/>
      <c r="BF639" s="69"/>
      <c r="BG639" s="69"/>
      <c r="BH639" s="69"/>
      <c r="BI639" s="69"/>
      <c r="BJ639" s="69"/>
      <c r="BK639" s="69"/>
      <c r="BL639" s="69"/>
      <c r="BM639" s="69"/>
      <c r="BN639" s="69"/>
      <c r="BO639" s="69"/>
      <c r="BP639" s="69"/>
      <c r="BQ639" s="69"/>
      <c r="BR639" s="69"/>
      <c r="BS639" s="69"/>
      <c r="BT639" s="69"/>
      <c r="BU639" s="69"/>
      <c r="BV639" s="69"/>
      <c r="BW639" s="69"/>
      <c r="BX639" s="69"/>
      <c r="BY639" s="69"/>
      <c r="BZ639" s="69"/>
      <c r="CA639" s="69"/>
      <c r="CB639" s="69"/>
      <c r="CC639" s="69"/>
      <c r="CD639" s="69"/>
      <c r="CE639" s="69"/>
      <c r="CF639" s="69"/>
      <c r="CG639" s="69"/>
      <c r="CH639" s="69"/>
      <c r="CI639" s="69"/>
      <c r="CJ639" s="69"/>
      <c r="CK639" s="69"/>
      <c r="CL639" s="69"/>
      <c r="CM639" s="69"/>
      <c r="CN639" s="69"/>
      <c r="CO639" s="69"/>
      <c r="CP639" s="69"/>
      <c r="CQ639" s="69"/>
      <c r="CR639" s="69"/>
      <c r="CS639" s="69"/>
      <c r="CT639" s="69"/>
      <c r="CU639" s="69"/>
      <c r="CV639" s="69"/>
      <c r="CW639" s="69"/>
      <c r="CX639" s="69"/>
      <c r="CY639" s="69"/>
      <c r="CZ639" s="69"/>
      <c r="DA639" s="69"/>
      <c r="DB639" s="69"/>
      <c r="DC639" s="69"/>
      <c r="DD639" s="69"/>
      <c r="DE639" s="69"/>
      <c r="DF639" s="69"/>
      <c r="DG639" s="69"/>
      <c r="DH639" s="69"/>
      <c r="DI639" s="69"/>
      <c r="DJ639" s="69"/>
      <c r="DK639" s="69"/>
      <c r="DL639" s="69"/>
    </row>
    <row r="640" spans="1:116" ht="13" x14ac:dyDescent="0.3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202"/>
      <c r="V640" s="69"/>
      <c r="W640" s="69"/>
      <c r="X640" s="69"/>
      <c r="Y640" s="69"/>
      <c r="Z640" s="69"/>
      <c r="AA640" s="69"/>
      <c r="AB640" s="203"/>
      <c r="AC640" s="69"/>
      <c r="AD640" s="69"/>
      <c r="AE640" s="203"/>
      <c r="AF640" s="69"/>
      <c r="AG640" s="69"/>
      <c r="AH640" s="69"/>
      <c r="AI640" s="69"/>
      <c r="AJ640" s="69"/>
      <c r="AK640" s="69"/>
      <c r="AL640" s="69"/>
      <c r="AM640" s="69"/>
      <c r="AN640" s="69"/>
      <c r="AO640" s="69"/>
      <c r="AP640" s="69"/>
      <c r="AQ640" s="69"/>
      <c r="AR640" s="69"/>
      <c r="AS640" s="69"/>
      <c r="AT640" s="69"/>
      <c r="AU640" s="69"/>
      <c r="AV640" s="69"/>
      <c r="AW640" s="69"/>
      <c r="AX640" s="69"/>
      <c r="AY640" s="69"/>
      <c r="AZ640" s="69"/>
      <c r="BA640" s="69"/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  <c r="BW640" s="69"/>
      <c r="BX640" s="69"/>
      <c r="BY640" s="69"/>
      <c r="BZ640" s="69"/>
      <c r="CA640" s="69"/>
      <c r="CB640" s="69"/>
      <c r="CC640" s="69"/>
      <c r="CD640" s="69"/>
      <c r="CE640" s="69"/>
      <c r="CF640" s="69"/>
      <c r="CG640" s="69"/>
      <c r="CH640" s="69"/>
      <c r="CI640" s="69"/>
      <c r="CJ640" s="69"/>
      <c r="CK640" s="69"/>
      <c r="CL640" s="69"/>
      <c r="CM640" s="69"/>
      <c r="CN640" s="69"/>
      <c r="CO640" s="69"/>
      <c r="CP640" s="69"/>
      <c r="CQ640" s="69"/>
      <c r="CR640" s="69"/>
      <c r="CS640" s="69"/>
      <c r="CT640" s="69"/>
      <c r="CU640" s="69"/>
      <c r="CV640" s="69"/>
      <c r="CW640" s="69"/>
      <c r="CX640" s="69"/>
      <c r="CY640" s="69"/>
      <c r="CZ640" s="69"/>
      <c r="DA640" s="69"/>
      <c r="DB640" s="69"/>
      <c r="DC640" s="69"/>
      <c r="DD640" s="69"/>
      <c r="DE640" s="69"/>
      <c r="DF640" s="69"/>
      <c r="DG640" s="69"/>
      <c r="DH640" s="69"/>
      <c r="DI640" s="69"/>
      <c r="DJ640" s="69"/>
      <c r="DK640" s="69"/>
      <c r="DL640" s="69"/>
    </row>
    <row r="641" spans="1:116" ht="13" x14ac:dyDescent="0.3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202"/>
      <c r="V641" s="69"/>
      <c r="W641" s="69"/>
      <c r="X641" s="69"/>
      <c r="Y641" s="69"/>
      <c r="Z641" s="69"/>
      <c r="AA641" s="69"/>
      <c r="AB641" s="203"/>
      <c r="AC641" s="69"/>
      <c r="AD641" s="69"/>
      <c r="AE641" s="203"/>
      <c r="AF641" s="69"/>
      <c r="AG641" s="69"/>
      <c r="AH641" s="69"/>
      <c r="AI641" s="69"/>
      <c r="AJ641" s="69"/>
      <c r="AK641" s="69"/>
      <c r="AL641" s="69"/>
      <c r="AM641" s="69"/>
      <c r="AN641" s="69"/>
      <c r="AO641" s="69"/>
      <c r="AP641" s="69"/>
      <c r="AQ641" s="69"/>
      <c r="AR641" s="69"/>
      <c r="AS641" s="69"/>
      <c r="AT641" s="69"/>
      <c r="AU641" s="69"/>
      <c r="AV641" s="69"/>
      <c r="AW641" s="69"/>
      <c r="AX641" s="69"/>
      <c r="AY641" s="69"/>
      <c r="AZ641" s="69"/>
      <c r="BA641" s="69"/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  <c r="BW641" s="69"/>
      <c r="BX641" s="69"/>
      <c r="BY641" s="69"/>
      <c r="BZ641" s="69"/>
      <c r="CA641" s="69"/>
      <c r="CB641" s="69"/>
      <c r="CC641" s="69"/>
      <c r="CD641" s="69"/>
      <c r="CE641" s="69"/>
      <c r="CF641" s="69"/>
      <c r="CG641" s="69"/>
      <c r="CH641" s="69"/>
      <c r="CI641" s="69"/>
      <c r="CJ641" s="69"/>
      <c r="CK641" s="69"/>
      <c r="CL641" s="69"/>
      <c r="CM641" s="69"/>
      <c r="CN641" s="69"/>
      <c r="CO641" s="69"/>
      <c r="CP641" s="69"/>
      <c r="CQ641" s="69"/>
      <c r="CR641" s="69"/>
      <c r="CS641" s="69"/>
      <c r="CT641" s="69"/>
      <c r="CU641" s="69"/>
      <c r="CV641" s="69"/>
      <c r="CW641" s="69"/>
      <c r="CX641" s="69"/>
      <c r="CY641" s="69"/>
      <c r="CZ641" s="69"/>
      <c r="DA641" s="69"/>
      <c r="DB641" s="69"/>
      <c r="DC641" s="69"/>
      <c r="DD641" s="69"/>
      <c r="DE641" s="69"/>
      <c r="DF641" s="69"/>
      <c r="DG641" s="69"/>
      <c r="DH641" s="69"/>
      <c r="DI641" s="69"/>
      <c r="DJ641" s="69"/>
      <c r="DK641" s="69"/>
      <c r="DL641" s="69"/>
    </row>
    <row r="642" spans="1:116" ht="13" x14ac:dyDescent="0.3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202"/>
      <c r="V642" s="69"/>
      <c r="W642" s="69"/>
      <c r="X642" s="69"/>
      <c r="Y642" s="69"/>
      <c r="Z642" s="69"/>
      <c r="AA642" s="69"/>
      <c r="AB642" s="203"/>
      <c r="AC642" s="69"/>
      <c r="AD642" s="69"/>
      <c r="AE642" s="203"/>
      <c r="AF642" s="69"/>
      <c r="AG642" s="69"/>
      <c r="AH642" s="69"/>
      <c r="AI642" s="69"/>
      <c r="AJ642" s="69"/>
      <c r="AK642" s="69"/>
      <c r="AL642" s="69"/>
      <c r="AM642" s="69"/>
      <c r="AN642" s="69"/>
      <c r="AO642" s="69"/>
      <c r="AP642" s="69"/>
      <c r="AQ642" s="69"/>
      <c r="AR642" s="69"/>
      <c r="AS642" s="69"/>
      <c r="AT642" s="69"/>
      <c r="AU642" s="69"/>
      <c r="AV642" s="69"/>
      <c r="AW642" s="69"/>
      <c r="AX642" s="69"/>
      <c r="AY642" s="69"/>
      <c r="AZ642" s="69"/>
      <c r="BA642" s="69"/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  <c r="BW642" s="69"/>
      <c r="BX642" s="69"/>
      <c r="BY642" s="69"/>
      <c r="BZ642" s="69"/>
      <c r="CA642" s="69"/>
      <c r="CB642" s="69"/>
      <c r="CC642" s="69"/>
      <c r="CD642" s="69"/>
      <c r="CE642" s="69"/>
      <c r="CF642" s="69"/>
      <c r="CG642" s="69"/>
      <c r="CH642" s="69"/>
      <c r="CI642" s="69"/>
      <c r="CJ642" s="69"/>
      <c r="CK642" s="69"/>
      <c r="CL642" s="69"/>
      <c r="CM642" s="69"/>
      <c r="CN642" s="69"/>
      <c r="CO642" s="69"/>
      <c r="CP642" s="69"/>
      <c r="CQ642" s="69"/>
      <c r="CR642" s="69"/>
      <c r="CS642" s="69"/>
      <c r="CT642" s="69"/>
      <c r="CU642" s="69"/>
      <c r="CV642" s="69"/>
      <c r="CW642" s="69"/>
      <c r="CX642" s="69"/>
      <c r="CY642" s="69"/>
      <c r="CZ642" s="69"/>
      <c r="DA642" s="69"/>
      <c r="DB642" s="69"/>
      <c r="DC642" s="69"/>
      <c r="DD642" s="69"/>
      <c r="DE642" s="69"/>
      <c r="DF642" s="69"/>
      <c r="DG642" s="69"/>
      <c r="DH642" s="69"/>
      <c r="DI642" s="69"/>
      <c r="DJ642" s="69"/>
      <c r="DK642" s="69"/>
      <c r="DL642" s="69"/>
    </row>
    <row r="643" spans="1:116" ht="13" x14ac:dyDescent="0.3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202"/>
      <c r="V643" s="69"/>
      <c r="W643" s="69"/>
      <c r="X643" s="69"/>
      <c r="Y643" s="69"/>
      <c r="Z643" s="69"/>
      <c r="AA643" s="69"/>
      <c r="AB643" s="203"/>
      <c r="AC643" s="69"/>
      <c r="AD643" s="69"/>
      <c r="AE643" s="203"/>
      <c r="AF643" s="69"/>
      <c r="AG643" s="69"/>
      <c r="AH643" s="69"/>
      <c r="AI643" s="69"/>
      <c r="AJ643" s="69"/>
      <c r="AK643" s="69"/>
      <c r="AL643" s="69"/>
      <c r="AM643" s="69"/>
      <c r="AN643" s="69"/>
      <c r="AO643" s="69"/>
      <c r="AP643" s="69"/>
      <c r="AQ643" s="69"/>
      <c r="AR643" s="69"/>
      <c r="AS643" s="69"/>
      <c r="AT643" s="69"/>
      <c r="AU643" s="69"/>
      <c r="AV643" s="69"/>
      <c r="AW643" s="69"/>
      <c r="AX643" s="69"/>
      <c r="AY643" s="69"/>
      <c r="AZ643" s="69"/>
      <c r="BA643" s="69"/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  <c r="BW643" s="69"/>
      <c r="BX643" s="69"/>
      <c r="BY643" s="69"/>
      <c r="BZ643" s="69"/>
      <c r="CA643" s="69"/>
      <c r="CB643" s="69"/>
      <c r="CC643" s="69"/>
      <c r="CD643" s="69"/>
      <c r="CE643" s="69"/>
      <c r="CF643" s="69"/>
      <c r="CG643" s="69"/>
      <c r="CH643" s="69"/>
      <c r="CI643" s="69"/>
      <c r="CJ643" s="69"/>
      <c r="CK643" s="69"/>
      <c r="CL643" s="69"/>
      <c r="CM643" s="69"/>
      <c r="CN643" s="69"/>
      <c r="CO643" s="69"/>
      <c r="CP643" s="69"/>
      <c r="CQ643" s="69"/>
      <c r="CR643" s="69"/>
      <c r="CS643" s="69"/>
      <c r="CT643" s="69"/>
      <c r="CU643" s="69"/>
      <c r="CV643" s="69"/>
      <c r="CW643" s="69"/>
      <c r="CX643" s="69"/>
      <c r="CY643" s="69"/>
      <c r="CZ643" s="69"/>
      <c r="DA643" s="69"/>
      <c r="DB643" s="69"/>
      <c r="DC643" s="69"/>
      <c r="DD643" s="69"/>
      <c r="DE643" s="69"/>
      <c r="DF643" s="69"/>
      <c r="DG643" s="69"/>
      <c r="DH643" s="69"/>
      <c r="DI643" s="69"/>
      <c r="DJ643" s="69"/>
      <c r="DK643" s="69"/>
      <c r="DL643" s="69"/>
    </row>
    <row r="644" spans="1:116" ht="13" x14ac:dyDescent="0.3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202"/>
      <c r="V644" s="69"/>
      <c r="W644" s="69"/>
      <c r="X644" s="69"/>
      <c r="Y644" s="69"/>
      <c r="Z644" s="69"/>
      <c r="AA644" s="69"/>
      <c r="AB644" s="203"/>
      <c r="AC644" s="69"/>
      <c r="AD644" s="69"/>
      <c r="AE644" s="203"/>
      <c r="AF644" s="69"/>
      <c r="AG644" s="69"/>
      <c r="AH644" s="69"/>
      <c r="AI644" s="69"/>
      <c r="AJ644" s="69"/>
      <c r="AK644" s="69"/>
      <c r="AL644" s="69"/>
      <c r="AM644" s="69"/>
      <c r="AN644" s="69"/>
      <c r="AO644" s="69"/>
      <c r="AP644" s="69"/>
      <c r="AQ644" s="69"/>
      <c r="AR644" s="69"/>
      <c r="AS644" s="69"/>
      <c r="AT644" s="69"/>
      <c r="AU644" s="69"/>
      <c r="AV644" s="69"/>
      <c r="AW644" s="69"/>
      <c r="AX644" s="69"/>
      <c r="AY644" s="69"/>
      <c r="AZ644" s="69"/>
      <c r="BA644" s="69"/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  <c r="BW644" s="69"/>
      <c r="BX644" s="69"/>
      <c r="BY644" s="69"/>
      <c r="BZ644" s="69"/>
      <c r="CA644" s="69"/>
      <c r="CB644" s="69"/>
      <c r="CC644" s="69"/>
      <c r="CD644" s="69"/>
      <c r="CE644" s="69"/>
      <c r="CF644" s="69"/>
      <c r="CG644" s="69"/>
      <c r="CH644" s="69"/>
      <c r="CI644" s="69"/>
      <c r="CJ644" s="69"/>
      <c r="CK644" s="69"/>
      <c r="CL644" s="69"/>
      <c r="CM644" s="69"/>
      <c r="CN644" s="69"/>
      <c r="CO644" s="69"/>
      <c r="CP644" s="69"/>
      <c r="CQ644" s="69"/>
      <c r="CR644" s="69"/>
      <c r="CS644" s="69"/>
      <c r="CT644" s="69"/>
      <c r="CU644" s="69"/>
      <c r="CV644" s="69"/>
      <c r="CW644" s="69"/>
      <c r="CX644" s="69"/>
      <c r="CY644" s="69"/>
      <c r="CZ644" s="69"/>
      <c r="DA644" s="69"/>
      <c r="DB644" s="69"/>
      <c r="DC644" s="69"/>
      <c r="DD644" s="69"/>
      <c r="DE644" s="69"/>
      <c r="DF644" s="69"/>
      <c r="DG644" s="69"/>
      <c r="DH644" s="69"/>
      <c r="DI644" s="69"/>
      <c r="DJ644" s="69"/>
      <c r="DK644" s="69"/>
      <c r="DL644" s="69"/>
    </row>
    <row r="645" spans="1:116" ht="13" x14ac:dyDescent="0.3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202"/>
      <c r="V645" s="69"/>
      <c r="W645" s="69"/>
      <c r="X645" s="69"/>
      <c r="Y645" s="69"/>
      <c r="Z645" s="69"/>
      <c r="AA645" s="69"/>
      <c r="AB645" s="203"/>
      <c r="AC645" s="69"/>
      <c r="AD645" s="69"/>
      <c r="AE645" s="203"/>
      <c r="AF645" s="69"/>
      <c r="AG645" s="69"/>
      <c r="AH645" s="69"/>
      <c r="AI645" s="69"/>
      <c r="AJ645" s="69"/>
      <c r="AK645" s="69"/>
      <c r="AL645" s="69"/>
      <c r="AM645" s="69"/>
      <c r="AN645" s="69"/>
      <c r="AO645" s="69"/>
      <c r="AP645" s="69"/>
      <c r="AQ645" s="69"/>
      <c r="AR645" s="69"/>
      <c r="AS645" s="69"/>
      <c r="AT645" s="69"/>
      <c r="AU645" s="69"/>
      <c r="AV645" s="69"/>
      <c r="AW645" s="69"/>
      <c r="AX645" s="69"/>
      <c r="AY645" s="69"/>
      <c r="AZ645" s="69"/>
      <c r="BA645" s="69"/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  <c r="BW645" s="69"/>
      <c r="BX645" s="69"/>
      <c r="BY645" s="69"/>
      <c r="BZ645" s="69"/>
      <c r="CA645" s="69"/>
      <c r="CB645" s="69"/>
      <c r="CC645" s="69"/>
      <c r="CD645" s="69"/>
      <c r="CE645" s="69"/>
      <c r="CF645" s="69"/>
      <c r="CG645" s="69"/>
      <c r="CH645" s="69"/>
      <c r="CI645" s="69"/>
      <c r="CJ645" s="69"/>
      <c r="CK645" s="69"/>
      <c r="CL645" s="69"/>
      <c r="CM645" s="69"/>
      <c r="CN645" s="69"/>
      <c r="CO645" s="69"/>
      <c r="CP645" s="69"/>
      <c r="CQ645" s="69"/>
      <c r="CR645" s="69"/>
      <c r="CS645" s="69"/>
      <c r="CT645" s="69"/>
      <c r="CU645" s="69"/>
      <c r="CV645" s="69"/>
      <c r="CW645" s="69"/>
      <c r="CX645" s="69"/>
      <c r="CY645" s="69"/>
      <c r="CZ645" s="69"/>
      <c r="DA645" s="69"/>
      <c r="DB645" s="69"/>
      <c r="DC645" s="69"/>
      <c r="DD645" s="69"/>
      <c r="DE645" s="69"/>
      <c r="DF645" s="69"/>
      <c r="DG645" s="69"/>
      <c r="DH645" s="69"/>
      <c r="DI645" s="69"/>
      <c r="DJ645" s="69"/>
      <c r="DK645" s="69"/>
      <c r="DL645" s="69"/>
    </row>
    <row r="646" spans="1:116" ht="13" x14ac:dyDescent="0.3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202"/>
      <c r="V646" s="69"/>
      <c r="W646" s="69"/>
      <c r="X646" s="69"/>
      <c r="Y646" s="69"/>
      <c r="Z646" s="69"/>
      <c r="AA646" s="69"/>
      <c r="AB646" s="203"/>
      <c r="AC646" s="69"/>
      <c r="AD646" s="69"/>
      <c r="AE646" s="203"/>
      <c r="AF646" s="69"/>
      <c r="AG646" s="69"/>
      <c r="AH646" s="69"/>
      <c r="AI646" s="69"/>
      <c r="AJ646" s="69"/>
      <c r="AK646" s="69"/>
      <c r="AL646" s="69"/>
      <c r="AM646" s="69"/>
      <c r="AN646" s="69"/>
      <c r="AO646" s="69"/>
      <c r="AP646" s="69"/>
      <c r="AQ646" s="69"/>
      <c r="AR646" s="69"/>
      <c r="AS646" s="69"/>
      <c r="AT646" s="69"/>
      <c r="AU646" s="69"/>
      <c r="AV646" s="69"/>
      <c r="AW646" s="69"/>
      <c r="AX646" s="69"/>
      <c r="AY646" s="69"/>
      <c r="AZ646" s="69"/>
      <c r="BA646" s="69"/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  <c r="BW646" s="69"/>
      <c r="BX646" s="69"/>
      <c r="BY646" s="69"/>
      <c r="BZ646" s="69"/>
      <c r="CA646" s="69"/>
      <c r="CB646" s="69"/>
      <c r="CC646" s="69"/>
      <c r="CD646" s="69"/>
      <c r="CE646" s="69"/>
      <c r="CF646" s="69"/>
      <c r="CG646" s="69"/>
      <c r="CH646" s="69"/>
      <c r="CI646" s="69"/>
      <c r="CJ646" s="69"/>
      <c r="CK646" s="69"/>
      <c r="CL646" s="69"/>
      <c r="CM646" s="69"/>
      <c r="CN646" s="69"/>
      <c r="CO646" s="69"/>
      <c r="CP646" s="69"/>
      <c r="CQ646" s="69"/>
      <c r="CR646" s="69"/>
      <c r="CS646" s="69"/>
      <c r="CT646" s="69"/>
      <c r="CU646" s="69"/>
      <c r="CV646" s="69"/>
      <c r="CW646" s="69"/>
      <c r="CX646" s="69"/>
      <c r="CY646" s="69"/>
      <c r="CZ646" s="69"/>
      <c r="DA646" s="69"/>
      <c r="DB646" s="69"/>
      <c r="DC646" s="69"/>
      <c r="DD646" s="69"/>
      <c r="DE646" s="69"/>
      <c r="DF646" s="69"/>
      <c r="DG646" s="69"/>
      <c r="DH646" s="69"/>
      <c r="DI646" s="69"/>
      <c r="DJ646" s="69"/>
      <c r="DK646" s="69"/>
      <c r="DL646" s="69"/>
    </row>
    <row r="647" spans="1:116" ht="13" x14ac:dyDescent="0.3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202"/>
      <c r="V647" s="69"/>
      <c r="W647" s="69"/>
      <c r="X647" s="69"/>
      <c r="Y647" s="69"/>
      <c r="Z647" s="69"/>
      <c r="AA647" s="69"/>
      <c r="AB647" s="203"/>
      <c r="AC647" s="69"/>
      <c r="AD647" s="69"/>
      <c r="AE647" s="203"/>
      <c r="AF647" s="69"/>
      <c r="AG647" s="69"/>
      <c r="AH647" s="69"/>
      <c r="AI647" s="69"/>
      <c r="AJ647" s="69"/>
      <c r="AK647" s="69"/>
      <c r="AL647" s="69"/>
      <c r="AM647" s="69"/>
      <c r="AN647" s="69"/>
      <c r="AO647" s="69"/>
      <c r="AP647" s="69"/>
      <c r="AQ647" s="69"/>
      <c r="AR647" s="69"/>
      <c r="AS647" s="69"/>
      <c r="AT647" s="69"/>
      <c r="AU647" s="69"/>
      <c r="AV647" s="69"/>
      <c r="AW647" s="69"/>
      <c r="AX647" s="69"/>
      <c r="AY647" s="69"/>
      <c r="AZ647" s="69"/>
      <c r="BA647" s="69"/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  <c r="BW647" s="69"/>
      <c r="BX647" s="69"/>
      <c r="BY647" s="69"/>
      <c r="BZ647" s="69"/>
      <c r="CA647" s="69"/>
      <c r="CB647" s="69"/>
      <c r="CC647" s="69"/>
      <c r="CD647" s="69"/>
      <c r="CE647" s="69"/>
      <c r="CF647" s="69"/>
      <c r="CG647" s="69"/>
      <c r="CH647" s="69"/>
      <c r="CI647" s="69"/>
      <c r="CJ647" s="69"/>
      <c r="CK647" s="69"/>
      <c r="CL647" s="69"/>
      <c r="CM647" s="69"/>
      <c r="CN647" s="69"/>
      <c r="CO647" s="69"/>
      <c r="CP647" s="69"/>
      <c r="CQ647" s="69"/>
      <c r="CR647" s="69"/>
      <c r="CS647" s="69"/>
      <c r="CT647" s="69"/>
      <c r="CU647" s="69"/>
      <c r="CV647" s="69"/>
      <c r="CW647" s="69"/>
      <c r="CX647" s="69"/>
      <c r="CY647" s="69"/>
      <c r="CZ647" s="69"/>
      <c r="DA647" s="69"/>
      <c r="DB647" s="69"/>
      <c r="DC647" s="69"/>
      <c r="DD647" s="69"/>
      <c r="DE647" s="69"/>
      <c r="DF647" s="69"/>
      <c r="DG647" s="69"/>
      <c r="DH647" s="69"/>
      <c r="DI647" s="69"/>
      <c r="DJ647" s="69"/>
      <c r="DK647" s="69"/>
      <c r="DL647" s="69"/>
    </row>
    <row r="648" spans="1:116" ht="13" x14ac:dyDescent="0.3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202"/>
      <c r="V648" s="69"/>
      <c r="W648" s="69"/>
      <c r="X648" s="69"/>
      <c r="Y648" s="69"/>
      <c r="Z648" s="69"/>
      <c r="AA648" s="69"/>
      <c r="AB648" s="203"/>
      <c r="AC648" s="69"/>
      <c r="AD648" s="69"/>
      <c r="AE648" s="203"/>
      <c r="AF648" s="69"/>
      <c r="AG648" s="69"/>
      <c r="AH648" s="69"/>
      <c r="AI648" s="69"/>
      <c r="AJ648" s="69"/>
      <c r="AK648" s="69"/>
      <c r="AL648" s="69"/>
      <c r="AM648" s="69"/>
      <c r="AN648" s="69"/>
      <c r="AO648" s="69"/>
      <c r="AP648" s="69"/>
      <c r="AQ648" s="69"/>
      <c r="AR648" s="69"/>
      <c r="AS648" s="69"/>
      <c r="AT648" s="69"/>
      <c r="AU648" s="69"/>
      <c r="AV648" s="69"/>
      <c r="AW648" s="69"/>
      <c r="AX648" s="69"/>
      <c r="AY648" s="69"/>
      <c r="AZ648" s="69"/>
      <c r="BA648" s="69"/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  <c r="BW648" s="69"/>
      <c r="BX648" s="69"/>
      <c r="BY648" s="69"/>
      <c r="BZ648" s="69"/>
      <c r="CA648" s="69"/>
      <c r="CB648" s="69"/>
      <c r="CC648" s="69"/>
      <c r="CD648" s="69"/>
      <c r="CE648" s="69"/>
      <c r="CF648" s="69"/>
      <c r="CG648" s="69"/>
      <c r="CH648" s="69"/>
      <c r="CI648" s="69"/>
      <c r="CJ648" s="69"/>
      <c r="CK648" s="69"/>
      <c r="CL648" s="69"/>
      <c r="CM648" s="69"/>
      <c r="CN648" s="69"/>
      <c r="CO648" s="69"/>
      <c r="CP648" s="69"/>
      <c r="CQ648" s="69"/>
      <c r="CR648" s="69"/>
      <c r="CS648" s="69"/>
      <c r="CT648" s="69"/>
      <c r="CU648" s="69"/>
      <c r="CV648" s="69"/>
      <c r="CW648" s="69"/>
      <c r="CX648" s="69"/>
      <c r="CY648" s="69"/>
      <c r="CZ648" s="69"/>
      <c r="DA648" s="69"/>
      <c r="DB648" s="69"/>
      <c r="DC648" s="69"/>
      <c r="DD648" s="69"/>
      <c r="DE648" s="69"/>
      <c r="DF648" s="69"/>
      <c r="DG648" s="69"/>
      <c r="DH648" s="69"/>
      <c r="DI648" s="69"/>
      <c r="DJ648" s="69"/>
      <c r="DK648" s="69"/>
      <c r="DL648" s="69"/>
    </row>
    <row r="649" spans="1:116" ht="13" x14ac:dyDescent="0.3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202"/>
      <c r="V649" s="69"/>
      <c r="W649" s="69"/>
      <c r="X649" s="69"/>
      <c r="Y649" s="69"/>
      <c r="Z649" s="69"/>
      <c r="AA649" s="69"/>
      <c r="AB649" s="203"/>
      <c r="AC649" s="69"/>
      <c r="AD649" s="69"/>
      <c r="AE649" s="203"/>
      <c r="AF649" s="69"/>
      <c r="AG649" s="69"/>
      <c r="AH649" s="69"/>
      <c r="AI649" s="69"/>
      <c r="AJ649" s="69"/>
      <c r="AK649" s="69"/>
      <c r="AL649" s="69"/>
      <c r="AM649" s="69"/>
      <c r="AN649" s="69"/>
      <c r="AO649" s="69"/>
      <c r="AP649" s="69"/>
      <c r="AQ649" s="69"/>
      <c r="AR649" s="69"/>
      <c r="AS649" s="69"/>
      <c r="AT649" s="69"/>
      <c r="AU649" s="69"/>
      <c r="AV649" s="69"/>
      <c r="AW649" s="69"/>
      <c r="AX649" s="69"/>
      <c r="AY649" s="69"/>
      <c r="AZ649" s="69"/>
      <c r="BA649" s="69"/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  <c r="BW649" s="69"/>
      <c r="BX649" s="69"/>
      <c r="BY649" s="69"/>
      <c r="BZ649" s="69"/>
      <c r="CA649" s="69"/>
      <c r="CB649" s="69"/>
      <c r="CC649" s="69"/>
      <c r="CD649" s="69"/>
      <c r="CE649" s="69"/>
      <c r="CF649" s="69"/>
      <c r="CG649" s="69"/>
      <c r="CH649" s="69"/>
      <c r="CI649" s="69"/>
      <c r="CJ649" s="69"/>
      <c r="CK649" s="69"/>
      <c r="CL649" s="69"/>
      <c r="CM649" s="69"/>
      <c r="CN649" s="69"/>
      <c r="CO649" s="69"/>
      <c r="CP649" s="69"/>
      <c r="CQ649" s="69"/>
      <c r="CR649" s="69"/>
      <c r="CS649" s="69"/>
      <c r="CT649" s="69"/>
      <c r="CU649" s="69"/>
      <c r="CV649" s="69"/>
      <c r="CW649" s="69"/>
      <c r="CX649" s="69"/>
      <c r="CY649" s="69"/>
      <c r="CZ649" s="69"/>
      <c r="DA649" s="69"/>
      <c r="DB649" s="69"/>
      <c r="DC649" s="69"/>
      <c r="DD649" s="69"/>
      <c r="DE649" s="69"/>
      <c r="DF649" s="69"/>
      <c r="DG649" s="69"/>
      <c r="DH649" s="69"/>
      <c r="DI649" s="69"/>
      <c r="DJ649" s="69"/>
      <c r="DK649" s="69"/>
      <c r="DL649" s="69"/>
    </row>
    <row r="650" spans="1:116" ht="13" x14ac:dyDescent="0.3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202"/>
      <c r="V650" s="69"/>
      <c r="W650" s="69"/>
      <c r="X650" s="69"/>
      <c r="Y650" s="69"/>
      <c r="Z650" s="69"/>
      <c r="AA650" s="69"/>
      <c r="AB650" s="203"/>
      <c r="AC650" s="69"/>
      <c r="AD650" s="69"/>
      <c r="AE650" s="203"/>
      <c r="AF650" s="69"/>
      <c r="AG650" s="69"/>
      <c r="AH650" s="69"/>
      <c r="AI650" s="69"/>
      <c r="AJ650" s="69"/>
      <c r="AK650" s="69"/>
      <c r="AL650" s="69"/>
      <c r="AM650" s="69"/>
      <c r="AN650" s="69"/>
      <c r="AO650" s="69"/>
      <c r="AP650" s="69"/>
      <c r="AQ650" s="69"/>
      <c r="AR650" s="69"/>
      <c r="AS650" s="69"/>
      <c r="AT650" s="69"/>
      <c r="AU650" s="69"/>
      <c r="AV650" s="69"/>
      <c r="AW650" s="69"/>
      <c r="AX650" s="69"/>
      <c r="AY650" s="69"/>
      <c r="AZ650" s="69"/>
      <c r="BA650" s="69"/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  <c r="BW650" s="69"/>
      <c r="BX650" s="69"/>
      <c r="BY650" s="69"/>
      <c r="BZ650" s="69"/>
      <c r="CA650" s="69"/>
      <c r="CB650" s="69"/>
      <c r="CC650" s="69"/>
      <c r="CD650" s="69"/>
      <c r="CE650" s="69"/>
      <c r="CF650" s="69"/>
      <c r="CG650" s="69"/>
      <c r="CH650" s="69"/>
      <c r="CI650" s="69"/>
      <c r="CJ650" s="69"/>
      <c r="CK650" s="69"/>
      <c r="CL650" s="69"/>
      <c r="CM650" s="69"/>
      <c r="CN650" s="69"/>
      <c r="CO650" s="69"/>
      <c r="CP650" s="69"/>
      <c r="CQ650" s="69"/>
      <c r="CR650" s="69"/>
      <c r="CS650" s="69"/>
      <c r="CT650" s="69"/>
      <c r="CU650" s="69"/>
      <c r="CV650" s="69"/>
      <c r="CW650" s="69"/>
      <c r="CX650" s="69"/>
      <c r="CY650" s="69"/>
      <c r="CZ650" s="69"/>
      <c r="DA650" s="69"/>
      <c r="DB650" s="69"/>
      <c r="DC650" s="69"/>
      <c r="DD650" s="69"/>
      <c r="DE650" s="69"/>
      <c r="DF650" s="69"/>
      <c r="DG650" s="69"/>
      <c r="DH650" s="69"/>
      <c r="DI650" s="69"/>
      <c r="DJ650" s="69"/>
      <c r="DK650" s="69"/>
      <c r="DL650" s="69"/>
    </row>
    <row r="651" spans="1:116" ht="13" x14ac:dyDescent="0.3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202"/>
      <c r="V651" s="69"/>
      <c r="W651" s="69"/>
      <c r="X651" s="69"/>
      <c r="Y651" s="69"/>
      <c r="Z651" s="69"/>
      <c r="AA651" s="69"/>
      <c r="AB651" s="203"/>
      <c r="AC651" s="69"/>
      <c r="AD651" s="69"/>
      <c r="AE651" s="203"/>
      <c r="AF651" s="69"/>
      <c r="AG651" s="69"/>
      <c r="AH651" s="69"/>
      <c r="AI651" s="69"/>
      <c r="AJ651" s="69"/>
      <c r="AK651" s="69"/>
      <c r="AL651" s="69"/>
      <c r="AM651" s="69"/>
      <c r="AN651" s="69"/>
      <c r="AO651" s="69"/>
      <c r="AP651" s="69"/>
      <c r="AQ651" s="69"/>
      <c r="AR651" s="69"/>
      <c r="AS651" s="69"/>
      <c r="AT651" s="69"/>
      <c r="AU651" s="69"/>
      <c r="AV651" s="69"/>
      <c r="AW651" s="69"/>
      <c r="AX651" s="69"/>
      <c r="AY651" s="69"/>
      <c r="AZ651" s="69"/>
      <c r="BA651" s="69"/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  <c r="BW651" s="69"/>
      <c r="BX651" s="69"/>
      <c r="BY651" s="69"/>
      <c r="BZ651" s="69"/>
      <c r="CA651" s="69"/>
      <c r="CB651" s="69"/>
      <c r="CC651" s="69"/>
      <c r="CD651" s="69"/>
      <c r="CE651" s="69"/>
      <c r="CF651" s="69"/>
      <c r="CG651" s="69"/>
      <c r="CH651" s="69"/>
      <c r="CI651" s="69"/>
      <c r="CJ651" s="69"/>
      <c r="CK651" s="69"/>
      <c r="CL651" s="69"/>
      <c r="CM651" s="69"/>
      <c r="CN651" s="69"/>
      <c r="CO651" s="69"/>
      <c r="CP651" s="69"/>
      <c r="CQ651" s="69"/>
      <c r="CR651" s="69"/>
      <c r="CS651" s="69"/>
      <c r="CT651" s="69"/>
      <c r="CU651" s="69"/>
      <c r="CV651" s="69"/>
      <c r="CW651" s="69"/>
      <c r="CX651" s="69"/>
      <c r="CY651" s="69"/>
      <c r="CZ651" s="69"/>
      <c r="DA651" s="69"/>
      <c r="DB651" s="69"/>
      <c r="DC651" s="69"/>
      <c r="DD651" s="69"/>
      <c r="DE651" s="69"/>
      <c r="DF651" s="69"/>
      <c r="DG651" s="69"/>
      <c r="DH651" s="69"/>
      <c r="DI651" s="69"/>
      <c r="DJ651" s="69"/>
      <c r="DK651" s="69"/>
      <c r="DL651" s="69"/>
    </row>
    <row r="652" spans="1:116" ht="13" x14ac:dyDescent="0.3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202"/>
      <c r="V652" s="69"/>
      <c r="W652" s="69"/>
      <c r="X652" s="69"/>
      <c r="Y652" s="69"/>
      <c r="Z652" s="69"/>
      <c r="AA652" s="69"/>
      <c r="AB652" s="203"/>
      <c r="AC652" s="69"/>
      <c r="AD652" s="69"/>
      <c r="AE652" s="203"/>
      <c r="AF652" s="69"/>
      <c r="AG652" s="69"/>
      <c r="AH652" s="69"/>
      <c r="AI652" s="69"/>
      <c r="AJ652" s="69"/>
      <c r="AK652" s="69"/>
      <c r="AL652" s="69"/>
      <c r="AM652" s="69"/>
      <c r="AN652" s="69"/>
      <c r="AO652" s="69"/>
      <c r="AP652" s="69"/>
      <c r="AQ652" s="69"/>
      <c r="AR652" s="69"/>
      <c r="AS652" s="69"/>
      <c r="AT652" s="69"/>
      <c r="AU652" s="69"/>
      <c r="AV652" s="69"/>
      <c r="AW652" s="69"/>
      <c r="AX652" s="69"/>
      <c r="AY652" s="69"/>
      <c r="AZ652" s="69"/>
      <c r="BA652" s="69"/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  <c r="BW652" s="69"/>
      <c r="BX652" s="69"/>
      <c r="BY652" s="69"/>
      <c r="BZ652" s="69"/>
      <c r="CA652" s="69"/>
      <c r="CB652" s="69"/>
      <c r="CC652" s="69"/>
      <c r="CD652" s="69"/>
      <c r="CE652" s="69"/>
      <c r="CF652" s="69"/>
      <c r="CG652" s="69"/>
      <c r="CH652" s="69"/>
      <c r="CI652" s="69"/>
      <c r="CJ652" s="69"/>
      <c r="CK652" s="69"/>
      <c r="CL652" s="69"/>
      <c r="CM652" s="69"/>
      <c r="CN652" s="69"/>
      <c r="CO652" s="69"/>
      <c r="CP652" s="69"/>
      <c r="CQ652" s="69"/>
      <c r="CR652" s="69"/>
      <c r="CS652" s="69"/>
      <c r="CT652" s="69"/>
      <c r="CU652" s="69"/>
      <c r="CV652" s="69"/>
      <c r="CW652" s="69"/>
      <c r="CX652" s="69"/>
      <c r="CY652" s="69"/>
      <c r="CZ652" s="69"/>
      <c r="DA652" s="69"/>
      <c r="DB652" s="69"/>
      <c r="DC652" s="69"/>
      <c r="DD652" s="69"/>
      <c r="DE652" s="69"/>
      <c r="DF652" s="69"/>
      <c r="DG652" s="69"/>
      <c r="DH652" s="69"/>
      <c r="DI652" s="69"/>
      <c r="DJ652" s="69"/>
      <c r="DK652" s="69"/>
      <c r="DL652" s="69"/>
    </row>
    <row r="653" spans="1:116" ht="13" x14ac:dyDescent="0.3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202"/>
      <c r="V653" s="69"/>
      <c r="W653" s="69"/>
      <c r="X653" s="69"/>
      <c r="Y653" s="69"/>
      <c r="Z653" s="69"/>
      <c r="AA653" s="69"/>
      <c r="AB653" s="203"/>
      <c r="AC653" s="69"/>
      <c r="AD653" s="69"/>
      <c r="AE653" s="203"/>
      <c r="AF653" s="69"/>
      <c r="AG653" s="69"/>
      <c r="AH653" s="69"/>
      <c r="AI653" s="69"/>
      <c r="AJ653" s="69"/>
      <c r="AK653" s="69"/>
      <c r="AL653" s="69"/>
      <c r="AM653" s="69"/>
      <c r="AN653" s="69"/>
      <c r="AO653" s="69"/>
      <c r="AP653" s="69"/>
      <c r="AQ653" s="69"/>
      <c r="AR653" s="69"/>
      <c r="AS653" s="69"/>
      <c r="AT653" s="69"/>
      <c r="AU653" s="69"/>
      <c r="AV653" s="69"/>
      <c r="AW653" s="69"/>
      <c r="AX653" s="69"/>
      <c r="AY653" s="69"/>
      <c r="AZ653" s="69"/>
      <c r="BA653" s="69"/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  <c r="BW653" s="69"/>
      <c r="BX653" s="69"/>
      <c r="BY653" s="69"/>
      <c r="BZ653" s="69"/>
      <c r="CA653" s="69"/>
      <c r="CB653" s="69"/>
      <c r="CC653" s="69"/>
      <c r="CD653" s="69"/>
      <c r="CE653" s="69"/>
      <c r="CF653" s="69"/>
      <c r="CG653" s="69"/>
      <c r="CH653" s="69"/>
      <c r="CI653" s="69"/>
      <c r="CJ653" s="69"/>
      <c r="CK653" s="69"/>
      <c r="CL653" s="69"/>
      <c r="CM653" s="69"/>
      <c r="CN653" s="69"/>
      <c r="CO653" s="69"/>
      <c r="CP653" s="69"/>
      <c r="CQ653" s="69"/>
      <c r="CR653" s="69"/>
      <c r="CS653" s="69"/>
      <c r="CT653" s="69"/>
      <c r="CU653" s="69"/>
      <c r="CV653" s="69"/>
      <c r="CW653" s="69"/>
      <c r="CX653" s="69"/>
      <c r="CY653" s="69"/>
      <c r="CZ653" s="69"/>
      <c r="DA653" s="69"/>
      <c r="DB653" s="69"/>
      <c r="DC653" s="69"/>
      <c r="DD653" s="69"/>
      <c r="DE653" s="69"/>
      <c r="DF653" s="69"/>
      <c r="DG653" s="69"/>
      <c r="DH653" s="69"/>
      <c r="DI653" s="69"/>
      <c r="DJ653" s="69"/>
      <c r="DK653" s="69"/>
      <c r="DL653" s="69"/>
    </row>
    <row r="654" spans="1:116" ht="13" x14ac:dyDescent="0.3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202"/>
      <c r="V654" s="69"/>
      <c r="W654" s="69"/>
      <c r="X654" s="69"/>
      <c r="Y654" s="69"/>
      <c r="Z654" s="69"/>
      <c r="AA654" s="69"/>
      <c r="AB654" s="203"/>
      <c r="AC654" s="69"/>
      <c r="AD654" s="69"/>
      <c r="AE654" s="203"/>
      <c r="AF654" s="69"/>
      <c r="AG654" s="69"/>
      <c r="AH654" s="69"/>
      <c r="AI654" s="69"/>
      <c r="AJ654" s="69"/>
      <c r="AK654" s="69"/>
      <c r="AL654" s="69"/>
      <c r="AM654" s="69"/>
      <c r="AN654" s="69"/>
      <c r="AO654" s="69"/>
      <c r="AP654" s="69"/>
      <c r="AQ654" s="69"/>
      <c r="AR654" s="69"/>
      <c r="AS654" s="69"/>
      <c r="AT654" s="69"/>
      <c r="AU654" s="69"/>
      <c r="AV654" s="69"/>
      <c r="AW654" s="69"/>
      <c r="AX654" s="69"/>
      <c r="AY654" s="69"/>
      <c r="AZ654" s="69"/>
      <c r="BA654" s="69"/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  <c r="BW654" s="69"/>
      <c r="BX654" s="69"/>
      <c r="BY654" s="69"/>
      <c r="BZ654" s="69"/>
      <c r="CA654" s="69"/>
      <c r="CB654" s="69"/>
      <c r="CC654" s="69"/>
      <c r="CD654" s="69"/>
      <c r="CE654" s="69"/>
      <c r="CF654" s="69"/>
      <c r="CG654" s="69"/>
      <c r="CH654" s="69"/>
      <c r="CI654" s="69"/>
      <c r="CJ654" s="69"/>
      <c r="CK654" s="69"/>
      <c r="CL654" s="69"/>
      <c r="CM654" s="69"/>
      <c r="CN654" s="69"/>
      <c r="CO654" s="69"/>
      <c r="CP654" s="69"/>
      <c r="CQ654" s="69"/>
      <c r="CR654" s="69"/>
      <c r="CS654" s="69"/>
      <c r="CT654" s="69"/>
      <c r="CU654" s="69"/>
      <c r="CV654" s="69"/>
      <c r="CW654" s="69"/>
      <c r="CX654" s="69"/>
      <c r="CY654" s="69"/>
      <c r="CZ654" s="69"/>
      <c r="DA654" s="69"/>
      <c r="DB654" s="69"/>
      <c r="DC654" s="69"/>
      <c r="DD654" s="69"/>
      <c r="DE654" s="69"/>
      <c r="DF654" s="69"/>
      <c r="DG654" s="69"/>
      <c r="DH654" s="69"/>
      <c r="DI654" s="69"/>
      <c r="DJ654" s="69"/>
      <c r="DK654" s="69"/>
      <c r="DL654" s="69"/>
    </row>
    <row r="655" spans="1:116" ht="13" x14ac:dyDescent="0.3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202"/>
      <c r="V655" s="69"/>
      <c r="W655" s="69"/>
      <c r="X655" s="69"/>
      <c r="Y655" s="69"/>
      <c r="Z655" s="69"/>
      <c r="AA655" s="69"/>
      <c r="AB655" s="203"/>
      <c r="AC655" s="69"/>
      <c r="AD655" s="69"/>
      <c r="AE655" s="203"/>
      <c r="AF655" s="69"/>
      <c r="AG655" s="69"/>
      <c r="AH655" s="69"/>
      <c r="AI655" s="69"/>
      <c r="AJ655" s="69"/>
      <c r="AK655" s="69"/>
      <c r="AL655" s="69"/>
      <c r="AM655" s="69"/>
      <c r="AN655" s="69"/>
      <c r="AO655" s="69"/>
      <c r="AP655" s="69"/>
      <c r="AQ655" s="69"/>
      <c r="AR655" s="69"/>
      <c r="AS655" s="69"/>
      <c r="AT655" s="69"/>
      <c r="AU655" s="69"/>
      <c r="AV655" s="69"/>
      <c r="AW655" s="69"/>
      <c r="AX655" s="69"/>
      <c r="AY655" s="69"/>
      <c r="AZ655" s="69"/>
      <c r="BA655" s="69"/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  <c r="BW655" s="69"/>
      <c r="BX655" s="69"/>
      <c r="BY655" s="69"/>
      <c r="BZ655" s="69"/>
      <c r="CA655" s="69"/>
      <c r="CB655" s="69"/>
      <c r="CC655" s="69"/>
      <c r="CD655" s="69"/>
      <c r="CE655" s="69"/>
      <c r="CF655" s="69"/>
      <c r="CG655" s="69"/>
      <c r="CH655" s="69"/>
      <c r="CI655" s="69"/>
      <c r="CJ655" s="69"/>
      <c r="CK655" s="69"/>
      <c r="CL655" s="69"/>
      <c r="CM655" s="69"/>
      <c r="CN655" s="69"/>
      <c r="CO655" s="69"/>
      <c r="CP655" s="69"/>
      <c r="CQ655" s="69"/>
      <c r="CR655" s="69"/>
      <c r="CS655" s="69"/>
      <c r="CT655" s="69"/>
      <c r="CU655" s="69"/>
      <c r="CV655" s="69"/>
      <c r="CW655" s="69"/>
      <c r="CX655" s="69"/>
      <c r="CY655" s="69"/>
      <c r="CZ655" s="69"/>
      <c r="DA655" s="69"/>
      <c r="DB655" s="69"/>
      <c r="DC655" s="69"/>
      <c r="DD655" s="69"/>
      <c r="DE655" s="69"/>
      <c r="DF655" s="69"/>
      <c r="DG655" s="69"/>
      <c r="DH655" s="69"/>
      <c r="DI655" s="69"/>
      <c r="DJ655" s="69"/>
      <c r="DK655" s="69"/>
      <c r="DL655" s="69"/>
    </row>
    <row r="656" spans="1:116" ht="13" x14ac:dyDescent="0.3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202"/>
      <c r="V656" s="69"/>
      <c r="W656" s="69"/>
      <c r="X656" s="69"/>
      <c r="Y656" s="69"/>
      <c r="Z656" s="69"/>
      <c r="AA656" s="69"/>
      <c r="AB656" s="203"/>
      <c r="AC656" s="69"/>
      <c r="AD656" s="69"/>
      <c r="AE656" s="203"/>
      <c r="AF656" s="69"/>
      <c r="AG656" s="69"/>
      <c r="AH656" s="69"/>
      <c r="AI656" s="69"/>
      <c r="AJ656" s="69"/>
      <c r="AK656" s="69"/>
      <c r="AL656" s="69"/>
      <c r="AM656" s="69"/>
      <c r="AN656" s="69"/>
      <c r="AO656" s="69"/>
      <c r="AP656" s="69"/>
      <c r="AQ656" s="69"/>
      <c r="AR656" s="69"/>
      <c r="AS656" s="69"/>
      <c r="AT656" s="69"/>
      <c r="AU656" s="69"/>
      <c r="AV656" s="69"/>
      <c r="AW656" s="69"/>
      <c r="AX656" s="69"/>
      <c r="AY656" s="69"/>
      <c r="AZ656" s="69"/>
      <c r="BA656" s="69"/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  <c r="BW656" s="69"/>
      <c r="BX656" s="69"/>
      <c r="BY656" s="69"/>
      <c r="BZ656" s="69"/>
      <c r="CA656" s="69"/>
      <c r="CB656" s="69"/>
      <c r="CC656" s="69"/>
      <c r="CD656" s="69"/>
      <c r="CE656" s="69"/>
      <c r="CF656" s="69"/>
      <c r="CG656" s="69"/>
      <c r="CH656" s="69"/>
      <c r="CI656" s="69"/>
      <c r="CJ656" s="69"/>
      <c r="CK656" s="69"/>
      <c r="CL656" s="69"/>
      <c r="CM656" s="69"/>
      <c r="CN656" s="69"/>
      <c r="CO656" s="69"/>
      <c r="CP656" s="69"/>
      <c r="CQ656" s="69"/>
      <c r="CR656" s="69"/>
      <c r="CS656" s="69"/>
      <c r="CT656" s="69"/>
      <c r="CU656" s="69"/>
      <c r="CV656" s="69"/>
      <c r="CW656" s="69"/>
      <c r="CX656" s="69"/>
      <c r="CY656" s="69"/>
      <c r="CZ656" s="69"/>
      <c r="DA656" s="69"/>
      <c r="DB656" s="69"/>
      <c r="DC656" s="69"/>
      <c r="DD656" s="69"/>
      <c r="DE656" s="69"/>
      <c r="DF656" s="69"/>
      <c r="DG656" s="69"/>
      <c r="DH656" s="69"/>
      <c r="DI656" s="69"/>
      <c r="DJ656" s="69"/>
      <c r="DK656" s="69"/>
      <c r="DL656" s="69"/>
    </row>
    <row r="657" spans="1:116" ht="13" x14ac:dyDescent="0.3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202"/>
      <c r="V657" s="69"/>
      <c r="W657" s="69"/>
      <c r="X657" s="69"/>
      <c r="Y657" s="69"/>
      <c r="Z657" s="69"/>
      <c r="AA657" s="69"/>
      <c r="AB657" s="203"/>
      <c r="AC657" s="69"/>
      <c r="AD657" s="69"/>
      <c r="AE657" s="203"/>
      <c r="AF657" s="69"/>
      <c r="AG657" s="69"/>
      <c r="AH657" s="69"/>
      <c r="AI657" s="69"/>
      <c r="AJ657" s="69"/>
      <c r="AK657" s="69"/>
      <c r="AL657" s="69"/>
      <c r="AM657" s="69"/>
      <c r="AN657" s="69"/>
      <c r="AO657" s="69"/>
      <c r="AP657" s="69"/>
      <c r="AQ657" s="69"/>
      <c r="AR657" s="69"/>
      <c r="AS657" s="69"/>
      <c r="AT657" s="69"/>
      <c r="AU657" s="69"/>
      <c r="AV657" s="69"/>
      <c r="AW657" s="69"/>
      <c r="AX657" s="69"/>
      <c r="AY657" s="69"/>
      <c r="AZ657" s="69"/>
      <c r="BA657" s="69"/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  <c r="BW657" s="69"/>
      <c r="BX657" s="69"/>
      <c r="BY657" s="69"/>
      <c r="BZ657" s="69"/>
      <c r="CA657" s="69"/>
      <c r="CB657" s="69"/>
      <c r="CC657" s="69"/>
      <c r="CD657" s="69"/>
      <c r="CE657" s="69"/>
      <c r="CF657" s="69"/>
      <c r="CG657" s="69"/>
      <c r="CH657" s="69"/>
      <c r="CI657" s="69"/>
      <c r="CJ657" s="69"/>
      <c r="CK657" s="69"/>
      <c r="CL657" s="69"/>
      <c r="CM657" s="69"/>
      <c r="CN657" s="69"/>
      <c r="CO657" s="69"/>
      <c r="CP657" s="69"/>
      <c r="CQ657" s="69"/>
      <c r="CR657" s="69"/>
      <c r="CS657" s="69"/>
      <c r="CT657" s="69"/>
      <c r="CU657" s="69"/>
      <c r="CV657" s="69"/>
      <c r="CW657" s="69"/>
      <c r="CX657" s="69"/>
      <c r="CY657" s="69"/>
      <c r="CZ657" s="69"/>
      <c r="DA657" s="69"/>
      <c r="DB657" s="69"/>
      <c r="DC657" s="69"/>
      <c r="DD657" s="69"/>
      <c r="DE657" s="69"/>
      <c r="DF657" s="69"/>
      <c r="DG657" s="69"/>
      <c r="DH657" s="69"/>
      <c r="DI657" s="69"/>
      <c r="DJ657" s="69"/>
      <c r="DK657" s="69"/>
      <c r="DL657" s="69"/>
    </row>
    <row r="658" spans="1:116" ht="13" x14ac:dyDescent="0.3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202"/>
      <c r="V658" s="69"/>
      <c r="W658" s="69"/>
      <c r="X658" s="69"/>
      <c r="Y658" s="69"/>
      <c r="Z658" s="69"/>
      <c r="AA658" s="69"/>
      <c r="AB658" s="203"/>
      <c r="AC658" s="69"/>
      <c r="AD658" s="69"/>
      <c r="AE658" s="203"/>
      <c r="AF658" s="69"/>
      <c r="AG658" s="69"/>
      <c r="AH658" s="69"/>
      <c r="AI658" s="69"/>
      <c r="AJ658" s="69"/>
      <c r="AK658" s="69"/>
      <c r="AL658" s="69"/>
      <c r="AM658" s="69"/>
      <c r="AN658" s="69"/>
      <c r="AO658" s="69"/>
      <c r="AP658" s="69"/>
      <c r="AQ658" s="69"/>
      <c r="AR658" s="69"/>
      <c r="AS658" s="69"/>
      <c r="AT658" s="69"/>
      <c r="AU658" s="69"/>
      <c r="AV658" s="69"/>
      <c r="AW658" s="69"/>
      <c r="AX658" s="69"/>
      <c r="AY658" s="69"/>
      <c r="AZ658" s="69"/>
      <c r="BA658" s="69"/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  <c r="BW658" s="69"/>
      <c r="BX658" s="69"/>
      <c r="BY658" s="69"/>
      <c r="BZ658" s="69"/>
      <c r="CA658" s="69"/>
      <c r="CB658" s="69"/>
      <c r="CC658" s="69"/>
      <c r="CD658" s="69"/>
      <c r="CE658" s="69"/>
      <c r="CF658" s="69"/>
      <c r="CG658" s="69"/>
      <c r="CH658" s="69"/>
      <c r="CI658" s="69"/>
      <c r="CJ658" s="69"/>
      <c r="CK658" s="69"/>
      <c r="CL658" s="69"/>
      <c r="CM658" s="69"/>
      <c r="CN658" s="69"/>
      <c r="CO658" s="69"/>
      <c r="CP658" s="69"/>
      <c r="CQ658" s="69"/>
      <c r="CR658" s="69"/>
      <c r="CS658" s="69"/>
      <c r="CT658" s="69"/>
      <c r="CU658" s="69"/>
      <c r="CV658" s="69"/>
      <c r="CW658" s="69"/>
      <c r="CX658" s="69"/>
      <c r="CY658" s="69"/>
      <c r="CZ658" s="69"/>
      <c r="DA658" s="69"/>
      <c r="DB658" s="69"/>
      <c r="DC658" s="69"/>
      <c r="DD658" s="69"/>
      <c r="DE658" s="69"/>
      <c r="DF658" s="69"/>
      <c r="DG658" s="69"/>
      <c r="DH658" s="69"/>
      <c r="DI658" s="69"/>
      <c r="DJ658" s="69"/>
      <c r="DK658" s="69"/>
      <c r="DL658" s="69"/>
    </row>
    <row r="659" spans="1:116" ht="13" x14ac:dyDescent="0.3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202"/>
      <c r="V659" s="69"/>
      <c r="W659" s="69"/>
      <c r="X659" s="69"/>
      <c r="Y659" s="69"/>
      <c r="Z659" s="69"/>
      <c r="AA659" s="69"/>
      <c r="AB659" s="203"/>
      <c r="AC659" s="69"/>
      <c r="AD659" s="69"/>
      <c r="AE659" s="203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  <c r="AW659" s="69"/>
      <c r="AX659" s="69"/>
      <c r="AY659" s="69"/>
      <c r="AZ659" s="69"/>
      <c r="BA659" s="69"/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  <c r="BW659" s="69"/>
      <c r="BX659" s="69"/>
      <c r="BY659" s="69"/>
      <c r="BZ659" s="69"/>
      <c r="CA659" s="69"/>
      <c r="CB659" s="69"/>
      <c r="CC659" s="69"/>
      <c r="CD659" s="69"/>
      <c r="CE659" s="69"/>
      <c r="CF659" s="69"/>
      <c r="CG659" s="69"/>
      <c r="CH659" s="69"/>
      <c r="CI659" s="69"/>
      <c r="CJ659" s="69"/>
      <c r="CK659" s="69"/>
      <c r="CL659" s="69"/>
      <c r="CM659" s="69"/>
      <c r="CN659" s="69"/>
      <c r="CO659" s="69"/>
      <c r="CP659" s="69"/>
      <c r="CQ659" s="69"/>
      <c r="CR659" s="69"/>
      <c r="CS659" s="69"/>
      <c r="CT659" s="69"/>
      <c r="CU659" s="69"/>
      <c r="CV659" s="69"/>
      <c r="CW659" s="69"/>
      <c r="CX659" s="69"/>
      <c r="CY659" s="69"/>
      <c r="CZ659" s="69"/>
      <c r="DA659" s="69"/>
      <c r="DB659" s="69"/>
      <c r="DC659" s="69"/>
      <c r="DD659" s="69"/>
      <c r="DE659" s="69"/>
      <c r="DF659" s="69"/>
      <c r="DG659" s="69"/>
      <c r="DH659" s="69"/>
      <c r="DI659" s="69"/>
      <c r="DJ659" s="69"/>
      <c r="DK659" s="69"/>
      <c r="DL659" s="69"/>
    </row>
    <row r="660" spans="1:116" ht="13" x14ac:dyDescent="0.3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202"/>
      <c r="V660" s="69"/>
      <c r="W660" s="69"/>
      <c r="X660" s="69"/>
      <c r="Y660" s="69"/>
      <c r="Z660" s="69"/>
      <c r="AA660" s="69"/>
      <c r="AB660" s="203"/>
      <c r="AC660" s="69"/>
      <c r="AD660" s="69"/>
      <c r="AE660" s="203"/>
      <c r="AF660" s="69"/>
      <c r="AG660" s="69"/>
      <c r="AH660" s="69"/>
      <c r="AI660" s="69"/>
      <c r="AJ660" s="69"/>
      <c r="AK660" s="69"/>
      <c r="AL660" s="69"/>
      <c r="AM660" s="69"/>
      <c r="AN660" s="69"/>
      <c r="AO660" s="69"/>
      <c r="AP660" s="69"/>
      <c r="AQ660" s="69"/>
      <c r="AR660" s="69"/>
      <c r="AS660" s="69"/>
      <c r="AT660" s="69"/>
      <c r="AU660" s="69"/>
      <c r="AV660" s="69"/>
      <c r="AW660" s="69"/>
      <c r="AX660" s="69"/>
      <c r="AY660" s="69"/>
      <c r="AZ660" s="69"/>
      <c r="BA660" s="69"/>
      <c r="BB660" s="69"/>
      <c r="BC660" s="69"/>
      <c r="BD660" s="69"/>
      <c r="BE660" s="69"/>
      <c r="BF660" s="69"/>
      <c r="BG660" s="69"/>
      <c r="BH660" s="69"/>
      <c r="BI660" s="69"/>
      <c r="BJ660" s="69"/>
      <c r="BK660" s="69"/>
      <c r="BL660" s="69"/>
      <c r="BM660" s="69"/>
      <c r="BN660" s="69"/>
      <c r="BO660" s="69"/>
      <c r="BP660" s="69"/>
      <c r="BQ660" s="69"/>
      <c r="BR660" s="69"/>
      <c r="BS660" s="69"/>
      <c r="BT660" s="69"/>
      <c r="BU660" s="69"/>
      <c r="BV660" s="69"/>
      <c r="BW660" s="69"/>
      <c r="BX660" s="69"/>
      <c r="BY660" s="69"/>
      <c r="BZ660" s="69"/>
      <c r="CA660" s="69"/>
      <c r="CB660" s="69"/>
      <c r="CC660" s="69"/>
      <c r="CD660" s="69"/>
      <c r="CE660" s="69"/>
      <c r="CF660" s="69"/>
      <c r="CG660" s="69"/>
      <c r="CH660" s="69"/>
      <c r="CI660" s="69"/>
      <c r="CJ660" s="69"/>
      <c r="CK660" s="69"/>
      <c r="CL660" s="69"/>
      <c r="CM660" s="69"/>
      <c r="CN660" s="69"/>
      <c r="CO660" s="69"/>
      <c r="CP660" s="69"/>
      <c r="CQ660" s="69"/>
      <c r="CR660" s="69"/>
      <c r="CS660" s="69"/>
      <c r="CT660" s="69"/>
      <c r="CU660" s="69"/>
      <c r="CV660" s="69"/>
      <c r="CW660" s="69"/>
      <c r="CX660" s="69"/>
      <c r="CY660" s="69"/>
      <c r="CZ660" s="69"/>
      <c r="DA660" s="69"/>
      <c r="DB660" s="69"/>
      <c r="DC660" s="69"/>
      <c r="DD660" s="69"/>
      <c r="DE660" s="69"/>
      <c r="DF660" s="69"/>
      <c r="DG660" s="69"/>
      <c r="DH660" s="69"/>
      <c r="DI660" s="69"/>
      <c r="DJ660" s="69"/>
      <c r="DK660" s="69"/>
      <c r="DL660" s="69"/>
    </row>
    <row r="661" spans="1:116" ht="13" x14ac:dyDescent="0.3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202"/>
      <c r="V661" s="69"/>
      <c r="W661" s="69"/>
      <c r="X661" s="69"/>
      <c r="Y661" s="69"/>
      <c r="Z661" s="69"/>
      <c r="AA661" s="69"/>
      <c r="AB661" s="203"/>
      <c r="AC661" s="69"/>
      <c r="AD661" s="69"/>
      <c r="AE661" s="203"/>
      <c r="AF661" s="69"/>
      <c r="AG661" s="69"/>
      <c r="AH661" s="69"/>
      <c r="AI661" s="69"/>
      <c r="AJ661" s="69"/>
      <c r="AK661" s="69"/>
      <c r="AL661" s="69"/>
      <c r="AM661" s="69"/>
      <c r="AN661" s="69"/>
      <c r="AO661" s="69"/>
      <c r="AP661" s="69"/>
      <c r="AQ661" s="69"/>
      <c r="AR661" s="69"/>
      <c r="AS661" s="69"/>
      <c r="AT661" s="69"/>
      <c r="AU661" s="69"/>
      <c r="AV661" s="69"/>
      <c r="AW661" s="69"/>
      <c r="AX661" s="69"/>
      <c r="AY661" s="69"/>
      <c r="AZ661" s="69"/>
      <c r="BA661" s="69"/>
      <c r="BB661" s="69"/>
      <c r="BC661" s="69"/>
      <c r="BD661" s="69"/>
      <c r="BE661" s="69"/>
      <c r="BF661" s="69"/>
      <c r="BG661" s="69"/>
      <c r="BH661" s="69"/>
      <c r="BI661" s="69"/>
      <c r="BJ661" s="69"/>
      <c r="BK661" s="69"/>
      <c r="BL661" s="69"/>
      <c r="BM661" s="69"/>
      <c r="BN661" s="69"/>
      <c r="BO661" s="69"/>
      <c r="BP661" s="69"/>
      <c r="BQ661" s="69"/>
      <c r="BR661" s="69"/>
      <c r="BS661" s="69"/>
      <c r="BT661" s="69"/>
      <c r="BU661" s="69"/>
      <c r="BV661" s="69"/>
      <c r="BW661" s="69"/>
      <c r="BX661" s="69"/>
      <c r="BY661" s="69"/>
      <c r="BZ661" s="69"/>
      <c r="CA661" s="69"/>
      <c r="CB661" s="69"/>
      <c r="CC661" s="69"/>
      <c r="CD661" s="69"/>
      <c r="CE661" s="69"/>
      <c r="CF661" s="69"/>
      <c r="CG661" s="69"/>
      <c r="CH661" s="69"/>
      <c r="CI661" s="69"/>
      <c r="CJ661" s="69"/>
      <c r="CK661" s="69"/>
      <c r="CL661" s="69"/>
      <c r="CM661" s="69"/>
      <c r="CN661" s="69"/>
      <c r="CO661" s="69"/>
      <c r="CP661" s="69"/>
      <c r="CQ661" s="69"/>
      <c r="CR661" s="69"/>
      <c r="CS661" s="69"/>
      <c r="CT661" s="69"/>
      <c r="CU661" s="69"/>
      <c r="CV661" s="69"/>
      <c r="CW661" s="69"/>
      <c r="CX661" s="69"/>
      <c r="CY661" s="69"/>
      <c r="CZ661" s="69"/>
      <c r="DA661" s="69"/>
      <c r="DB661" s="69"/>
      <c r="DC661" s="69"/>
      <c r="DD661" s="69"/>
      <c r="DE661" s="69"/>
      <c r="DF661" s="69"/>
      <c r="DG661" s="69"/>
      <c r="DH661" s="69"/>
      <c r="DI661" s="69"/>
      <c r="DJ661" s="69"/>
      <c r="DK661" s="69"/>
      <c r="DL661" s="69"/>
    </row>
    <row r="662" spans="1:116" ht="13" x14ac:dyDescent="0.3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202"/>
      <c r="V662" s="69"/>
      <c r="W662" s="69"/>
      <c r="X662" s="69"/>
      <c r="Y662" s="69"/>
      <c r="Z662" s="69"/>
      <c r="AA662" s="69"/>
      <c r="AB662" s="203"/>
      <c r="AC662" s="69"/>
      <c r="AD662" s="69"/>
      <c r="AE662" s="203"/>
      <c r="AF662" s="69"/>
      <c r="AG662" s="69"/>
      <c r="AH662" s="69"/>
      <c r="AI662" s="69"/>
      <c r="AJ662" s="69"/>
      <c r="AK662" s="69"/>
      <c r="AL662" s="69"/>
      <c r="AM662" s="69"/>
      <c r="AN662" s="69"/>
      <c r="AO662" s="69"/>
      <c r="AP662" s="69"/>
      <c r="AQ662" s="69"/>
      <c r="AR662" s="69"/>
      <c r="AS662" s="69"/>
      <c r="AT662" s="69"/>
      <c r="AU662" s="69"/>
      <c r="AV662" s="69"/>
      <c r="AW662" s="69"/>
      <c r="AX662" s="69"/>
      <c r="AY662" s="69"/>
      <c r="AZ662" s="69"/>
      <c r="BA662" s="69"/>
      <c r="BB662" s="69"/>
      <c r="BC662" s="69"/>
      <c r="BD662" s="69"/>
      <c r="BE662" s="69"/>
      <c r="BF662" s="69"/>
      <c r="BG662" s="69"/>
      <c r="BH662" s="69"/>
      <c r="BI662" s="69"/>
      <c r="BJ662" s="69"/>
      <c r="BK662" s="69"/>
      <c r="BL662" s="69"/>
      <c r="BM662" s="69"/>
      <c r="BN662" s="69"/>
      <c r="BO662" s="69"/>
      <c r="BP662" s="69"/>
      <c r="BQ662" s="69"/>
      <c r="BR662" s="69"/>
      <c r="BS662" s="69"/>
      <c r="BT662" s="69"/>
      <c r="BU662" s="69"/>
      <c r="BV662" s="69"/>
      <c r="BW662" s="69"/>
      <c r="BX662" s="69"/>
      <c r="BY662" s="69"/>
      <c r="BZ662" s="69"/>
      <c r="CA662" s="69"/>
      <c r="CB662" s="69"/>
      <c r="CC662" s="69"/>
      <c r="CD662" s="69"/>
      <c r="CE662" s="69"/>
      <c r="CF662" s="69"/>
      <c r="CG662" s="69"/>
      <c r="CH662" s="69"/>
      <c r="CI662" s="69"/>
      <c r="CJ662" s="69"/>
      <c r="CK662" s="69"/>
      <c r="CL662" s="69"/>
      <c r="CM662" s="69"/>
      <c r="CN662" s="69"/>
      <c r="CO662" s="69"/>
      <c r="CP662" s="69"/>
      <c r="CQ662" s="69"/>
      <c r="CR662" s="69"/>
      <c r="CS662" s="69"/>
      <c r="CT662" s="69"/>
      <c r="CU662" s="69"/>
      <c r="CV662" s="69"/>
      <c r="CW662" s="69"/>
      <c r="CX662" s="69"/>
      <c r="CY662" s="69"/>
      <c r="CZ662" s="69"/>
      <c r="DA662" s="69"/>
      <c r="DB662" s="69"/>
      <c r="DC662" s="69"/>
      <c r="DD662" s="69"/>
      <c r="DE662" s="69"/>
      <c r="DF662" s="69"/>
      <c r="DG662" s="69"/>
      <c r="DH662" s="69"/>
      <c r="DI662" s="69"/>
      <c r="DJ662" s="69"/>
      <c r="DK662" s="69"/>
      <c r="DL662" s="69"/>
    </row>
    <row r="663" spans="1:116" ht="13" x14ac:dyDescent="0.3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202"/>
      <c r="V663" s="69"/>
      <c r="W663" s="69"/>
      <c r="X663" s="69"/>
      <c r="Y663" s="69"/>
      <c r="Z663" s="69"/>
      <c r="AA663" s="69"/>
      <c r="AB663" s="203"/>
      <c r="AC663" s="69"/>
      <c r="AD663" s="69"/>
      <c r="AE663" s="203"/>
      <c r="AF663" s="69"/>
      <c r="AG663" s="69"/>
      <c r="AH663" s="69"/>
      <c r="AI663" s="69"/>
      <c r="AJ663" s="69"/>
      <c r="AK663" s="69"/>
      <c r="AL663" s="69"/>
      <c r="AM663" s="69"/>
      <c r="AN663" s="69"/>
      <c r="AO663" s="69"/>
      <c r="AP663" s="69"/>
      <c r="AQ663" s="69"/>
      <c r="AR663" s="69"/>
      <c r="AS663" s="69"/>
      <c r="AT663" s="69"/>
      <c r="AU663" s="69"/>
      <c r="AV663" s="69"/>
      <c r="AW663" s="69"/>
      <c r="AX663" s="69"/>
      <c r="AY663" s="69"/>
      <c r="AZ663" s="69"/>
      <c r="BA663" s="69"/>
      <c r="BB663" s="69"/>
      <c r="BC663" s="69"/>
      <c r="BD663" s="69"/>
      <c r="BE663" s="69"/>
      <c r="BF663" s="69"/>
      <c r="BG663" s="69"/>
      <c r="BH663" s="69"/>
      <c r="BI663" s="69"/>
      <c r="BJ663" s="69"/>
      <c r="BK663" s="69"/>
      <c r="BL663" s="69"/>
      <c r="BM663" s="69"/>
      <c r="BN663" s="69"/>
      <c r="BO663" s="69"/>
      <c r="BP663" s="69"/>
      <c r="BQ663" s="69"/>
      <c r="BR663" s="69"/>
      <c r="BS663" s="69"/>
      <c r="BT663" s="69"/>
      <c r="BU663" s="69"/>
      <c r="BV663" s="69"/>
      <c r="BW663" s="69"/>
      <c r="BX663" s="69"/>
      <c r="BY663" s="69"/>
      <c r="BZ663" s="69"/>
      <c r="CA663" s="69"/>
      <c r="CB663" s="69"/>
      <c r="CC663" s="69"/>
      <c r="CD663" s="69"/>
      <c r="CE663" s="69"/>
      <c r="CF663" s="69"/>
      <c r="CG663" s="69"/>
      <c r="CH663" s="69"/>
      <c r="CI663" s="69"/>
      <c r="CJ663" s="69"/>
      <c r="CK663" s="69"/>
      <c r="CL663" s="69"/>
      <c r="CM663" s="69"/>
      <c r="CN663" s="69"/>
      <c r="CO663" s="69"/>
      <c r="CP663" s="69"/>
      <c r="CQ663" s="69"/>
      <c r="CR663" s="69"/>
      <c r="CS663" s="69"/>
      <c r="CT663" s="69"/>
      <c r="CU663" s="69"/>
      <c r="CV663" s="69"/>
      <c r="CW663" s="69"/>
      <c r="CX663" s="69"/>
      <c r="CY663" s="69"/>
      <c r="CZ663" s="69"/>
      <c r="DA663" s="69"/>
      <c r="DB663" s="69"/>
      <c r="DC663" s="69"/>
      <c r="DD663" s="69"/>
      <c r="DE663" s="69"/>
      <c r="DF663" s="69"/>
      <c r="DG663" s="69"/>
      <c r="DH663" s="69"/>
      <c r="DI663" s="69"/>
      <c r="DJ663" s="69"/>
      <c r="DK663" s="69"/>
      <c r="DL663" s="69"/>
    </row>
    <row r="664" spans="1:116" ht="13" x14ac:dyDescent="0.3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202"/>
      <c r="V664" s="69"/>
      <c r="W664" s="69"/>
      <c r="X664" s="69"/>
      <c r="Y664" s="69"/>
      <c r="Z664" s="69"/>
      <c r="AA664" s="69"/>
      <c r="AB664" s="203"/>
      <c r="AC664" s="69"/>
      <c r="AD664" s="69"/>
      <c r="AE664" s="203"/>
      <c r="AF664" s="69"/>
      <c r="AG664" s="69"/>
      <c r="AH664" s="69"/>
      <c r="AI664" s="69"/>
      <c r="AJ664" s="69"/>
      <c r="AK664" s="69"/>
      <c r="AL664" s="69"/>
      <c r="AM664" s="69"/>
      <c r="AN664" s="69"/>
      <c r="AO664" s="69"/>
      <c r="AP664" s="69"/>
      <c r="AQ664" s="69"/>
      <c r="AR664" s="69"/>
      <c r="AS664" s="69"/>
      <c r="AT664" s="69"/>
      <c r="AU664" s="69"/>
      <c r="AV664" s="69"/>
      <c r="AW664" s="69"/>
      <c r="AX664" s="69"/>
      <c r="AY664" s="69"/>
      <c r="AZ664" s="69"/>
      <c r="BA664" s="69"/>
      <c r="BB664" s="69"/>
      <c r="BC664" s="69"/>
      <c r="BD664" s="69"/>
      <c r="BE664" s="69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  <c r="BW664" s="69"/>
      <c r="BX664" s="69"/>
      <c r="BY664" s="69"/>
      <c r="BZ664" s="69"/>
      <c r="CA664" s="69"/>
      <c r="CB664" s="69"/>
      <c r="CC664" s="69"/>
      <c r="CD664" s="69"/>
      <c r="CE664" s="69"/>
      <c r="CF664" s="69"/>
      <c r="CG664" s="69"/>
      <c r="CH664" s="69"/>
      <c r="CI664" s="69"/>
      <c r="CJ664" s="69"/>
      <c r="CK664" s="69"/>
      <c r="CL664" s="69"/>
      <c r="CM664" s="69"/>
      <c r="CN664" s="69"/>
      <c r="CO664" s="69"/>
      <c r="CP664" s="69"/>
      <c r="CQ664" s="69"/>
      <c r="CR664" s="69"/>
      <c r="CS664" s="69"/>
      <c r="CT664" s="69"/>
      <c r="CU664" s="69"/>
      <c r="CV664" s="69"/>
      <c r="CW664" s="69"/>
      <c r="CX664" s="69"/>
      <c r="CY664" s="69"/>
      <c r="CZ664" s="69"/>
      <c r="DA664" s="69"/>
      <c r="DB664" s="69"/>
      <c r="DC664" s="69"/>
      <c r="DD664" s="69"/>
      <c r="DE664" s="69"/>
      <c r="DF664" s="69"/>
      <c r="DG664" s="69"/>
      <c r="DH664" s="69"/>
      <c r="DI664" s="69"/>
      <c r="DJ664" s="69"/>
      <c r="DK664" s="69"/>
      <c r="DL664" s="69"/>
    </row>
    <row r="665" spans="1:116" ht="13" x14ac:dyDescent="0.3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202"/>
      <c r="V665" s="69"/>
      <c r="W665" s="69"/>
      <c r="X665" s="69"/>
      <c r="Y665" s="69"/>
      <c r="Z665" s="69"/>
      <c r="AA665" s="69"/>
      <c r="AB665" s="203"/>
      <c r="AC665" s="69"/>
      <c r="AD665" s="69"/>
      <c r="AE665" s="203"/>
      <c r="AF665" s="69"/>
      <c r="AG665" s="69"/>
      <c r="AH665" s="69"/>
      <c r="AI665" s="69"/>
      <c r="AJ665" s="69"/>
      <c r="AK665" s="69"/>
      <c r="AL665" s="69"/>
      <c r="AM665" s="69"/>
      <c r="AN665" s="69"/>
      <c r="AO665" s="69"/>
      <c r="AP665" s="69"/>
      <c r="AQ665" s="69"/>
      <c r="AR665" s="69"/>
      <c r="AS665" s="69"/>
      <c r="AT665" s="69"/>
      <c r="AU665" s="69"/>
      <c r="AV665" s="69"/>
      <c r="AW665" s="69"/>
      <c r="AX665" s="69"/>
      <c r="AY665" s="69"/>
      <c r="AZ665" s="69"/>
      <c r="BA665" s="69"/>
      <c r="BB665" s="69"/>
      <c r="BC665" s="69"/>
      <c r="BD665" s="69"/>
      <c r="BE665" s="69"/>
      <c r="BF665" s="69"/>
      <c r="BG665" s="69"/>
      <c r="BH665" s="69"/>
      <c r="BI665" s="69"/>
      <c r="BJ665" s="69"/>
      <c r="BK665" s="69"/>
      <c r="BL665" s="69"/>
      <c r="BM665" s="69"/>
      <c r="BN665" s="69"/>
      <c r="BO665" s="69"/>
      <c r="BP665" s="69"/>
      <c r="BQ665" s="69"/>
      <c r="BR665" s="69"/>
      <c r="BS665" s="69"/>
      <c r="BT665" s="69"/>
      <c r="BU665" s="69"/>
      <c r="BV665" s="69"/>
      <c r="BW665" s="69"/>
      <c r="BX665" s="69"/>
      <c r="BY665" s="69"/>
      <c r="BZ665" s="69"/>
      <c r="CA665" s="69"/>
      <c r="CB665" s="69"/>
      <c r="CC665" s="69"/>
      <c r="CD665" s="69"/>
      <c r="CE665" s="69"/>
      <c r="CF665" s="69"/>
      <c r="CG665" s="69"/>
      <c r="CH665" s="69"/>
      <c r="CI665" s="69"/>
      <c r="CJ665" s="69"/>
      <c r="CK665" s="69"/>
      <c r="CL665" s="69"/>
      <c r="CM665" s="69"/>
      <c r="CN665" s="69"/>
      <c r="CO665" s="69"/>
      <c r="CP665" s="69"/>
      <c r="CQ665" s="69"/>
      <c r="CR665" s="69"/>
      <c r="CS665" s="69"/>
      <c r="CT665" s="69"/>
      <c r="CU665" s="69"/>
      <c r="CV665" s="69"/>
      <c r="CW665" s="69"/>
      <c r="CX665" s="69"/>
      <c r="CY665" s="69"/>
      <c r="CZ665" s="69"/>
      <c r="DA665" s="69"/>
      <c r="DB665" s="69"/>
      <c r="DC665" s="69"/>
      <c r="DD665" s="69"/>
      <c r="DE665" s="69"/>
      <c r="DF665" s="69"/>
      <c r="DG665" s="69"/>
      <c r="DH665" s="69"/>
      <c r="DI665" s="69"/>
      <c r="DJ665" s="69"/>
      <c r="DK665" s="69"/>
      <c r="DL665" s="69"/>
    </row>
    <row r="666" spans="1:116" ht="13" x14ac:dyDescent="0.3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202"/>
      <c r="V666" s="69"/>
      <c r="W666" s="69"/>
      <c r="X666" s="69"/>
      <c r="Y666" s="69"/>
      <c r="Z666" s="69"/>
      <c r="AA666" s="69"/>
      <c r="AB666" s="203"/>
      <c r="AC666" s="69"/>
      <c r="AD666" s="69"/>
      <c r="AE666" s="203"/>
      <c r="AF666" s="69"/>
      <c r="AG666" s="69"/>
      <c r="AH666" s="69"/>
      <c r="AI666" s="69"/>
      <c r="AJ666" s="69"/>
      <c r="AK666" s="69"/>
      <c r="AL666" s="69"/>
      <c r="AM666" s="69"/>
      <c r="AN666" s="69"/>
      <c r="AO666" s="69"/>
      <c r="AP666" s="69"/>
      <c r="AQ666" s="69"/>
      <c r="AR666" s="69"/>
      <c r="AS666" s="69"/>
      <c r="AT666" s="69"/>
      <c r="AU666" s="69"/>
      <c r="AV666" s="69"/>
      <c r="AW666" s="69"/>
      <c r="AX666" s="69"/>
      <c r="AY666" s="69"/>
      <c r="AZ666" s="69"/>
      <c r="BA666" s="69"/>
      <c r="BB666" s="69"/>
      <c r="BC666" s="69"/>
      <c r="BD666" s="69"/>
      <c r="BE666" s="69"/>
      <c r="BF666" s="69"/>
      <c r="BG666" s="69"/>
      <c r="BH666" s="69"/>
      <c r="BI666" s="69"/>
      <c r="BJ666" s="69"/>
      <c r="BK666" s="69"/>
      <c r="BL666" s="69"/>
      <c r="BM666" s="69"/>
      <c r="BN666" s="69"/>
      <c r="BO666" s="69"/>
      <c r="BP666" s="69"/>
      <c r="BQ666" s="69"/>
      <c r="BR666" s="69"/>
      <c r="BS666" s="69"/>
      <c r="BT666" s="69"/>
      <c r="BU666" s="69"/>
      <c r="BV666" s="69"/>
      <c r="BW666" s="69"/>
      <c r="BX666" s="69"/>
      <c r="BY666" s="69"/>
      <c r="BZ666" s="69"/>
      <c r="CA666" s="69"/>
      <c r="CB666" s="69"/>
      <c r="CC666" s="69"/>
      <c r="CD666" s="69"/>
      <c r="CE666" s="69"/>
      <c r="CF666" s="69"/>
      <c r="CG666" s="69"/>
      <c r="CH666" s="69"/>
      <c r="CI666" s="69"/>
      <c r="CJ666" s="69"/>
      <c r="CK666" s="69"/>
      <c r="CL666" s="69"/>
      <c r="CM666" s="69"/>
      <c r="CN666" s="69"/>
      <c r="CO666" s="69"/>
      <c r="CP666" s="69"/>
      <c r="CQ666" s="69"/>
      <c r="CR666" s="69"/>
      <c r="CS666" s="69"/>
      <c r="CT666" s="69"/>
      <c r="CU666" s="69"/>
      <c r="CV666" s="69"/>
      <c r="CW666" s="69"/>
      <c r="CX666" s="69"/>
      <c r="CY666" s="69"/>
      <c r="CZ666" s="69"/>
      <c r="DA666" s="69"/>
      <c r="DB666" s="69"/>
      <c r="DC666" s="69"/>
      <c r="DD666" s="69"/>
      <c r="DE666" s="69"/>
      <c r="DF666" s="69"/>
      <c r="DG666" s="69"/>
      <c r="DH666" s="69"/>
      <c r="DI666" s="69"/>
      <c r="DJ666" s="69"/>
      <c r="DK666" s="69"/>
      <c r="DL666" s="69"/>
    </row>
    <row r="667" spans="1:116" ht="13" x14ac:dyDescent="0.3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202"/>
      <c r="V667" s="69"/>
      <c r="W667" s="69"/>
      <c r="X667" s="69"/>
      <c r="Y667" s="69"/>
      <c r="Z667" s="69"/>
      <c r="AA667" s="69"/>
      <c r="AB667" s="203"/>
      <c r="AC667" s="69"/>
      <c r="AD667" s="69"/>
      <c r="AE667" s="203"/>
      <c r="AF667" s="69"/>
      <c r="AG667" s="69"/>
      <c r="AH667" s="69"/>
      <c r="AI667" s="69"/>
      <c r="AJ667" s="69"/>
      <c r="AK667" s="69"/>
      <c r="AL667" s="69"/>
      <c r="AM667" s="69"/>
      <c r="AN667" s="69"/>
      <c r="AO667" s="69"/>
      <c r="AP667" s="69"/>
      <c r="AQ667" s="69"/>
      <c r="AR667" s="69"/>
      <c r="AS667" s="69"/>
      <c r="AT667" s="69"/>
      <c r="AU667" s="69"/>
      <c r="AV667" s="69"/>
      <c r="AW667" s="69"/>
      <c r="AX667" s="69"/>
      <c r="AY667" s="69"/>
      <c r="AZ667" s="69"/>
      <c r="BA667" s="69"/>
      <c r="BB667" s="69"/>
      <c r="BC667" s="69"/>
      <c r="BD667" s="69"/>
      <c r="BE667" s="69"/>
      <c r="BF667" s="69"/>
      <c r="BG667" s="69"/>
      <c r="BH667" s="69"/>
      <c r="BI667" s="69"/>
      <c r="BJ667" s="69"/>
      <c r="BK667" s="69"/>
      <c r="BL667" s="69"/>
      <c r="BM667" s="69"/>
      <c r="BN667" s="69"/>
      <c r="BO667" s="69"/>
      <c r="BP667" s="69"/>
      <c r="BQ667" s="69"/>
      <c r="BR667" s="69"/>
      <c r="BS667" s="69"/>
      <c r="BT667" s="69"/>
      <c r="BU667" s="69"/>
      <c r="BV667" s="69"/>
      <c r="BW667" s="69"/>
      <c r="BX667" s="69"/>
      <c r="BY667" s="69"/>
      <c r="BZ667" s="69"/>
      <c r="CA667" s="69"/>
      <c r="CB667" s="69"/>
      <c r="CC667" s="69"/>
      <c r="CD667" s="69"/>
      <c r="CE667" s="69"/>
      <c r="CF667" s="69"/>
      <c r="CG667" s="69"/>
      <c r="CH667" s="69"/>
      <c r="CI667" s="69"/>
      <c r="CJ667" s="69"/>
      <c r="CK667" s="69"/>
      <c r="CL667" s="69"/>
      <c r="CM667" s="69"/>
      <c r="CN667" s="69"/>
      <c r="CO667" s="69"/>
      <c r="CP667" s="69"/>
      <c r="CQ667" s="69"/>
      <c r="CR667" s="69"/>
      <c r="CS667" s="69"/>
      <c r="CT667" s="69"/>
      <c r="CU667" s="69"/>
      <c r="CV667" s="69"/>
      <c r="CW667" s="69"/>
      <c r="CX667" s="69"/>
      <c r="CY667" s="69"/>
      <c r="CZ667" s="69"/>
      <c r="DA667" s="69"/>
      <c r="DB667" s="69"/>
      <c r="DC667" s="69"/>
      <c r="DD667" s="69"/>
      <c r="DE667" s="69"/>
      <c r="DF667" s="69"/>
      <c r="DG667" s="69"/>
      <c r="DH667" s="69"/>
      <c r="DI667" s="69"/>
      <c r="DJ667" s="69"/>
      <c r="DK667" s="69"/>
      <c r="DL667" s="69"/>
    </row>
    <row r="668" spans="1:116" ht="13" x14ac:dyDescent="0.3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202"/>
      <c r="V668" s="69"/>
      <c r="W668" s="69"/>
      <c r="X668" s="69"/>
      <c r="Y668" s="69"/>
      <c r="Z668" s="69"/>
      <c r="AA668" s="69"/>
      <c r="AB668" s="203"/>
      <c r="AC668" s="69"/>
      <c r="AD668" s="69"/>
      <c r="AE668" s="203"/>
      <c r="AF668" s="69"/>
      <c r="AG668" s="69"/>
      <c r="AH668" s="69"/>
      <c r="AI668" s="69"/>
      <c r="AJ668" s="69"/>
      <c r="AK668" s="69"/>
      <c r="AL668" s="69"/>
      <c r="AM668" s="69"/>
      <c r="AN668" s="69"/>
      <c r="AO668" s="69"/>
      <c r="AP668" s="69"/>
      <c r="AQ668" s="69"/>
      <c r="AR668" s="69"/>
      <c r="AS668" s="69"/>
      <c r="AT668" s="69"/>
      <c r="AU668" s="69"/>
      <c r="AV668" s="69"/>
      <c r="AW668" s="69"/>
      <c r="AX668" s="69"/>
      <c r="AY668" s="69"/>
      <c r="AZ668" s="69"/>
      <c r="BA668" s="69"/>
      <c r="BB668" s="69"/>
      <c r="BC668" s="69"/>
      <c r="BD668" s="69"/>
      <c r="BE668" s="69"/>
      <c r="BF668" s="69"/>
      <c r="BG668" s="69"/>
      <c r="BH668" s="69"/>
      <c r="BI668" s="69"/>
      <c r="BJ668" s="69"/>
      <c r="BK668" s="69"/>
      <c r="BL668" s="69"/>
      <c r="BM668" s="69"/>
      <c r="BN668" s="69"/>
      <c r="BO668" s="69"/>
      <c r="BP668" s="69"/>
      <c r="BQ668" s="69"/>
      <c r="BR668" s="69"/>
      <c r="BS668" s="69"/>
      <c r="BT668" s="69"/>
      <c r="BU668" s="69"/>
      <c r="BV668" s="69"/>
      <c r="BW668" s="69"/>
      <c r="BX668" s="69"/>
      <c r="BY668" s="69"/>
      <c r="BZ668" s="69"/>
      <c r="CA668" s="69"/>
      <c r="CB668" s="69"/>
      <c r="CC668" s="69"/>
      <c r="CD668" s="69"/>
      <c r="CE668" s="69"/>
      <c r="CF668" s="69"/>
      <c r="CG668" s="69"/>
      <c r="CH668" s="69"/>
      <c r="CI668" s="69"/>
      <c r="CJ668" s="69"/>
      <c r="CK668" s="69"/>
      <c r="CL668" s="69"/>
      <c r="CM668" s="69"/>
      <c r="CN668" s="69"/>
      <c r="CO668" s="69"/>
      <c r="CP668" s="69"/>
      <c r="CQ668" s="69"/>
      <c r="CR668" s="69"/>
      <c r="CS668" s="69"/>
      <c r="CT668" s="69"/>
      <c r="CU668" s="69"/>
      <c r="CV668" s="69"/>
      <c r="CW668" s="69"/>
      <c r="CX668" s="69"/>
      <c r="CY668" s="69"/>
      <c r="CZ668" s="69"/>
      <c r="DA668" s="69"/>
      <c r="DB668" s="69"/>
      <c r="DC668" s="69"/>
      <c r="DD668" s="69"/>
      <c r="DE668" s="69"/>
      <c r="DF668" s="69"/>
      <c r="DG668" s="69"/>
      <c r="DH668" s="69"/>
      <c r="DI668" s="69"/>
      <c r="DJ668" s="69"/>
      <c r="DK668" s="69"/>
      <c r="DL668" s="69"/>
    </row>
    <row r="669" spans="1:116" ht="13" x14ac:dyDescent="0.3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202"/>
      <c r="V669" s="69"/>
      <c r="W669" s="69"/>
      <c r="X669" s="69"/>
      <c r="Y669" s="69"/>
      <c r="Z669" s="69"/>
      <c r="AA669" s="69"/>
      <c r="AB669" s="203"/>
      <c r="AC669" s="69"/>
      <c r="AD669" s="69"/>
      <c r="AE669" s="203"/>
      <c r="AF669" s="69"/>
      <c r="AG669" s="69"/>
      <c r="AH669" s="69"/>
      <c r="AI669" s="69"/>
      <c r="AJ669" s="69"/>
      <c r="AK669" s="69"/>
      <c r="AL669" s="69"/>
      <c r="AM669" s="69"/>
      <c r="AN669" s="69"/>
      <c r="AO669" s="69"/>
      <c r="AP669" s="69"/>
      <c r="AQ669" s="69"/>
      <c r="AR669" s="69"/>
      <c r="AS669" s="69"/>
      <c r="AT669" s="69"/>
      <c r="AU669" s="69"/>
      <c r="AV669" s="69"/>
      <c r="AW669" s="69"/>
      <c r="AX669" s="69"/>
      <c r="AY669" s="69"/>
      <c r="AZ669" s="69"/>
      <c r="BA669" s="69"/>
      <c r="BB669" s="69"/>
      <c r="BC669" s="69"/>
      <c r="BD669" s="69"/>
      <c r="BE669" s="69"/>
      <c r="BF669" s="69"/>
      <c r="BG669" s="69"/>
      <c r="BH669" s="69"/>
      <c r="BI669" s="69"/>
      <c r="BJ669" s="69"/>
      <c r="BK669" s="69"/>
      <c r="BL669" s="69"/>
      <c r="BM669" s="69"/>
      <c r="BN669" s="69"/>
      <c r="BO669" s="69"/>
      <c r="BP669" s="69"/>
      <c r="BQ669" s="69"/>
      <c r="BR669" s="69"/>
      <c r="BS669" s="69"/>
      <c r="BT669" s="69"/>
      <c r="BU669" s="69"/>
      <c r="BV669" s="69"/>
      <c r="BW669" s="69"/>
      <c r="BX669" s="69"/>
      <c r="BY669" s="69"/>
      <c r="BZ669" s="69"/>
      <c r="CA669" s="69"/>
      <c r="CB669" s="69"/>
      <c r="CC669" s="69"/>
      <c r="CD669" s="69"/>
      <c r="CE669" s="69"/>
      <c r="CF669" s="69"/>
      <c r="CG669" s="69"/>
      <c r="CH669" s="69"/>
      <c r="CI669" s="69"/>
      <c r="CJ669" s="69"/>
      <c r="CK669" s="69"/>
      <c r="CL669" s="69"/>
      <c r="CM669" s="69"/>
      <c r="CN669" s="69"/>
      <c r="CO669" s="69"/>
      <c r="CP669" s="69"/>
      <c r="CQ669" s="69"/>
      <c r="CR669" s="69"/>
      <c r="CS669" s="69"/>
      <c r="CT669" s="69"/>
      <c r="CU669" s="69"/>
      <c r="CV669" s="69"/>
      <c r="CW669" s="69"/>
      <c r="CX669" s="69"/>
      <c r="CY669" s="69"/>
      <c r="CZ669" s="69"/>
      <c r="DA669" s="69"/>
      <c r="DB669" s="69"/>
      <c r="DC669" s="69"/>
      <c r="DD669" s="69"/>
      <c r="DE669" s="69"/>
      <c r="DF669" s="69"/>
      <c r="DG669" s="69"/>
      <c r="DH669" s="69"/>
      <c r="DI669" s="69"/>
      <c r="DJ669" s="69"/>
      <c r="DK669" s="69"/>
      <c r="DL669" s="69"/>
    </row>
    <row r="670" spans="1:116" ht="13" x14ac:dyDescent="0.3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202"/>
      <c r="V670" s="69"/>
      <c r="W670" s="69"/>
      <c r="X670" s="69"/>
      <c r="Y670" s="69"/>
      <c r="Z670" s="69"/>
      <c r="AA670" s="69"/>
      <c r="AB670" s="203"/>
      <c r="AC670" s="69"/>
      <c r="AD670" s="69"/>
      <c r="AE670" s="203"/>
      <c r="AF670" s="69"/>
      <c r="AG670" s="69"/>
      <c r="AH670" s="69"/>
      <c r="AI670" s="69"/>
      <c r="AJ670" s="69"/>
      <c r="AK670" s="69"/>
      <c r="AL670" s="69"/>
      <c r="AM670" s="69"/>
      <c r="AN670" s="69"/>
      <c r="AO670" s="69"/>
      <c r="AP670" s="69"/>
      <c r="AQ670" s="69"/>
      <c r="AR670" s="69"/>
      <c r="AS670" s="69"/>
      <c r="AT670" s="69"/>
      <c r="AU670" s="69"/>
      <c r="AV670" s="69"/>
      <c r="AW670" s="69"/>
      <c r="AX670" s="69"/>
      <c r="AY670" s="69"/>
      <c r="AZ670" s="69"/>
      <c r="BA670" s="69"/>
      <c r="BB670" s="69"/>
      <c r="BC670" s="69"/>
      <c r="BD670" s="69"/>
      <c r="BE670" s="69"/>
      <c r="BF670" s="69"/>
      <c r="BG670" s="69"/>
      <c r="BH670" s="69"/>
      <c r="BI670" s="69"/>
      <c r="BJ670" s="69"/>
      <c r="BK670" s="69"/>
      <c r="BL670" s="69"/>
      <c r="BM670" s="69"/>
      <c r="BN670" s="69"/>
      <c r="BO670" s="69"/>
      <c r="BP670" s="69"/>
      <c r="BQ670" s="69"/>
      <c r="BR670" s="69"/>
      <c r="BS670" s="69"/>
      <c r="BT670" s="69"/>
      <c r="BU670" s="69"/>
      <c r="BV670" s="69"/>
      <c r="BW670" s="69"/>
      <c r="BX670" s="69"/>
      <c r="BY670" s="69"/>
      <c r="BZ670" s="69"/>
      <c r="CA670" s="69"/>
      <c r="CB670" s="69"/>
      <c r="CC670" s="69"/>
      <c r="CD670" s="69"/>
      <c r="CE670" s="69"/>
      <c r="CF670" s="69"/>
      <c r="CG670" s="69"/>
      <c r="CH670" s="69"/>
      <c r="CI670" s="69"/>
      <c r="CJ670" s="69"/>
      <c r="CK670" s="69"/>
      <c r="CL670" s="69"/>
      <c r="CM670" s="69"/>
      <c r="CN670" s="69"/>
      <c r="CO670" s="69"/>
      <c r="CP670" s="69"/>
      <c r="CQ670" s="69"/>
      <c r="CR670" s="69"/>
      <c r="CS670" s="69"/>
      <c r="CT670" s="69"/>
      <c r="CU670" s="69"/>
      <c r="CV670" s="69"/>
      <c r="CW670" s="69"/>
      <c r="CX670" s="69"/>
      <c r="CY670" s="69"/>
      <c r="CZ670" s="69"/>
      <c r="DA670" s="69"/>
      <c r="DB670" s="69"/>
      <c r="DC670" s="69"/>
      <c r="DD670" s="69"/>
      <c r="DE670" s="69"/>
      <c r="DF670" s="69"/>
      <c r="DG670" s="69"/>
      <c r="DH670" s="69"/>
      <c r="DI670" s="69"/>
      <c r="DJ670" s="69"/>
      <c r="DK670" s="69"/>
      <c r="DL670" s="69"/>
    </row>
    <row r="671" spans="1:116" ht="13" x14ac:dyDescent="0.3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202"/>
      <c r="V671" s="69"/>
      <c r="W671" s="69"/>
      <c r="X671" s="69"/>
      <c r="Y671" s="69"/>
      <c r="Z671" s="69"/>
      <c r="AA671" s="69"/>
      <c r="AB671" s="203"/>
      <c r="AC671" s="69"/>
      <c r="AD671" s="69"/>
      <c r="AE671" s="203"/>
      <c r="AF671" s="69"/>
      <c r="AG671" s="69"/>
      <c r="AH671" s="69"/>
      <c r="AI671" s="69"/>
      <c r="AJ671" s="69"/>
      <c r="AK671" s="69"/>
      <c r="AL671" s="69"/>
      <c r="AM671" s="69"/>
      <c r="AN671" s="69"/>
      <c r="AO671" s="69"/>
      <c r="AP671" s="69"/>
      <c r="AQ671" s="69"/>
      <c r="AR671" s="69"/>
      <c r="AS671" s="69"/>
      <c r="AT671" s="69"/>
      <c r="AU671" s="69"/>
      <c r="AV671" s="69"/>
      <c r="AW671" s="69"/>
      <c r="AX671" s="69"/>
      <c r="AY671" s="69"/>
      <c r="AZ671" s="69"/>
      <c r="BA671" s="69"/>
      <c r="BB671" s="69"/>
      <c r="BC671" s="69"/>
      <c r="BD671" s="69"/>
      <c r="BE671" s="69"/>
      <c r="BF671" s="69"/>
      <c r="BG671" s="69"/>
      <c r="BH671" s="69"/>
      <c r="BI671" s="69"/>
      <c r="BJ671" s="69"/>
      <c r="BK671" s="69"/>
      <c r="BL671" s="69"/>
      <c r="BM671" s="69"/>
      <c r="BN671" s="69"/>
      <c r="BO671" s="69"/>
      <c r="BP671" s="69"/>
      <c r="BQ671" s="69"/>
      <c r="BR671" s="69"/>
      <c r="BS671" s="69"/>
      <c r="BT671" s="69"/>
      <c r="BU671" s="69"/>
      <c r="BV671" s="69"/>
      <c r="BW671" s="69"/>
      <c r="BX671" s="69"/>
      <c r="BY671" s="69"/>
      <c r="BZ671" s="69"/>
      <c r="CA671" s="69"/>
      <c r="CB671" s="69"/>
      <c r="CC671" s="69"/>
      <c r="CD671" s="69"/>
      <c r="CE671" s="69"/>
      <c r="CF671" s="69"/>
      <c r="CG671" s="69"/>
      <c r="CH671" s="69"/>
      <c r="CI671" s="69"/>
      <c r="CJ671" s="69"/>
      <c r="CK671" s="69"/>
      <c r="CL671" s="69"/>
      <c r="CM671" s="69"/>
      <c r="CN671" s="69"/>
      <c r="CO671" s="69"/>
      <c r="CP671" s="69"/>
      <c r="CQ671" s="69"/>
      <c r="CR671" s="69"/>
      <c r="CS671" s="69"/>
      <c r="CT671" s="69"/>
      <c r="CU671" s="69"/>
      <c r="CV671" s="69"/>
      <c r="CW671" s="69"/>
      <c r="CX671" s="69"/>
      <c r="CY671" s="69"/>
      <c r="CZ671" s="69"/>
      <c r="DA671" s="69"/>
      <c r="DB671" s="69"/>
      <c r="DC671" s="69"/>
      <c r="DD671" s="69"/>
      <c r="DE671" s="69"/>
      <c r="DF671" s="69"/>
      <c r="DG671" s="69"/>
      <c r="DH671" s="69"/>
      <c r="DI671" s="69"/>
      <c r="DJ671" s="69"/>
      <c r="DK671" s="69"/>
      <c r="DL671" s="69"/>
    </row>
    <row r="672" spans="1:116" ht="13" x14ac:dyDescent="0.3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202"/>
      <c r="V672" s="69"/>
      <c r="W672" s="69"/>
      <c r="X672" s="69"/>
      <c r="Y672" s="69"/>
      <c r="Z672" s="69"/>
      <c r="AA672" s="69"/>
      <c r="AB672" s="203"/>
      <c r="AC672" s="69"/>
      <c r="AD672" s="69"/>
      <c r="AE672" s="203"/>
      <c r="AF672" s="69"/>
      <c r="AG672" s="69"/>
      <c r="AH672" s="69"/>
      <c r="AI672" s="69"/>
      <c r="AJ672" s="69"/>
      <c r="AK672" s="69"/>
      <c r="AL672" s="69"/>
      <c r="AM672" s="69"/>
      <c r="AN672" s="69"/>
      <c r="AO672" s="69"/>
      <c r="AP672" s="69"/>
      <c r="AQ672" s="69"/>
      <c r="AR672" s="69"/>
      <c r="AS672" s="69"/>
      <c r="AT672" s="69"/>
      <c r="AU672" s="69"/>
      <c r="AV672" s="69"/>
      <c r="AW672" s="69"/>
      <c r="AX672" s="69"/>
      <c r="AY672" s="69"/>
      <c r="AZ672" s="69"/>
      <c r="BA672" s="69"/>
      <c r="BB672" s="69"/>
      <c r="BC672" s="69"/>
      <c r="BD672" s="69"/>
      <c r="BE672" s="69"/>
      <c r="BF672" s="69"/>
      <c r="BG672" s="69"/>
      <c r="BH672" s="69"/>
      <c r="BI672" s="69"/>
      <c r="BJ672" s="69"/>
      <c r="BK672" s="69"/>
      <c r="BL672" s="69"/>
      <c r="BM672" s="69"/>
      <c r="BN672" s="69"/>
      <c r="BO672" s="69"/>
      <c r="BP672" s="69"/>
      <c r="BQ672" s="69"/>
      <c r="BR672" s="69"/>
      <c r="BS672" s="69"/>
      <c r="BT672" s="69"/>
      <c r="BU672" s="69"/>
      <c r="BV672" s="69"/>
      <c r="BW672" s="69"/>
      <c r="BX672" s="69"/>
      <c r="BY672" s="69"/>
      <c r="BZ672" s="69"/>
      <c r="CA672" s="69"/>
      <c r="CB672" s="69"/>
      <c r="CC672" s="69"/>
      <c r="CD672" s="69"/>
      <c r="CE672" s="69"/>
      <c r="CF672" s="69"/>
      <c r="CG672" s="69"/>
      <c r="CH672" s="69"/>
      <c r="CI672" s="69"/>
      <c r="CJ672" s="69"/>
      <c r="CK672" s="69"/>
      <c r="CL672" s="69"/>
      <c r="CM672" s="69"/>
      <c r="CN672" s="69"/>
      <c r="CO672" s="69"/>
      <c r="CP672" s="69"/>
      <c r="CQ672" s="69"/>
      <c r="CR672" s="69"/>
      <c r="CS672" s="69"/>
      <c r="CT672" s="69"/>
      <c r="CU672" s="69"/>
      <c r="CV672" s="69"/>
      <c r="CW672" s="69"/>
      <c r="CX672" s="69"/>
      <c r="CY672" s="69"/>
      <c r="CZ672" s="69"/>
      <c r="DA672" s="69"/>
      <c r="DB672" s="69"/>
      <c r="DC672" s="69"/>
      <c r="DD672" s="69"/>
      <c r="DE672" s="69"/>
      <c r="DF672" s="69"/>
      <c r="DG672" s="69"/>
      <c r="DH672" s="69"/>
      <c r="DI672" s="69"/>
      <c r="DJ672" s="69"/>
      <c r="DK672" s="69"/>
      <c r="DL672" s="69"/>
    </row>
    <row r="673" spans="1:116" ht="13" x14ac:dyDescent="0.3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202"/>
      <c r="V673" s="69"/>
      <c r="W673" s="69"/>
      <c r="X673" s="69"/>
      <c r="Y673" s="69"/>
      <c r="Z673" s="69"/>
      <c r="AA673" s="69"/>
      <c r="AB673" s="203"/>
      <c r="AC673" s="69"/>
      <c r="AD673" s="69"/>
      <c r="AE673" s="203"/>
      <c r="AF673" s="69"/>
      <c r="AG673" s="69"/>
      <c r="AH673" s="69"/>
      <c r="AI673" s="69"/>
      <c r="AJ673" s="69"/>
      <c r="AK673" s="69"/>
      <c r="AL673" s="69"/>
      <c r="AM673" s="69"/>
      <c r="AN673" s="69"/>
      <c r="AO673" s="69"/>
      <c r="AP673" s="69"/>
      <c r="AQ673" s="69"/>
      <c r="AR673" s="69"/>
      <c r="AS673" s="69"/>
      <c r="AT673" s="69"/>
      <c r="AU673" s="69"/>
      <c r="AV673" s="69"/>
      <c r="AW673" s="69"/>
      <c r="AX673" s="69"/>
      <c r="AY673" s="69"/>
      <c r="AZ673" s="69"/>
      <c r="BA673" s="69"/>
      <c r="BB673" s="69"/>
      <c r="BC673" s="69"/>
      <c r="BD673" s="69"/>
      <c r="BE673" s="69"/>
      <c r="BF673" s="69"/>
      <c r="BG673" s="69"/>
      <c r="BH673" s="69"/>
      <c r="BI673" s="69"/>
      <c r="BJ673" s="69"/>
      <c r="BK673" s="69"/>
      <c r="BL673" s="69"/>
      <c r="BM673" s="69"/>
      <c r="BN673" s="69"/>
      <c r="BO673" s="69"/>
      <c r="BP673" s="69"/>
      <c r="BQ673" s="69"/>
      <c r="BR673" s="69"/>
      <c r="BS673" s="69"/>
      <c r="BT673" s="69"/>
      <c r="BU673" s="69"/>
      <c r="BV673" s="69"/>
      <c r="BW673" s="69"/>
      <c r="BX673" s="69"/>
      <c r="BY673" s="69"/>
      <c r="BZ673" s="69"/>
      <c r="CA673" s="69"/>
      <c r="CB673" s="69"/>
      <c r="CC673" s="69"/>
      <c r="CD673" s="69"/>
      <c r="CE673" s="69"/>
      <c r="CF673" s="69"/>
      <c r="CG673" s="69"/>
      <c r="CH673" s="69"/>
      <c r="CI673" s="69"/>
      <c r="CJ673" s="69"/>
      <c r="CK673" s="69"/>
      <c r="CL673" s="69"/>
      <c r="CM673" s="69"/>
      <c r="CN673" s="69"/>
      <c r="CO673" s="69"/>
      <c r="CP673" s="69"/>
      <c r="CQ673" s="69"/>
      <c r="CR673" s="69"/>
      <c r="CS673" s="69"/>
      <c r="CT673" s="69"/>
      <c r="CU673" s="69"/>
      <c r="CV673" s="69"/>
      <c r="CW673" s="69"/>
      <c r="CX673" s="69"/>
      <c r="CY673" s="69"/>
      <c r="CZ673" s="69"/>
      <c r="DA673" s="69"/>
      <c r="DB673" s="69"/>
      <c r="DC673" s="69"/>
      <c r="DD673" s="69"/>
      <c r="DE673" s="69"/>
      <c r="DF673" s="69"/>
      <c r="DG673" s="69"/>
      <c r="DH673" s="69"/>
      <c r="DI673" s="69"/>
      <c r="DJ673" s="69"/>
      <c r="DK673" s="69"/>
      <c r="DL673" s="69"/>
    </row>
    <row r="674" spans="1:116" ht="13" x14ac:dyDescent="0.3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202"/>
      <c r="V674" s="69"/>
      <c r="W674" s="69"/>
      <c r="X674" s="69"/>
      <c r="Y674" s="69"/>
      <c r="Z674" s="69"/>
      <c r="AA674" s="69"/>
      <c r="AB674" s="203"/>
      <c r="AC674" s="69"/>
      <c r="AD674" s="69"/>
      <c r="AE674" s="203"/>
      <c r="AF674" s="69"/>
      <c r="AG674" s="69"/>
      <c r="AH674" s="69"/>
      <c r="AI674" s="69"/>
      <c r="AJ674" s="69"/>
      <c r="AK674" s="69"/>
      <c r="AL674" s="69"/>
      <c r="AM674" s="69"/>
      <c r="AN674" s="69"/>
      <c r="AO674" s="69"/>
      <c r="AP674" s="69"/>
      <c r="AQ674" s="69"/>
      <c r="AR674" s="69"/>
      <c r="AS674" s="69"/>
      <c r="AT674" s="69"/>
      <c r="AU674" s="69"/>
      <c r="AV674" s="69"/>
      <c r="AW674" s="69"/>
      <c r="AX674" s="69"/>
      <c r="AY674" s="69"/>
      <c r="AZ674" s="69"/>
      <c r="BA674" s="69"/>
      <c r="BB674" s="69"/>
      <c r="BC674" s="69"/>
      <c r="BD674" s="69"/>
      <c r="BE674" s="69"/>
      <c r="BF674" s="69"/>
      <c r="BG674" s="69"/>
      <c r="BH674" s="69"/>
      <c r="BI674" s="69"/>
      <c r="BJ674" s="69"/>
      <c r="BK674" s="69"/>
      <c r="BL674" s="69"/>
      <c r="BM674" s="69"/>
      <c r="BN674" s="69"/>
      <c r="BO674" s="69"/>
      <c r="BP674" s="69"/>
      <c r="BQ674" s="69"/>
      <c r="BR674" s="69"/>
      <c r="BS674" s="69"/>
      <c r="BT674" s="69"/>
      <c r="BU674" s="69"/>
      <c r="BV674" s="69"/>
      <c r="BW674" s="69"/>
      <c r="BX674" s="69"/>
      <c r="BY674" s="69"/>
      <c r="BZ674" s="69"/>
      <c r="CA674" s="69"/>
      <c r="CB674" s="69"/>
      <c r="CC674" s="69"/>
      <c r="CD674" s="69"/>
      <c r="CE674" s="69"/>
      <c r="CF674" s="69"/>
      <c r="CG674" s="69"/>
      <c r="CH674" s="69"/>
      <c r="CI674" s="69"/>
      <c r="CJ674" s="69"/>
      <c r="CK674" s="69"/>
      <c r="CL674" s="69"/>
      <c r="CM674" s="69"/>
      <c r="CN674" s="69"/>
      <c r="CO674" s="69"/>
      <c r="CP674" s="69"/>
      <c r="CQ674" s="69"/>
      <c r="CR674" s="69"/>
      <c r="CS674" s="69"/>
      <c r="CT674" s="69"/>
      <c r="CU674" s="69"/>
      <c r="CV674" s="69"/>
      <c r="CW674" s="69"/>
      <c r="CX674" s="69"/>
      <c r="CY674" s="69"/>
      <c r="CZ674" s="69"/>
      <c r="DA674" s="69"/>
      <c r="DB674" s="69"/>
      <c r="DC674" s="69"/>
      <c r="DD674" s="69"/>
      <c r="DE674" s="69"/>
      <c r="DF674" s="69"/>
      <c r="DG674" s="69"/>
      <c r="DH674" s="69"/>
      <c r="DI674" s="69"/>
      <c r="DJ674" s="69"/>
      <c r="DK674" s="69"/>
      <c r="DL674" s="69"/>
    </row>
    <row r="675" spans="1:116" ht="13" x14ac:dyDescent="0.3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202"/>
      <c r="V675" s="69"/>
      <c r="W675" s="69"/>
      <c r="X675" s="69"/>
      <c r="Y675" s="69"/>
      <c r="Z675" s="69"/>
      <c r="AA675" s="69"/>
      <c r="AB675" s="203"/>
      <c r="AC675" s="69"/>
      <c r="AD675" s="69"/>
      <c r="AE675" s="203"/>
      <c r="AF675" s="69"/>
      <c r="AG675" s="69"/>
      <c r="AH675" s="69"/>
      <c r="AI675" s="69"/>
      <c r="AJ675" s="69"/>
      <c r="AK675" s="69"/>
      <c r="AL675" s="69"/>
      <c r="AM675" s="69"/>
      <c r="AN675" s="69"/>
      <c r="AO675" s="69"/>
      <c r="AP675" s="69"/>
      <c r="AQ675" s="69"/>
      <c r="AR675" s="69"/>
      <c r="AS675" s="69"/>
      <c r="AT675" s="69"/>
      <c r="AU675" s="69"/>
      <c r="AV675" s="69"/>
      <c r="AW675" s="69"/>
      <c r="AX675" s="69"/>
      <c r="AY675" s="69"/>
      <c r="AZ675" s="69"/>
      <c r="BA675" s="69"/>
      <c r="BB675" s="69"/>
      <c r="BC675" s="69"/>
      <c r="BD675" s="69"/>
      <c r="BE675" s="69"/>
      <c r="BF675" s="69"/>
      <c r="BG675" s="69"/>
      <c r="BH675" s="69"/>
      <c r="BI675" s="69"/>
      <c r="BJ675" s="69"/>
      <c r="BK675" s="69"/>
      <c r="BL675" s="69"/>
      <c r="BM675" s="69"/>
      <c r="BN675" s="69"/>
      <c r="BO675" s="69"/>
      <c r="BP675" s="69"/>
      <c r="BQ675" s="69"/>
      <c r="BR675" s="69"/>
      <c r="BS675" s="69"/>
      <c r="BT675" s="69"/>
      <c r="BU675" s="69"/>
      <c r="BV675" s="69"/>
      <c r="BW675" s="69"/>
      <c r="BX675" s="69"/>
      <c r="BY675" s="69"/>
      <c r="BZ675" s="69"/>
      <c r="CA675" s="69"/>
      <c r="CB675" s="69"/>
      <c r="CC675" s="69"/>
      <c r="CD675" s="69"/>
      <c r="CE675" s="69"/>
      <c r="CF675" s="69"/>
      <c r="CG675" s="69"/>
      <c r="CH675" s="69"/>
      <c r="CI675" s="69"/>
      <c r="CJ675" s="69"/>
      <c r="CK675" s="69"/>
      <c r="CL675" s="69"/>
      <c r="CM675" s="69"/>
      <c r="CN675" s="69"/>
      <c r="CO675" s="69"/>
      <c r="CP675" s="69"/>
      <c r="CQ675" s="69"/>
      <c r="CR675" s="69"/>
      <c r="CS675" s="69"/>
      <c r="CT675" s="69"/>
      <c r="CU675" s="69"/>
      <c r="CV675" s="69"/>
      <c r="CW675" s="69"/>
      <c r="CX675" s="69"/>
      <c r="CY675" s="69"/>
      <c r="CZ675" s="69"/>
      <c r="DA675" s="69"/>
      <c r="DB675" s="69"/>
      <c r="DC675" s="69"/>
      <c r="DD675" s="69"/>
      <c r="DE675" s="69"/>
      <c r="DF675" s="69"/>
      <c r="DG675" s="69"/>
      <c r="DH675" s="69"/>
      <c r="DI675" s="69"/>
      <c r="DJ675" s="69"/>
      <c r="DK675" s="69"/>
      <c r="DL675" s="69"/>
    </row>
    <row r="676" spans="1:116" ht="13" x14ac:dyDescent="0.3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202"/>
      <c r="V676" s="69"/>
      <c r="W676" s="69"/>
      <c r="X676" s="69"/>
      <c r="Y676" s="69"/>
      <c r="Z676" s="69"/>
      <c r="AA676" s="69"/>
      <c r="AB676" s="203"/>
      <c r="AC676" s="69"/>
      <c r="AD676" s="69"/>
      <c r="AE676" s="203"/>
      <c r="AF676" s="69"/>
      <c r="AG676" s="69"/>
      <c r="AH676" s="69"/>
      <c r="AI676" s="69"/>
      <c r="AJ676" s="69"/>
      <c r="AK676" s="69"/>
      <c r="AL676" s="69"/>
      <c r="AM676" s="69"/>
      <c r="AN676" s="69"/>
      <c r="AO676" s="69"/>
      <c r="AP676" s="69"/>
      <c r="AQ676" s="69"/>
      <c r="AR676" s="69"/>
      <c r="AS676" s="69"/>
      <c r="AT676" s="69"/>
      <c r="AU676" s="69"/>
      <c r="AV676" s="69"/>
      <c r="AW676" s="69"/>
      <c r="AX676" s="69"/>
      <c r="AY676" s="69"/>
      <c r="AZ676" s="69"/>
      <c r="BA676" s="69"/>
      <c r="BB676" s="69"/>
      <c r="BC676" s="69"/>
      <c r="BD676" s="69"/>
      <c r="BE676" s="69"/>
      <c r="BF676" s="69"/>
      <c r="BG676" s="69"/>
      <c r="BH676" s="69"/>
      <c r="BI676" s="69"/>
      <c r="BJ676" s="69"/>
      <c r="BK676" s="69"/>
      <c r="BL676" s="69"/>
      <c r="BM676" s="69"/>
      <c r="BN676" s="69"/>
      <c r="BO676" s="69"/>
      <c r="BP676" s="69"/>
      <c r="BQ676" s="69"/>
      <c r="BR676" s="69"/>
      <c r="BS676" s="69"/>
      <c r="BT676" s="69"/>
      <c r="BU676" s="69"/>
      <c r="BV676" s="69"/>
      <c r="BW676" s="69"/>
      <c r="BX676" s="69"/>
      <c r="BY676" s="69"/>
      <c r="BZ676" s="69"/>
      <c r="CA676" s="69"/>
      <c r="CB676" s="69"/>
      <c r="CC676" s="69"/>
      <c r="CD676" s="69"/>
      <c r="CE676" s="69"/>
      <c r="CF676" s="69"/>
      <c r="CG676" s="69"/>
      <c r="CH676" s="69"/>
      <c r="CI676" s="69"/>
      <c r="CJ676" s="69"/>
      <c r="CK676" s="69"/>
      <c r="CL676" s="69"/>
      <c r="CM676" s="69"/>
      <c r="CN676" s="69"/>
      <c r="CO676" s="69"/>
      <c r="CP676" s="69"/>
      <c r="CQ676" s="69"/>
      <c r="CR676" s="69"/>
      <c r="CS676" s="69"/>
      <c r="CT676" s="69"/>
      <c r="CU676" s="69"/>
      <c r="CV676" s="69"/>
      <c r="CW676" s="69"/>
      <c r="CX676" s="69"/>
      <c r="CY676" s="69"/>
      <c r="CZ676" s="69"/>
      <c r="DA676" s="69"/>
      <c r="DB676" s="69"/>
      <c r="DC676" s="69"/>
      <c r="DD676" s="69"/>
      <c r="DE676" s="69"/>
      <c r="DF676" s="69"/>
      <c r="DG676" s="69"/>
      <c r="DH676" s="69"/>
      <c r="DI676" s="69"/>
      <c r="DJ676" s="69"/>
      <c r="DK676" s="69"/>
      <c r="DL676" s="69"/>
    </row>
    <row r="677" spans="1:116" ht="13" x14ac:dyDescent="0.3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202"/>
      <c r="V677" s="69"/>
      <c r="W677" s="69"/>
      <c r="X677" s="69"/>
      <c r="Y677" s="69"/>
      <c r="Z677" s="69"/>
      <c r="AA677" s="69"/>
      <c r="AB677" s="203"/>
      <c r="AC677" s="69"/>
      <c r="AD677" s="69"/>
      <c r="AE677" s="203"/>
      <c r="AF677" s="69"/>
      <c r="AG677" s="69"/>
      <c r="AH677" s="69"/>
      <c r="AI677" s="69"/>
      <c r="AJ677" s="69"/>
      <c r="AK677" s="69"/>
      <c r="AL677" s="69"/>
      <c r="AM677" s="69"/>
      <c r="AN677" s="69"/>
      <c r="AO677" s="69"/>
      <c r="AP677" s="69"/>
      <c r="AQ677" s="69"/>
      <c r="AR677" s="69"/>
      <c r="AS677" s="69"/>
      <c r="AT677" s="69"/>
      <c r="AU677" s="69"/>
      <c r="AV677" s="69"/>
      <c r="AW677" s="69"/>
      <c r="AX677" s="69"/>
      <c r="AY677" s="69"/>
      <c r="AZ677" s="69"/>
      <c r="BA677" s="69"/>
      <c r="BB677" s="69"/>
      <c r="BC677" s="69"/>
      <c r="BD677" s="69"/>
      <c r="BE677" s="69"/>
      <c r="BF677" s="69"/>
      <c r="BG677" s="69"/>
      <c r="BH677" s="69"/>
      <c r="BI677" s="69"/>
      <c r="BJ677" s="69"/>
      <c r="BK677" s="69"/>
      <c r="BL677" s="69"/>
      <c r="BM677" s="69"/>
      <c r="BN677" s="69"/>
      <c r="BO677" s="69"/>
      <c r="BP677" s="69"/>
      <c r="BQ677" s="69"/>
      <c r="BR677" s="69"/>
      <c r="BS677" s="69"/>
      <c r="BT677" s="69"/>
      <c r="BU677" s="69"/>
      <c r="BV677" s="69"/>
      <c r="BW677" s="69"/>
      <c r="BX677" s="69"/>
      <c r="BY677" s="69"/>
      <c r="BZ677" s="69"/>
      <c r="CA677" s="69"/>
      <c r="CB677" s="69"/>
      <c r="CC677" s="69"/>
      <c r="CD677" s="69"/>
      <c r="CE677" s="69"/>
      <c r="CF677" s="69"/>
      <c r="CG677" s="69"/>
      <c r="CH677" s="69"/>
      <c r="CI677" s="69"/>
      <c r="CJ677" s="69"/>
      <c r="CK677" s="69"/>
      <c r="CL677" s="69"/>
      <c r="CM677" s="69"/>
      <c r="CN677" s="69"/>
      <c r="CO677" s="69"/>
      <c r="CP677" s="69"/>
      <c r="CQ677" s="69"/>
      <c r="CR677" s="69"/>
      <c r="CS677" s="69"/>
      <c r="CT677" s="69"/>
      <c r="CU677" s="69"/>
      <c r="CV677" s="69"/>
      <c r="CW677" s="69"/>
      <c r="CX677" s="69"/>
      <c r="CY677" s="69"/>
      <c r="CZ677" s="69"/>
      <c r="DA677" s="69"/>
      <c r="DB677" s="69"/>
      <c r="DC677" s="69"/>
      <c r="DD677" s="69"/>
      <c r="DE677" s="69"/>
      <c r="DF677" s="69"/>
      <c r="DG677" s="69"/>
      <c r="DH677" s="69"/>
      <c r="DI677" s="69"/>
      <c r="DJ677" s="69"/>
      <c r="DK677" s="69"/>
      <c r="DL677" s="69"/>
    </row>
    <row r="678" spans="1:116" ht="13" x14ac:dyDescent="0.3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202"/>
      <c r="V678" s="69"/>
      <c r="W678" s="69"/>
      <c r="X678" s="69"/>
      <c r="Y678" s="69"/>
      <c r="Z678" s="69"/>
      <c r="AA678" s="69"/>
      <c r="AB678" s="203"/>
      <c r="AC678" s="69"/>
      <c r="AD678" s="69"/>
      <c r="AE678" s="203"/>
      <c r="AF678" s="69"/>
      <c r="AG678" s="69"/>
      <c r="AH678" s="69"/>
      <c r="AI678" s="69"/>
      <c r="AJ678" s="69"/>
      <c r="AK678" s="69"/>
      <c r="AL678" s="69"/>
      <c r="AM678" s="69"/>
      <c r="AN678" s="69"/>
      <c r="AO678" s="69"/>
      <c r="AP678" s="69"/>
      <c r="AQ678" s="69"/>
      <c r="AR678" s="69"/>
      <c r="AS678" s="69"/>
      <c r="AT678" s="69"/>
      <c r="AU678" s="69"/>
      <c r="AV678" s="69"/>
      <c r="AW678" s="69"/>
      <c r="AX678" s="69"/>
      <c r="AY678" s="69"/>
      <c r="AZ678" s="69"/>
      <c r="BA678" s="69"/>
      <c r="BB678" s="69"/>
      <c r="BC678" s="69"/>
      <c r="BD678" s="69"/>
      <c r="BE678" s="69"/>
      <c r="BF678" s="69"/>
      <c r="BG678" s="69"/>
      <c r="BH678" s="69"/>
      <c r="BI678" s="69"/>
      <c r="BJ678" s="69"/>
      <c r="BK678" s="69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9"/>
      <c r="CA678" s="69"/>
      <c r="CB678" s="69"/>
      <c r="CC678" s="69"/>
      <c r="CD678" s="69"/>
      <c r="CE678" s="69"/>
      <c r="CF678" s="69"/>
      <c r="CG678" s="69"/>
      <c r="CH678" s="69"/>
      <c r="CI678" s="69"/>
      <c r="CJ678" s="69"/>
      <c r="CK678" s="69"/>
      <c r="CL678" s="69"/>
      <c r="CM678" s="69"/>
      <c r="CN678" s="69"/>
      <c r="CO678" s="69"/>
      <c r="CP678" s="69"/>
      <c r="CQ678" s="69"/>
      <c r="CR678" s="69"/>
      <c r="CS678" s="69"/>
      <c r="CT678" s="69"/>
      <c r="CU678" s="69"/>
      <c r="CV678" s="69"/>
      <c r="CW678" s="69"/>
      <c r="CX678" s="69"/>
      <c r="CY678" s="69"/>
      <c r="CZ678" s="69"/>
      <c r="DA678" s="69"/>
      <c r="DB678" s="69"/>
      <c r="DC678" s="69"/>
      <c r="DD678" s="69"/>
      <c r="DE678" s="69"/>
      <c r="DF678" s="69"/>
      <c r="DG678" s="69"/>
      <c r="DH678" s="69"/>
      <c r="DI678" s="69"/>
      <c r="DJ678" s="69"/>
      <c r="DK678" s="69"/>
      <c r="DL678" s="69"/>
    </row>
    <row r="679" spans="1:116" ht="13" x14ac:dyDescent="0.3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202"/>
      <c r="V679" s="69"/>
      <c r="W679" s="69"/>
      <c r="X679" s="69"/>
      <c r="Y679" s="69"/>
      <c r="Z679" s="69"/>
      <c r="AA679" s="69"/>
      <c r="AB679" s="203"/>
      <c r="AC679" s="69"/>
      <c r="AD679" s="69"/>
      <c r="AE679" s="203"/>
      <c r="AF679" s="69"/>
      <c r="AG679" s="69"/>
      <c r="AH679" s="69"/>
      <c r="AI679" s="69"/>
      <c r="AJ679" s="69"/>
      <c r="AK679" s="69"/>
      <c r="AL679" s="69"/>
      <c r="AM679" s="69"/>
      <c r="AN679" s="69"/>
      <c r="AO679" s="69"/>
      <c r="AP679" s="69"/>
      <c r="AQ679" s="69"/>
      <c r="AR679" s="69"/>
      <c r="AS679" s="69"/>
      <c r="AT679" s="69"/>
      <c r="AU679" s="69"/>
      <c r="AV679" s="69"/>
      <c r="AW679" s="69"/>
      <c r="AX679" s="69"/>
      <c r="AY679" s="69"/>
      <c r="AZ679" s="69"/>
      <c r="BA679" s="69"/>
      <c r="BB679" s="69"/>
      <c r="BC679" s="69"/>
      <c r="BD679" s="69"/>
      <c r="BE679" s="69"/>
      <c r="BF679" s="69"/>
      <c r="BG679" s="69"/>
      <c r="BH679" s="69"/>
      <c r="BI679" s="69"/>
      <c r="BJ679" s="69"/>
      <c r="BK679" s="69"/>
      <c r="BL679" s="69"/>
      <c r="BM679" s="69"/>
      <c r="BN679" s="69"/>
      <c r="BO679" s="69"/>
      <c r="BP679" s="69"/>
      <c r="BQ679" s="69"/>
      <c r="BR679" s="69"/>
      <c r="BS679" s="69"/>
      <c r="BT679" s="69"/>
      <c r="BU679" s="69"/>
      <c r="BV679" s="69"/>
      <c r="BW679" s="69"/>
      <c r="BX679" s="69"/>
      <c r="BY679" s="69"/>
      <c r="BZ679" s="69"/>
      <c r="CA679" s="69"/>
      <c r="CB679" s="69"/>
      <c r="CC679" s="69"/>
      <c r="CD679" s="69"/>
      <c r="CE679" s="69"/>
      <c r="CF679" s="69"/>
      <c r="CG679" s="69"/>
      <c r="CH679" s="69"/>
      <c r="CI679" s="69"/>
      <c r="CJ679" s="69"/>
      <c r="CK679" s="69"/>
      <c r="CL679" s="69"/>
      <c r="CM679" s="69"/>
      <c r="CN679" s="69"/>
      <c r="CO679" s="69"/>
      <c r="CP679" s="69"/>
      <c r="CQ679" s="69"/>
      <c r="CR679" s="69"/>
      <c r="CS679" s="69"/>
      <c r="CT679" s="69"/>
      <c r="CU679" s="69"/>
      <c r="CV679" s="69"/>
      <c r="CW679" s="69"/>
      <c r="CX679" s="69"/>
      <c r="CY679" s="69"/>
      <c r="CZ679" s="69"/>
      <c r="DA679" s="69"/>
      <c r="DB679" s="69"/>
      <c r="DC679" s="69"/>
      <c r="DD679" s="69"/>
      <c r="DE679" s="69"/>
      <c r="DF679" s="69"/>
      <c r="DG679" s="69"/>
      <c r="DH679" s="69"/>
      <c r="DI679" s="69"/>
      <c r="DJ679" s="69"/>
      <c r="DK679" s="69"/>
      <c r="DL679" s="69"/>
    </row>
    <row r="680" spans="1:116" ht="13" x14ac:dyDescent="0.3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202"/>
      <c r="V680" s="69"/>
      <c r="W680" s="69"/>
      <c r="X680" s="69"/>
      <c r="Y680" s="69"/>
      <c r="Z680" s="69"/>
      <c r="AA680" s="69"/>
      <c r="AB680" s="203"/>
      <c r="AC680" s="69"/>
      <c r="AD680" s="69"/>
      <c r="AE680" s="203"/>
      <c r="AF680" s="69"/>
      <c r="AG680" s="69"/>
      <c r="AH680" s="69"/>
      <c r="AI680" s="69"/>
      <c r="AJ680" s="69"/>
      <c r="AK680" s="69"/>
      <c r="AL680" s="69"/>
      <c r="AM680" s="69"/>
      <c r="AN680" s="69"/>
      <c r="AO680" s="69"/>
      <c r="AP680" s="69"/>
      <c r="AQ680" s="69"/>
      <c r="AR680" s="69"/>
      <c r="AS680" s="69"/>
      <c r="AT680" s="69"/>
      <c r="AU680" s="69"/>
      <c r="AV680" s="69"/>
      <c r="AW680" s="69"/>
      <c r="AX680" s="69"/>
      <c r="AY680" s="69"/>
      <c r="AZ680" s="69"/>
      <c r="BA680" s="69"/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  <c r="BW680" s="69"/>
      <c r="BX680" s="69"/>
      <c r="BY680" s="69"/>
      <c r="BZ680" s="69"/>
      <c r="CA680" s="69"/>
      <c r="CB680" s="69"/>
      <c r="CC680" s="69"/>
      <c r="CD680" s="69"/>
      <c r="CE680" s="69"/>
      <c r="CF680" s="69"/>
      <c r="CG680" s="69"/>
      <c r="CH680" s="69"/>
      <c r="CI680" s="69"/>
      <c r="CJ680" s="69"/>
      <c r="CK680" s="69"/>
      <c r="CL680" s="69"/>
      <c r="CM680" s="69"/>
      <c r="CN680" s="69"/>
      <c r="CO680" s="69"/>
      <c r="CP680" s="69"/>
      <c r="CQ680" s="69"/>
      <c r="CR680" s="69"/>
      <c r="CS680" s="69"/>
      <c r="CT680" s="69"/>
      <c r="CU680" s="69"/>
      <c r="CV680" s="69"/>
      <c r="CW680" s="69"/>
      <c r="CX680" s="69"/>
      <c r="CY680" s="69"/>
      <c r="CZ680" s="69"/>
      <c r="DA680" s="69"/>
      <c r="DB680" s="69"/>
      <c r="DC680" s="69"/>
      <c r="DD680" s="69"/>
      <c r="DE680" s="69"/>
      <c r="DF680" s="69"/>
      <c r="DG680" s="69"/>
      <c r="DH680" s="69"/>
      <c r="DI680" s="69"/>
      <c r="DJ680" s="69"/>
      <c r="DK680" s="69"/>
      <c r="DL680" s="69"/>
    </row>
    <row r="681" spans="1:116" ht="13" x14ac:dyDescent="0.3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202"/>
      <c r="V681" s="69"/>
      <c r="W681" s="69"/>
      <c r="X681" s="69"/>
      <c r="Y681" s="69"/>
      <c r="Z681" s="69"/>
      <c r="AA681" s="69"/>
      <c r="AB681" s="203"/>
      <c r="AC681" s="69"/>
      <c r="AD681" s="69"/>
      <c r="AE681" s="203"/>
      <c r="AF681" s="69"/>
      <c r="AG681" s="69"/>
      <c r="AH681" s="69"/>
      <c r="AI681" s="69"/>
      <c r="AJ681" s="69"/>
      <c r="AK681" s="69"/>
      <c r="AL681" s="69"/>
      <c r="AM681" s="69"/>
      <c r="AN681" s="69"/>
      <c r="AO681" s="69"/>
      <c r="AP681" s="69"/>
      <c r="AQ681" s="69"/>
      <c r="AR681" s="69"/>
      <c r="AS681" s="69"/>
      <c r="AT681" s="69"/>
      <c r="AU681" s="69"/>
      <c r="AV681" s="69"/>
      <c r="AW681" s="69"/>
      <c r="AX681" s="69"/>
      <c r="AY681" s="69"/>
      <c r="AZ681" s="69"/>
      <c r="BA681" s="69"/>
      <c r="BB681" s="69"/>
      <c r="BC681" s="69"/>
      <c r="BD681" s="69"/>
      <c r="BE681" s="69"/>
      <c r="BF681" s="69"/>
      <c r="BG681" s="69"/>
      <c r="BH681" s="69"/>
      <c r="BI681" s="69"/>
      <c r="BJ681" s="69"/>
      <c r="BK681" s="69"/>
      <c r="BL681" s="69"/>
      <c r="BM681" s="69"/>
      <c r="BN681" s="69"/>
      <c r="BO681" s="69"/>
      <c r="BP681" s="69"/>
      <c r="BQ681" s="69"/>
      <c r="BR681" s="69"/>
      <c r="BS681" s="69"/>
      <c r="BT681" s="69"/>
      <c r="BU681" s="69"/>
      <c r="BV681" s="69"/>
      <c r="BW681" s="69"/>
      <c r="BX681" s="69"/>
      <c r="BY681" s="69"/>
      <c r="BZ681" s="69"/>
      <c r="CA681" s="69"/>
      <c r="CB681" s="69"/>
      <c r="CC681" s="69"/>
      <c r="CD681" s="69"/>
      <c r="CE681" s="69"/>
      <c r="CF681" s="69"/>
      <c r="CG681" s="69"/>
      <c r="CH681" s="69"/>
      <c r="CI681" s="69"/>
      <c r="CJ681" s="69"/>
      <c r="CK681" s="69"/>
      <c r="CL681" s="69"/>
      <c r="CM681" s="69"/>
      <c r="CN681" s="69"/>
      <c r="CO681" s="69"/>
      <c r="CP681" s="69"/>
      <c r="CQ681" s="69"/>
      <c r="CR681" s="69"/>
      <c r="CS681" s="69"/>
      <c r="CT681" s="69"/>
      <c r="CU681" s="69"/>
      <c r="CV681" s="69"/>
      <c r="CW681" s="69"/>
      <c r="CX681" s="69"/>
      <c r="CY681" s="69"/>
      <c r="CZ681" s="69"/>
      <c r="DA681" s="69"/>
      <c r="DB681" s="69"/>
      <c r="DC681" s="69"/>
      <c r="DD681" s="69"/>
      <c r="DE681" s="69"/>
      <c r="DF681" s="69"/>
      <c r="DG681" s="69"/>
      <c r="DH681" s="69"/>
      <c r="DI681" s="69"/>
      <c r="DJ681" s="69"/>
      <c r="DK681" s="69"/>
      <c r="DL681" s="69"/>
    </row>
    <row r="682" spans="1:116" ht="13" x14ac:dyDescent="0.3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202"/>
      <c r="V682" s="69"/>
      <c r="W682" s="69"/>
      <c r="X682" s="69"/>
      <c r="Y682" s="69"/>
      <c r="Z682" s="69"/>
      <c r="AA682" s="69"/>
      <c r="AB682" s="203"/>
      <c r="AC682" s="69"/>
      <c r="AD682" s="69"/>
      <c r="AE682" s="203"/>
      <c r="AF682" s="69"/>
      <c r="AG682" s="69"/>
      <c r="AH682" s="69"/>
      <c r="AI682" s="69"/>
      <c r="AJ682" s="69"/>
      <c r="AK682" s="69"/>
      <c r="AL682" s="69"/>
      <c r="AM682" s="69"/>
      <c r="AN682" s="69"/>
      <c r="AO682" s="69"/>
      <c r="AP682" s="69"/>
      <c r="AQ682" s="69"/>
      <c r="AR682" s="69"/>
      <c r="AS682" s="69"/>
      <c r="AT682" s="69"/>
      <c r="AU682" s="69"/>
      <c r="AV682" s="69"/>
      <c r="AW682" s="69"/>
      <c r="AX682" s="69"/>
      <c r="AY682" s="69"/>
      <c r="AZ682" s="69"/>
      <c r="BA682" s="69"/>
      <c r="BB682" s="69"/>
      <c r="BC682" s="69"/>
      <c r="BD682" s="69"/>
      <c r="BE682" s="69"/>
      <c r="BF682" s="69"/>
      <c r="BG682" s="69"/>
      <c r="BH682" s="69"/>
      <c r="BI682" s="69"/>
      <c r="BJ682" s="69"/>
      <c r="BK682" s="69"/>
      <c r="BL682" s="69"/>
      <c r="BM682" s="69"/>
      <c r="BN682" s="69"/>
      <c r="BO682" s="69"/>
      <c r="BP682" s="69"/>
      <c r="BQ682" s="69"/>
      <c r="BR682" s="69"/>
      <c r="BS682" s="69"/>
      <c r="BT682" s="69"/>
      <c r="BU682" s="69"/>
      <c r="BV682" s="69"/>
      <c r="BW682" s="69"/>
      <c r="BX682" s="69"/>
      <c r="BY682" s="69"/>
      <c r="BZ682" s="69"/>
      <c r="CA682" s="69"/>
      <c r="CB682" s="69"/>
      <c r="CC682" s="69"/>
      <c r="CD682" s="69"/>
      <c r="CE682" s="69"/>
      <c r="CF682" s="69"/>
      <c r="CG682" s="69"/>
      <c r="CH682" s="69"/>
      <c r="CI682" s="69"/>
      <c r="CJ682" s="69"/>
      <c r="CK682" s="69"/>
      <c r="CL682" s="69"/>
      <c r="CM682" s="69"/>
      <c r="CN682" s="69"/>
      <c r="CO682" s="69"/>
      <c r="CP682" s="69"/>
      <c r="CQ682" s="69"/>
      <c r="CR682" s="69"/>
      <c r="CS682" s="69"/>
      <c r="CT682" s="69"/>
      <c r="CU682" s="69"/>
      <c r="CV682" s="69"/>
      <c r="CW682" s="69"/>
      <c r="CX682" s="69"/>
      <c r="CY682" s="69"/>
      <c r="CZ682" s="69"/>
      <c r="DA682" s="69"/>
      <c r="DB682" s="69"/>
      <c r="DC682" s="69"/>
      <c r="DD682" s="69"/>
      <c r="DE682" s="69"/>
      <c r="DF682" s="69"/>
      <c r="DG682" s="69"/>
      <c r="DH682" s="69"/>
      <c r="DI682" s="69"/>
      <c r="DJ682" s="69"/>
      <c r="DK682" s="69"/>
      <c r="DL682" s="69"/>
    </row>
    <row r="683" spans="1:116" ht="13" x14ac:dyDescent="0.3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202"/>
      <c r="V683" s="69"/>
      <c r="W683" s="69"/>
      <c r="X683" s="69"/>
      <c r="Y683" s="69"/>
      <c r="Z683" s="69"/>
      <c r="AA683" s="69"/>
      <c r="AB683" s="203"/>
      <c r="AC683" s="69"/>
      <c r="AD683" s="69"/>
      <c r="AE683" s="203"/>
      <c r="AF683" s="69"/>
      <c r="AG683" s="69"/>
      <c r="AH683" s="69"/>
      <c r="AI683" s="69"/>
      <c r="AJ683" s="69"/>
      <c r="AK683" s="69"/>
      <c r="AL683" s="69"/>
      <c r="AM683" s="69"/>
      <c r="AN683" s="69"/>
      <c r="AO683" s="69"/>
      <c r="AP683" s="69"/>
      <c r="AQ683" s="69"/>
      <c r="AR683" s="69"/>
      <c r="AS683" s="69"/>
      <c r="AT683" s="69"/>
      <c r="AU683" s="69"/>
      <c r="AV683" s="69"/>
      <c r="AW683" s="69"/>
      <c r="AX683" s="69"/>
      <c r="AY683" s="69"/>
      <c r="AZ683" s="69"/>
      <c r="BA683" s="69"/>
      <c r="BB683" s="69"/>
      <c r="BC683" s="69"/>
      <c r="BD683" s="69"/>
      <c r="BE683" s="69"/>
      <c r="BF683" s="69"/>
      <c r="BG683" s="69"/>
      <c r="BH683" s="69"/>
      <c r="BI683" s="69"/>
      <c r="BJ683" s="69"/>
      <c r="BK683" s="69"/>
      <c r="BL683" s="69"/>
      <c r="BM683" s="69"/>
      <c r="BN683" s="69"/>
      <c r="BO683" s="69"/>
      <c r="BP683" s="69"/>
      <c r="BQ683" s="69"/>
      <c r="BR683" s="69"/>
      <c r="BS683" s="69"/>
      <c r="BT683" s="69"/>
      <c r="BU683" s="69"/>
      <c r="BV683" s="69"/>
      <c r="BW683" s="69"/>
      <c r="BX683" s="69"/>
      <c r="BY683" s="69"/>
      <c r="BZ683" s="69"/>
      <c r="CA683" s="69"/>
      <c r="CB683" s="69"/>
      <c r="CC683" s="69"/>
      <c r="CD683" s="69"/>
      <c r="CE683" s="69"/>
      <c r="CF683" s="69"/>
      <c r="CG683" s="69"/>
      <c r="CH683" s="69"/>
      <c r="CI683" s="69"/>
      <c r="CJ683" s="69"/>
      <c r="CK683" s="69"/>
      <c r="CL683" s="69"/>
      <c r="CM683" s="69"/>
      <c r="CN683" s="69"/>
      <c r="CO683" s="69"/>
      <c r="CP683" s="69"/>
      <c r="CQ683" s="69"/>
      <c r="CR683" s="69"/>
      <c r="CS683" s="69"/>
      <c r="CT683" s="69"/>
      <c r="CU683" s="69"/>
      <c r="CV683" s="69"/>
      <c r="CW683" s="69"/>
      <c r="CX683" s="69"/>
      <c r="CY683" s="69"/>
      <c r="CZ683" s="69"/>
      <c r="DA683" s="69"/>
      <c r="DB683" s="69"/>
      <c r="DC683" s="69"/>
      <c r="DD683" s="69"/>
      <c r="DE683" s="69"/>
      <c r="DF683" s="69"/>
      <c r="DG683" s="69"/>
      <c r="DH683" s="69"/>
      <c r="DI683" s="69"/>
      <c r="DJ683" s="69"/>
      <c r="DK683" s="69"/>
      <c r="DL683" s="69"/>
    </row>
    <row r="684" spans="1:116" ht="13" x14ac:dyDescent="0.3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202"/>
      <c r="V684" s="69"/>
      <c r="W684" s="69"/>
      <c r="X684" s="69"/>
      <c r="Y684" s="69"/>
      <c r="Z684" s="69"/>
      <c r="AA684" s="69"/>
      <c r="AB684" s="203"/>
      <c r="AC684" s="69"/>
      <c r="AD684" s="69"/>
      <c r="AE684" s="203"/>
      <c r="AF684" s="69"/>
      <c r="AG684" s="69"/>
      <c r="AH684" s="69"/>
      <c r="AI684" s="69"/>
      <c r="AJ684" s="69"/>
      <c r="AK684" s="69"/>
      <c r="AL684" s="69"/>
      <c r="AM684" s="69"/>
      <c r="AN684" s="69"/>
      <c r="AO684" s="69"/>
      <c r="AP684" s="69"/>
      <c r="AQ684" s="69"/>
      <c r="AR684" s="69"/>
      <c r="AS684" s="69"/>
      <c r="AT684" s="69"/>
      <c r="AU684" s="69"/>
      <c r="AV684" s="69"/>
      <c r="AW684" s="69"/>
      <c r="AX684" s="69"/>
      <c r="AY684" s="69"/>
      <c r="AZ684" s="69"/>
      <c r="BA684" s="69"/>
      <c r="BB684" s="69"/>
      <c r="BC684" s="69"/>
      <c r="BD684" s="69"/>
      <c r="BE684" s="69"/>
      <c r="BF684" s="69"/>
      <c r="BG684" s="69"/>
      <c r="BH684" s="69"/>
      <c r="BI684" s="69"/>
      <c r="BJ684" s="69"/>
      <c r="BK684" s="69"/>
      <c r="BL684" s="69"/>
      <c r="BM684" s="69"/>
      <c r="BN684" s="69"/>
      <c r="BO684" s="69"/>
      <c r="BP684" s="69"/>
      <c r="BQ684" s="69"/>
      <c r="BR684" s="69"/>
      <c r="BS684" s="69"/>
      <c r="BT684" s="69"/>
      <c r="BU684" s="69"/>
      <c r="BV684" s="69"/>
      <c r="BW684" s="69"/>
      <c r="BX684" s="69"/>
      <c r="BY684" s="69"/>
      <c r="BZ684" s="69"/>
      <c r="CA684" s="69"/>
      <c r="CB684" s="69"/>
      <c r="CC684" s="69"/>
      <c r="CD684" s="69"/>
      <c r="CE684" s="69"/>
      <c r="CF684" s="69"/>
      <c r="CG684" s="69"/>
      <c r="CH684" s="69"/>
      <c r="CI684" s="69"/>
      <c r="CJ684" s="69"/>
      <c r="CK684" s="69"/>
      <c r="CL684" s="69"/>
      <c r="CM684" s="69"/>
      <c r="CN684" s="69"/>
      <c r="CO684" s="69"/>
      <c r="CP684" s="69"/>
      <c r="CQ684" s="69"/>
      <c r="CR684" s="69"/>
      <c r="CS684" s="69"/>
      <c r="CT684" s="69"/>
      <c r="CU684" s="69"/>
      <c r="CV684" s="69"/>
      <c r="CW684" s="69"/>
      <c r="CX684" s="69"/>
      <c r="CY684" s="69"/>
      <c r="CZ684" s="69"/>
      <c r="DA684" s="69"/>
      <c r="DB684" s="69"/>
      <c r="DC684" s="69"/>
      <c r="DD684" s="69"/>
      <c r="DE684" s="69"/>
      <c r="DF684" s="69"/>
      <c r="DG684" s="69"/>
      <c r="DH684" s="69"/>
      <c r="DI684" s="69"/>
      <c r="DJ684" s="69"/>
      <c r="DK684" s="69"/>
      <c r="DL684" s="69"/>
    </row>
    <row r="685" spans="1:116" ht="13" x14ac:dyDescent="0.3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202"/>
      <c r="V685" s="69"/>
      <c r="W685" s="69"/>
      <c r="X685" s="69"/>
      <c r="Y685" s="69"/>
      <c r="Z685" s="69"/>
      <c r="AA685" s="69"/>
      <c r="AB685" s="203"/>
      <c r="AC685" s="69"/>
      <c r="AD685" s="69"/>
      <c r="AE685" s="203"/>
      <c r="AF685" s="69"/>
      <c r="AG685" s="69"/>
      <c r="AH685" s="69"/>
      <c r="AI685" s="69"/>
      <c r="AJ685" s="69"/>
      <c r="AK685" s="69"/>
      <c r="AL685" s="69"/>
      <c r="AM685" s="69"/>
      <c r="AN685" s="69"/>
      <c r="AO685" s="69"/>
      <c r="AP685" s="69"/>
      <c r="AQ685" s="69"/>
      <c r="AR685" s="69"/>
      <c r="AS685" s="69"/>
      <c r="AT685" s="69"/>
      <c r="AU685" s="69"/>
      <c r="AV685" s="69"/>
      <c r="AW685" s="69"/>
      <c r="AX685" s="69"/>
      <c r="AY685" s="69"/>
      <c r="AZ685" s="69"/>
      <c r="BA685" s="69"/>
      <c r="BB685" s="69"/>
      <c r="BC685" s="69"/>
      <c r="BD685" s="69"/>
      <c r="BE685" s="69"/>
      <c r="BF685" s="69"/>
      <c r="BG685" s="69"/>
      <c r="BH685" s="69"/>
      <c r="BI685" s="69"/>
      <c r="BJ685" s="69"/>
      <c r="BK685" s="69"/>
      <c r="BL685" s="69"/>
      <c r="BM685" s="69"/>
      <c r="BN685" s="69"/>
      <c r="BO685" s="69"/>
      <c r="BP685" s="69"/>
      <c r="BQ685" s="69"/>
      <c r="BR685" s="69"/>
      <c r="BS685" s="69"/>
      <c r="BT685" s="69"/>
      <c r="BU685" s="69"/>
      <c r="BV685" s="69"/>
      <c r="BW685" s="69"/>
      <c r="BX685" s="69"/>
      <c r="BY685" s="69"/>
      <c r="BZ685" s="69"/>
      <c r="CA685" s="69"/>
      <c r="CB685" s="69"/>
      <c r="CC685" s="69"/>
      <c r="CD685" s="69"/>
      <c r="CE685" s="69"/>
      <c r="CF685" s="69"/>
      <c r="CG685" s="69"/>
      <c r="CH685" s="69"/>
      <c r="CI685" s="69"/>
      <c r="CJ685" s="69"/>
      <c r="CK685" s="69"/>
      <c r="CL685" s="69"/>
      <c r="CM685" s="69"/>
      <c r="CN685" s="69"/>
      <c r="CO685" s="69"/>
      <c r="CP685" s="69"/>
      <c r="CQ685" s="69"/>
      <c r="CR685" s="69"/>
      <c r="CS685" s="69"/>
      <c r="CT685" s="69"/>
      <c r="CU685" s="69"/>
      <c r="CV685" s="69"/>
      <c r="CW685" s="69"/>
      <c r="CX685" s="69"/>
      <c r="CY685" s="69"/>
      <c r="CZ685" s="69"/>
      <c r="DA685" s="69"/>
      <c r="DB685" s="69"/>
      <c r="DC685" s="69"/>
      <c r="DD685" s="69"/>
      <c r="DE685" s="69"/>
      <c r="DF685" s="69"/>
      <c r="DG685" s="69"/>
      <c r="DH685" s="69"/>
      <c r="DI685" s="69"/>
      <c r="DJ685" s="69"/>
      <c r="DK685" s="69"/>
      <c r="DL685" s="69"/>
    </row>
    <row r="686" spans="1:116" ht="13" x14ac:dyDescent="0.3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202"/>
      <c r="V686" s="69"/>
      <c r="W686" s="69"/>
      <c r="X686" s="69"/>
      <c r="Y686" s="69"/>
      <c r="Z686" s="69"/>
      <c r="AA686" s="69"/>
      <c r="AB686" s="203"/>
      <c r="AC686" s="69"/>
      <c r="AD686" s="69"/>
      <c r="AE686" s="203"/>
      <c r="AF686" s="69"/>
      <c r="AG686" s="69"/>
      <c r="AH686" s="69"/>
      <c r="AI686" s="69"/>
      <c r="AJ686" s="69"/>
      <c r="AK686" s="69"/>
      <c r="AL686" s="69"/>
      <c r="AM686" s="69"/>
      <c r="AN686" s="69"/>
      <c r="AO686" s="69"/>
      <c r="AP686" s="69"/>
      <c r="AQ686" s="69"/>
      <c r="AR686" s="69"/>
      <c r="AS686" s="69"/>
      <c r="AT686" s="69"/>
      <c r="AU686" s="69"/>
      <c r="AV686" s="69"/>
      <c r="AW686" s="69"/>
      <c r="AX686" s="69"/>
      <c r="AY686" s="69"/>
      <c r="AZ686" s="69"/>
      <c r="BA686" s="69"/>
      <c r="BB686" s="69"/>
      <c r="BC686" s="69"/>
      <c r="BD686" s="69"/>
      <c r="BE686" s="69"/>
      <c r="BF686" s="69"/>
      <c r="BG686" s="69"/>
      <c r="BH686" s="69"/>
      <c r="BI686" s="69"/>
      <c r="BJ686" s="69"/>
      <c r="BK686" s="69"/>
      <c r="BL686" s="69"/>
      <c r="BM686" s="69"/>
      <c r="BN686" s="69"/>
      <c r="BO686" s="69"/>
      <c r="BP686" s="69"/>
      <c r="BQ686" s="69"/>
      <c r="BR686" s="69"/>
      <c r="BS686" s="69"/>
      <c r="BT686" s="69"/>
      <c r="BU686" s="69"/>
      <c r="BV686" s="69"/>
      <c r="BW686" s="69"/>
      <c r="BX686" s="69"/>
      <c r="BY686" s="69"/>
      <c r="BZ686" s="69"/>
      <c r="CA686" s="69"/>
      <c r="CB686" s="69"/>
      <c r="CC686" s="69"/>
      <c r="CD686" s="69"/>
      <c r="CE686" s="69"/>
      <c r="CF686" s="69"/>
      <c r="CG686" s="69"/>
      <c r="CH686" s="69"/>
      <c r="CI686" s="69"/>
      <c r="CJ686" s="69"/>
      <c r="CK686" s="69"/>
      <c r="CL686" s="69"/>
      <c r="CM686" s="69"/>
      <c r="CN686" s="69"/>
      <c r="CO686" s="69"/>
      <c r="CP686" s="69"/>
      <c r="CQ686" s="69"/>
      <c r="CR686" s="69"/>
      <c r="CS686" s="69"/>
      <c r="CT686" s="69"/>
      <c r="CU686" s="69"/>
      <c r="CV686" s="69"/>
      <c r="CW686" s="69"/>
      <c r="CX686" s="69"/>
      <c r="CY686" s="69"/>
      <c r="CZ686" s="69"/>
      <c r="DA686" s="69"/>
      <c r="DB686" s="69"/>
      <c r="DC686" s="69"/>
      <c r="DD686" s="69"/>
      <c r="DE686" s="69"/>
      <c r="DF686" s="69"/>
      <c r="DG686" s="69"/>
      <c r="DH686" s="69"/>
      <c r="DI686" s="69"/>
      <c r="DJ686" s="69"/>
      <c r="DK686" s="69"/>
      <c r="DL686" s="69"/>
    </row>
    <row r="687" spans="1:116" ht="13" x14ac:dyDescent="0.3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202"/>
      <c r="V687" s="69"/>
      <c r="W687" s="69"/>
      <c r="X687" s="69"/>
      <c r="Y687" s="69"/>
      <c r="Z687" s="69"/>
      <c r="AA687" s="69"/>
      <c r="AB687" s="203"/>
      <c r="AC687" s="69"/>
      <c r="AD687" s="69"/>
      <c r="AE687" s="203"/>
      <c r="AF687" s="69"/>
      <c r="AG687" s="69"/>
      <c r="AH687" s="69"/>
      <c r="AI687" s="69"/>
      <c r="AJ687" s="69"/>
      <c r="AK687" s="69"/>
      <c r="AL687" s="69"/>
      <c r="AM687" s="69"/>
      <c r="AN687" s="69"/>
      <c r="AO687" s="69"/>
      <c r="AP687" s="69"/>
      <c r="AQ687" s="69"/>
      <c r="AR687" s="69"/>
      <c r="AS687" s="69"/>
      <c r="AT687" s="69"/>
      <c r="AU687" s="69"/>
      <c r="AV687" s="69"/>
      <c r="AW687" s="69"/>
      <c r="AX687" s="69"/>
      <c r="AY687" s="69"/>
      <c r="AZ687" s="69"/>
      <c r="BA687" s="69"/>
      <c r="BB687" s="69"/>
      <c r="BC687" s="69"/>
      <c r="BD687" s="69"/>
      <c r="BE687" s="69"/>
      <c r="BF687" s="69"/>
      <c r="BG687" s="69"/>
      <c r="BH687" s="69"/>
      <c r="BI687" s="69"/>
      <c r="BJ687" s="69"/>
      <c r="BK687" s="69"/>
      <c r="BL687" s="69"/>
      <c r="BM687" s="69"/>
      <c r="BN687" s="69"/>
      <c r="BO687" s="69"/>
      <c r="BP687" s="69"/>
      <c r="BQ687" s="69"/>
      <c r="BR687" s="69"/>
      <c r="BS687" s="69"/>
      <c r="BT687" s="69"/>
      <c r="BU687" s="69"/>
      <c r="BV687" s="69"/>
      <c r="BW687" s="69"/>
      <c r="BX687" s="69"/>
      <c r="BY687" s="69"/>
      <c r="BZ687" s="69"/>
      <c r="CA687" s="69"/>
      <c r="CB687" s="69"/>
      <c r="CC687" s="69"/>
      <c r="CD687" s="69"/>
      <c r="CE687" s="69"/>
      <c r="CF687" s="69"/>
      <c r="CG687" s="69"/>
      <c r="CH687" s="69"/>
      <c r="CI687" s="69"/>
      <c r="CJ687" s="69"/>
      <c r="CK687" s="69"/>
      <c r="CL687" s="69"/>
      <c r="CM687" s="69"/>
      <c r="CN687" s="69"/>
      <c r="CO687" s="69"/>
      <c r="CP687" s="69"/>
      <c r="CQ687" s="69"/>
      <c r="CR687" s="69"/>
      <c r="CS687" s="69"/>
      <c r="CT687" s="69"/>
      <c r="CU687" s="69"/>
      <c r="CV687" s="69"/>
      <c r="CW687" s="69"/>
      <c r="CX687" s="69"/>
      <c r="CY687" s="69"/>
      <c r="CZ687" s="69"/>
      <c r="DA687" s="69"/>
      <c r="DB687" s="69"/>
      <c r="DC687" s="69"/>
      <c r="DD687" s="69"/>
      <c r="DE687" s="69"/>
      <c r="DF687" s="69"/>
      <c r="DG687" s="69"/>
      <c r="DH687" s="69"/>
      <c r="DI687" s="69"/>
      <c r="DJ687" s="69"/>
      <c r="DK687" s="69"/>
      <c r="DL687" s="69"/>
    </row>
    <row r="688" spans="1:116" ht="13" x14ac:dyDescent="0.3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202"/>
      <c r="V688" s="69"/>
      <c r="W688" s="69"/>
      <c r="X688" s="69"/>
      <c r="Y688" s="69"/>
      <c r="Z688" s="69"/>
      <c r="AA688" s="69"/>
      <c r="AB688" s="203"/>
      <c r="AC688" s="69"/>
      <c r="AD688" s="69"/>
      <c r="AE688" s="203"/>
      <c r="AF688" s="69"/>
      <c r="AG688" s="69"/>
      <c r="AH688" s="69"/>
      <c r="AI688" s="69"/>
      <c r="AJ688" s="69"/>
      <c r="AK688" s="69"/>
      <c r="AL688" s="69"/>
      <c r="AM688" s="69"/>
      <c r="AN688" s="69"/>
      <c r="AO688" s="69"/>
      <c r="AP688" s="69"/>
      <c r="AQ688" s="69"/>
      <c r="AR688" s="69"/>
      <c r="AS688" s="69"/>
      <c r="AT688" s="69"/>
      <c r="AU688" s="69"/>
      <c r="AV688" s="69"/>
      <c r="AW688" s="69"/>
      <c r="AX688" s="69"/>
      <c r="AY688" s="69"/>
      <c r="AZ688" s="69"/>
      <c r="BA688" s="69"/>
      <c r="BB688" s="69"/>
      <c r="BC688" s="69"/>
      <c r="BD688" s="69"/>
      <c r="BE688" s="69"/>
      <c r="BF688" s="69"/>
      <c r="BG688" s="69"/>
      <c r="BH688" s="69"/>
      <c r="BI688" s="69"/>
      <c r="BJ688" s="69"/>
      <c r="BK688" s="69"/>
      <c r="BL688" s="69"/>
      <c r="BM688" s="69"/>
      <c r="BN688" s="69"/>
      <c r="BO688" s="69"/>
      <c r="BP688" s="69"/>
      <c r="BQ688" s="69"/>
      <c r="BR688" s="69"/>
      <c r="BS688" s="69"/>
      <c r="BT688" s="69"/>
      <c r="BU688" s="69"/>
      <c r="BV688" s="69"/>
      <c r="BW688" s="69"/>
      <c r="BX688" s="69"/>
      <c r="BY688" s="69"/>
      <c r="BZ688" s="69"/>
      <c r="CA688" s="69"/>
      <c r="CB688" s="69"/>
      <c r="CC688" s="69"/>
      <c r="CD688" s="69"/>
      <c r="CE688" s="69"/>
      <c r="CF688" s="69"/>
      <c r="CG688" s="69"/>
      <c r="CH688" s="69"/>
      <c r="CI688" s="69"/>
      <c r="CJ688" s="69"/>
      <c r="CK688" s="69"/>
      <c r="CL688" s="69"/>
      <c r="CM688" s="69"/>
      <c r="CN688" s="69"/>
      <c r="CO688" s="69"/>
      <c r="CP688" s="69"/>
      <c r="CQ688" s="69"/>
      <c r="CR688" s="69"/>
      <c r="CS688" s="69"/>
      <c r="CT688" s="69"/>
      <c r="CU688" s="69"/>
      <c r="CV688" s="69"/>
      <c r="CW688" s="69"/>
      <c r="CX688" s="69"/>
      <c r="CY688" s="69"/>
      <c r="CZ688" s="69"/>
      <c r="DA688" s="69"/>
      <c r="DB688" s="69"/>
      <c r="DC688" s="69"/>
      <c r="DD688" s="69"/>
      <c r="DE688" s="69"/>
      <c r="DF688" s="69"/>
      <c r="DG688" s="69"/>
      <c r="DH688" s="69"/>
      <c r="DI688" s="69"/>
      <c r="DJ688" s="69"/>
      <c r="DK688" s="69"/>
      <c r="DL688" s="69"/>
    </row>
    <row r="689" spans="1:116" ht="13" x14ac:dyDescent="0.3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202"/>
      <c r="V689" s="69"/>
      <c r="W689" s="69"/>
      <c r="X689" s="69"/>
      <c r="Y689" s="69"/>
      <c r="Z689" s="69"/>
      <c r="AA689" s="69"/>
      <c r="AB689" s="203"/>
      <c r="AC689" s="69"/>
      <c r="AD689" s="69"/>
      <c r="AE689" s="203"/>
      <c r="AF689" s="69"/>
      <c r="AG689" s="69"/>
      <c r="AH689" s="69"/>
      <c r="AI689" s="69"/>
      <c r="AJ689" s="69"/>
      <c r="AK689" s="69"/>
      <c r="AL689" s="69"/>
      <c r="AM689" s="69"/>
      <c r="AN689" s="69"/>
      <c r="AO689" s="69"/>
      <c r="AP689" s="69"/>
      <c r="AQ689" s="69"/>
      <c r="AR689" s="69"/>
      <c r="AS689" s="69"/>
      <c r="AT689" s="69"/>
      <c r="AU689" s="69"/>
      <c r="AV689" s="69"/>
      <c r="AW689" s="69"/>
      <c r="AX689" s="69"/>
      <c r="AY689" s="69"/>
      <c r="AZ689" s="69"/>
      <c r="BA689" s="69"/>
      <c r="BB689" s="69"/>
      <c r="BC689" s="69"/>
      <c r="BD689" s="69"/>
      <c r="BE689" s="69"/>
      <c r="BF689" s="69"/>
      <c r="BG689" s="69"/>
      <c r="BH689" s="69"/>
      <c r="BI689" s="69"/>
      <c r="BJ689" s="69"/>
      <c r="BK689" s="69"/>
      <c r="BL689" s="69"/>
      <c r="BM689" s="69"/>
      <c r="BN689" s="69"/>
      <c r="BO689" s="69"/>
      <c r="BP689" s="69"/>
      <c r="BQ689" s="69"/>
      <c r="BR689" s="69"/>
      <c r="BS689" s="69"/>
      <c r="BT689" s="69"/>
      <c r="BU689" s="69"/>
      <c r="BV689" s="69"/>
      <c r="BW689" s="69"/>
      <c r="BX689" s="69"/>
      <c r="BY689" s="69"/>
      <c r="BZ689" s="69"/>
      <c r="CA689" s="69"/>
      <c r="CB689" s="69"/>
      <c r="CC689" s="69"/>
      <c r="CD689" s="69"/>
      <c r="CE689" s="69"/>
      <c r="CF689" s="69"/>
      <c r="CG689" s="69"/>
      <c r="CH689" s="69"/>
      <c r="CI689" s="69"/>
      <c r="CJ689" s="69"/>
      <c r="CK689" s="69"/>
      <c r="CL689" s="69"/>
      <c r="CM689" s="69"/>
      <c r="CN689" s="69"/>
      <c r="CO689" s="69"/>
      <c r="CP689" s="69"/>
      <c r="CQ689" s="69"/>
      <c r="CR689" s="69"/>
      <c r="CS689" s="69"/>
      <c r="CT689" s="69"/>
      <c r="CU689" s="69"/>
      <c r="CV689" s="69"/>
      <c r="CW689" s="69"/>
      <c r="CX689" s="69"/>
      <c r="CY689" s="69"/>
      <c r="CZ689" s="69"/>
      <c r="DA689" s="69"/>
      <c r="DB689" s="69"/>
      <c r="DC689" s="69"/>
      <c r="DD689" s="69"/>
      <c r="DE689" s="69"/>
      <c r="DF689" s="69"/>
      <c r="DG689" s="69"/>
      <c r="DH689" s="69"/>
      <c r="DI689" s="69"/>
      <c r="DJ689" s="69"/>
      <c r="DK689" s="69"/>
      <c r="DL689" s="69"/>
    </row>
    <row r="690" spans="1:116" ht="13" x14ac:dyDescent="0.3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202"/>
      <c r="V690" s="69"/>
      <c r="W690" s="69"/>
      <c r="X690" s="69"/>
      <c r="Y690" s="69"/>
      <c r="Z690" s="69"/>
      <c r="AA690" s="69"/>
      <c r="AB690" s="203"/>
      <c r="AC690" s="69"/>
      <c r="AD690" s="69"/>
      <c r="AE690" s="203"/>
      <c r="AF690" s="69"/>
      <c r="AG690" s="69"/>
      <c r="AH690" s="69"/>
      <c r="AI690" s="69"/>
      <c r="AJ690" s="69"/>
      <c r="AK690" s="69"/>
      <c r="AL690" s="69"/>
      <c r="AM690" s="69"/>
      <c r="AN690" s="69"/>
      <c r="AO690" s="69"/>
      <c r="AP690" s="69"/>
      <c r="AQ690" s="69"/>
      <c r="AR690" s="69"/>
      <c r="AS690" s="69"/>
      <c r="AT690" s="69"/>
      <c r="AU690" s="69"/>
      <c r="AV690" s="69"/>
      <c r="AW690" s="69"/>
      <c r="AX690" s="69"/>
      <c r="AY690" s="69"/>
      <c r="AZ690" s="69"/>
      <c r="BA690" s="69"/>
      <c r="BB690" s="69"/>
      <c r="BC690" s="69"/>
      <c r="BD690" s="69"/>
      <c r="BE690" s="69"/>
      <c r="BF690" s="69"/>
      <c r="BG690" s="69"/>
      <c r="BH690" s="69"/>
      <c r="BI690" s="69"/>
      <c r="BJ690" s="69"/>
      <c r="BK690" s="69"/>
      <c r="BL690" s="69"/>
      <c r="BM690" s="69"/>
      <c r="BN690" s="69"/>
      <c r="BO690" s="69"/>
      <c r="BP690" s="69"/>
      <c r="BQ690" s="69"/>
      <c r="BR690" s="69"/>
      <c r="BS690" s="69"/>
      <c r="BT690" s="69"/>
      <c r="BU690" s="69"/>
      <c r="BV690" s="69"/>
      <c r="BW690" s="69"/>
      <c r="BX690" s="69"/>
      <c r="BY690" s="69"/>
      <c r="BZ690" s="69"/>
      <c r="CA690" s="69"/>
      <c r="CB690" s="69"/>
      <c r="CC690" s="69"/>
      <c r="CD690" s="69"/>
      <c r="CE690" s="69"/>
      <c r="CF690" s="69"/>
      <c r="CG690" s="69"/>
      <c r="CH690" s="69"/>
      <c r="CI690" s="69"/>
      <c r="CJ690" s="69"/>
      <c r="CK690" s="69"/>
      <c r="CL690" s="69"/>
      <c r="CM690" s="69"/>
      <c r="CN690" s="69"/>
      <c r="CO690" s="69"/>
      <c r="CP690" s="69"/>
      <c r="CQ690" s="69"/>
      <c r="CR690" s="69"/>
      <c r="CS690" s="69"/>
      <c r="CT690" s="69"/>
      <c r="CU690" s="69"/>
      <c r="CV690" s="69"/>
      <c r="CW690" s="69"/>
      <c r="CX690" s="69"/>
      <c r="CY690" s="69"/>
      <c r="CZ690" s="69"/>
      <c r="DA690" s="69"/>
      <c r="DB690" s="69"/>
      <c r="DC690" s="69"/>
      <c r="DD690" s="69"/>
      <c r="DE690" s="69"/>
      <c r="DF690" s="69"/>
      <c r="DG690" s="69"/>
      <c r="DH690" s="69"/>
      <c r="DI690" s="69"/>
      <c r="DJ690" s="69"/>
      <c r="DK690" s="69"/>
      <c r="DL690" s="69"/>
    </row>
    <row r="691" spans="1:116" ht="13" x14ac:dyDescent="0.3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202"/>
      <c r="V691" s="69"/>
      <c r="W691" s="69"/>
      <c r="X691" s="69"/>
      <c r="Y691" s="69"/>
      <c r="Z691" s="69"/>
      <c r="AA691" s="69"/>
      <c r="AB691" s="203"/>
      <c r="AC691" s="69"/>
      <c r="AD691" s="69"/>
      <c r="AE691" s="203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  <c r="AW691" s="69"/>
      <c r="AX691" s="69"/>
      <c r="AY691" s="69"/>
      <c r="AZ691" s="69"/>
      <c r="BA691" s="69"/>
      <c r="BB691" s="69"/>
      <c r="BC691" s="69"/>
      <c r="BD691" s="69"/>
      <c r="BE691" s="69"/>
      <c r="BF691" s="69"/>
      <c r="BG691" s="69"/>
      <c r="BH691" s="69"/>
      <c r="BI691" s="69"/>
      <c r="BJ691" s="69"/>
      <c r="BK691" s="69"/>
      <c r="BL691" s="69"/>
      <c r="BM691" s="69"/>
      <c r="BN691" s="69"/>
      <c r="BO691" s="69"/>
      <c r="BP691" s="69"/>
      <c r="BQ691" s="69"/>
      <c r="BR691" s="69"/>
      <c r="BS691" s="69"/>
      <c r="BT691" s="69"/>
      <c r="BU691" s="69"/>
      <c r="BV691" s="69"/>
      <c r="BW691" s="69"/>
      <c r="BX691" s="69"/>
      <c r="BY691" s="69"/>
      <c r="BZ691" s="69"/>
      <c r="CA691" s="69"/>
      <c r="CB691" s="69"/>
      <c r="CC691" s="69"/>
      <c r="CD691" s="69"/>
      <c r="CE691" s="69"/>
      <c r="CF691" s="69"/>
      <c r="CG691" s="69"/>
      <c r="CH691" s="69"/>
      <c r="CI691" s="69"/>
      <c r="CJ691" s="69"/>
      <c r="CK691" s="69"/>
      <c r="CL691" s="69"/>
      <c r="CM691" s="69"/>
      <c r="CN691" s="69"/>
      <c r="CO691" s="69"/>
      <c r="CP691" s="69"/>
      <c r="CQ691" s="69"/>
      <c r="CR691" s="69"/>
      <c r="CS691" s="69"/>
      <c r="CT691" s="69"/>
      <c r="CU691" s="69"/>
      <c r="CV691" s="69"/>
      <c r="CW691" s="69"/>
      <c r="CX691" s="69"/>
      <c r="CY691" s="69"/>
      <c r="CZ691" s="69"/>
      <c r="DA691" s="69"/>
      <c r="DB691" s="69"/>
      <c r="DC691" s="69"/>
      <c r="DD691" s="69"/>
      <c r="DE691" s="69"/>
      <c r="DF691" s="69"/>
      <c r="DG691" s="69"/>
      <c r="DH691" s="69"/>
      <c r="DI691" s="69"/>
      <c r="DJ691" s="69"/>
      <c r="DK691" s="69"/>
      <c r="DL691" s="69"/>
    </row>
    <row r="692" spans="1:116" ht="13" x14ac:dyDescent="0.3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202"/>
      <c r="V692" s="69"/>
      <c r="W692" s="69"/>
      <c r="X692" s="69"/>
      <c r="Y692" s="69"/>
      <c r="Z692" s="69"/>
      <c r="AA692" s="69"/>
      <c r="AB692" s="203"/>
      <c r="AC692" s="69"/>
      <c r="AD692" s="69"/>
      <c r="AE692" s="203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9"/>
      <c r="CA692" s="69"/>
      <c r="CB692" s="69"/>
      <c r="CC692" s="69"/>
      <c r="CD692" s="69"/>
      <c r="CE692" s="69"/>
      <c r="CF692" s="69"/>
      <c r="CG692" s="69"/>
      <c r="CH692" s="69"/>
      <c r="CI692" s="69"/>
      <c r="CJ692" s="69"/>
      <c r="CK692" s="69"/>
      <c r="CL692" s="69"/>
      <c r="CM692" s="69"/>
      <c r="CN692" s="69"/>
      <c r="CO692" s="69"/>
      <c r="CP692" s="69"/>
      <c r="CQ692" s="69"/>
      <c r="CR692" s="69"/>
      <c r="CS692" s="69"/>
      <c r="CT692" s="69"/>
      <c r="CU692" s="69"/>
      <c r="CV692" s="69"/>
      <c r="CW692" s="69"/>
      <c r="CX692" s="69"/>
      <c r="CY692" s="69"/>
      <c r="CZ692" s="69"/>
      <c r="DA692" s="69"/>
      <c r="DB692" s="69"/>
      <c r="DC692" s="69"/>
      <c r="DD692" s="69"/>
      <c r="DE692" s="69"/>
      <c r="DF692" s="69"/>
      <c r="DG692" s="69"/>
      <c r="DH692" s="69"/>
      <c r="DI692" s="69"/>
      <c r="DJ692" s="69"/>
      <c r="DK692" s="69"/>
      <c r="DL692" s="69"/>
    </row>
    <row r="693" spans="1:116" ht="13" x14ac:dyDescent="0.3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202"/>
      <c r="V693" s="69"/>
      <c r="W693" s="69"/>
      <c r="X693" s="69"/>
      <c r="Y693" s="69"/>
      <c r="Z693" s="69"/>
      <c r="AA693" s="69"/>
      <c r="AB693" s="203"/>
      <c r="AC693" s="69"/>
      <c r="AD693" s="69"/>
      <c r="AE693" s="203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  <c r="BW693" s="69"/>
      <c r="BX693" s="69"/>
      <c r="BY693" s="69"/>
      <c r="BZ693" s="69"/>
      <c r="CA693" s="69"/>
      <c r="CB693" s="69"/>
      <c r="CC693" s="69"/>
      <c r="CD693" s="69"/>
      <c r="CE693" s="69"/>
      <c r="CF693" s="69"/>
      <c r="CG693" s="69"/>
      <c r="CH693" s="69"/>
      <c r="CI693" s="69"/>
      <c r="CJ693" s="69"/>
      <c r="CK693" s="69"/>
      <c r="CL693" s="69"/>
      <c r="CM693" s="69"/>
      <c r="CN693" s="69"/>
      <c r="CO693" s="69"/>
      <c r="CP693" s="69"/>
      <c r="CQ693" s="69"/>
      <c r="CR693" s="69"/>
      <c r="CS693" s="69"/>
      <c r="CT693" s="69"/>
      <c r="CU693" s="69"/>
      <c r="CV693" s="69"/>
      <c r="CW693" s="69"/>
      <c r="CX693" s="69"/>
      <c r="CY693" s="69"/>
      <c r="CZ693" s="69"/>
      <c r="DA693" s="69"/>
      <c r="DB693" s="69"/>
      <c r="DC693" s="69"/>
      <c r="DD693" s="69"/>
      <c r="DE693" s="69"/>
      <c r="DF693" s="69"/>
      <c r="DG693" s="69"/>
      <c r="DH693" s="69"/>
      <c r="DI693" s="69"/>
      <c r="DJ693" s="69"/>
      <c r="DK693" s="69"/>
      <c r="DL693" s="69"/>
    </row>
    <row r="694" spans="1:116" ht="13" x14ac:dyDescent="0.3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202"/>
      <c r="V694" s="69"/>
      <c r="W694" s="69"/>
      <c r="X694" s="69"/>
      <c r="Y694" s="69"/>
      <c r="Z694" s="69"/>
      <c r="AA694" s="69"/>
      <c r="AB694" s="203"/>
      <c r="AC694" s="69"/>
      <c r="AD694" s="69"/>
      <c r="AE694" s="203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  <c r="AW694" s="69"/>
      <c r="AX694" s="69"/>
      <c r="AY694" s="69"/>
      <c r="AZ694" s="69"/>
      <c r="BA694" s="69"/>
      <c r="BB694" s="69"/>
      <c r="BC694" s="69"/>
      <c r="BD694" s="69"/>
      <c r="BE694" s="69"/>
      <c r="BF694" s="69"/>
      <c r="BG694" s="69"/>
      <c r="BH694" s="69"/>
      <c r="BI694" s="69"/>
      <c r="BJ694" s="69"/>
      <c r="BK694" s="69"/>
      <c r="BL694" s="69"/>
      <c r="BM694" s="69"/>
      <c r="BN694" s="69"/>
      <c r="BO694" s="69"/>
      <c r="BP694" s="69"/>
      <c r="BQ694" s="69"/>
      <c r="BR694" s="69"/>
      <c r="BS694" s="69"/>
      <c r="BT694" s="69"/>
      <c r="BU694" s="69"/>
      <c r="BV694" s="69"/>
      <c r="BW694" s="69"/>
      <c r="BX694" s="69"/>
      <c r="BY694" s="69"/>
      <c r="BZ694" s="69"/>
      <c r="CA694" s="69"/>
      <c r="CB694" s="69"/>
      <c r="CC694" s="69"/>
      <c r="CD694" s="69"/>
      <c r="CE694" s="69"/>
      <c r="CF694" s="69"/>
      <c r="CG694" s="69"/>
      <c r="CH694" s="69"/>
      <c r="CI694" s="69"/>
      <c r="CJ694" s="69"/>
      <c r="CK694" s="69"/>
      <c r="CL694" s="69"/>
      <c r="CM694" s="69"/>
      <c r="CN694" s="69"/>
      <c r="CO694" s="69"/>
      <c r="CP694" s="69"/>
      <c r="CQ694" s="69"/>
      <c r="CR694" s="69"/>
      <c r="CS694" s="69"/>
      <c r="CT694" s="69"/>
      <c r="CU694" s="69"/>
      <c r="CV694" s="69"/>
      <c r="CW694" s="69"/>
      <c r="CX694" s="69"/>
      <c r="CY694" s="69"/>
      <c r="CZ694" s="69"/>
      <c r="DA694" s="69"/>
      <c r="DB694" s="69"/>
      <c r="DC694" s="69"/>
      <c r="DD694" s="69"/>
      <c r="DE694" s="69"/>
      <c r="DF694" s="69"/>
      <c r="DG694" s="69"/>
      <c r="DH694" s="69"/>
      <c r="DI694" s="69"/>
      <c r="DJ694" s="69"/>
      <c r="DK694" s="69"/>
      <c r="DL694" s="69"/>
    </row>
    <row r="695" spans="1:116" ht="13" x14ac:dyDescent="0.3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202"/>
      <c r="V695" s="69"/>
      <c r="W695" s="69"/>
      <c r="X695" s="69"/>
      <c r="Y695" s="69"/>
      <c r="Z695" s="69"/>
      <c r="AA695" s="69"/>
      <c r="AB695" s="203"/>
      <c r="AC695" s="69"/>
      <c r="AD695" s="69"/>
      <c r="AE695" s="203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  <c r="AW695" s="69"/>
      <c r="AX695" s="69"/>
      <c r="AY695" s="69"/>
      <c r="AZ695" s="69"/>
      <c r="BA695" s="69"/>
      <c r="BB695" s="69"/>
      <c r="BC695" s="69"/>
      <c r="BD695" s="69"/>
      <c r="BE695" s="69"/>
      <c r="BF695" s="69"/>
      <c r="BG695" s="69"/>
      <c r="BH695" s="69"/>
      <c r="BI695" s="69"/>
      <c r="BJ695" s="69"/>
      <c r="BK695" s="69"/>
      <c r="BL695" s="69"/>
      <c r="BM695" s="69"/>
      <c r="BN695" s="69"/>
      <c r="BO695" s="69"/>
      <c r="BP695" s="69"/>
      <c r="BQ695" s="69"/>
      <c r="BR695" s="69"/>
      <c r="BS695" s="69"/>
      <c r="BT695" s="69"/>
      <c r="BU695" s="69"/>
      <c r="BV695" s="69"/>
      <c r="BW695" s="69"/>
      <c r="BX695" s="69"/>
      <c r="BY695" s="69"/>
      <c r="BZ695" s="69"/>
      <c r="CA695" s="69"/>
      <c r="CB695" s="69"/>
      <c r="CC695" s="69"/>
      <c r="CD695" s="69"/>
      <c r="CE695" s="69"/>
      <c r="CF695" s="69"/>
      <c r="CG695" s="69"/>
      <c r="CH695" s="69"/>
      <c r="CI695" s="69"/>
      <c r="CJ695" s="69"/>
      <c r="CK695" s="69"/>
      <c r="CL695" s="69"/>
      <c r="CM695" s="69"/>
      <c r="CN695" s="69"/>
      <c r="CO695" s="69"/>
      <c r="CP695" s="69"/>
      <c r="CQ695" s="69"/>
      <c r="CR695" s="69"/>
      <c r="CS695" s="69"/>
      <c r="CT695" s="69"/>
      <c r="CU695" s="69"/>
      <c r="CV695" s="69"/>
      <c r="CW695" s="69"/>
      <c r="CX695" s="69"/>
      <c r="CY695" s="69"/>
      <c r="CZ695" s="69"/>
      <c r="DA695" s="69"/>
      <c r="DB695" s="69"/>
      <c r="DC695" s="69"/>
      <c r="DD695" s="69"/>
      <c r="DE695" s="69"/>
      <c r="DF695" s="69"/>
      <c r="DG695" s="69"/>
      <c r="DH695" s="69"/>
      <c r="DI695" s="69"/>
      <c r="DJ695" s="69"/>
      <c r="DK695" s="69"/>
      <c r="DL695" s="69"/>
    </row>
    <row r="696" spans="1:116" ht="13" x14ac:dyDescent="0.3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202"/>
      <c r="V696" s="69"/>
      <c r="W696" s="69"/>
      <c r="X696" s="69"/>
      <c r="Y696" s="69"/>
      <c r="Z696" s="69"/>
      <c r="AA696" s="69"/>
      <c r="AB696" s="203"/>
      <c r="AC696" s="69"/>
      <c r="AD696" s="69"/>
      <c r="AE696" s="203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  <c r="AW696" s="69"/>
      <c r="AX696" s="69"/>
      <c r="AY696" s="69"/>
      <c r="AZ696" s="69"/>
      <c r="BA696" s="69"/>
      <c r="BB696" s="69"/>
      <c r="BC696" s="69"/>
      <c r="BD696" s="69"/>
      <c r="BE696" s="69"/>
      <c r="BF696" s="69"/>
      <c r="BG696" s="69"/>
      <c r="BH696" s="69"/>
      <c r="BI696" s="69"/>
      <c r="BJ696" s="69"/>
      <c r="BK696" s="69"/>
      <c r="BL696" s="69"/>
      <c r="BM696" s="69"/>
      <c r="BN696" s="69"/>
      <c r="BO696" s="69"/>
      <c r="BP696" s="69"/>
      <c r="BQ696" s="69"/>
      <c r="BR696" s="69"/>
      <c r="BS696" s="69"/>
      <c r="BT696" s="69"/>
      <c r="BU696" s="69"/>
      <c r="BV696" s="69"/>
      <c r="BW696" s="69"/>
      <c r="BX696" s="69"/>
      <c r="BY696" s="69"/>
      <c r="BZ696" s="69"/>
      <c r="CA696" s="69"/>
      <c r="CB696" s="69"/>
      <c r="CC696" s="69"/>
      <c r="CD696" s="69"/>
      <c r="CE696" s="69"/>
      <c r="CF696" s="69"/>
      <c r="CG696" s="69"/>
      <c r="CH696" s="69"/>
      <c r="CI696" s="69"/>
      <c r="CJ696" s="69"/>
      <c r="CK696" s="69"/>
      <c r="CL696" s="69"/>
      <c r="CM696" s="69"/>
      <c r="CN696" s="69"/>
      <c r="CO696" s="69"/>
      <c r="CP696" s="69"/>
      <c r="CQ696" s="69"/>
      <c r="CR696" s="69"/>
      <c r="CS696" s="69"/>
      <c r="CT696" s="69"/>
      <c r="CU696" s="69"/>
      <c r="CV696" s="69"/>
      <c r="CW696" s="69"/>
      <c r="CX696" s="69"/>
      <c r="CY696" s="69"/>
      <c r="CZ696" s="69"/>
      <c r="DA696" s="69"/>
      <c r="DB696" s="69"/>
      <c r="DC696" s="69"/>
      <c r="DD696" s="69"/>
      <c r="DE696" s="69"/>
      <c r="DF696" s="69"/>
      <c r="DG696" s="69"/>
      <c r="DH696" s="69"/>
      <c r="DI696" s="69"/>
      <c r="DJ696" s="69"/>
      <c r="DK696" s="69"/>
      <c r="DL696" s="69"/>
    </row>
    <row r="697" spans="1:116" ht="13" x14ac:dyDescent="0.3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202"/>
      <c r="V697" s="69"/>
      <c r="W697" s="69"/>
      <c r="X697" s="69"/>
      <c r="Y697" s="69"/>
      <c r="Z697" s="69"/>
      <c r="AA697" s="69"/>
      <c r="AB697" s="203"/>
      <c r="AC697" s="69"/>
      <c r="AD697" s="69"/>
      <c r="AE697" s="203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  <c r="AW697" s="69"/>
      <c r="AX697" s="69"/>
      <c r="AY697" s="69"/>
      <c r="AZ697" s="69"/>
      <c r="BA697" s="69"/>
      <c r="BB697" s="69"/>
      <c r="BC697" s="69"/>
      <c r="BD697" s="69"/>
      <c r="BE697" s="69"/>
      <c r="BF697" s="69"/>
      <c r="BG697" s="69"/>
      <c r="BH697" s="69"/>
      <c r="BI697" s="69"/>
      <c r="BJ697" s="69"/>
      <c r="BK697" s="69"/>
      <c r="BL697" s="69"/>
      <c r="BM697" s="69"/>
      <c r="BN697" s="69"/>
      <c r="BO697" s="69"/>
      <c r="BP697" s="69"/>
      <c r="BQ697" s="69"/>
      <c r="BR697" s="69"/>
      <c r="BS697" s="69"/>
      <c r="BT697" s="69"/>
      <c r="BU697" s="69"/>
      <c r="BV697" s="69"/>
      <c r="BW697" s="69"/>
      <c r="BX697" s="69"/>
      <c r="BY697" s="69"/>
      <c r="BZ697" s="69"/>
      <c r="CA697" s="69"/>
      <c r="CB697" s="69"/>
      <c r="CC697" s="69"/>
      <c r="CD697" s="69"/>
      <c r="CE697" s="69"/>
      <c r="CF697" s="69"/>
      <c r="CG697" s="69"/>
      <c r="CH697" s="69"/>
      <c r="CI697" s="69"/>
      <c r="CJ697" s="69"/>
      <c r="CK697" s="69"/>
      <c r="CL697" s="69"/>
      <c r="CM697" s="69"/>
      <c r="CN697" s="69"/>
      <c r="CO697" s="69"/>
      <c r="CP697" s="69"/>
      <c r="CQ697" s="69"/>
      <c r="CR697" s="69"/>
      <c r="CS697" s="69"/>
      <c r="CT697" s="69"/>
      <c r="CU697" s="69"/>
      <c r="CV697" s="69"/>
      <c r="CW697" s="69"/>
      <c r="CX697" s="69"/>
      <c r="CY697" s="69"/>
      <c r="CZ697" s="69"/>
      <c r="DA697" s="69"/>
      <c r="DB697" s="69"/>
      <c r="DC697" s="69"/>
      <c r="DD697" s="69"/>
      <c r="DE697" s="69"/>
      <c r="DF697" s="69"/>
      <c r="DG697" s="69"/>
      <c r="DH697" s="69"/>
      <c r="DI697" s="69"/>
      <c r="DJ697" s="69"/>
      <c r="DK697" s="69"/>
      <c r="DL697" s="69"/>
    </row>
    <row r="698" spans="1:116" ht="13" x14ac:dyDescent="0.3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202"/>
      <c r="V698" s="69"/>
      <c r="W698" s="69"/>
      <c r="X698" s="69"/>
      <c r="Y698" s="69"/>
      <c r="Z698" s="69"/>
      <c r="AA698" s="69"/>
      <c r="AB698" s="203"/>
      <c r="AC698" s="69"/>
      <c r="AD698" s="69"/>
      <c r="AE698" s="203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  <c r="AW698" s="69"/>
      <c r="AX698" s="69"/>
      <c r="AY698" s="69"/>
      <c r="AZ698" s="69"/>
      <c r="BA698" s="69"/>
      <c r="BB698" s="69"/>
      <c r="BC698" s="69"/>
      <c r="BD698" s="69"/>
      <c r="BE698" s="69"/>
      <c r="BF698" s="69"/>
      <c r="BG698" s="69"/>
      <c r="BH698" s="69"/>
      <c r="BI698" s="69"/>
      <c r="BJ698" s="69"/>
      <c r="BK698" s="69"/>
      <c r="BL698" s="69"/>
      <c r="BM698" s="69"/>
      <c r="BN698" s="69"/>
      <c r="BO698" s="69"/>
      <c r="BP698" s="69"/>
      <c r="BQ698" s="69"/>
      <c r="BR698" s="69"/>
      <c r="BS698" s="69"/>
      <c r="BT698" s="69"/>
      <c r="BU698" s="69"/>
      <c r="BV698" s="69"/>
      <c r="BW698" s="69"/>
      <c r="BX698" s="69"/>
      <c r="BY698" s="69"/>
      <c r="BZ698" s="69"/>
      <c r="CA698" s="69"/>
      <c r="CB698" s="69"/>
      <c r="CC698" s="69"/>
      <c r="CD698" s="69"/>
      <c r="CE698" s="69"/>
      <c r="CF698" s="69"/>
      <c r="CG698" s="69"/>
      <c r="CH698" s="69"/>
      <c r="CI698" s="69"/>
      <c r="CJ698" s="69"/>
      <c r="CK698" s="69"/>
      <c r="CL698" s="69"/>
      <c r="CM698" s="69"/>
      <c r="CN698" s="69"/>
      <c r="CO698" s="69"/>
      <c r="CP698" s="69"/>
      <c r="CQ698" s="69"/>
      <c r="CR698" s="69"/>
      <c r="CS698" s="69"/>
      <c r="CT698" s="69"/>
      <c r="CU698" s="69"/>
      <c r="CV698" s="69"/>
      <c r="CW698" s="69"/>
      <c r="CX698" s="69"/>
      <c r="CY698" s="69"/>
      <c r="CZ698" s="69"/>
      <c r="DA698" s="69"/>
      <c r="DB698" s="69"/>
      <c r="DC698" s="69"/>
      <c r="DD698" s="69"/>
      <c r="DE698" s="69"/>
      <c r="DF698" s="69"/>
      <c r="DG698" s="69"/>
      <c r="DH698" s="69"/>
      <c r="DI698" s="69"/>
      <c r="DJ698" s="69"/>
      <c r="DK698" s="69"/>
      <c r="DL698" s="69"/>
    </row>
    <row r="699" spans="1:116" ht="13" x14ac:dyDescent="0.3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202"/>
      <c r="V699" s="69"/>
      <c r="W699" s="69"/>
      <c r="X699" s="69"/>
      <c r="Y699" s="69"/>
      <c r="Z699" s="69"/>
      <c r="AA699" s="69"/>
      <c r="AB699" s="203"/>
      <c r="AC699" s="69"/>
      <c r="AD699" s="69"/>
      <c r="AE699" s="203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  <c r="AW699" s="69"/>
      <c r="AX699" s="69"/>
      <c r="AY699" s="69"/>
      <c r="AZ699" s="69"/>
      <c r="BA699" s="69"/>
      <c r="BB699" s="69"/>
      <c r="BC699" s="69"/>
      <c r="BD699" s="69"/>
      <c r="BE699" s="69"/>
      <c r="BF699" s="69"/>
      <c r="BG699" s="69"/>
      <c r="BH699" s="69"/>
      <c r="BI699" s="69"/>
      <c r="BJ699" s="69"/>
      <c r="BK699" s="69"/>
      <c r="BL699" s="69"/>
      <c r="BM699" s="69"/>
      <c r="BN699" s="69"/>
      <c r="BO699" s="69"/>
      <c r="BP699" s="69"/>
      <c r="BQ699" s="69"/>
      <c r="BR699" s="69"/>
      <c r="BS699" s="69"/>
      <c r="BT699" s="69"/>
      <c r="BU699" s="69"/>
      <c r="BV699" s="69"/>
      <c r="BW699" s="69"/>
      <c r="BX699" s="69"/>
      <c r="BY699" s="69"/>
      <c r="BZ699" s="69"/>
      <c r="CA699" s="69"/>
      <c r="CB699" s="69"/>
      <c r="CC699" s="69"/>
      <c r="CD699" s="69"/>
      <c r="CE699" s="69"/>
      <c r="CF699" s="69"/>
      <c r="CG699" s="69"/>
      <c r="CH699" s="69"/>
      <c r="CI699" s="69"/>
      <c r="CJ699" s="69"/>
      <c r="CK699" s="69"/>
      <c r="CL699" s="69"/>
      <c r="CM699" s="69"/>
      <c r="CN699" s="69"/>
      <c r="CO699" s="69"/>
      <c r="CP699" s="69"/>
      <c r="CQ699" s="69"/>
      <c r="CR699" s="69"/>
      <c r="CS699" s="69"/>
      <c r="CT699" s="69"/>
      <c r="CU699" s="69"/>
      <c r="CV699" s="69"/>
      <c r="CW699" s="69"/>
      <c r="CX699" s="69"/>
      <c r="CY699" s="69"/>
      <c r="CZ699" s="69"/>
      <c r="DA699" s="69"/>
      <c r="DB699" s="69"/>
      <c r="DC699" s="69"/>
      <c r="DD699" s="69"/>
      <c r="DE699" s="69"/>
      <c r="DF699" s="69"/>
      <c r="DG699" s="69"/>
      <c r="DH699" s="69"/>
      <c r="DI699" s="69"/>
      <c r="DJ699" s="69"/>
      <c r="DK699" s="69"/>
      <c r="DL699" s="69"/>
    </row>
    <row r="700" spans="1:116" ht="13" x14ac:dyDescent="0.3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202"/>
      <c r="V700" s="69"/>
      <c r="W700" s="69"/>
      <c r="X700" s="69"/>
      <c r="Y700" s="69"/>
      <c r="Z700" s="69"/>
      <c r="AA700" s="69"/>
      <c r="AB700" s="203"/>
      <c r="AC700" s="69"/>
      <c r="AD700" s="69"/>
      <c r="AE700" s="203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  <c r="AW700" s="69"/>
      <c r="AX700" s="69"/>
      <c r="AY700" s="69"/>
      <c r="AZ700" s="69"/>
      <c r="BA700" s="69"/>
      <c r="BB700" s="69"/>
      <c r="BC700" s="69"/>
      <c r="BD700" s="69"/>
      <c r="BE700" s="69"/>
      <c r="BF700" s="69"/>
      <c r="BG700" s="69"/>
      <c r="BH700" s="69"/>
      <c r="BI700" s="69"/>
      <c r="BJ700" s="69"/>
      <c r="BK700" s="69"/>
      <c r="BL700" s="69"/>
      <c r="BM700" s="69"/>
      <c r="BN700" s="69"/>
      <c r="BO700" s="69"/>
      <c r="BP700" s="69"/>
      <c r="BQ700" s="69"/>
      <c r="BR700" s="69"/>
      <c r="BS700" s="69"/>
      <c r="BT700" s="69"/>
      <c r="BU700" s="69"/>
      <c r="BV700" s="69"/>
      <c r="BW700" s="69"/>
      <c r="BX700" s="69"/>
      <c r="BY700" s="69"/>
      <c r="BZ700" s="69"/>
      <c r="CA700" s="69"/>
      <c r="CB700" s="69"/>
      <c r="CC700" s="69"/>
      <c r="CD700" s="69"/>
      <c r="CE700" s="69"/>
      <c r="CF700" s="69"/>
      <c r="CG700" s="69"/>
      <c r="CH700" s="69"/>
      <c r="CI700" s="69"/>
      <c r="CJ700" s="69"/>
      <c r="CK700" s="69"/>
      <c r="CL700" s="69"/>
      <c r="CM700" s="69"/>
      <c r="CN700" s="69"/>
      <c r="CO700" s="69"/>
      <c r="CP700" s="69"/>
      <c r="CQ700" s="69"/>
      <c r="CR700" s="69"/>
      <c r="CS700" s="69"/>
      <c r="CT700" s="69"/>
      <c r="CU700" s="69"/>
      <c r="CV700" s="69"/>
      <c r="CW700" s="69"/>
      <c r="CX700" s="69"/>
      <c r="CY700" s="69"/>
      <c r="CZ700" s="69"/>
      <c r="DA700" s="69"/>
      <c r="DB700" s="69"/>
      <c r="DC700" s="69"/>
      <c r="DD700" s="69"/>
      <c r="DE700" s="69"/>
      <c r="DF700" s="69"/>
      <c r="DG700" s="69"/>
      <c r="DH700" s="69"/>
      <c r="DI700" s="69"/>
      <c r="DJ700" s="69"/>
      <c r="DK700" s="69"/>
      <c r="DL700" s="69"/>
    </row>
    <row r="701" spans="1:116" ht="13" x14ac:dyDescent="0.3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202"/>
      <c r="V701" s="69"/>
      <c r="W701" s="69"/>
      <c r="X701" s="69"/>
      <c r="Y701" s="69"/>
      <c r="Z701" s="69"/>
      <c r="AA701" s="69"/>
      <c r="AB701" s="203"/>
      <c r="AC701" s="69"/>
      <c r="AD701" s="69"/>
      <c r="AE701" s="203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  <c r="AW701" s="69"/>
      <c r="AX701" s="69"/>
      <c r="AY701" s="69"/>
      <c r="AZ701" s="69"/>
      <c r="BA701" s="69"/>
      <c r="BB701" s="69"/>
      <c r="BC701" s="69"/>
      <c r="BD701" s="69"/>
      <c r="BE701" s="69"/>
      <c r="BF701" s="69"/>
      <c r="BG701" s="69"/>
      <c r="BH701" s="69"/>
      <c r="BI701" s="69"/>
      <c r="BJ701" s="69"/>
      <c r="BK701" s="69"/>
      <c r="BL701" s="69"/>
      <c r="BM701" s="69"/>
      <c r="BN701" s="69"/>
      <c r="BO701" s="69"/>
      <c r="BP701" s="69"/>
      <c r="BQ701" s="69"/>
      <c r="BR701" s="69"/>
      <c r="BS701" s="69"/>
      <c r="BT701" s="69"/>
      <c r="BU701" s="69"/>
      <c r="BV701" s="69"/>
      <c r="BW701" s="69"/>
      <c r="BX701" s="69"/>
      <c r="BY701" s="69"/>
      <c r="BZ701" s="69"/>
      <c r="CA701" s="69"/>
      <c r="CB701" s="69"/>
      <c r="CC701" s="69"/>
      <c r="CD701" s="69"/>
      <c r="CE701" s="69"/>
      <c r="CF701" s="69"/>
      <c r="CG701" s="69"/>
      <c r="CH701" s="69"/>
      <c r="CI701" s="69"/>
      <c r="CJ701" s="69"/>
      <c r="CK701" s="69"/>
      <c r="CL701" s="69"/>
      <c r="CM701" s="69"/>
      <c r="CN701" s="69"/>
      <c r="CO701" s="69"/>
      <c r="CP701" s="69"/>
      <c r="CQ701" s="69"/>
      <c r="CR701" s="69"/>
      <c r="CS701" s="69"/>
      <c r="CT701" s="69"/>
      <c r="CU701" s="69"/>
      <c r="CV701" s="69"/>
      <c r="CW701" s="69"/>
      <c r="CX701" s="69"/>
      <c r="CY701" s="69"/>
      <c r="CZ701" s="69"/>
      <c r="DA701" s="69"/>
      <c r="DB701" s="69"/>
      <c r="DC701" s="69"/>
      <c r="DD701" s="69"/>
      <c r="DE701" s="69"/>
      <c r="DF701" s="69"/>
      <c r="DG701" s="69"/>
      <c r="DH701" s="69"/>
      <c r="DI701" s="69"/>
      <c r="DJ701" s="69"/>
      <c r="DK701" s="69"/>
      <c r="DL701" s="69"/>
    </row>
    <row r="702" spans="1:116" ht="13" x14ac:dyDescent="0.3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202"/>
      <c r="V702" s="69"/>
      <c r="W702" s="69"/>
      <c r="X702" s="69"/>
      <c r="Y702" s="69"/>
      <c r="Z702" s="69"/>
      <c r="AA702" s="69"/>
      <c r="AB702" s="203"/>
      <c r="AC702" s="69"/>
      <c r="AD702" s="69"/>
      <c r="AE702" s="203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  <c r="AW702" s="69"/>
      <c r="AX702" s="69"/>
      <c r="AY702" s="69"/>
      <c r="AZ702" s="69"/>
      <c r="BA702" s="69"/>
      <c r="BB702" s="69"/>
      <c r="BC702" s="69"/>
      <c r="BD702" s="69"/>
      <c r="BE702" s="69"/>
      <c r="BF702" s="69"/>
      <c r="BG702" s="69"/>
      <c r="BH702" s="69"/>
      <c r="BI702" s="69"/>
      <c r="BJ702" s="69"/>
      <c r="BK702" s="69"/>
      <c r="BL702" s="69"/>
      <c r="BM702" s="69"/>
      <c r="BN702" s="69"/>
      <c r="BO702" s="69"/>
      <c r="BP702" s="69"/>
      <c r="BQ702" s="69"/>
      <c r="BR702" s="69"/>
      <c r="BS702" s="69"/>
      <c r="BT702" s="69"/>
      <c r="BU702" s="69"/>
      <c r="BV702" s="69"/>
      <c r="BW702" s="69"/>
      <c r="BX702" s="69"/>
      <c r="BY702" s="69"/>
      <c r="BZ702" s="69"/>
      <c r="CA702" s="69"/>
      <c r="CB702" s="69"/>
      <c r="CC702" s="69"/>
      <c r="CD702" s="69"/>
      <c r="CE702" s="69"/>
      <c r="CF702" s="69"/>
      <c r="CG702" s="69"/>
      <c r="CH702" s="69"/>
      <c r="CI702" s="69"/>
      <c r="CJ702" s="69"/>
      <c r="CK702" s="69"/>
      <c r="CL702" s="69"/>
      <c r="CM702" s="69"/>
      <c r="CN702" s="69"/>
      <c r="CO702" s="69"/>
      <c r="CP702" s="69"/>
      <c r="CQ702" s="69"/>
      <c r="CR702" s="69"/>
      <c r="CS702" s="69"/>
      <c r="CT702" s="69"/>
      <c r="CU702" s="69"/>
      <c r="CV702" s="69"/>
      <c r="CW702" s="69"/>
      <c r="CX702" s="69"/>
      <c r="CY702" s="69"/>
      <c r="CZ702" s="69"/>
      <c r="DA702" s="69"/>
      <c r="DB702" s="69"/>
      <c r="DC702" s="69"/>
      <c r="DD702" s="69"/>
      <c r="DE702" s="69"/>
      <c r="DF702" s="69"/>
      <c r="DG702" s="69"/>
      <c r="DH702" s="69"/>
      <c r="DI702" s="69"/>
      <c r="DJ702" s="69"/>
      <c r="DK702" s="69"/>
      <c r="DL702" s="69"/>
    </row>
    <row r="703" spans="1:116" ht="13" x14ac:dyDescent="0.3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202"/>
      <c r="V703" s="69"/>
      <c r="W703" s="69"/>
      <c r="X703" s="69"/>
      <c r="Y703" s="69"/>
      <c r="Z703" s="69"/>
      <c r="AA703" s="69"/>
      <c r="AB703" s="203"/>
      <c r="AC703" s="69"/>
      <c r="AD703" s="69"/>
      <c r="AE703" s="203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  <c r="AW703" s="69"/>
      <c r="AX703" s="69"/>
      <c r="AY703" s="69"/>
      <c r="AZ703" s="69"/>
      <c r="BA703" s="69"/>
      <c r="BB703" s="69"/>
      <c r="BC703" s="69"/>
      <c r="BD703" s="69"/>
      <c r="BE703" s="69"/>
      <c r="BF703" s="69"/>
      <c r="BG703" s="69"/>
      <c r="BH703" s="69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  <c r="BW703" s="69"/>
      <c r="BX703" s="69"/>
      <c r="BY703" s="69"/>
      <c r="BZ703" s="69"/>
      <c r="CA703" s="69"/>
      <c r="CB703" s="69"/>
      <c r="CC703" s="69"/>
      <c r="CD703" s="69"/>
      <c r="CE703" s="69"/>
      <c r="CF703" s="69"/>
      <c r="CG703" s="69"/>
      <c r="CH703" s="69"/>
      <c r="CI703" s="69"/>
      <c r="CJ703" s="69"/>
      <c r="CK703" s="69"/>
      <c r="CL703" s="69"/>
      <c r="CM703" s="69"/>
      <c r="CN703" s="69"/>
      <c r="CO703" s="69"/>
      <c r="CP703" s="69"/>
      <c r="CQ703" s="69"/>
      <c r="CR703" s="69"/>
      <c r="CS703" s="69"/>
      <c r="CT703" s="69"/>
      <c r="CU703" s="69"/>
      <c r="CV703" s="69"/>
      <c r="CW703" s="69"/>
      <c r="CX703" s="69"/>
      <c r="CY703" s="69"/>
      <c r="CZ703" s="69"/>
      <c r="DA703" s="69"/>
      <c r="DB703" s="69"/>
      <c r="DC703" s="69"/>
      <c r="DD703" s="69"/>
      <c r="DE703" s="69"/>
      <c r="DF703" s="69"/>
      <c r="DG703" s="69"/>
      <c r="DH703" s="69"/>
      <c r="DI703" s="69"/>
      <c r="DJ703" s="69"/>
      <c r="DK703" s="69"/>
      <c r="DL703" s="69"/>
    </row>
    <row r="704" spans="1:116" ht="13" x14ac:dyDescent="0.3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202"/>
      <c r="V704" s="69"/>
      <c r="W704" s="69"/>
      <c r="X704" s="69"/>
      <c r="Y704" s="69"/>
      <c r="Z704" s="69"/>
      <c r="AA704" s="69"/>
      <c r="AB704" s="203"/>
      <c r="AC704" s="69"/>
      <c r="AD704" s="69"/>
      <c r="AE704" s="203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  <c r="AW704" s="69"/>
      <c r="AX704" s="69"/>
      <c r="AY704" s="69"/>
      <c r="AZ704" s="69"/>
      <c r="BA704" s="69"/>
      <c r="BB704" s="69"/>
      <c r="BC704" s="69"/>
      <c r="BD704" s="69"/>
      <c r="BE704" s="69"/>
      <c r="BF704" s="69"/>
      <c r="BG704" s="69"/>
      <c r="BH704" s="69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  <c r="BW704" s="69"/>
      <c r="BX704" s="69"/>
      <c r="BY704" s="69"/>
      <c r="BZ704" s="69"/>
      <c r="CA704" s="69"/>
      <c r="CB704" s="69"/>
      <c r="CC704" s="69"/>
      <c r="CD704" s="69"/>
      <c r="CE704" s="69"/>
      <c r="CF704" s="69"/>
      <c r="CG704" s="69"/>
      <c r="CH704" s="69"/>
      <c r="CI704" s="69"/>
      <c r="CJ704" s="69"/>
      <c r="CK704" s="69"/>
      <c r="CL704" s="69"/>
      <c r="CM704" s="69"/>
      <c r="CN704" s="69"/>
      <c r="CO704" s="69"/>
      <c r="CP704" s="69"/>
      <c r="CQ704" s="69"/>
      <c r="CR704" s="69"/>
      <c r="CS704" s="69"/>
      <c r="CT704" s="69"/>
      <c r="CU704" s="69"/>
      <c r="CV704" s="69"/>
      <c r="CW704" s="69"/>
      <c r="CX704" s="69"/>
      <c r="CY704" s="69"/>
      <c r="CZ704" s="69"/>
      <c r="DA704" s="69"/>
      <c r="DB704" s="69"/>
      <c r="DC704" s="69"/>
      <c r="DD704" s="69"/>
      <c r="DE704" s="69"/>
      <c r="DF704" s="69"/>
      <c r="DG704" s="69"/>
      <c r="DH704" s="69"/>
      <c r="DI704" s="69"/>
      <c r="DJ704" s="69"/>
      <c r="DK704" s="69"/>
      <c r="DL704" s="69"/>
    </row>
    <row r="705" spans="1:116" ht="13" x14ac:dyDescent="0.3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202"/>
      <c r="V705" s="69"/>
      <c r="W705" s="69"/>
      <c r="X705" s="69"/>
      <c r="Y705" s="69"/>
      <c r="Z705" s="69"/>
      <c r="AA705" s="69"/>
      <c r="AB705" s="203"/>
      <c r="AC705" s="69"/>
      <c r="AD705" s="69"/>
      <c r="AE705" s="203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  <c r="AW705" s="69"/>
      <c r="AX705" s="69"/>
      <c r="AY705" s="69"/>
      <c r="AZ705" s="69"/>
      <c r="BA705" s="69"/>
      <c r="BB705" s="69"/>
      <c r="BC705" s="69"/>
      <c r="BD705" s="69"/>
      <c r="BE705" s="69"/>
      <c r="BF705" s="69"/>
      <c r="BG705" s="69"/>
      <c r="BH705" s="69"/>
      <c r="BI705" s="69"/>
      <c r="BJ705" s="69"/>
      <c r="BK705" s="69"/>
      <c r="BL705" s="69"/>
      <c r="BM705" s="69"/>
      <c r="BN705" s="69"/>
      <c r="BO705" s="69"/>
      <c r="BP705" s="69"/>
      <c r="BQ705" s="69"/>
      <c r="BR705" s="69"/>
      <c r="BS705" s="69"/>
      <c r="BT705" s="69"/>
      <c r="BU705" s="69"/>
      <c r="BV705" s="69"/>
      <c r="BW705" s="69"/>
      <c r="BX705" s="69"/>
      <c r="BY705" s="69"/>
      <c r="BZ705" s="69"/>
      <c r="CA705" s="69"/>
      <c r="CB705" s="69"/>
      <c r="CC705" s="69"/>
      <c r="CD705" s="69"/>
      <c r="CE705" s="69"/>
      <c r="CF705" s="69"/>
      <c r="CG705" s="69"/>
      <c r="CH705" s="69"/>
      <c r="CI705" s="69"/>
      <c r="CJ705" s="69"/>
      <c r="CK705" s="69"/>
      <c r="CL705" s="69"/>
      <c r="CM705" s="69"/>
      <c r="CN705" s="69"/>
      <c r="CO705" s="69"/>
      <c r="CP705" s="69"/>
      <c r="CQ705" s="69"/>
      <c r="CR705" s="69"/>
      <c r="CS705" s="69"/>
      <c r="CT705" s="69"/>
      <c r="CU705" s="69"/>
      <c r="CV705" s="69"/>
      <c r="CW705" s="69"/>
      <c r="CX705" s="69"/>
      <c r="CY705" s="69"/>
      <c r="CZ705" s="69"/>
      <c r="DA705" s="69"/>
      <c r="DB705" s="69"/>
      <c r="DC705" s="69"/>
      <c r="DD705" s="69"/>
      <c r="DE705" s="69"/>
      <c r="DF705" s="69"/>
      <c r="DG705" s="69"/>
      <c r="DH705" s="69"/>
      <c r="DI705" s="69"/>
      <c r="DJ705" s="69"/>
      <c r="DK705" s="69"/>
      <c r="DL705" s="69"/>
    </row>
    <row r="706" spans="1:116" ht="13" x14ac:dyDescent="0.3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202"/>
      <c r="V706" s="69"/>
      <c r="W706" s="69"/>
      <c r="X706" s="69"/>
      <c r="Y706" s="69"/>
      <c r="Z706" s="69"/>
      <c r="AA706" s="69"/>
      <c r="AB706" s="203"/>
      <c r="AC706" s="69"/>
      <c r="AD706" s="69"/>
      <c r="AE706" s="203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  <c r="AW706" s="69"/>
      <c r="AX706" s="69"/>
      <c r="AY706" s="69"/>
      <c r="AZ706" s="69"/>
      <c r="BA706" s="69"/>
      <c r="BB706" s="69"/>
      <c r="BC706" s="69"/>
      <c r="BD706" s="69"/>
      <c r="BE706" s="69"/>
      <c r="BF706" s="69"/>
      <c r="BG706" s="69"/>
      <c r="BH706" s="69"/>
      <c r="BI706" s="69"/>
      <c r="BJ706" s="69"/>
      <c r="BK706" s="69"/>
      <c r="BL706" s="69"/>
      <c r="BM706" s="69"/>
      <c r="BN706" s="69"/>
      <c r="BO706" s="69"/>
      <c r="BP706" s="69"/>
      <c r="BQ706" s="69"/>
      <c r="BR706" s="69"/>
      <c r="BS706" s="69"/>
      <c r="BT706" s="69"/>
      <c r="BU706" s="69"/>
      <c r="BV706" s="69"/>
      <c r="BW706" s="69"/>
      <c r="BX706" s="69"/>
      <c r="BY706" s="69"/>
      <c r="BZ706" s="69"/>
      <c r="CA706" s="69"/>
      <c r="CB706" s="69"/>
      <c r="CC706" s="69"/>
      <c r="CD706" s="69"/>
      <c r="CE706" s="69"/>
      <c r="CF706" s="69"/>
      <c r="CG706" s="69"/>
      <c r="CH706" s="69"/>
      <c r="CI706" s="69"/>
      <c r="CJ706" s="69"/>
      <c r="CK706" s="69"/>
      <c r="CL706" s="69"/>
      <c r="CM706" s="69"/>
      <c r="CN706" s="69"/>
      <c r="CO706" s="69"/>
      <c r="CP706" s="69"/>
      <c r="CQ706" s="69"/>
      <c r="CR706" s="69"/>
      <c r="CS706" s="69"/>
      <c r="CT706" s="69"/>
      <c r="CU706" s="69"/>
      <c r="CV706" s="69"/>
      <c r="CW706" s="69"/>
      <c r="CX706" s="69"/>
      <c r="CY706" s="69"/>
      <c r="CZ706" s="69"/>
      <c r="DA706" s="69"/>
      <c r="DB706" s="69"/>
      <c r="DC706" s="69"/>
      <c r="DD706" s="69"/>
      <c r="DE706" s="69"/>
      <c r="DF706" s="69"/>
      <c r="DG706" s="69"/>
      <c r="DH706" s="69"/>
      <c r="DI706" s="69"/>
      <c r="DJ706" s="69"/>
      <c r="DK706" s="69"/>
      <c r="DL706" s="69"/>
    </row>
    <row r="707" spans="1:116" ht="13" x14ac:dyDescent="0.3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202"/>
      <c r="V707" s="69"/>
      <c r="W707" s="69"/>
      <c r="X707" s="69"/>
      <c r="Y707" s="69"/>
      <c r="Z707" s="69"/>
      <c r="AA707" s="69"/>
      <c r="AB707" s="203"/>
      <c r="AC707" s="69"/>
      <c r="AD707" s="69"/>
      <c r="AE707" s="203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  <c r="AW707" s="69"/>
      <c r="AX707" s="69"/>
      <c r="AY707" s="69"/>
      <c r="AZ707" s="69"/>
      <c r="BA707" s="69"/>
      <c r="BB707" s="69"/>
      <c r="BC707" s="69"/>
      <c r="BD707" s="69"/>
      <c r="BE707" s="69"/>
      <c r="BF707" s="69"/>
      <c r="BG707" s="69"/>
      <c r="BH707" s="69"/>
      <c r="BI707" s="69"/>
      <c r="BJ707" s="69"/>
      <c r="BK707" s="69"/>
      <c r="BL707" s="69"/>
      <c r="BM707" s="69"/>
      <c r="BN707" s="69"/>
      <c r="BO707" s="69"/>
      <c r="BP707" s="69"/>
      <c r="BQ707" s="69"/>
      <c r="BR707" s="69"/>
      <c r="BS707" s="69"/>
      <c r="BT707" s="69"/>
      <c r="BU707" s="69"/>
      <c r="BV707" s="69"/>
      <c r="BW707" s="69"/>
      <c r="BX707" s="69"/>
      <c r="BY707" s="69"/>
      <c r="BZ707" s="69"/>
      <c r="CA707" s="69"/>
      <c r="CB707" s="69"/>
      <c r="CC707" s="69"/>
      <c r="CD707" s="69"/>
      <c r="CE707" s="69"/>
      <c r="CF707" s="69"/>
      <c r="CG707" s="69"/>
      <c r="CH707" s="69"/>
      <c r="CI707" s="69"/>
      <c r="CJ707" s="69"/>
      <c r="CK707" s="69"/>
      <c r="CL707" s="69"/>
      <c r="CM707" s="69"/>
      <c r="CN707" s="69"/>
      <c r="CO707" s="69"/>
      <c r="CP707" s="69"/>
      <c r="CQ707" s="69"/>
      <c r="CR707" s="69"/>
      <c r="CS707" s="69"/>
      <c r="CT707" s="69"/>
      <c r="CU707" s="69"/>
      <c r="CV707" s="69"/>
      <c r="CW707" s="69"/>
      <c r="CX707" s="69"/>
      <c r="CY707" s="69"/>
      <c r="CZ707" s="69"/>
      <c r="DA707" s="69"/>
      <c r="DB707" s="69"/>
      <c r="DC707" s="69"/>
      <c r="DD707" s="69"/>
      <c r="DE707" s="69"/>
      <c r="DF707" s="69"/>
      <c r="DG707" s="69"/>
      <c r="DH707" s="69"/>
      <c r="DI707" s="69"/>
      <c r="DJ707" s="69"/>
      <c r="DK707" s="69"/>
      <c r="DL707" s="69"/>
    </row>
    <row r="708" spans="1:116" ht="13" x14ac:dyDescent="0.3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202"/>
      <c r="V708" s="69"/>
      <c r="W708" s="69"/>
      <c r="X708" s="69"/>
      <c r="Y708" s="69"/>
      <c r="Z708" s="69"/>
      <c r="AA708" s="69"/>
      <c r="AB708" s="203"/>
      <c r="AC708" s="69"/>
      <c r="AD708" s="69"/>
      <c r="AE708" s="203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  <c r="AW708" s="69"/>
      <c r="AX708" s="69"/>
      <c r="AY708" s="69"/>
      <c r="AZ708" s="69"/>
      <c r="BA708" s="69"/>
      <c r="BB708" s="69"/>
      <c r="BC708" s="69"/>
      <c r="BD708" s="69"/>
      <c r="BE708" s="69"/>
      <c r="BF708" s="69"/>
      <c r="BG708" s="69"/>
      <c r="BH708" s="69"/>
      <c r="BI708" s="69"/>
      <c r="BJ708" s="69"/>
      <c r="BK708" s="69"/>
      <c r="BL708" s="69"/>
      <c r="BM708" s="69"/>
      <c r="BN708" s="69"/>
      <c r="BO708" s="69"/>
      <c r="BP708" s="69"/>
      <c r="BQ708" s="69"/>
      <c r="BR708" s="69"/>
      <c r="BS708" s="69"/>
      <c r="BT708" s="69"/>
      <c r="BU708" s="69"/>
      <c r="BV708" s="69"/>
      <c r="BW708" s="69"/>
      <c r="BX708" s="69"/>
      <c r="BY708" s="69"/>
      <c r="BZ708" s="69"/>
      <c r="CA708" s="69"/>
      <c r="CB708" s="69"/>
      <c r="CC708" s="69"/>
      <c r="CD708" s="69"/>
      <c r="CE708" s="69"/>
      <c r="CF708" s="69"/>
      <c r="CG708" s="69"/>
      <c r="CH708" s="69"/>
      <c r="CI708" s="69"/>
      <c r="CJ708" s="69"/>
      <c r="CK708" s="69"/>
      <c r="CL708" s="69"/>
      <c r="CM708" s="69"/>
      <c r="CN708" s="69"/>
      <c r="CO708" s="69"/>
      <c r="CP708" s="69"/>
      <c r="CQ708" s="69"/>
      <c r="CR708" s="69"/>
      <c r="CS708" s="69"/>
      <c r="CT708" s="69"/>
      <c r="CU708" s="69"/>
      <c r="CV708" s="69"/>
      <c r="CW708" s="69"/>
      <c r="CX708" s="69"/>
      <c r="CY708" s="69"/>
      <c r="CZ708" s="69"/>
      <c r="DA708" s="69"/>
      <c r="DB708" s="69"/>
      <c r="DC708" s="69"/>
      <c r="DD708" s="69"/>
      <c r="DE708" s="69"/>
      <c r="DF708" s="69"/>
      <c r="DG708" s="69"/>
      <c r="DH708" s="69"/>
      <c r="DI708" s="69"/>
      <c r="DJ708" s="69"/>
      <c r="DK708" s="69"/>
      <c r="DL708" s="69"/>
    </row>
    <row r="709" spans="1:116" ht="13" x14ac:dyDescent="0.3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202"/>
      <c r="V709" s="69"/>
      <c r="W709" s="69"/>
      <c r="X709" s="69"/>
      <c r="Y709" s="69"/>
      <c r="Z709" s="69"/>
      <c r="AA709" s="69"/>
      <c r="AB709" s="203"/>
      <c r="AC709" s="69"/>
      <c r="AD709" s="69"/>
      <c r="AE709" s="203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  <c r="AW709" s="69"/>
      <c r="AX709" s="69"/>
      <c r="AY709" s="69"/>
      <c r="AZ709" s="69"/>
      <c r="BA709" s="69"/>
      <c r="BB709" s="69"/>
      <c r="BC709" s="69"/>
      <c r="BD709" s="69"/>
      <c r="BE709" s="69"/>
      <c r="BF709" s="69"/>
      <c r="BG709" s="69"/>
      <c r="BH709" s="69"/>
      <c r="BI709" s="69"/>
      <c r="BJ709" s="69"/>
      <c r="BK709" s="69"/>
      <c r="BL709" s="69"/>
      <c r="BM709" s="69"/>
      <c r="BN709" s="69"/>
      <c r="BO709" s="69"/>
      <c r="BP709" s="69"/>
      <c r="BQ709" s="69"/>
      <c r="BR709" s="69"/>
      <c r="BS709" s="69"/>
      <c r="BT709" s="69"/>
      <c r="BU709" s="69"/>
      <c r="BV709" s="69"/>
      <c r="BW709" s="69"/>
      <c r="BX709" s="69"/>
      <c r="BY709" s="69"/>
      <c r="BZ709" s="69"/>
      <c r="CA709" s="69"/>
      <c r="CB709" s="69"/>
      <c r="CC709" s="69"/>
      <c r="CD709" s="69"/>
      <c r="CE709" s="69"/>
      <c r="CF709" s="69"/>
      <c r="CG709" s="69"/>
      <c r="CH709" s="69"/>
      <c r="CI709" s="69"/>
      <c r="CJ709" s="69"/>
      <c r="CK709" s="69"/>
      <c r="CL709" s="69"/>
      <c r="CM709" s="69"/>
      <c r="CN709" s="69"/>
      <c r="CO709" s="69"/>
      <c r="CP709" s="69"/>
      <c r="CQ709" s="69"/>
      <c r="CR709" s="69"/>
      <c r="CS709" s="69"/>
      <c r="CT709" s="69"/>
      <c r="CU709" s="69"/>
      <c r="CV709" s="69"/>
      <c r="CW709" s="69"/>
      <c r="CX709" s="69"/>
      <c r="CY709" s="69"/>
      <c r="CZ709" s="69"/>
      <c r="DA709" s="69"/>
      <c r="DB709" s="69"/>
      <c r="DC709" s="69"/>
      <c r="DD709" s="69"/>
      <c r="DE709" s="69"/>
      <c r="DF709" s="69"/>
      <c r="DG709" s="69"/>
      <c r="DH709" s="69"/>
      <c r="DI709" s="69"/>
      <c r="DJ709" s="69"/>
      <c r="DK709" s="69"/>
      <c r="DL709" s="69"/>
    </row>
    <row r="710" spans="1:116" ht="13" x14ac:dyDescent="0.3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202"/>
      <c r="V710" s="69"/>
      <c r="W710" s="69"/>
      <c r="X710" s="69"/>
      <c r="Y710" s="69"/>
      <c r="Z710" s="69"/>
      <c r="AA710" s="69"/>
      <c r="AB710" s="203"/>
      <c r="AC710" s="69"/>
      <c r="AD710" s="69"/>
      <c r="AE710" s="203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  <c r="AW710" s="69"/>
      <c r="AX710" s="69"/>
      <c r="AY710" s="69"/>
      <c r="AZ710" s="69"/>
      <c r="BA710" s="69"/>
      <c r="BB710" s="69"/>
      <c r="BC710" s="69"/>
      <c r="BD710" s="69"/>
      <c r="BE710" s="69"/>
      <c r="BF710" s="69"/>
      <c r="BG710" s="69"/>
      <c r="BH710" s="69"/>
      <c r="BI710" s="69"/>
      <c r="BJ710" s="69"/>
      <c r="BK710" s="69"/>
      <c r="BL710" s="69"/>
      <c r="BM710" s="69"/>
      <c r="BN710" s="69"/>
      <c r="BO710" s="69"/>
      <c r="BP710" s="69"/>
      <c r="BQ710" s="69"/>
      <c r="BR710" s="69"/>
      <c r="BS710" s="69"/>
      <c r="BT710" s="69"/>
      <c r="BU710" s="69"/>
      <c r="BV710" s="69"/>
      <c r="BW710" s="69"/>
      <c r="BX710" s="69"/>
      <c r="BY710" s="69"/>
      <c r="BZ710" s="69"/>
      <c r="CA710" s="69"/>
      <c r="CB710" s="69"/>
      <c r="CC710" s="69"/>
      <c r="CD710" s="69"/>
      <c r="CE710" s="69"/>
      <c r="CF710" s="69"/>
      <c r="CG710" s="69"/>
      <c r="CH710" s="69"/>
      <c r="CI710" s="69"/>
      <c r="CJ710" s="69"/>
      <c r="CK710" s="69"/>
      <c r="CL710" s="69"/>
      <c r="CM710" s="69"/>
      <c r="CN710" s="69"/>
      <c r="CO710" s="69"/>
      <c r="CP710" s="69"/>
      <c r="CQ710" s="69"/>
      <c r="CR710" s="69"/>
      <c r="CS710" s="69"/>
      <c r="CT710" s="69"/>
      <c r="CU710" s="69"/>
      <c r="CV710" s="69"/>
      <c r="CW710" s="69"/>
      <c r="CX710" s="69"/>
      <c r="CY710" s="69"/>
      <c r="CZ710" s="69"/>
      <c r="DA710" s="69"/>
      <c r="DB710" s="69"/>
      <c r="DC710" s="69"/>
      <c r="DD710" s="69"/>
      <c r="DE710" s="69"/>
      <c r="DF710" s="69"/>
      <c r="DG710" s="69"/>
      <c r="DH710" s="69"/>
      <c r="DI710" s="69"/>
      <c r="DJ710" s="69"/>
      <c r="DK710" s="69"/>
      <c r="DL710" s="69"/>
    </row>
    <row r="711" spans="1:116" ht="13" x14ac:dyDescent="0.3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202"/>
      <c r="V711" s="69"/>
      <c r="W711" s="69"/>
      <c r="X711" s="69"/>
      <c r="Y711" s="69"/>
      <c r="Z711" s="69"/>
      <c r="AA711" s="69"/>
      <c r="AB711" s="203"/>
      <c r="AC711" s="69"/>
      <c r="AD711" s="69"/>
      <c r="AE711" s="203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  <c r="AW711" s="69"/>
      <c r="AX711" s="69"/>
      <c r="AY711" s="69"/>
      <c r="AZ711" s="69"/>
      <c r="BA711" s="69"/>
      <c r="BB711" s="69"/>
      <c r="BC711" s="69"/>
      <c r="BD711" s="69"/>
      <c r="BE711" s="69"/>
      <c r="BF711" s="69"/>
      <c r="BG711" s="69"/>
      <c r="BH711" s="69"/>
      <c r="BI711" s="69"/>
      <c r="BJ711" s="69"/>
      <c r="BK711" s="69"/>
      <c r="BL711" s="69"/>
      <c r="BM711" s="69"/>
      <c r="BN711" s="69"/>
      <c r="BO711" s="69"/>
      <c r="BP711" s="69"/>
      <c r="BQ711" s="69"/>
      <c r="BR711" s="69"/>
      <c r="BS711" s="69"/>
      <c r="BT711" s="69"/>
      <c r="BU711" s="69"/>
      <c r="BV711" s="69"/>
      <c r="BW711" s="69"/>
      <c r="BX711" s="69"/>
      <c r="BY711" s="69"/>
      <c r="BZ711" s="69"/>
      <c r="CA711" s="69"/>
      <c r="CB711" s="69"/>
      <c r="CC711" s="69"/>
      <c r="CD711" s="69"/>
      <c r="CE711" s="69"/>
      <c r="CF711" s="69"/>
      <c r="CG711" s="69"/>
      <c r="CH711" s="69"/>
      <c r="CI711" s="69"/>
      <c r="CJ711" s="69"/>
      <c r="CK711" s="69"/>
      <c r="CL711" s="69"/>
      <c r="CM711" s="69"/>
      <c r="CN711" s="69"/>
      <c r="CO711" s="69"/>
      <c r="CP711" s="69"/>
      <c r="CQ711" s="69"/>
      <c r="CR711" s="69"/>
      <c r="CS711" s="69"/>
      <c r="CT711" s="69"/>
      <c r="CU711" s="69"/>
      <c r="CV711" s="69"/>
      <c r="CW711" s="69"/>
      <c r="CX711" s="69"/>
      <c r="CY711" s="69"/>
      <c r="CZ711" s="69"/>
      <c r="DA711" s="69"/>
      <c r="DB711" s="69"/>
      <c r="DC711" s="69"/>
      <c r="DD711" s="69"/>
      <c r="DE711" s="69"/>
      <c r="DF711" s="69"/>
      <c r="DG711" s="69"/>
      <c r="DH711" s="69"/>
      <c r="DI711" s="69"/>
      <c r="DJ711" s="69"/>
      <c r="DK711" s="69"/>
      <c r="DL711" s="69"/>
    </row>
    <row r="712" spans="1:116" ht="13" x14ac:dyDescent="0.3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202"/>
      <c r="V712" s="69"/>
      <c r="W712" s="69"/>
      <c r="X712" s="69"/>
      <c r="Y712" s="69"/>
      <c r="Z712" s="69"/>
      <c r="AA712" s="69"/>
      <c r="AB712" s="203"/>
      <c r="AC712" s="69"/>
      <c r="AD712" s="69"/>
      <c r="AE712" s="203"/>
      <c r="AF712" s="69"/>
      <c r="AG712" s="69"/>
      <c r="AH712" s="69"/>
      <c r="AI712" s="69"/>
      <c r="AJ712" s="69"/>
      <c r="AK712" s="69"/>
      <c r="AL712" s="69"/>
      <c r="AM712" s="69"/>
      <c r="AN712" s="69"/>
      <c r="AO712" s="69"/>
      <c r="AP712" s="69"/>
      <c r="AQ712" s="69"/>
      <c r="AR712" s="69"/>
      <c r="AS712" s="69"/>
      <c r="AT712" s="69"/>
      <c r="AU712" s="69"/>
      <c r="AV712" s="69"/>
      <c r="AW712" s="69"/>
      <c r="AX712" s="69"/>
      <c r="AY712" s="69"/>
      <c r="AZ712" s="69"/>
      <c r="BA712" s="69"/>
      <c r="BB712" s="69"/>
      <c r="BC712" s="69"/>
      <c r="BD712" s="69"/>
      <c r="BE712" s="69"/>
      <c r="BF712" s="69"/>
      <c r="BG712" s="69"/>
      <c r="BH712" s="69"/>
      <c r="BI712" s="69"/>
      <c r="BJ712" s="69"/>
      <c r="BK712" s="69"/>
      <c r="BL712" s="69"/>
      <c r="BM712" s="69"/>
      <c r="BN712" s="69"/>
      <c r="BO712" s="69"/>
      <c r="BP712" s="69"/>
      <c r="BQ712" s="69"/>
      <c r="BR712" s="69"/>
      <c r="BS712" s="69"/>
      <c r="BT712" s="69"/>
      <c r="BU712" s="69"/>
      <c r="BV712" s="69"/>
      <c r="BW712" s="69"/>
      <c r="BX712" s="69"/>
      <c r="BY712" s="69"/>
      <c r="BZ712" s="69"/>
      <c r="CA712" s="69"/>
      <c r="CB712" s="69"/>
      <c r="CC712" s="69"/>
      <c r="CD712" s="69"/>
      <c r="CE712" s="69"/>
      <c r="CF712" s="69"/>
      <c r="CG712" s="69"/>
      <c r="CH712" s="69"/>
      <c r="CI712" s="69"/>
      <c r="CJ712" s="69"/>
      <c r="CK712" s="69"/>
      <c r="CL712" s="69"/>
      <c r="CM712" s="69"/>
      <c r="CN712" s="69"/>
      <c r="CO712" s="69"/>
      <c r="CP712" s="69"/>
      <c r="CQ712" s="69"/>
      <c r="CR712" s="69"/>
      <c r="CS712" s="69"/>
      <c r="CT712" s="69"/>
      <c r="CU712" s="69"/>
      <c r="CV712" s="69"/>
      <c r="CW712" s="69"/>
      <c r="CX712" s="69"/>
      <c r="CY712" s="69"/>
      <c r="CZ712" s="69"/>
      <c r="DA712" s="69"/>
      <c r="DB712" s="69"/>
      <c r="DC712" s="69"/>
      <c r="DD712" s="69"/>
      <c r="DE712" s="69"/>
      <c r="DF712" s="69"/>
      <c r="DG712" s="69"/>
      <c r="DH712" s="69"/>
      <c r="DI712" s="69"/>
      <c r="DJ712" s="69"/>
      <c r="DK712" s="69"/>
      <c r="DL712" s="69"/>
    </row>
    <row r="713" spans="1:116" ht="13" x14ac:dyDescent="0.3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202"/>
      <c r="V713" s="69"/>
      <c r="W713" s="69"/>
      <c r="X713" s="69"/>
      <c r="Y713" s="69"/>
      <c r="Z713" s="69"/>
      <c r="AA713" s="69"/>
      <c r="AB713" s="203"/>
      <c r="AC713" s="69"/>
      <c r="AD713" s="69"/>
      <c r="AE713" s="203"/>
      <c r="AF713" s="69"/>
      <c r="AG713" s="69"/>
      <c r="AH713" s="69"/>
      <c r="AI713" s="69"/>
      <c r="AJ713" s="69"/>
      <c r="AK713" s="69"/>
      <c r="AL713" s="69"/>
      <c r="AM713" s="69"/>
      <c r="AN713" s="69"/>
      <c r="AO713" s="69"/>
      <c r="AP713" s="69"/>
      <c r="AQ713" s="69"/>
      <c r="AR713" s="69"/>
      <c r="AS713" s="69"/>
      <c r="AT713" s="69"/>
      <c r="AU713" s="69"/>
      <c r="AV713" s="69"/>
      <c r="AW713" s="69"/>
      <c r="AX713" s="69"/>
      <c r="AY713" s="69"/>
      <c r="AZ713" s="69"/>
      <c r="BA713" s="69"/>
      <c r="BB713" s="69"/>
      <c r="BC713" s="69"/>
      <c r="BD713" s="69"/>
      <c r="BE713" s="69"/>
      <c r="BF713" s="69"/>
      <c r="BG713" s="69"/>
      <c r="BH713" s="69"/>
      <c r="BI713" s="69"/>
      <c r="BJ713" s="69"/>
      <c r="BK713" s="69"/>
      <c r="BL713" s="69"/>
      <c r="BM713" s="69"/>
      <c r="BN713" s="69"/>
      <c r="BO713" s="69"/>
      <c r="BP713" s="69"/>
      <c r="BQ713" s="69"/>
      <c r="BR713" s="69"/>
      <c r="BS713" s="69"/>
      <c r="BT713" s="69"/>
      <c r="BU713" s="69"/>
      <c r="BV713" s="69"/>
      <c r="BW713" s="69"/>
      <c r="BX713" s="69"/>
      <c r="BY713" s="69"/>
      <c r="BZ713" s="69"/>
      <c r="CA713" s="69"/>
      <c r="CB713" s="69"/>
      <c r="CC713" s="69"/>
      <c r="CD713" s="69"/>
      <c r="CE713" s="69"/>
      <c r="CF713" s="69"/>
      <c r="CG713" s="69"/>
      <c r="CH713" s="69"/>
      <c r="CI713" s="69"/>
      <c r="CJ713" s="69"/>
      <c r="CK713" s="69"/>
      <c r="CL713" s="69"/>
      <c r="CM713" s="69"/>
      <c r="CN713" s="69"/>
      <c r="CO713" s="69"/>
      <c r="CP713" s="69"/>
      <c r="CQ713" s="69"/>
      <c r="CR713" s="69"/>
      <c r="CS713" s="69"/>
      <c r="CT713" s="69"/>
      <c r="CU713" s="69"/>
      <c r="CV713" s="69"/>
      <c r="CW713" s="69"/>
      <c r="CX713" s="69"/>
      <c r="CY713" s="69"/>
      <c r="CZ713" s="69"/>
      <c r="DA713" s="69"/>
      <c r="DB713" s="69"/>
      <c r="DC713" s="69"/>
      <c r="DD713" s="69"/>
      <c r="DE713" s="69"/>
      <c r="DF713" s="69"/>
      <c r="DG713" s="69"/>
      <c r="DH713" s="69"/>
      <c r="DI713" s="69"/>
      <c r="DJ713" s="69"/>
      <c r="DK713" s="69"/>
      <c r="DL713" s="69"/>
    </row>
    <row r="714" spans="1:116" ht="13" x14ac:dyDescent="0.3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202"/>
      <c r="V714" s="69"/>
      <c r="W714" s="69"/>
      <c r="X714" s="69"/>
      <c r="Y714" s="69"/>
      <c r="Z714" s="69"/>
      <c r="AA714" s="69"/>
      <c r="AB714" s="203"/>
      <c r="AC714" s="69"/>
      <c r="AD714" s="69"/>
      <c r="AE714" s="203"/>
      <c r="AF714" s="69"/>
      <c r="AG714" s="69"/>
      <c r="AH714" s="69"/>
      <c r="AI714" s="69"/>
      <c r="AJ714" s="69"/>
      <c r="AK714" s="69"/>
      <c r="AL714" s="69"/>
      <c r="AM714" s="69"/>
      <c r="AN714" s="69"/>
      <c r="AO714" s="69"/>
      <c r="AP714" s="69"/>
      <c r="AQ714" s="69"/>
      <c r="AR714" s="69"/>
      <c r="AS714" s="69"/>
      <c r="AT714" s="69"/>
      <c r="AU714" s="69"/>
      <c r="AV714" s="69"/>
      <c r="AW714" s="69"/>
      <c r="AX714" s="69"/>
      <c r="AY714" s="69"/>
      <c r="AZ714" s="69"/>
      <c r="BA714" s="69"/>
      <c r="BB714" s="69"/>
      <c r="BC714" s="69"/>
      <c r="BD714" s="69"/>
      <c r="BE714" s="69"/>
      <c r="BF714" s="69"/>
      <c r="BG714" s="69"/>
      <c r="BH714" s="69"/>
      <c r="BI714" s="69"/>
      <c r="BJ714" s="69"/>
      <c r="BK714" s="69"/>
      <c r="BL714" s="69"/>
      <c r="BM714" s="69"/>
      <c r="BN714" s="69"/>
      <c r="BO714" s="69"/>
      <c r="BP714" s="69"/>
      <c r="BQ714" s="69"/>
      <c r="BR714" s="69"/>
      <c r="BS714" s="69"/>
      <c r="BT714" s="69"/>
      <c r="BU714" s="69"/>
      <c r="BV714" s="69"/>
      <c r="BW714" s="69"/>
      <c r="BX714" s="69"/>
      <c r="BY714" s="69"/>
      <c r="BZ714" s="69"/>
      <c r="CA714" s="69"/>
      <c r="CB714" s="69"/>
      <c r="CC714" s="69"/>
      <c r="CD714" s="69"/>
      <c r="CE714" s="69"/>
      <c r="CF714" s="69"/>
      <c r="CG714" s="69"/>
      <c r="CH714" s="69"/>
      <c r="CI714" s="69"/>
      <c r="CJ714" s="69"/>
      <c r="CK714" s="69"/>
      <c r="CL714" s="69"/>
      <c r="CM714" s="69"/>
      <c r="CN714" s="69"/>
      <c r="CO714" s="69"/>
      <c r="CP714" s="69"/>
      <c r="CQ714" s="69"/>
      <c r="CR714" s="69"/>
      <c r="CS714" s="69"/>
      <c r="CT714" s="69"/>
      <c r="CU714" s="69"/>
      <c r="CV714" s="69"/>
      <c r="CW714" s="69"/>
      <c r="CX714" s="69"/>
      <c r="CY714" s="69"/>
      <c r="CZ714" s="69"/>
      <c r="DA714" s="69"/>
      <c r="DB714" s="69"/>
      <c r="DC714" s="69"/>
      <c r="DD714" s="69"/>
      <c r="DE714" s="69"/>
      <c r="DF714" s="69"/>
      <c r="DG714" s="69"/>
      <c r="DH714" s="69"/>
      <c r="DI714" s="69"/>
      <c r="DJ714" s="69"/>
      <c r="DK714" s="69"/>
      <c r="DL714" s="69"/>
    </row>
    <row r="715" spans="1:116" ht="13" x14ac:dyDescent="0.3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202"/>
      <c r="V715" s="69"/>
      <c r="W715" s="69"/>
      <c r="X715" s="69"/>
      <c r="Y715" s="69"/>
      <c r="Z715" s="69"/>
      <c r="AA715" s="69"/>
      <c r="AB715" s="203"/>
      <c r="AC715" s="69"/>
      <c r="AD715" s="69"/>
      <c r="AE715" s="203"/>
      <c r="AF715" s="69"/>
      <c r="AG715" s="69"/>
      <c r="AH715" s="69"/>
      <c r="AI715" s="69"/>
      <c r="AJ715" s="69"/>
      <c r="AK715" s="69"/>
      <c r="AL715" s="69"/>
      <c r="AM715" s="69"/>
      <c r="AN715" s="69"/>
      <c r="AO715" s="69"/>
      <c r="AP715" s="69"/>
      <c r="AQ715" s="69"/>
      <c r="AR715" s="69"/>
      <c r="AS715" s="69"/>
      <c r="AT715" s="69"/>
      <c r="AU715" s="69"/>
      <c r="AV715" s="69"/>
      <c r="AW715" s="69"/>
      <c r="AX715" s="69"/>
      <c r="AY715" s="69"/>
      <c r="AZ715" s="69"/>
      <c r="BA715" s="69"/>
      <c r="BB715" s="69"/>
      <c r="BC715" s="69"/>
      <c r="BD715" s="69"/>
      <c r="BE715" s="69"/>
      <c r="BF715" s="69"/>
      <c r="BG715" s="69"/>
      <c r="BH715" s="69"/>
      <c r="BI715" s="69"/>
      <c r="BJ715" s="69"/>
      <c r="BK715" s="69"/>
      <c r="BL715" s="69"/>
      <c r="BM715" s="69"/>
      <c r="BN715" s="69"/>
      <c r="BO715" s="69"/>
      <c r="BP715" s="69"/>
      <c r="BQ715" s="69"/>
      <c r="BR715" s="69"/>
      <c r="BS715" s="69"/>
      <c r="BT715" s="69"/>
      <c r="BU715" s="69"/>
      <c r="BV715" s="69"/>
      <c r="BW715" s="69"/>
      <c r="BX715" s="69"/>
      <c r="BY715" s="69"/>
      <c r="BZ715" s="69"/>
      <c r="CA715" s="69"/>
      <c r="CB715" s="69"/>
      <c r="CC715" s="69"/>
      <c r="CD715" s="69"/>
      <c r="CE715" s="69"/>
      <c r="CF715" s="69"/>
      <c r="CG715" s="69"/>
      <c r="CH715" s="69"/>
      <c r="CI715" s="69"/>
      <c r="CJ715" s="69"/>
      <c r="CK715" s="69"/>
      <c r="CL715" s="69"/>
      <c r="CM715" s="69"/>
      <c r="CN715" s="69"/>
      <c r="CO715" s="69"/>
      <c r="CP715" s="69"/>
      <c r="CQ715" s="69"/>
      <c r="CR715" s="69"/>
      <c r="CS715" s="69"/>
      <c r="CT715" s="69"/>
      <c r="CU715" s="69"/>
      <c r="CV715" s="69"/>
      <c r="CW715" s="69"/>
      <c r="CX715" s="69"/>
      <c r="CY715" s="69"/>
      <c r="CZ715" s="69"/>
      <c r="DA715" s="69"/>
      <c r="DB715" s="69"/>
      <c r="DC715" s="69"/>
      <c r="DD715" s="69"/>
      <c r="DE715" s="69"/>
      <c r="DF715" s="69"/>
      <c r="DG715" s="69"/>
      <c r="DH715" s="69"/>
      <c r="DI715" s="69"/>
      <c r="DJ715" s="69"/>
      <c r="DK715" s="69"/>
      <c r="DL715" s="69"/>
    </row>
    <row r="716" spans="1:116" ht="13" x14ac:dyDescent="0.3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202"/>
      <c r="V716" s="69"/>
      <c r="W716" s="69"/>
      <c r="X716" s="69"/>
      <c r="Y716" s="69"/>
      <c r="Z716" s="69"/>
      <c r="AA716" s="69"/>
      <c r="AB716" s="203"/>
      <c r="AC716" s="69"/>
      <c r="AD716" s="69"/>
      <c r="AE716" s="203"/>
      <c r="AF716" s="69"/>
      <c r="AG716" s="69"/>
      <c r="AH716" s="69"/>
      <c r="AI716" s="69"/>
      <c r="AJ716" s="69"/>
      <c r="AK716" s="69"/>
      <c r="AL716" s="69"/>
      <c r="AM716" s="69"/>
      <c r="AN716" s="69"/>
      <c r="AO716" s="69"/>
      <c r="AP716" s="69"/>
      <c r="AQ716" s="69"/>
      <c r="AR716" s="69"/>
      <c r="AS716" s="69"/>
      <c r="AT716" s="69"/>
      <c r="AU716" s="69"/>
      <c r="AV716" s="69"/>
      <c r="AW716" s="69"/>
      <c r="AX716" s="69"/>
      <c r="AY716" s="69"/>
      <c r="AZ716" s="69"/>
      <c r="BA716" s="69"/>
      <c r="BB716" s="69"/>
      <c r="BC716" s="69"/>
      <c r="BD716" s="69"/>
      <c r="BE716" s="69"/>
      <c r="BF716" s="69"/>
      <c r="BG716" s="69"/>
      <c r="BH716" s="69"/>
      <c r="BI716" s="69"/>
      <c r="BJ716" s="69"/>
      <c r="BK716" s="69"/>
      <c r="BL716" s="69"/>
      <c r="BM716" s="69"/>
      <c r="BN716" s="69"/>
      <c r="BO716" s="69"/>
      <c r="BP716" s="69"/>
      <c r="BQ716" s="69"/>
      <c r="BR716" s="69"/>
      <c r="BS716" s="69"/>
      <c r="BT716" s="69"/>
      <c r="BU716" s="69"/>
      <c r="BV716" s="69"/>
      <c r="BW716" s="69"/>
      <c r="BX716" s="69"/>
      <c r="BY716" s="69"/>
      <c r="BZ716" s="69"/>
      <c r="CA716" s="69"/>
      <c r="CB716" s="69"/>
      <c r="CC716" s="69"/>
      <c r="CD716" s="69"/>
      <c r="CE716" s="69"/>
      <c r="CF716" s="69"/>
      <c r="CG716" s="69"/>
      <c r="CH716" s="69"/>
      <c r="CI716" s="69"/>
      <c r="CJ716" s="69"/>
      <c r="CK716" s="69"/>
      <c r="CL716" s="69"/>
      <c r="CM716" s="69"/>
      <c r="CN716" s="69"/>
      <c r="CO716" s="69"/>
      <c r="CP716" s="69"/>
      <c r="CQ716" s="69"/>
      <c r="CR716" s="69"/>
      <c r="CS716" s="69"/>
      <c r="CT716" s="69"/>
      <c r="CU716" s="69"/>
      <c r="CV716" s="69"/>
      <c r="CW716" s="69"/>
      <c r="CX716" s="69"/>
      <c r="CY716" s="69"/>
      <c r="CZ716" s="69"/>
      <c r="DA716" s="69"/>
      <c r="DB716" s="69"/>
      <c r="DC716" s="69"/>
      <c r="DD716" s="69"/>
      <c r="DE716" s="69"/>
      <c r="DF716" s="69"/>
      <c r="DG716" s="69"/>
      <c r="DH716" s="69"/>
      <c r="DI716" s="69"/>
      <c r="DJ716" s="69"/>
      <c r="DK716" s="69"/>
      <c r="DL716" s="69"/>
    </row>
    <row r="717" spans="1:116" ht="13" x14ac:dyDescent="0.3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202"/>
      <c r="V717" s="69"/>
      <c r="W717" s="69"/>
      <c r="X717" s="69"/>
      <c r="Y717" s="69"/>
      <c r="Z717" s="69"/>
      <c r="AA717" s="69"/>
      <c r="AB717" s="203"/>
      <c r="AC717" s="69"/>
      <c r="AD717" s="69"/>
      <c r="AE717" s="203"/>
      <c r="AF717" s="69"/>
      <c r="AG717" s="69"/>
      <c r="AH717" s="69"/>
      <c r="AI717" s="69"/>
      <c r="AJ717" s="69"/>
      <c r="AK717" s="69"/>
      <c r="AL717" s="69"/>
      <c r="AM717" s="69"/>
      <c r="AN717" s="69"/>
      <c r="AO717" s="69"/>
      <c r="AP717" s="69"/>
      <c r="AQ717" s="69"/>
      <c r="AR717" s="69"/>
      <c r="AS717" s="69"/>
      <c r="AT717" s="69"/>
      <c r="AU717" s="69"/>
      <c r="AV717" s="69"/>
      <c r="AW717" s="69"/>
      <c r="AX717" s="69"/>
      <c r="AY717" s="69"/>
      <c r="AZ717" s="69"/>
      <c r="BA717" s="69"/>
      <c r="BB717" s="69"/>
      <c r="BC717" s="69"/>
      <c r="BD717" s="69"/>
      <c r="BE717" s="69"/>
      <c r="BF717" s="69"/>
      <c r="BG717" s="69"/>
      <c r="BH717" s="69"/>
      <c r="BI717" s="69"/>
      <c r="BJ717" s="69"/>
      <c r="BK717" s="69"/>
      <c r="BL717" s="69"/>
      <c r="BM717" s="69"/>
      <c r="BN717" s="69"/>
      <c r="BO717" s="69"/>
      <c r="BP717" s="69"/>
      <c r="BQ717" s="69"/>
      <c r="BR717" s="69"/>
      <c r="BS717" s="69"/>
      <c r="BT717" s="69"/>
      <c r="BU717" s="69"/>
      <c r="BV717" s="69"/>
      <c r="BW717" s="69"/>
      <c r="BX717" s="69"/>
      <c r="BY717" s="69"/>
      <c r="BZ717" s="69"/>
      <c r="CA717" s="69"/>
      <c r="CB717" s="69"/>
      <c r="CC717" s="69"/>
      <c r="CD717" s="69"/>
      <c r="CE717" s="69"/>
      <c r="CF717" s="69"/>
      <c r="CG717" s="69"/>
      <c r="CH717" s="69"/>
      <c r="CI717" s="69"/>
      <c r="CJ717" s="69"/>
      <c r="CK717" s="69"/>
      <c r="CL717" s="69"/>
      <c r="CM717" s="69"/>
      <c r="CN717" s="69"/>
      <c r="CO717" s="69"/>
      <c r="CP717" s="69"/>
      <c r="CQ717" s="69"/>
      <c r="CR717" s="69"/>
      <c r="CS717" s="69"/>
      <c r="CT717" s="69"/>
      <c r="CU717" s="69"/>
      <c r="CV717" s="69"/>
      <c r="CW717" s="69"/>
      <c r="CX717" s="69"/>
      <c r="CY717" s="69"/>
      <c r="CZ717" s="69"/>
      <c r="DA717" s="69"/>
      <c r="DB717" s="69"/>
      <c r="DC717" s="69"/>
      <c r="DD717" s="69"/>
      <c r="DE717" s="69"/>
      <c r="DF717" s="69"/>
      <c r="DG717" s="69"/>
      <c r="DH717" s="69"/>
      <c r="DI717" s="69"/>
      <c r="DJ717" s="69"/>
      <c r="DK717" s="69"/>
      <c r="DL717" s="69"/>
    </row>
    <row r="718" spans="1:116" ht="13" x14ac:dyDescent="0.3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202"/>
      <c r="V718" s="69"/>
      <c r="W718" s="69"/>
      <c r="X718" s="69"/>
      <c r="Y718" s="69"/>
      <c r="Z718" s="69"/>
      <c r="AA718" s="69"/>
      <c r="AB718" s="203"/>
      <c r="AC718" s="69"/>
      <c r="AD718" s="69"/>
      <c r="AE718" s="203"/>
      <c r="AF718" s="69"/>
      <c r="AG718" s="69"/>
      <c r="AH718" s="69"/>
      <c r="AI718" s="69"/>
      <c r="AJ718" s="69"/>
      <c r="AK718" s="69"/>
      <c r="AL718" s="69"/>
      <c r="AM718" s="69"/>
      <c r="AN718" s="69"/>
      <c r="AO718" s="69"/>
      <c r="AP718" s="69"/>
      <c r="AQ718" s="69"/>
      <c r="AR718" s="69"/>
      <c r="AS718" s="69"/>
      <c r="AT718" s="69"/>
      <c r="AU718" s="69"/>
      <c r="AV718" s="69"/>
      <c r="AW718" s="69"/>
      <c r="AX718" s="69"/>
      <c r="AY718" s="69"/>
      <c r="AZ718" s="69"/>
      <c r="BA718" s="69"/>
      <c r="BB718" s="69"/>
      <c r="BC718" s="69"/>
      <c r="BD718" s="69"/>
      <c r="BE718" s="69"/>
      <c r="BF718" s="69"/>
      <c r="BG718" s="69"/>
      <c r="BH718" s="69"/>
      <c r="BI718" s="69"/>
      <c r="BJ718" s="69"/>
      <c r="BK718" s="69"/>
      <c r="BL718" s="69"/>
      <c r="BM718" s="69"/>
      <c r="BN718" s="69"/>
      <c r="BO718" s="69"/>
      <c r="BP718" s="69"/>
      <c r="BQ718" s="69"/>
      <c r="BR718" s="69"/>
      <c r="BS718" s="69"/>
      <c r="BT718" s="69"/>
      <c r="BU718" s="69"/>
      <c r="BV718" s="69"/>
      <c r="BW718" s="69"/>
      <c r="BX718" s="69"/>
      <c r="BY718" s="69"/>
      <c r="BZ718" s="69"/>
      <c r="CA718" s="69"/>
      <c r="CB718" s="69"/>
      <c r="CC718" s="69"/>
      <c r="CD718" s="69"/>
      <c r="CE718" s="69"/>
      <c r="CF718" s="69"/>
      <c r="CG718" s="69"/>
      <c r="CH718" s="69"/>
      <c r="CI718" s="69"/>
      <c r="CJ718" s="69"/>
      <c r="CK718" s="69"/>
      <c r="CL718" s="69"/>
      <c r="CM718" s="69"/>
      <c r="CN718" s="69"/>
      <c r="CO718" s="69"/>
      <c r="CP718" s="69"/>
      <c r="CQ718" s="69"/>
      <c r="CR718" s="69"/>
      <c r="CS718" s="69"/>
      <c r="CT718" s="69"/>
      <c r="CU718" s="69"/>
      <c r="CV718" s="69"/>
      <c r="CW718" s="69"/>
      <c r="CX718" s="69"/>
      <c r="CY718" s="69"/>
      <c r="CZ718" s="69"/>
      <c r="DA718" s="69"/>
      <c r="DB718" s="69"/>
      <c r="DC718" s="69"/>
      <c r="DD718" s="69"/>
      <c r="DE718" s="69"/>
      <c r="DF718" s="69"/>
      <c r="DG718" s="69"/>
      <c r="DH718" s="69"/>
      <c r="DI718" s="69"/>
      <c r="DJ718" s="69"/>
      <c r="DK718" s="69"/>
      <c r="DL718" s="69"/>
    </row>
    <row r="719" spans="1:116" ht="13" x14ac:dyDescent="0.3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202"/>
      <c r="V719" s="69"/>
      <c r="W719" s="69"/>
      <c r="X719" s="69"/>
      <c r="Y719" s="69"/>
      <c r="Z719" s="69"/>
      <c r="AA719" s="69"/>
      <c r="AB719" s="203"/>
      <c r="AC719" s="69"/>
      <c r="AD719" s="69"/>
      <c r="AE719" s="203"/>
      <c r="AF719" s="69"/>
      <c r="AG719" s="69"/>
      <c r="AH719" s="69"/>
      <c r="AI719" s="69"/>
      <c r="AJ719" s="69"/>
      <c r="AK719" s="69"/>
      <c r="AL719" s="69"/>
      <c r="AM719" s="69"/>
      <c r="AN719" s="69"/>
      <c r="AO719" s="69"/>
      <c r="AP719" s="69"/>
      <c r="AQ719" s="69"/>
      <c r="AR719" s="69"/>
      <c r="AS719" s="69"/>
      <c r="AT719" s="69"/>
      <c r="AU719" s="69"/>
      <c r="AV719" s="69"/>
      <c r="AW719" s="69"/>
      <c r="AX719" s="69"/>
      <c r="AY719" s="69"/>
      <c r="AZ719" s="69"/>
      <c r="BA719" s="69"/>
      <c r="BB719" s="69"/>
      <c r="BC719" s="69"/>
      <c r="BD719" s="69"/>
      <c r="BE719" s="69"/>
      <c r="BF719" s="69"/>
      <c r="BG719" s="69"/>
      <c r="BH719" s="69"/>
      <c r="BI719" s="69"/>
      <c r="BJ719" s="69"/>
      <c r="BK719" s="69"/>
      <c r="BL719" s="69"/>
      <c r="BM719" s="69"/>
      <c r="BN719" s="69"/>
      <c r="BO719" s="69"/>
      <c r="BP719" s="69"/>
      <c r="BQ719" s="69"/>
      <c r="BR719" s="69"/>
      <c r="BS719" s="69"/>
      <c r="BT719" s="69"/>
      <c r="BU719" s="69"/>
      <c r="BV719" s="69"/>
      <c r="BW719" s="69"/>
      <c r="BX719" s="69"/>
      <c r="BY719" s="69"/>
      <c r="BZ719" s="69"/>
      <c r="CA719" s="69"/>
      <c r="CB719" s="69"/>
      <c r="CC719" s="69"/>
      <c r="CD719" s="69"/>
      <c r="CE719" s="69"/>
      <c r="CF719" s="69"/>
      <c r="CG719" s="69"/>
      <c r="CH719" s="69"/>
      <c r="CI719" s="69"/>
      <c r="CJ719" s="69"/>
      <c r="CK719" s="69"/>
      <c r="CL719" s="69"/>
      <c r="CM719" s="69"/>
      <c r="CN719" s="69"/>
      <c r="CO719" s="69"/>
      <c r="CP719" s="69"/>
      <c r="CQ719" s="69"/>
      <c r="CR719" s="69"/>
      <c r="CS719" s="69"/>
      <c r="CT719" s="69"/>
      <c r="CU719" s="69"/>
      <c r="CV719" s="69"/>
      <c r="CW719" s="69"/>
      <c r="CX719" s="69"/>
      <c r="CY719" s="69"/>
      <c r="CZ719" s="69"/>
      <c r="DA719" s="69"/>
      <c r="DB719" s="69"/>
      <c r="DC719" s="69"/>
      <c r="DD719" s="69"/>
      <c r="DE719" s="69"/>
      <c r="DF719" s="69"/>
      <c r="DG719" s="69"/>
      <c r="DH719" s="69"/>
      <c r="DI719" s="69"/>
      <c r="DJ719" s="69"/>
      <c r="DK719" s="69"/>
      <c r="DL719" s="69"/>
    </row>
    <row r="720" spans="1:116" ht="13" x14ac:dyDescent="0.3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202"/>
      <c r="V720" s="69"/>
      <c r="W720" s="69"/>
      <c r="X720" s="69"/>
      <c r="Y720" s="69"/>
      <c r="Z720" s="69"/>
      <c r="AA720" s="69"/>
      <c r="AB720" s="203"/>
      <c r="AC720" s="69"/>
      <c r="AD720" s="69"/>
      <c r="AE720" s="203"/>
      <c r="AF720" s="69"/>
      <c r="AG720" s="69"/>
      <c r="AH720" s="69"/>
      <c r="AI720" s="69"/>
      <c r="AJ720" s="69"/>
      <c r="AK720" s="69"/>
      <c r="AL720" s="69"/>
      <c r="AM720" s="69"/>
      <c r="AN720" s="69"/>
      <c r="AO720" s="69"/>
      <c r="AP720" s="69"/>
      <c r="AQ720" s="69"/>
      <c r="AR720" s="69"/>
      <c r="AS720" s="69"/>
      <c r="AT720" s="69"/>
      <c r="AU720" s="69"/>
      <c r="AV720" s="69"/>
      <c r="AW720" s="69"/>
      <c r="AX720" s="69"/>
      <c r="AY720" s="69"/>
      <c r="AZ720" s="69"/>
      <c r="BA720" s="69"/>
      <c r="BB720" s="69"/>
      <c r="BC720" s="69"/>
      <c r="BD720" s="69"/>
      <c r="BE720" s="69"/>
      <c r="BF720" s="69"/>
      <c r="BG720" s="69"/>
      <c r="BH720" s="69"/>
      <c r="BI720" s="69"/>
      <c r="BJ720" s="69"/>
      <c r="BK720" s="69"/>
      <c r="BL720" s="69"/>
      <c r="BM720" s="69"/>
      <c r="BN720" s="69"/>
      <c r="BO720" s="69"/>
      <c r="BP720" s="69"/>
      <c r="BQ720" s="69"/>
      <c r="BR720" s="69"/>
      <c r="BS720" s="69"/>
      <c r="BT720" s="69"/>
      <c r="BU720" s="69"/>
      <c r="BV720" s="69"/>
      <c r="BW720" s="69"/>
      <c r="BX720" s="69"/>
      <c r="BY720" s="69"/>
      <c r="BZ720" s="69"/>
      <c r="CA720" s="69"/>
      <c r="CB720" s="69"/>
      <c r="CC720" s="69"/>
      <c r="CD720" s="69"/>
      <c r="CE720" s="69"/>
      <c r="CF720" s="69"/>
      <c r="CG720" s="69"/>
      <c r="CH720" s="69"/>
      <c r="CI720" s="69"/>
      <c r="CJ720" s="69"/>
      <c r="CK720" s="69"/>
      <c r="CL720" s="69"/>
      <c r="CM720" s="69"/>
      <c r="CN720" s="69"/>
      <c r="CO720" s="69"/>
      <c r="CP720" s="69"/>
      <c r="CQ720" s="69"/>
      <c r="CR720" s="69"/>
      <c r="CS720" s="69"/>
      <c r="CT720" s="69"/>
      <c r="CU720" s="69"/>
      <c r="CV720" s="69"/>
      <c r="CW720" s="69"/>
      <c r="CX720" s="69"/>
      <c r="CY720" s="69"/>
      <c r="CZ720" s="69"/>
      <c r="DA720" s="69"/>
      <c r="DB720" s="69"/>
      <c r="DC720" s="69"/>
      <c r="DD720" s="69"/>
      <c r="DE720" s="69"/>
      <c r="DF720" s="69"/>
      <c r="DG720" s="69"/>
      <c r="DH720" s="69"/>
      <c r="DI720" s="69"/>
      <c r="DJ720" s="69"/>
      <c r="DK720" s="69"/>
      <c r="DL720" s="69"/>
    </row>
    <row r="721" spans="1:116" ht="13" x14ac:dyDescent="0.3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202"/>
      <c r="V721" s="69"/>
      <c r="W721" s="69"/>
      <c r="X721" s="69"/>
      <c r="Y721" s="69"/>
      <c r="Z721" s="69"/>
      <c r="AA721" s="69"/>
      <c r="AB721" s="203"/>
      <c r="AC721" s="69"/>
      <c r="AD721" s="69"/>
      <c r="AE721" s="203"/>
      <c r="AF721" s="69"/>
      <c r="AG721" s="69"/>
      <c r="AH721" s="69"/>
      <c r="AI721" s="69"/>
      <c r="AJ721" s="69"/>
      <c r="AK721" s="69"/>
      <c r="AL721" s="69"/>
      <c r="AM721" s="69"/>
      <c r="AN721" s="69"/>
      <c r="AO721" s="69"/>
      <c r="AP721" s="69"/>
      <c r="AQ721" s="69"/>
      <c r="AR721" s="69"/>
      <c r="AS721" s="69"/>
      <c r="AT721" s="69"/>
      <c r="AU721" s="69"/>
      <c r="AV721" s="69"/>
      <c r="AW721" s="69"/>
      <c r="AX721" s="69"/>
      <c r="AY721" s="69"/>
      <c r="AZ721" s="69"/>
      <c r="BA721" s="69"/>
      <c r="BB721" s="69"/>
      <c r="BC721" s="69"/>
      <c r="BD721" s="69"/>
      <c r="BE721" s="69"/>
      <c r="BF721" s="69"/>
      <c r="BG721" s="69"/>
      <c r="BH721" s="69"/>
      <c r="BI721" s="69"/>
      <c r="BJ721" s="69"/>
      <c r="BK721" s="69"/>
      <c r="BL721" s="69"/>
      <c r="BM721" s="69"/>
      <c r="BN721" s="69"/>
      <c r="BO721" s="69"/>
      <c r="BP721" s="69"/>
      <c r="BQ721" s="69"/>
      <c r="BR721" s="69"/>
      <c r="BS721" s="69"/>
      <c r="BT721" s="69"/>
      <c r="BU721" s="69"/>
      <c r="BV721" s="69"/>
      <c r="BW721" s="69"/>
      <c r="BX721" s="69"/>
      <c r="BY721" s="69"/>
      <c r="BZ721" s="69"/>
      <c r="CA721" s="69"/>
      <c r="CB721" s="69"/>
      <c r="CC721" s="69"/>
      <c r="CD721" s="69"/>
      <c r="CE721" s="69"/>
      <c r="CF721" s="69"/>
      <c r="CG721" s="69"/>
      <c r="CH721" s="69"/>
      <c r="CI721" s="69"/>
      <c r="CJ721" s="69"/>
      <c r="CK721" s="69"/>
      <c r="CL721" s="69"/>
      <c r="CM721" s="69"/>
      <c r="CN721" s="69"/>
      <c r="CO721" s="69"/>
      <c r="CP721" s="69"/>
      <c r="CQ721" s="69"/>
      <c r="CR721" s="69"/>
      <c r="CS721" s="69"/>
      <c r="CT721" s="69"/>
      <c r="CU721" s="69"/>
      <c r="CV721" s="69"/>
      <c r="CW721" s="69"/>
      <c r="CX721" s="69"/>
      <c r="CY721" s="69"/>
      <c r="CZ721" s="69"/>
      <c r="DA721" s="69"/>
      <c r="DB721" s="69"/>
      <c r="DC721" s="69"/>
      <c r="DD721" s="69"/>
      <c r="DE721" s="69"/>
      <c r="DF721" s="69"/>
      <c r="DG721" s="69"/>
      <c r="DH721" s="69"/>
      <c r="DI721" s="69"/>
      <c r="DJ721" s="69"/>
      <c r="DK721" s="69"/>
      <c r="DL721" s="69"/>
    </row>
    <row r="722" spans="1:116" ht="13" x14ac:dyDescent="0.3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202"/>
      <c r="V722" s="69"/>
      <c r="W722" s="69"/>
      <c r="X722" s="69"/>
      <c r="Y722" s="69"/>
      <c r="Z722" s="69"/>
      <c r="AA722" s="69"/>
      <c r="AB722" s="203"/>
      <c r="AC722" s="69"/>
      <c r="AD722" s="69"/>
      <c r="AE722" s="203"/>
      <c r="AF722" s="69"/>
      <c r="AG722" s="69"/>
      <c r="AH722" s="69"/>
      <c r="AI722" s="69"/>
      <c r="AJ722" s="69"/>
      <c r="AK722" s="69"/>
      <c r="AL722" s="69"/>
      <c r="AM722" s="69"/>
      <c r="AN722" s="69"/>
      <c r="AO722" s="69"/>
      <c r="AP722" s="69"/>
      <c r="AQ722" s="69"/>
      <c r="AR722" s="69"/>
      <c r="AS722" s="69"/>
      <c r="AT722" s="69"/>
      <c r="AU722" s="69"/>
      <c r="AV722" s="69"/>
      <c r="AW722" s="69"/>
      <c r="AX722" s="69"/>
      <c r="AY722" s="69"/>
      <c r="AZ722" s="69"/>
      <c r="BA722" s="69"/>
      <c r="BB722" s="69"/>
      <c r="BC722" s="69"/>
      <c r="BD722" s="69"/>
      <c r="BE722" s="69"/>
      <c r="BF722" s="69"/>
      <c r="BG722" s="69"/>
      <c r="BH722" s="69"/>
      <c r="BI722" s="69"/>
      <c r="BJ722" s="69"/>
      <c r="BK722" s="69"/>
      <c r="BL722" s="69"/>
      <c r="BM722" s="69"/>
      <c r="BN722" s="69"/>
      <c r="BO722" s="69"/>
      <c r="BP722" s="69"/>
      <c r="BQ722" s="69"/>
      <c r="BR722" s="69"/>
      <c r="BS722" s="69"/>
      <c r="BT722" s="69"/>
      <c r="BU722" s="69"/>
      <c r="BV722" s="69"/>
      <c r="BW722" s="69"/>
      <c r="BX722" s="69"/>
      <c r="BY722" s="69"/>
      <c r="BZ722" s="69"/>
      <c r="CA722" s="69"/>
      <c r="CB722" s="69"/>
      <c r="CC722" s="69"/>
      <c r="CD722" s="69"/>
      <c r="CE722" s="69"/>
      <c r="CF722" s="69"/>
      <c r="CG722" s="69"/>
      <c r="CH722" s="69"/>
      <c r="CI722" s="69"/>
      <c r="CJ722" s="69"/>
      <c r="CK722" s="69"/>
      <c r="CL722" s="69"/>
      <c r="CM722" s="69"/>
      <c r="CN722" s="69"/>
      <c r="CO722" s="69"/>
      <c r="CP722" s="69"/>
      <c r="CQ722" s="69"/>
      <c r="CR722" s="69"/>
      <c r="CS722" s="69"/>
      <c r="CT722" s="69"/>
      <c r="CU722" s="69"/>
      <c r="CV722" s="69"/>
      <c r="CW722" s="69"/>
      <c r="CX722" s="69"/>
      <c r="CY722" s="69"/>
      <c r="CZ722" s="69"/>
      <c r="DA722" s="69"/>
      <c r="DB722" s="69"/>
      <c r="DC722" s="69"/>
      <c r="DD722" s="69"/>
      <c r="DE722" s="69"/>
      <c r="DF722" s="69"/>
      <c r="DG722" s="69"/>
      <c r="DH722" s="69"/>
      <c r="DI722" s="69"/>
      <c r="DJ722" s="69"/>
      <c r="DK722" s="69"/>
      <c r="DL722" s="69"/>
    </row>
    <row r="723" spans="1:116" ht="13" x14ac:dyDescent="0.3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202"/>
      <c r="V723" s="69"/>
      <c r="W723" s="69"/>
      <c r="X723" s="69"/>
      <c r="Y723" s="69"/>
      <c r="Z723" s="69"/>
      <c r="AA723" s="69"/>
      <c r="AB723" s="203"/>
      <c r="AC723" s="69"/>
      <c r="AD723" s="69"/>
      <c r="AE723" s="203"/>
      <c r="AF723" s="69"/>
      <c r="AG723" s="69"/>
      <c r="AH723" s="69"/>
      <c r="AI723" s="69"/>
      <c r="AJ723" s="69"/>
      <c r="AK723" s="69"/>
      <c r="AL723" s="69"/>
      <c r="AM723" s="69"/>
      <c r="AN723" s="69"/>
      <c r="AO723" s="69"/>
      <c r="AP723" s="69"/>
      <c r="AQ723" s="69"/>
      <c r="AR723" s="69"/>
      <c r="AS723" s="69"/>
      <c r="AT723" s="69"/>
      <c r="AU723" s="69"/>
      <c r="AV723" s="69"/>
      <c r="AW723" s="69"/>
      <c r="AX723" s="69"/>
      <c r="AY723" s="69"/>
      <c r="AZ723" s="69"/>
      <c r="BA723" s="69"/>
      <c r="BB723" s="69"/>
      <c r="BC723" s="69"/>
      <c r="BD723" s="69"/>
      <c r="BE723" s="69"/>
      <c r="BF723" s="69"/>
      <c r="BG723" s="69"/>
      <c r="BH723" s="69"/>
      <c r="BI723" s="69"/>
      <c r="BJ723" s="69"/>
      <c r="BK723" s="69"/>
      <c r="BL723" s="69"/>
      <c r="BM723" s="69"/>
      <c r="BN723" s="69"/>
      <c r="BO723" s="69"/>
      <c r="BP723" s="69"/>
      <c r="BQ723" s="69"/>
      <c r="BR723" s="69"/>
      <c r="BS723" s="69"/>
      <c r="BT723" s="69"/>
      <c r="BU723" s="69"/>
      <c r="BV723" s="69"/>
      <c r="BW723" s="69"/>
      <c r="BX723" s="69"/>
      <c r="BY723" s="69"/>
      <c r="BZ723" s="69"/>
      <c r="CA723" s="69"/>
      <c r="CB723" s="69"/>
      <c r="CC723" s="69"/>
      <c r="CD723" s="69"/>
      <c r="CE723" s="69"/>
      <c r="CF723" s="69"/>
      <c r="CG723" s="69"/>
      <c r="CH723" s="69"/>
      <c r="CI723" s="69"/>
      <c r="CJ723" s="69"/>
      <c r="CK723" s="69"/>
      <c r="CL723" s="69"/>
      <c r="CM723" s="69"/>
      <c r="CN723" s="69"/>
      <c r="CO723" s="69"/>
      <c r="CP723" s="69"/>
      <c r="CQ723" s="69"/>
      <c r="CR723" s="69"/>
      <c r="CS723" s="69"/>
      <c r="CT723" s="69"/>
      <c r="CU723" s="69"/>
      <c r="CV723" s="69"/>
      <c r="CW723" s="69"/>
      <c r="CX723" s="69"/>
      <c r="CY723" s="69"/>
      <c r="CZ723" s="69"/>
      <c r="DA723" s="69"/>
      <c r="DB723" s="69"/>
      <c r="DC723" s="69"/>
      <c r="DD723" s="69"/>
      <c r="DE723" s="69"/>
      <c r="DF723" s="69"/>
      <c r="DG723" s="69"/>
      <c r="DH723" s="69"/>
      <c r="DI723" s="69"/>
      <c r="DJ723" s="69"/>
      <c r="DK723" s="69"/>
      <c r="DL723" s="69"/>
    </row>
    <row r="724" spans="1:116" ht="13" x14ac:dyDescent="0.3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202"/>
      <c r="V724" s="69"/>
      <c r="W724" s="69"/>
      <c r="X724" s="69"/>
      <c r="Y724" s="69"/>
      <c r="Z724" s="69"/>
      <c r="AA724" s="69"/>
      <c r="AB724" s="203"/>
      <c r="AC724" s="69"/>
      <c r="AD724" s="69"/>
      <c r="AE724" s="203"/>
      <c r="AF724" s="69"/>
      <c r="AG724" s="69"/>
      <c r="AH724" s="69"/>
      <c r="AI724" s="69"/>
      <c r="AJ724" s="69"/>
      <c r="AK724" s="69"/>
      <c r="AL724" s="69"/>
      <c r="AM724" s="69"/>
      <c r="AN724" s="69"/>
      <c r="AO724" s="69"/>
      <c r="AP724" s="69"/>
      <c r="AQ724" s="69"/>
      <c r="AR724" s="69"/>
      <c r="AS724" s="69"/>
      <c r="AT724" s="69"/>
      <c r="AU724" s="69"/>
      <c r="AV724" s="69"/>
      <c r="AW724" s="69"/>
      <c r="AX724" s="69"/>
      <c r="AY724" s="69"/>
      <c r="AZ724" s="69"/>
      <c r="BA724" s="69"/>
      <c r="BB724" s="69"/>
      <c r="BC724" s="69"/>
      <c r="BD724" s="69"/>
      <c r="BE724" s="69"/>
      <c r="BF724" s="69"/>
      <c r="BG724" s="69"/>
      <c r="BH724" s="69"/>
      <c r="BI724" s="69"/>
      <c r="BJ724" s="69"/>
      <c r="BK724" s="69"/>
      <c r="BL724" s="69"/>
      <c r="BM724" s="69"/>
      <c r="BN724" s="69"/>
      <c r="BO724" s="69"/>
      <c r="BP724" s="69"/>
      <c r="BQ724" s="69"/>
      <c r="BR724" s="69"/>
      <c r="BS724" s="69"/>
      <c r="BT724" s="69"/>
      <c r="BU724" s="69"/>
      <c r="BV724" s="69"/>
      <c r="BW724" s="69"/>
      <c r="BX724" s="69"/>
      <c r="BY724" s="69"/>
      <c r="BZ724" s="69"/>
      <c r="CA724" s="69"/>
      <c r="CB724" s="69"/>
      <c r="CC724" s="69"/>
      <c r="CD724" s="69"/>
      <c r="CE724" s="69"/>
      <c r="CF724" s="69"/>
      <c r="CG724" s="69"/>
      <c r="CH724" s="69"/>
      <c r="CI724" s="69"/>
      <c r="CJ724" s="69"/>
      <c r="CK724" s="69"/>
      <c r="CL724" s="69"/>
      <c r="CM724" s="69"/>
      <c r="CN724" s="69"/>
      <c r="CO724" s="69"/>
      <c r="CP724" s="69"/>
      <c r="CQ724" s="69"/>
      <c r="CR724" s="69"/>
      <c r="CS724" s="69"/>
      <c r="CT724" s="69"/>
      <c r="CU724" s="69"/>
      <c r="CV724" s="69"/>
      <c r="CW724" s="69"/>
      <c r="CX724" s="69"/>
      <c r="CY724" s="69"/>
      <c r="CZ724" s="69"/>
      <c r="DA724" s="69"/>
      <c r="DB724" s="69"/>
      <c r="DC724" s="69"/>
      <c r="DD724" s="69"/>
      <c r="DE724" s="69"/>
      <c r="DF724" s="69"/>
      <c r="DG724" s="69"/>
      <c r="DH724" s="69"/>
      <c r="DI724" s="69"/>
      <c r="DJ724" s="69"/>
      <c r="DK724" s="69"/>
      <c r="DL724" s="69"/>
    </row>
    <row r="725" spans="1:116" ht="13" x14ac:dyDescent="0.3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202"/>
      <c r="V725" s="69"/>
      <c r="W725" s="69"/>
      <c r="X725" s="69"/>
      <c r="Y725" s="69"/>
      <c r="Z725" s="69"/>
      <c r="AA725" s="69"/>
      <c r="AB725" s="203"/>
      <c r="AC725" s="69"/>
      <c r="AD725" s="69"/>
      <c r="AE725" s="203"/>
      <c r="AF725" s="69"/>
      <c r="AG725" s="69"/>
      <c r="AH725" s="69"/>
      <c r="AI725" s="69"/>
      <c r="AJ725" s="69"/>
      <c r="AK725" s="69"/>
      <c r="AL725" s="69"/>
      <c r="AM725" s="69"/>
      <c r="AN725" s="69"/>
      <c r="AO725" s="69"/>
      <c r="AP725" s="69"/>
      <c r="AQ725" s="69"/>
      <c r="AR725" s="69"/>
      <c r="AS725" s="69"/>
      <c r="AT725" s="69"/>
      <c r="AU725" s="69"/>
      <c r="AV725" s="69"/>
      <c r="AW725" s="69"/>
      <c r="AX725" s="69"/>
      <c r="AY725" s="69"/>
      <c r="AZ725" s="69"/>
      <c r="BA725" s="69"/>
      <c r="BB725" s="69"/>
      <c r="BC725" s="69"/>
      <c r="BD725" s="69"/>
      <c r="BE725" s="69"/>
      <c r="BF725" s="69"/>
      <c r="BG725" s="69"/>
      <c r="BH725" s="69"/>
      <c r="BI725" s="69"/>
      <c r="BJ725" s="69"/>
      <c r="BK725" s="69"/>
      <c r="BL725" s="69"/>
      <c r="BM725" s="69"/>
      <c r="BN725" s="69"/>
      <c r="BO725" s="69"/>
      <c r="BP725" s="69"/>
      <c r="BQ725" s="69"/>
      <c r="BR725" s="69"/>
      <c r="BS725" s="69"/>
      <c r="BT725" s="69"/>
      <c r="BU725" s="69"/>
      <c r="BV725" s="69"/>
      <c r="BW725" s="69"/>
      <c r="BX725" s="69"/>
      <c r="BY725" s="69"/>
      <c r="BZ725" s="69"/>
      <c r="CA725" s="69"/>
      <c r="CB725" s="69"/>
      <c r="CC725" s="69"/>
      <c r="CD725" s="69"/>
      <c r="CE725" s="69"/>
      <c r="CF725" s="69"/>
      <c r="CG725" s="69"/>
      <c r="CH725" s="69"/>
      <c r="CI725" s="69"/>
      <c r="CJ725" s="69"/>
      <c r="CK725" s="69"/>
      <c r="CL725" s="69"/>
      <c r="CM725" s="69"/>
      <c r="CN725" s="69"/>
      <c r="CO725" s="69"/>
      <c r="CP725" s="69"/>
      <c r="CQ725" s="69"/>
      <c r="CR725" s="69"/>
      <c r="CS725" s="69"/>
      <c r="CT725" s="69"/>
      <c r="CU725" s="69"/>
      <c r="CV725" s="69"/>
      <c r="CW725" s="69"/>
      <c r="CX725" s="69"/>
      <c r="CY725" s="69"/>
      <c r="CZ725" s="69"/>
      <c r="DA725" s="69"/>
      <c r="DB725" s="69"/>
      <c r="DC725" s="69"/>
      <c r="DD725" s="69"/>
      <c r="DE725" s="69"/>
      <c r="DF725" s="69"/>
      <c r="DG725" s="69"/>
      <c r="DH725" s="69"/>
      <c r="DI725" s="69"/>
      <c r="DJ725" s="69"/>
      <c r="DK725" s="69"/>
      <c r="DL725" s="69"/>
    </row>
    <row r="726" spans="1:116" ht="13" x14ac:dyDescent="0.3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202"/>
      <c r="V726" s="69"/>
      <c r="W726" s="69"/>
      <c r="X726" s="69"/>
      <c r="Y726" s="69"/>
      <c r="Z726" s="69"/>
      <c r="AA726" s="69"/>
      <c r="AB726" s="203"/>
      <c r="AC726" s="69"/>
      <c r="AD726" s="69"/>
      <c r="AE726" s="203"/>
      <c r="AF726" s="69"/>
      <c r="AG726" s="69"/>
      <c r="AH726" s="69"/>
      <c r="AI726" s="69"/>
      <c r="AJ726" s="69"/>
      <c r="AK726" s="69"/>
      <c r="AL726" s="69"/>
      <c r="AM726" s="69"/>
      <c r="AN726" s="69"/>
      <c r="AO726" s="69"/>
      <c r="AP726" s="69"/>
      <c r="AQ726" s="69"/>
      <c r="AR726" s="69"/>
      <c r="AS726" s="69"/>
      <c r="AT726" s="69"/>
      <c r="AU726" s="69"/>
      <c r="AV726" s="69"/>
      <c r="AW726" s="69"/>
      <c r="AX726" s="69"/>
      <c r="AY726" s="69"/>
      <c r="AZ726" s="69"/>
      <c r="BA726" s="69"/>
      <c r="BB726" s="69"/>
      <c r="BC726" s="69"/>
      <c r="BD726" s="69"/>
      <c r="BE726" s="69"/>
      <c r="BF726" s="69"/>
      <c r="BG726" s="69"/>
      <c r="BH726" s="69"/>
      <c r="BI726" s="69"/>
      <c r="BJ726" s="69"/>
      <c r="BK726" s="69"/>
      <c r="BL726" s="69"/>
      <c r="BM726" s="69"/>
      <c r="BN726" s="69"/>
      <c r="BO726" s="69"/>
      <c r="BP726" s="69"/>
      <c r="BQ726" s="69"/>
      <c r="BR726" s="69"/>
      <c r="BS726" s="69"/>
      <c r="BT726" s="69"/>
      <c r="BU726" s="69"/>
      <c r="BV726" s="69"/>
      <c r="BW726" s="69"/>
      <c r="BX726" s="69"/>
      <c r="BY726" s="69"/>
      <c r="BZ726" s="69"/>
      <c r="CA726" s="69"/>
      <c r="CB726" s="69"/>
      <c r="CC726" s="69"/>
      <c r="CD726" s="69"/>
      <c r="CE726" s="69"/>
      <c r="CF726" s="69"/>
      <c r="CG726" s="69"/>
      <c r="CH726" s="69"/>
      <c r="CI726" s="69"/>
      <c r="CJ726" s="69"/>
      <c r="CK726" s="69"/>
      <c r="CL726" s="69"/>
      <c r="CM726" s="69"/>
      <c r="CN726" s="69"/>
      <c r="CO726" s="69"/>
      <c r="CP726" s="69"/>
      <c r="CQ726" s="69"/>
      <c r="CR726" s="69"/>
      <c r="CS726" s="69"/>
      <c r="CT726" s="69"/>
      <c r="CU726" s="69"/>
      <c r="CV726" s="69"/>
      <c r="CW726" s="69"/>
      <c r="CX726" s="69"/>
      <c r="CY726" s="69"/>
      <c r="CZ726" s="69"/>
      <c r="DA726" s="69"/>
      <c r="DB726" s="69"/>
      <c r="DC726" s="69"/>
      <c r="DD726" s="69"/>
      <c r="DE726" s="69"/>
      <c r="DF726" s="69"/>
      <c r="DG726" s="69"/>
      <c r="DH726" s="69"/>
      <c r="DI726" s="69"/>
      <c r="DJ726" s="69"/>
      <c r="DK726" s="69"/>
      <c r="DL726" s="69"/>
    </row>
    <row r="727" spans="1:116" ht="13" x14ac:dyDescent="0.3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202"/>
      <c r="V727" s="69"/>
      <c r="W727" s="69"/>
      <c r="X727" s="69"/>
      <c r="Y727" s="69"/>
      <c r="Z727" s="69"/>
      <c r="AA727" s="69"/>
      <c r="AB727" s="203"/>
      <c r="AC727" s="69"/>
      <c r="AD727" s="69"/>
      <c r="AE727" s="203"/>
      <c r="AF727" s="69"/>
      <c r="AG727" s="69"/>
      <c r="AH727" s="69"/>
      <c r="AI727" s="69"/>
      <c r="AJ727" s="69"/>
      <c r="AK727" s="69"/>
      <c r="AL727" s="69"/>
      <c r="AM727" s="69"/>
      <c r="AN727" s="69"/>
      <c r="AO727" s="69"/>
      <c r="AP727" s="69"/>
      <c r="AQ727" s="69"/>
      <c r="AR727" s="69"/>
      <c r="AS727" s="69"/>
      <c r="AT727" s="69"/>
      <c r="AU727" s="69"/>
      <c r="AV727" s="69"/>
      <c r="AW727" s="69"/>
      <c r="AX727" s="69"/>
      <c r="AY727" s="69"/>
      <c r="AZ727" s="69"/>
      <c r="BA727" s="69"/>
      <c r="BB727" s="69"/>
      <c r="BC727" s="69"/>
      <c r="BD727" s="69"/>
      <c r="BE727" s="69"/>
      <c r="BF727" s="69"/>
      <c r="BG727" s="69"/>
      <c r="BH727" s="69"/>
      <c r="BI727" s="69"/>
      <c r="BJ727" s="69"/>
      <c r="BK727" s="69"/>
      <c r="BL727" s="69"/>
      <c r="BM727" s="69"/>
      <c r="BN727" s="69"/>
      <c r="BO727" s="69"/>
      <c r="BP727" s="69"/>
      <c r="BQ727" s="69"/>
      <c r="BR727" s="69"/>
      <c r="BS727" s="69"/>
      <c r="BT727" s="69"/>
      <c r="BU727" s="69"/>
      <c r="BV727" s="69"/>
      <c r="BW727" s="69"/>
      <c r="BX727" s="69"/>
      <c r="BY727" s="69"/>
      <c r="BZ727" s="69"/>
      <c r="CA727" s="69"/>
      <c r="CB727" s="69"/>
      <c r="CC727" s="69"/>
      <c r="CD727" s="69"/>
      <c r="CE727" s="69"/>
      <c r="CF727" s="69"/>
      <c r="CG727" s="69"/>
      <c r="CH727" s="69"/>
      <c r="CI727" s="69"/>
      <c r="CJ727" s="69"/>
      <c r="CK727" s="69"/>
      <c r="CL727" s="69"/>
      <c r="CM727" s="69"/>
      <c r="CN727" s="69"/>
      <c r="CO727" s="69"/>
      <c r="CP727" s="69"/>
      <c r="CQ727" s="69"/>
      <c r="CR727" s="69"/>
      <c r="CS727" s="69"/>
      <c r="CT727" s="69"/>
      <c r="CU727" s="69"/>
      <c r="CV727" s="69"/>
      <c r="CW727" s="69"/>
      <c r="CX727" s="69"/>
      <c r="CY727" s="69"/>
      <c r="CZ727" s="69"/>
      <c r="DA727" s="69"/>
      <c r="DB727" s="69"/>
      <c r="DC727" s="69"/>
      <c r="DD727" s="69"/>
      <c r="DE727" s="69"/>
      <c r="DF727" s="69"/>
      <c r="DG727" s="69"/>
      <c r="DH727" s="69"/>
      <c r="DI727" s="69"/>
      <c r="DJ727" s="69"/>
      <c r="DK727" s="69"/>
      <c r="DL727" s="69"/>
    </row>
    <row r="728" spans="1:116" ht="13" x14ac:dyDescent="0.3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202"/>
      <c r="V728" s="69"/>
      <c r="W728" s="69"/>
      <c r="X728" s="69"/>
      <c r="Y728" s="69"/>
      <c r="Z728" s="69"/>
      <c r="AA728" s="69"/>
      <c r="AB728" s="203"/>
      <c r="AC728" s="69"/>
      <c r="AD728" s="69"/>
      <c r="AE728" s="203"/>
      <c r="AF728" s="69"/>
      <c r="AG728" s="69"/>
      <c r="AH728" s="69"/>
      <c r="AI728" s="69"/>
      <c r="AJ728" s="69"/>
      <c r="AK728" s="69"/>
      <c r="AL728" s="69"/>
      <c r="AM728" s="69"/>
      <c r="AN728" s="69"/>
      <c r="AO728" s="69"/>
      <c r="AP728" s="69"/>
      <c r="AQ728" s="69"/>
      <c r="AR728" s="69"/>
      <c r="AS728" s="69"/>
      <c r="AT728" s="69"/>
      <c r="AU728" s="69"/>
      <c r="AV728" s="69"/>
      <c r="AW728" s="69"/>
      <c r="AX728" s="69"/>
      <c r="AY728" s="69"/>
      <c r="AZ728" s="69"/>
      <c r="BA728" s="69"/>
      <c r="BB728" s="69"/>
      <c r="BC728" s="69"/>
      <c r="BD728" s="69"/>
      <c r="BE728" s="69"/>
      <c r="BF728" s="69"/>
      <c r="BG728" s="69"/>
      <c r="BH728" s="69"/>
      <c r="BI728" s="69"/>
      <c r="BJ728" s="69"/>
      <c r="BK728" s="69"/>
      <c r="BL728" s="69"/>
      <c r="BM728" s="69"/>
      <c r="BN728" s="69"/>
      <c r="BO728" s="69"/>
      <c r="BP728" s="69"/>
      <c r="BQ728" s="69"/>
      <c r="BR728" s="69"/>
      <c r="BS728" s="69"/>
      <c r="BT728" s="69"/>
      <c r="BU728" s="69"/>
      <c r="BV728" s="69"/>
      <c r="BW728" s="69"/>
      <c r="BX728" s="69"/>
      <c r="BY728" s="69"/>
      <c r="BZ728" s="69"/>
      <c r="CA728" s="69"/>
      <c r="CB728" s="69"/>
      <c r="CC728" s="69"/>
      <c r="CD728" s="69"/>
      <c r="CE728" s="69"/>
      <c r="CF728" s="69"/>
      <c r="CG728" s="69"/>
      <c r="CH728" s="69"/>
      <c r="CI728" s="69"/>
      <c r="CJ728" s="69"/>
      <c r="CK728" s="69"/>
      <c r="CL728" s="69"/>
      <c r="CM728" s="69"/>
      <c r="CN728" s="69"/>
      <c r="CO728" s="69"/>
      <c r="CP728" s="69"/>
      <c r="CQ728" s="69"/>
      <c r="CR728" s="69"/>
      <c r="CS728" s="69"/>
      <c r="CT728" s="69"/>
      <c r="CU728" s="69"/>
      <c r="CV728" s="69"/>
      <c r="CW728" s="69"/>
      <c r="CX728" s="69"/>
      <c r="CY728" s="69"/>
      <c r="CZ728" s="69"/>
      <c r="DA728" s="69"/>
      <c r="DB728" s="69"/>
      <c r="DC728" s="69"/>
      <c r="DD728" s="69"/>
      <c r="DE728" s="69"/>
      <c r="DF728" s="69"/>
      <c r="DG728" s="69"/>
      <c r="DH728" s="69"/>
      <c r="DI728" s="69"/>
      <c r="DJ728" s="69"/>
      <c r="DK728" s="69"/>
      <c r="DL728" s="69"/>
    </row>
    <row r="729" spans="1:116" ht="13" x14ac:dyDescent="0.3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202"/>
      <c r="V729" s="69"/>
      <c r="W729" s="69"/>
      <c r="X729" s="69"/>
      <c r="Y729" s="69"/>
      <c r="Z729" s="69"/>
      <c r="AA729" s="69"/>
      <c r="AB729" s="203"/>
      <c r="AC729" s="69"/>
      <c r="AD729" s="69"/>
      <c r="AE729" s="203"/>
      <c r="AF729" s="69"/>
      <c r="AG729" s="69"/>
      <c r="AH729" s="69"/>
      <c r="AI729" s="69"/>
      <c r="AJ729" s="69"/>
      <c r="AK729" s="69"/>
      <c r="AL729" s="69"/>
      <c r="AM729" s="69"/>
      <c r="AN729" s="69"/>
      <c r="AO729" s="69"/>
      <c r="AP729" s="69"/>
      <c r="AQ729" s="69"/>
      <c r="AR729" s="69"/>
      <c r="AS729" s="69"/>
      <c r="AT729" s="69"/>
      <c r="AU729" s="69"/>
      <c r="AV729" s="69"/>
      <c r="AW729" s="69"/>
      <c r="AX729" s="69"/>
      <c r="AY729" s="69"/>
      <c r="AZ729" s="69"/>
      <c r="BA729" s="69"/>
      <c r="BB729" s="69"/>
      <c r="BC729" s="69"/>
      <c r="BD729" s="69"/>
      <c r="BE729" s="69"/>
      <c r="BF729" s="69"/>
      <c r="BG729" s="69"/>
      <c r="BH729" s="69"/>
      <c r="BI729" s="69"/>
      <c r="BJ729" s="69"/>
      <c r="BK729" s="69"/>
      <c r="BL729" s="69"/>
      <c r="BM729" s="69"/>
      <c r="BN729" s="69"/>
      <c r="BO729" s="69"/>
      <c r="BP729" s="69"/>
      <c r="BQ729" s="69"/>
      <c r="BR729" s="69"/>
      <c r="BS729" s="69"/>
      <c r="BT729" s="69"/>
      <c r="BU729" s="69"/>
      <c r="BV729" s="69"/>
      <c r="BW729" s="69"/>
      <c r="BX729" s="69"/>
      <c r="BY729" s="69"/>
      <c r="BZ729" s="69"/>
      <c r="CA729" s="69"/>
      <c r="CB729" s="69"/>
      <c r="CC729" s="69"/>
      <c r="CD729" s="69"/>
      <c r="CE729" s="69"/>
      <c r="CF729" s="69"/>
      <c r="CG729" s="69"/>
      <c r="CH729" s="69"/>
      <c r="CI729" s="69"/>
      <c r="CJ729" s="69"/>
      <c r="CK729" s="69"/>
      <c r="CL729" s="69"/>
      <c r="CM729" s="69"/>
      <c r="CN729" s="69"/>
      <c r="CO729" s="69"/>
      <c r="CP729" s="69"/>
      <c r="CQ729" s="69"/>
      <c r="CR729" s="69"/>
      <c r="CS729" s="69"/>
      <c r="CT729" s="69"/>
      <c r="CU729" s="69"/>
      <c r="CV729" s="69"/>
      <c r="CW729" s="69"/>
      <c r="CX729" s="69"/>
      <c r="CY729" s="69"/>
      <c r="CZ729" s="69"/>
      <c r="DA729" s="69"/>
      <c r="DB729" s="69"/>
      <c r="DC729" s="69"/>
      <c r="DD729" s="69"/>
      <c r="DE729" s="69"/>
      <c r="DF729" s="69"/>
      <c r="DG729" s="69"/>
      <c r="DH729" s="69"/>
      <c r="DI729" s="69"/>
      <c r="DJ729" s="69"/>
      <c r="DK729" s="69"/>
      <c r="DL729" s="69"/>
    </row>
    <row r="730" spans="1:116" ht="13" x14ac:dyDescent="0.3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202"/>
      <c r="V730" s="69"/>
      <c r="W730" s="69"/>
      <c r="X730" s="69"/>
      <c r="Y730" s="69"/>
      <c r="Z730" s="69"/>
      <c r="AA730" s="69"/>
      <c r="AB730" s="203"/>
      <c r="AC730" s="69"/>
      <c r="AD730" s="69"/>
      <c r="AE730" s="203"/>
      <c r="AF730" s="69"/>
      <c r="AG730" s="69"/>
      <c r="AH730" s="69"/>
      <c r="AI730" s="69"/>
      <c r="AJ730" s="69"/>
      <c r="AK730" s="69"/>
      <c r="AL730" s="69"/>
      <c r="AM730" s="69"/>
      <c r="AN730" s="69"/>
      <c r="AO730" s="69"/>
      <c r="AP730" s="69"/>
      <c r="AQ730" s="69"/>
      <c r="AR730" s="69"/>
      <c r="AS730" s="69"/>
      <c r="AT730" s="69"/>
      <c r="AU730" s="69"/>
      <c r="AV730" s="69"/>
      <c r="AW730" s="69"/>
      <c r="AX730" s="69"/>
      <c r="AY730" s="69"/>
      <c r="AZ730" s="69"/>
      <c r="BA730" s="69"/>
      <c r="BB730" s="69"/>
      <c r="BC730" s="69"/>
      <c r="BD730" s="69"/>
      <c r="BE730" s="69"/>
      <c r="BF730" s="69"/>
      <c r="BG730" s="69"/>
      <c r="BH730" s="69"/>
      <c r="BI730" s="69"/>
      <c r="BJ730" s="69"/>
      <c r="BK730" s="69"/>
      <c r="BL730" s="69"/>
      <c r="BM730" s="69"/>
      <c r="BN730" s="69"/>
      <c r="BO730" s="69"/>
      <c r="BP730" s="69"/>
      <c r="BQ730" s="69"/>
      <c r="BR730" s="69"/>
      <c r="BS730" s="69"/>
      <c r="BT730" s="69"/>
      <c r="BU730" s="69"/>
      <c r="BV730" s="69"/>
      <c r="BW730" s="69"/>
      <c r="BX730" s="69"/>
      <c r="BY730" s="69"/>
      <c r="BZ730" s="69"/>
      <c r="CA730" s="69"/>
      <c r="CB730" s="69"/>
      <c r="CC730" s="69"/>
      <c r="CD730" s="69"/>
      <c r="CE730" s="69"/>
      <c r="CF730" s="69"/>
      <c r="CG730" s="69"/>
      <c r="CH730" s="69"/>
      <c r="CI730" s="69"/>
      <c r="CJ730" s="69"/>
      <c r="CK730" s="69"/>
      <c r="CL730" s="69"/>
      <c r="CM730" s="69"/>
      <c r="CN730" s="69"/>
      <c r="CO730" s="69"/>
      <c r="CP730" s="69"/>
      <c r="CQ730" s="69"/>
      <c r="CR730" s="69"/>
      <c r="CS730" s="69"/>
      <c r="CT730" s="69"/>
      <c r="CU730" s="69"/>
      <c r="CV730" s="69"/>
      <c r="CW730" s="69"/>
      <c r="CX730" s="69"/>
      <c r="CY730" s="69"/>
      <c r="CZ730" s="69"/>
      <c r="DA730" s="69"/>
      <c r="DB730" s="69"/>
      <c r="DC730" s="69"/>
      <c r="DD730" s="69"/>
      <c r="DE730" s="69"/>
      <c r="DF730" s="69"/>
      <c r="DG730" s="69"/>
      <c r="DH730" s="69"/>
      <c r="DI730" s="69"/>
      <c r="DJ730" s="69"/>
      <c r="DK730" s="69"/>
      <c r="DL730" s="69"/>
    </row>
    <row r="731" spans="1:116" ht="13" x14ac:dyDescent="0.3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202"/>
      <c r="V731" s="69"/>
      <c r="W731" s="69"/>
      <c r="X731" s="69"/>
      <c r="Y731" s="69"/>
      <c r="Z731" s="69"/>
      <c r="AA731" s="69"/>
      <c r="AB731" s="203"/>
      <c r="AC731" s="69"/>
      <c r="AD731" s="69"/>
      <c r="AE731" s="203"/>
      <c r="AF731" s="69"/>
      <c r="AG731" s="69"/>
      <c r="AH731" s="69"/>
      <c r="AI731" s="69"/>
      <c r="AJ731" s="69"/>
      <c r="AK731" s="69"/>
      <c r="AL731" s="69"/>
      <c r="AM731" s="69"/>
      <c r="AN731" s="69"/>
      <c r="AO731" s="69"/>
      <c r="AP731" s="69"/>
      <c r="AQ731" s="69"/>
      <c r="AR731" s="69"/>
      <c r="AS731" s="69"/>
      <c r="AT731" s="69"/>
      <c r="AU731" s="69"/>
      <c r="AV731" s="69"/>
      <c r="AW731" s="69"/>
      <c r="AX731" s="69"/>
      <c r="AY731" s="69"/>
      <c r="AZ731" s="69"/>
      <c r="BA731" s="69"/>
      <c r="BB731" s="69"/>
      <c r="BC731" s="69"/>
      <c r="BD731" s="69"/>
      <c r="BE731" s="69"/>
      <c r="BF731" s="69"/>
      <c r="BG731" s="69"/>
      <c r="BH731" s="69"/>
      <c r="BI731" s="69"/>
      <c r="BJ731" s="69"/>
      <c r="BK731" s="69"/>
      <c r="BL731" s="69"/>
      <c r="BM731" s="69"/>
      <c r="BN731" s="69"/>
      <c r="BO731" s="69"/>
      <c r="BP731" s="69"/>
      <c r="BQ731" s="69"/>
      <c r="BR731" s="69"/>
      <c r="BS731" s="69"/>
      <c r="BT731" s="69"/>
      <c r="BU731" s="69"/>
      <c r="BV731" s="69"/>
      <c r="BW731" s="69"/>
      <c r="BX731" s="69"/>
      <c r="BY731" s="69"/>
      <c r="BZ731" s="69"/>
      <c r="CA731" s="69"/>
      <c r="CB731" s="69"/>
      <c r="CC731" s="69"/>
      <c r="CD731" s="69"/>
      <c r="CE731" s="69"/>
      <c r="CF731" s="69"/>
      <c r="CG731" s="69"/>
      <c r="CH731" s="69"/>
      <c r="CI731" s="69"/>
      <c r="CJ731" s="69"/>
      <c r="CK731" s="69"/>
      <c r="CL731" s="69"/>
      <c r="CM731" s="69"/>
      <c r="CN731" s="69"/>
      <c r="CO731" s="69"/>
      <c r="CP731" s="69"/>
      <c r="CQ731" s="69"/>
      <c r="CR731" s="69"/>
      <c r="CS731" s="69"/>
      <c r="CT731" s="69"/>
      <c r="CU731" s="69"/>
      <c r="CV731" s="69"/>
      <c r="CW731" s="69"/>
      <c r="CX731" s="69"/>
      <c r="CY731" s="69"/>
      <c r="CZ731" s="69"/>
      <c r="DA731" s="69"/>
      <c r="DB731" s="69"/>
      <c r="DC731" s="69"/>
      <c r="DD731" s="69"/>
      <c r="DE731" s="69"/>
      <c r="DF731" s="69"/>
      <c r="DG731" s="69"/>
      <c r="DH731" s="69"/>
      <c r="DI731" s="69"/>
      <c r="DJ731" s="69"/>
      <c r="DK731" s="69"/>
      <c r="DL731" s="69"/>
    </row>
    <row r="732" spans="1:116" ht="13" x14ac:dyDescent="0.3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202"/>
      <c r="V732" s="69"/>
      <c r="W732" s="69"/>
      <c r="X732" s="69"/>
      <c r="Y732" s="69"/>
      <c r="Z732" s="69"/>
      <c r="AA732" s="69"/>
      <c r="AB732" s="203"/>
      <c r="AC732" s="69"/>
      <c r="AD732" s="69"/>
      <c r="AE732" s="203"/>
      <c r="AF732" s="69"/>
      <c r="AG732" s="69"/>
      <c r="AH732" s="69"/>
      <c r="AI732" s="69"/>
      <c r="AJ732" s="69"/>
      <c r="AK732" s="69"/>
      <c r="AL732" s="69"/>
      <c r="AM732" s="69"/>
      <c r="AN732" s="69"/>
      <c r="AO732" s="69"/>
      <c r="AP732" s="69"/>
      <c r="AQ732" s="69"/>
      <c r="AR732" s="69"/>
      <c r="AS732" s="69"/>
      <c r="AT732" s="69"/>
      <c r="AU732" s="69"/>
      <c r="AV732" s="69"/>
      <c r="AW732" s="69"/>
      <c r="AX732" s="69"/>
      <c r="AY732" s="69"/>
      <c r="AZ732" s="69"/>
      <c r="BA732" s="69"/>
      <c r="BB732" s="69"/>
      <c r="BC732" s="69"/>
      <c r="BD732" s="69"/>
      <c r="BE732" s="69"/>
      <c r="BF732" s="69"/>
      <c r="BG732" s="69"/>
      <c r="BH732" s="69"/>
      <c r="BI732" s="69"/>
      <c r="BJ732" s="69"/>
      <c r="BK732" s="69"/>
      <c r="BL732" s="69"/>
      <c r="BM732" s="69"/>
      <c r="BN732" s="69"/>
      <c r="BO732" s="69"/>
      <c r="BP732" s="69"/>
      <c r="BQ732" s="69"/>
      <c r="BR732" s="69"/>
      <c r="BS732" s="69"/>
      <c r="BT732" s="69"/>
      <c r="BU732" s="69"/>
      <c r="BV732" s="69"/>
      <c r="BW732" s="69"/>
      <c r="BX732" s="69"/>
      <c r="BY732" s="69"/>
      <c r="BZ732" s="69"/>
      <c r="CA732" s="69"/>
      <c r="CB732" s="69"/>
      <c r="CC732" s="69"/>
      <c r="CD732" s="69"/>
      <c r="CE732" s="69"/>
      <c r="CF732" s="69"/>
      <c r="CG732" s="69"/>
      <c r="CH732" s="69"/>
      <c r="CI732" s="69"/>
      <c r="CJ732" s="69"/>
      <c r="CK732" s="69"/>
      <c r="CL732" s="69"/>
      <c r="CM732" s="69"/>
      <c r="CN732" s="69"/>
      <c r="CO732" s="69"/>
      <c r="CP732" s="69"/>
      <c r="CQ732" s="69"/>
      <c r="CR732" s="69"/>
      <c r="CS732" s="69"/>
      <c r="CT732" s="69"/>
      <c r="CU732" s="69"/>
      <c r="CV732" s="69"/>
      <c r="CW732" s="69"/>
      <c r="CX732" s="69"/>
      <c r="CY732" s="69"/>
      <c r="CZ732" s="69"/>
      <c r="DA732" s="69"/>
      <c r="DB732" s="69"/>
      <c r="DC732" s="69"/>
      <c r="DD732" s="69"/>
      <c r="DE732" s="69"/>
      <c r="DF732" s="69"/>
      <c r="DG732" s="69"/>
      <c r="DH732" s="69"/>
      <c r="DI732" s="69"/>
      <c r="DJ732" s="69"/>
      <c r="DK732" s="69"/>
      <c r="DL732" s="69"/>
    </row>
    <row r="733" spans="1:116" ht="13" x14ac:dyDescent="0.3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202"/>
      <c r="V733" s="69"/>
      <c r="W733" s="69"/>
      <c r="X733" s="69"/>
      <c r="Y733" s="69"/>
      <c r="Z733" s="69"/>
      <c r="AA733" s="69"/>
      <c r="AB733" s="203"/>
      <c r="AC733" s="69"/>
      <c r="AD733" s="69"/>
      <c r="AE733" s="203"/>
      <c r="AF733" s="69"/>
      <c r="AG733" s="69"/>
      <c r="AH733" s="69"/>
      <c r="AI733" s="69"/>
      <c r="AJ733" s="69"/>
      <c r="AK733" s="69"/>
      <c r="AL733" s="69"/>
      <c r="AM733" s="69"/>
      <c r="AN733" s="69"/>
      <c r="AO733" s="69"/>
      <c r="AP733" s="69"/>
      <c r="AQ733" s="69"/>
      <c r="AR733" s="69"/>
      <c r="AS733" s="69"/>
      <c r="AT733" s="69"/>
      <c r="AU733" s="69"/>
      <c r="AV733" s="69"/>
      <c r="AW733" s="69"/>
      <c r="AX733" s="69"/>
      <c r="AY733" s="69"/>
      <c r="AZ733" s="69"/>
      <c r="BA733" s="69"/>
      <c r="BB733" s="69"/>
      <c r="BC733" s="69"/>
      <c r="BD733" s="69"/>
      <c r="BE733" s="69"/>
      <c r="BF733" s="69"/>
      <c r="BG733" s="69"/>
      <c r="BH733" s="69"/>
      <c r="BI733" s="69"/>
      <c r="BJ733" s="69"/>
      <c r="BK733" s="69"/>
      <c r="BL733" s="69"/>
      <c r="BM733" s="69"/>
      <c r="BN733" s="69"/>
      <c r="BO733" s="69"/>
      <c r="BP733" s="69"/>
      <c r="BQ733" s="69"/>
      <c r="BR733" s="69"/>
      <c r="BS733" s="69"/>
      <c r="BT733" s="69"/>
      <c r="BU733" s="69"/>
      <c r="BV733" s="69"/>
      <c r="BW733" s="69"/>
      <c r="BX733" s="69"/>
      <c r="BY733" s="69"/>
      <c r="BZ733" s="69"/>
      <c r="CA733" s="69"/>
      <c r="CB733" s="69"/>
      <c r="CC733" s="69"/>
      <c r="CD733" s="69"/>
      <c r="CE733" s="69"/>
      <c r="CF733" s="69"/>
      <c r="CG733" s="69"/>
      <c r="CH733" s="69"/>
      <c r="CI733" s="69"/>
      <c r="CJ733" s="69"/>
      <c r="CK733" s="69"/>
      <c r="CL733" s="69"/>
      <c r="CM733" s="69"/>
      <c r="CN733" s="69"/>
      <c r="CO733" s="69"/>
      <c r="CP733" s="69"/>
      <c r="CQ733" s="69"/>
      <c r="CR733" s="69"/>
      <c r="CS733" s="69"/>
      <c r="CT733" s="69"/>
      <c r="CU733" s="69"/>
      <c r="CV733" s="69"/>
      <c r="CW733" s="69"/>
      <c r="CX733" s="69"/>
      <c r="CY733" s="69"/>
      <c r="CZ733" s="69"/>
      <c r="DA733" s="69"/>
      <c r="DB733" s="69"/>
      <c r="DC733" s="69"/>
      <c r="DD733" s="69"/>
      <c r="DE733" s="69"/>
      <c r="DF733" s="69"/>
      <c r="DG733" s="69"/>
      <c r="DH733" s="69"/>
      <c r="DI733" s="69"/>
      <c r="DJ733" s="69"/>
      <c r="DK733" s="69"/>
      <c r="DL733" s="69"/>
    </row>
    <row r="734" spans="1:116" ht="13" x14ac:dyDescent="0.3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202"/>
      <c r="V734" s="69"/>
      <c r="W734" s="69"/>
      <c r="X734" s="69"/>
      <c r="Y734" s="69"/>
      <c r="Z734" s="69"/>
      <c r="AA734" s="69"/>
      <c r="AB734" s="203"/>
      <c r="AC734" s="69"/>
      <c r="AD734" s="69"/>
      <c r="AE734" s="203"/>
      <c r="AF734" s="69"/>
      <c r="AG734" s="69"/>
      <c r="AH734" s="69"/>
      <c r="AI734" s="69"/>
      <c r="AJ734" s="69"/>
      <c r="AK734" s="69"/>
      <c r="AL734" s="69"/>
      <c r="AM734" s="69"/>
      <c r="AN734" s="69"/>
      <c r="AO734" s="69"/>
      <c r="AP734" s="69"/>
      <c r="AQ734" s="69"/>
      <c r="AR734" s="69"/>
      <c r="AS734" s="69"/>
      <c r="AT734" s="69"/>
      <c r="AU734" s="69"/>
      <c r="AV734" s="69"/>
      <c r="AW734" s="69"/>
      <c r="AX734" s="69"/>
      <c r="AY734" s="69"/>
      <c r="AZ734" s="69"/>
      <c r="BA734" s="69"/>
      <c r="BB734" s="69"/>
      <c r="BC734" s="69"/>
      <c r="BD734" s="69"/>
      <c r="BE734" s="69"/>
      <c r="BF734" s="69"/>
      <c r="BG734" s="69"/>
      <c r="BH734" s="69"/>
      <c r="BI734" s="69"/>
      <c r="BJ734" s="69"/>
      <c r="BK734" s="69"/>
      <c r="BL734" s="69"/>
      <c r="BM734" s="69"/>
      <c r="BN734" s="69"/>
      <c r="BO734" s="69"/>
      <c r="BP734" s="69"/>
      <c r="BQ734" s="69"/>
      <c r="BR734" s="69"/>
      <c r="BS734" s="69"/>
      <c r="BT734" s="69"/>
      <c r="BU734" s="69"/>
      <c r="BV734" s="69"/>
      <c r="BW734" s="69"/>
      <c r="BX734" s="69"/>
      <c r="BY734" s="69"/>
      <c r="BZ734" s="69"/>
      <c r="CA734" s="69"/>
      <c r="CB734" s="69"/>
      <c r="CC734" s="69"/>
      <c r="CD734" s="69"/>
      <c r="CE734" s="69"/>
      <c r="CF734" s="69"/>
      <c r="CG734" s="69"/>
      <c r="CH734" s="69"/>
      <c r="CI734" s="69"/>
      <c r="CJ734" s="69"/>
      <c r="CK734" s="69"/>
      <c r="CL734" s="69"/>
      <c r="CM734" s="69"/>
      <c r="CN734" s="69"/>
      <c r="CO734" s="69"/>
      <c r="CP734" s="69"/>
      <c r="CQ734" s="69"/>
      <c r="CR734" s="69"/>
      <c r="CS734" s="69"/>
      <c r="CT734" s="69"/>
      <c r="CU734" s="69"/>
      <c r="CV734" s="69"/>
      <c r="CW734" s="69"/>
      <c r="CX734" s="69"/>
      <c r="CY734" s="69"/>
      <c r="CZ734" s="69"/>
      <c r="DA734" s="69"/>
      <c r="DB734" s="69"/>
      <c r="DC734" s="69"/>
      <c r="DD734" s="69"/>
      <c r="DE734" s="69"/>
      <c r="DF734" s="69"/>
      <c r="DG734" s="69"/>
      <c r="DH734" s="69"/>
      <c r="DI734" s="69"/>
      <c r="DJ734" s="69"/>
      <c r="DK734" s="69"/>
      <c r="DL734" s="69"/>
    </row>
    <row r="735" spans="1:116" ht="13" x14ac:dyDescent="0.3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202"/>
      <c r="V735" s="69"/>
      <c r="W735" s="69"/>
      <c r="X735" s="69"/>
      <c r="Y735" s="69"/>
      <c r="Z735" s="69"/>
      <c r="AA735" s="69"/>
      <c r="AB735" s="203"/>
      <c r="AC735" s="69"/>
      <c r="AD735" s="69"/>
      <c r="AE735" s="203"/>
      <c r="AF735" s="69"/>
      <c r="AG735" s="69"/>
      <c r="AH735" s="69"/>
      <c r="AI735" s="69"/>
      <c r="AJ735" s="69"/>
      <c r="AK735" s="69"/>
      <c r="AL735" s="69"/>
      <c r="AM735" s="69"/>
      <c r="AN735" s="69"/>
      <c r="AO735" s="69"/>
      <c r="AP735" s="69"/>
      <c r="AQ735" s="69"/>
      <c r="AR735" s="69"/>
      <c r="AS735" s="69"/>
      <c r="AT735" s="69"/>
      <c r="AU735" s="69"/>
      <c r="AV735" s="69"/>
      <c r="AW735" s="69"/>
      <c r="AX735" s="69"/>
      <c r="AY735" s="69"/>
      <c r="AZ735" s="69"/>
      <c r="BA735" s="69"/>
      <c r="BB735" s="69"/>
      <c r="BC735" s="69"/>
      <c r="BD735" s="69"/>
      <c r="BE735" s="69"/>
      <c r="BF735" s="69"/>
      <c r="BG735" s="69"/>
      <c r="BH735" s="69"/>
      <c r="BI735" s="69"/>
      <c r="BJ735" s="69"/>
      <c r="BK735" s="69"/>
      <c r="BL735" s="69"/>
      <c r="BM735" s="69"/>
      <c r="BN735" s="69"/>
      <c r="BO735" s="69"/>
      <c r="BP735" s="69"/>
      <c r="BQ735" s="69"/>
      <c r="BR735" s="69"/>
      <c r="BS735" s="69"/>
      <c r="BT735" s="69"/>
      <c r="BU735" s="69"/>
      <c r="BV735" s="69"/>
      <c r="BW735" s="69"/>
      <c r="BX735" s="69"/>
      <c r="BY735" s="69"/>
      <c r="BZ735" s="69"/>
      <c r="CA735" s="69"/>
      <c r="CB735" s="69"/>
      <c r="CC735" s="69"/>
      <c r="CD735" s="69"/>
      <c r="CE735" s="69"/>
      <c r="CF735" s="69"/>
      <c r="CG735" s="69"/>
      <c r="CH735" s="69"/>
      <c r="CI735" s="69"/>
      <c r="CJ735" s="69"/>
      <c r="CK735" s="69"/>
      <c r="CL735" s="69"/>
      <c r="CM735" s="69"/>
      <c r="CN735" s="69"/>
      <c r="CO735" s="69"/>
      <c r="CP735" s="69"/>
      <c r="CQ735" s="69"/>
      <c r="CR735" s="69"/>
      <c r="CS735" s="69"/>
      <c r="CT735" s="69"/>
      <c r="CU735" s="69"/>
      <c r="CV735" s="69"/>
      <c r="CW735" s="69"/>
      <c r="CX735" s="69"/>
      <c r="CY735" s="69"/>
      <c r="CZ735" s="69"/>
      <c r="DA735" s="69"/>
      <c r="DB735" s="69"/>
      <c r="DC735" s="69"/>
      <c r="DD735" s="69"/>
      <c r="DE735" s="69"/>
      <c r="DF735" s="69"/>
      <c r="DG735" s="69"/>
      <c r="DH735" s="69"/>
      <c r="DI735" s="69"/>
      <c r="DJ735" s="69"/>
      <c r="DK735" s="69"/>
      <c r="DL735" s="69"/>
    </row>
    <row r="736" spans="1:116" ht="13" x14ac:dyDescent="0.3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202"/>
      <c r="V736" s="69"/>
      <c r="W736" s="69"/>
      <c r="X736" s="69"/>
      <c r="Y736" s="69"/>
      <c r="Z736" s="69"/>
      <c r="AA736" s="69"/>
      <c r="AB736" s="203"/>
      <c r="AC736" s="69"/>
      <c r="AD736" s="69"/>
      <c r="AE736" s="203"/>
      <c r="AF736" s="69"/>
      <c r="AG736" s="69"/>
      <c r="AH736" s="69"/>
      <c r="AI736" s="69"/>
      <c r="AJ736" s="69"/>
      <c r="AK736" s="69"/>
      <c r="AL736" s="69"/>
      <c r="AM736" s="69"/>
      <c r="AN736" s="69"/>
      <c r="AO736" s="69"/>
      <c r="AP736" s="69"/>
      <c r="AQ736" s="69"/>
      <c r="AR736" s="69"/>
      <c r="AS736" s="69"/>
      <c r="AT736" s="69"/>
      <c r="AU736" s="69"/>
      <c r="AV736" s="69"/>
      <c r="AW736" s="69"/>
      <c r="AX736" s="69"/>
      <c r="AY736" s="69"/>
      <c r="AZ736" s="69"/>
      <c r="BA736" s="69"/>
      <c r="BB736" s="69"/>
      <c r="BC736" s="69"/>
      <c r="BD736" s="69"/>
      <c r="BE736" s="69"/>
      <c r="BF736" s="69"/>
      <c r="BG736" s="69"/>
      <c r="BH736" s="69"/>
      <c r="BI736" s="69"/>
      <c r="BJ736" s="69"/>
      <c r="BK736" s="69"/>
      <c r="BL736" s="69"/>
      <c r="BM736" s="69"/>
      <c r="BN736" s="69"/>
      <c r="BO736" s="69"/>
      <c r="BP736" s="69"/>
      <c r="BQ736" s="69"/>
      <c r="BR736" s="69"/>
      <c r="BS736" s="69"/>
      <c r="BT736" s="69"/>
      <c r="BU736" s="69"/>
      <c r="BV736" s="69"/>
      <c r="BW736" s="69"/>
      <c r="BX736" s="69"/>
      <c r="BY736" s="69"/>
      <c r="BZ736" s="69"/>
      <c r="CA736" s="69"/>
      <c r="CB736" s="69"/>
      <c r="CC736" s="69"/>
      <c r="CD736" s="69"/>
      <c r="CE736" s="69"/>
      <c r="CF736" s="69"/>
      <c r="CG736" s="69"/>
      <c r="CH736" s="69"/>
      <c r="CI736" s="69"/>
      <c r="CJ736" s="69"/>
      <c r="CK736" s="69"/>
      <c r="CL736" s="69"/>
      <c r="CM736" s="69"/>
      <c r="CN736" s="69"/>
      <c r="CO736" s="69"/>
      <c r="CP736" s="69"/>
      <c r="CQ736" s="69"/>
      <c r="CR736" s="69"/>
      <c r="CS736" s="69"/>
      <c r="CT736" s="69"/>
      <c r="CU736" s="69"/>
      <c r="CV736" s="69"/>
      <c r="CW736" s="69"/>
      <c r="CX736" s="69"/>
      <c r="CY736" s="69"/>
      <c r="CZ736" s="69"/>
      <c r="DA736" s="69"/>
      <c r="DB736" s="69"/>
      <c r="DC736" s="69"/>
      <c r="DD736" s="69"/>
      <c r="DE736" s="69"/>
      <c r="DF736" s="69"/>
      <c r="DG736" s="69"/>
      <c r="DH736" s="69"/>
      <c r="DI736" s="69"/>
      <c r="DJ736" s="69"/>
      <c r="DK736" s="69"/>
      <c r="DL736" s="69"/>
    </row>
    <row r="737" spans="1:116" ht="13" x14ac:dyDescent="0.3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202"/>
      <c r="V737" s="69"/>
      <c r="W737" s="69"/>
      <c r="X737" s="69"/>
      <c r="Y737" s="69"/>
      <c r="Z737" s="69"/>
      <c r="AA737" s="69"/>
      <c r="AB737" s="203"/>
      <c r="AC737" s="69"/>
      <c r="AD737" s="69"/>
      <c r="AE737" s="203"/>
      <c r="AF737" s="69"/>
      <c r="AG737" s="69"/>
      <c r="AH737" s="69"/>
      <c r="AI737" s="69"/>
      <c r="AJ737" s="69"/>
      <c r="AK737" s="69"/>
      <c r="AL737" s="69"/>
      <c r="AM737" s="69"/>
      <c r="AN737" s="69"/>
      <c r="AO737" s="69"/>
      <c r="AP737" s="69"/>
      <c r="AQ737" s="69"/>
      <c r="AR737" s="69"/>
      <c r="AS737" s="69"/>
      <c r="AT737" s="69"/>
      <c r="AU737" s="69"/>
      <c r="AV737" s="69"/>
      <c r="AW737" s="69"/>
      <c r="AX737" s="69"/>
      <c r="AY737" s="69"/>
      <c r="AZ737" s="69"/>
      <c r="BA737" s="69"/>
      <c r="BB737" s="69"/>
      <c r="BC737" s="69"/>
      <c r="BD737" s="69"/>
      <c r="BE737" s="69"/>
      <c r="BF737" s="69"/>
      <c r="BG737" s="69"/>
      <c r="BH737" s="69"/>
      <c r="BI737" s="69"/>
      <c r="BJ737" s="69"/>
      <c r="BK737" s="69"/>
      <c r="BL737" s="69"/>
      <c r="BM737" s="69"/>
      <c r="BN737" s="69"/>
      <c r="BO737" s="69"/>
      <c r="BP737" s="69"/>
      <c r="BQ737" s="69"/>
      <c r="BR737" s="69"/>
      <c r="BS737" s="69"/>
      <c r="BT737" s="69"/>
      <c r="BU737" s="69"/>
      <c r="BV737" s="69"/>
      <c r="BW737" s="69"/>
      <c r="BX737" s="69"/>
      <c r="BY737" s="69"/>
      <c r="BZ737" s="69"/>
      <c r="CA737" s="69"/>
      <c r="CB737" s="69"/>
      <c r="CC737" s="69"/>
      <c r="CD737" s="69"/>
      <c r="CE737" s="69"/>
      <c r="CF737" s="69"/>
      <c r="CG737" s="69"/>
      <c r="CH737" s="69"/>
      <c r="CI737" s="69"/>
      <c r="CJ737" s="69"/>
      <c r="CK737" s="69"/>
      <c r="CL737" s="69"/>
      <c r="CM737" s="69"/>
      <c r="CN737" s="69"/>
      <c r="CO737" s="69"/>
      <c r="CP737" s="69"/>
      <c r="CQ737" s="69"/>
      <c r="CR737" s="69"/>
      <c r="CS737" s="69"/>
      <c r="CT737" s="69"/>
      <c r="CU737" s="69"/>
      <c r="CV737" s="69"/>
      <c r="CW737" s="69"/>
      <c r="CX737" s="69"/>
      <c r="CY737" s="69"/>
      <c r="CZ737" s="69"/>
      <c r="DA737" s="69"/>
      <c r="DB737" s="69"/>
      <c r="DC737" s="69"/>
      <c r="DD737" s="69"/>
      <c r="DE737" s="69"/>
      <c r="DF737" s="69"/>
      <c r="DG737" s="69"/>
      <c r="DH737" s="69"/>
      <c r="DI737" s="69"/>
      <c r="DJ737" s="69"/>
      <c r="DK737" s="69"/>
      <c r="DL737" s="69"/>
    </row>
    <row r="738" spans="1:116" ht="13" x14ac:dyDescent="0.3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202"/>
      <c r="V738" s="69"/>
      <c r="W738" s="69"/>
      <c r="X738" s="69"/>
      <c r="Y738" s="69"/>
      <c r="Z738" s="69"/>
      <c r="AA738" s="69"/>
      <c r="AB738" s="203"/>
      <c r="AC738" s="69"/>
      <c r="AD738" s="69"/>
      <c r="AE738" s="203"/>
      <c r="AF738" s="69"/>
      <c r="AG738" s="69"/>
      <c r="AH738" s="69"/>
      <c r="AI738" s="69"/>
      <c r="AJ738" s="69"/>
      <c r="AK738" s="69"/>
      <c r="AL738" s="69"/>
      <c r="AM738" s="69"/>
      <c r="AN738" s="69"/>
      <c r="AO738" s="69"/>
      <c r="AP738" s="69"/>
      <c r="AQ738" s="69"/>
      <c r="AR738" s="69"/>
      <c r="AS738" s="69"/>
      <c r="AT738" s="69"/>
      <c r="AU738" s="69"/>
      <c r="AV738" s="69"/>
      <c r="AW738" s="69"/>
      <c r="AX738" s="69"/>
      <c r="AY738" s="69"/>
      <c r="AZ738" s="69"/>
      <c r="BA738" s="69"/>
      <c r="BB738" s="69"/>
      <c r="BC738" s="69"/>
      <c r="BD738" s="69"/>
      <c r="BE738" s="69"/>
      <c r="BF738" s="69"/>
      <c r="BG738" s="69"/>
      <c r="BH738" s="69"/>
      <c r="BI738" s="69"/>
      <c r="BJ738" s="69"/>
      <c r="BK738" s="69"/>
      <c r="BL738" s="69"/>
      <c r="BM738" s="69"/>
      <c r="BN738" s="69"/>
      <c r="BO738" s="69"/>
      <c r="BP738" s="69"/>
      <c r="BQ738" s="69"/>
      <c r="BR738" s="69"/>
      <c r="BS738" s="69"/>
      <c r="BT738" s="69"/>
      <c r="BU738" s="69"/>
      <c r="BV738" s="69"/>
      <c r="BW738" s="69"/>
      <c r="BX738" s="69"/>
      <c r="BY738" s="69"/>
      <c r="BZ738" s="69"/>
      <c r="CA738" s="69"/>
      <c r="CB738" s="69"/>
      <c r="CC738" s="69"/>
      <c r="CD738" s="69"/>
      <c r="CE738" s="69"/>
      <c r="CF738" s="69"/>
      <c r="CG738" s="69"/>
      <c r="CH738" s="69"/>
      <c r="CI738" s="69"/>
      <c r="CJ738" s="69"/>
      <c r="CK738" s="69"/>
      <c r="CL738" s="69"/>
      <c r="CM738" s="69"/>
      <c r="CN738" s="69"/>
      <c r="CO738" s="69"/>
      <c r="CP738" s="69"/>
      <c r="CQ738" s="69"/>
      <c r="CR738" s="69"/>
      <c r="CS738" s="69"/>
      <c r="CT738" s="69"/>
      <c r="CU738" s="69"/>
      <c r="CV738" s="69"/>
      <c r="CW738" s="69"/>
      <c r="CX738" s="69"/>
      <c r="CY738" s="69"/>
      <c r="CZ738" s="69"/>
      <c r="DA738" s="69"/>
      <c r="DB738" s="69"/>
      <c r="DC738" s="69"/>
      <c r="DD738" s="69"/>
      <c r="DE738" s="69"/>
      <c r="DF738" s="69"/>
      <c r="DG738" s="69"/>
      <c r="DH738" s="69"/>
      <c r="DI738" s="69"/>
      <c r="DJ738" s="69"/>
      <c r="DK738" s="69"/>
      <c r="DL738" s="69"/>
    </row>
    <row r="739" spans="1:116" ht="13" x14ac:dyDescent="0.3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202"/>
      <c r="V739" s="69"/>
      <c r="W739" s="69"/>
      <c r="X739" s="69"/>
      <c r="Y739" s="69"/>
      <c r="Z739" s="69"/>
      <c r="AA739" s="69"/>
      <c r="AB739" s="203"/>
      <c r="AC739" s="69"/>
      <c r="AD739" s="69"/>
      <c r="AE739" s="203"/>
      <c r="AF739" s="69"/>
      <c r="AG739" s="69"/>
      <c r="AH739" s="69"/>
      <c r="AI739" s="69"/>
      <c r="AJ739" s="69"/>
      <c r="AK739" s="69"/>
      <c r="AL739" s="69"/>
      <c r="AM739" s="69"/>
      <c r="AN739" s="69"/>
      <c r="AO739" s="69"/>
      <c r="AP739" s="69"/>
      <c r="AQ739" s="69"/>
      <c r="AR739" s="69"/>
      <c r="AS739" s="69"/>
      <c r="AT739" s="69"/>
      <c r="AU739" s="69"/>
      <c r="AV739" s="69"/>
      <c r="AW739" s="69"/>
      <c r="AX739" s="69"/>
      <c r="AY739" s="69"/>
      <c r="AZ739" s="69"/>
      <c r="BA739" s="69"/>
      <c r="BB739" s="69"/>
      <c r="BC739" s="69"/>
      <c r="BD739" s="69"/>
      <c r="BE739" s="69"/>
      <c r="BF739" s="69"/>
      <c r="BG739" s="69"/>
      <c r="BH739" s="69"/>
      <c r="BI739" s="69"/>
      <c r="BJ739" s="69"/>
      <c r="BK739" s="69"/>
      <c r="BL739" s="69"/>
      <c r="BM739" s="69"/>
      <c r="BN739" s="69"/>
      <c r="BO739" s="69"/>
      <c r="BP739" s="69"/>
      <c r="BQ739" s="69"/>
      <c r="BR739" s="69"/>
      <c r="BS739" s="69"/>
      <c r="BT739" s="69"/>
      <c r="BU739" s="69"/>
      <c r="BV739" s="69"/>
      <c r="BW739" s="69"/>
      <c r="BX739" s="69"/>
      <c r="BY739" s="69"/>
      <c r="BZ739" s="69"/>
      <c r="CA739" s="69"/>
      <c r="CB739" s="69"/>
      <c r="CC739" s="69"/>
      <c r="CD739" s="69"/>
      <c r="CE739" s="69"/>
      <c r="CF739" s="69"/>
      <c r="CG739" s="69"/>
      <c r="CH739" s="69"/>
      <c r="CI739" s="69"/>
      <c r="CJ739" s="69"/>
      <c r="CK739" s="69"/>
      <c r="CL739" s="69"/>
      <c r="CM739" s="69"/>
      <c r="CN739" s="69"/>
      <c r="CO739" s="69"/>
      <c r="CP739" s="69"/>
      <c r="CQ739" s="69"/>
      <c r="CR739" s="69"/>
      <c r="CS739" s="69"/>
      <c r="CT739" s="69"/>
      <c r="CU739" s="69"/>
      <c r="CV739" s="69"/>
      <c r="CW739" s="69"/>
      <c r="CX739" s="69"/>
      <c r="CY739" s="69"/>
      <c r="CZ739" s="69"/>
      <c r="DA739" s="69"/>
      <c r="DB739" s="69"/>
      <c r="DC739" s="69"/>
      <c r="DD739" s="69"/>
      <c r="DE739" s="69"/>
      <c r="DF739" s="69"/>
      <c r="DG739" s="69"/>
      <c r="DH739" s="69"/>
      <c r="DI739" s="69"/>
      <c r="DJ739" s="69"/>
      <c r="DK739" s="69"/>
      <c r="DL739" s="69"/>
    </row>
    <row r="740" spans="1:116" ht="13" x14ac:dyDescent="0.3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202"/>
      <c r="V740" s="69"/>
      <c r="W740" s="69"/>
      <c r="X740" s="69"/>
      <c r="Y740" s="69"/>
      <c r="Z740" s="69"/>
      <c r="AA740" s="69"/>
      <c r="AB740" s="203"/>
      <c r="AC740" s="69"/>
      <c r="AD740" s="69"/>
      <c r="AE740" s="203"/>
      <c r="AF740" s="69"/>
      <c r="AG740" s="69"/>
      <c r="AH740" s="69"/>
      <c r="AI740" s="69"/>
      <c r="AJ740" s="69"/>
      <c r="AK740" s="69"/>
      <c r="AL740" s="69"/>
      <c r="AM740" s="69"/>
      <c r="AN740" s="69"/>
      <c r="AO740" s="69"/>
      <c r="AP740" s="69"/>
      <c r="AQ740" s="69"/>
      <c r="AR740" s="69"/>
      <c r="AS740" s="69"/>
      <c r="AT740" s="69"/>
      <c r="AU740" s="69"/>
      <c r="AV740" s="69"/>
      <c r="AW740" s="69"/>
      <c r="AX740" s="69"/>
      <c r="AY740" s="69"/>
      <c r="AZ740" s="69"/>
      <c r="BA740" s="69"/>
      <c r="BB740" s="69"/>
      <c r="BC740" s="69"/>
      <c r="BD740" s="69"/>
      <c r="BE740" s="69"/>
      <c r="BF740" s="69"/>
      <c r="BG740" s="69"/>
      <c r="BH740" s="69"/>
      <c r="BI740" s="69"/>
      <c r="BJ740" s="69"/>
      <c r="BK740" s="69"/>
      <c r="BL740" s="69"/>
      <c r="BM740" s="69"/>
      <c r="BN740" s="69"/>
      <c r="BO740" s="69"/>
      <c r="BP740" s="69"/>
      <c r="BQ740" s="69"/>
      <c r="BR740" s="69"/>
      <c r="BS740" s="69"/>
      <c r="BT740" s="69"/>
      <c r="BU740" s="69"/>
      <c r="BV740" s="69"/>
      <c r="BW740" s="69"/>
      <c r="BX740" s="69"/>
      <c r="BY740" s="69"/>
      <c r="BZ740" s="69"/>
      <c r="CA740" s="69"/>
      <c r="CB740" s="69"/>
      <c r="CC740" s="69"/>
      <c r="CD740" s="69"/>
      <c r="CE740" s="69"/>
      <c r="CF740" s="69"/>
      <c r="CG740" s="69"/>
      <c r="CH740" s="69"/>
      <c r="CI740" s="69"/>
      <c r="CJ740" s="69"/>
      <c r="CK740" s="69"/>
      <c r="CL740" s="69"/>
      <c r="CM740" s="69"/>
      <c r="CN740" s="69"/>
      <c r="CO740" s="69"/>
      <c r="CP740" s="69"/>
      <c r="CQ740" s="69"/>
      <c r="CR740" s="69"/>
      <c r="CS740" s="69"/>
      <c r="CT740" s="69"/>
      <c r="CU740" s="69"/>
      <c r="CV740" s="69"/>
      <c r="CW740" s="69"/>
      <c r="CX740" s="69"/>
      <c r="CY740" s="69"/>
      <c r="CZ740" s="69"/>
      <c r="DA740" s="69"/>
      <c r="DB740" s="69"/>
      <c r="DC740" s="69"/>
      <c r="DD740" s="69"/>
      <c r="DE740" s="69"/>
      <c r="DF740" s="69"/>
      <c r="DG740" s="69"/>
      <c r="DH740" s="69"/>
      <c r="DI740" s="69"/>
      <c r="DJ740" s="69"/>
      <c r="DK740" s="69"/>
      <c r="DL740" s="69"/>
    </row>
    <row r="741" spans="1:116" ht="13" x14ac:dyDescent="0.3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202"/>
      <c r="V741" s="69"/>
      <c r="W741" s="69"/>
      <c r="X741" s="69"/>
      <c r="Y741" s="69"/>
      <c r="Z741" s="69"/>
      <c r="AA741" s="69"/>
      <c r="AB741" s="203"/>
      <c r="AC741" s="69"/>
      <c r="AD741" s="69"/>
      <c r="AE741" s="203"/>
      <c r="AF741" s="69"/>
      <c r="AG741" s="69"/>
      <c r="AH741" s="69"/>
      <c r="AI741" s="69"/>
      <c r="AJ741" s="69"/>
      <c r="AK741" s="69"/>
      <c r="AL741" s="69"/>
      <c r="AM741" s="69"/>
      <c r="AN741" s="69"/>
      <c r="AO741" s="69"/>
      <c r="AP741" s="69"/>
      <c r="AQ741" s="69"/>
      <c r="AR741" s="69"/>
      <c r="AS741" s="69"/>
      <c r="AT741" s="69"/>
      <c r="AU741" s="69"/>
      <c r="AV741" s="69"/>
      <c r="AW741" s="69"/>
      <c r="AX741" s="69"/>
      <c r="AY741" s="69"/>
      <c r="AZ741" s="69"/>
      <c r="BA741" s="69"/>
      <c r="BB741" s="69"/>
      <c r="BC741" s="69"/>
      <c r="BD741" s="69"/>
      <c r="BE741" s="69"/>
      <c r="BF741" s="69"/>
      <c r="BG741" s="69"/>
      <c r="BH741" s="69"/>
      <c r="BI741" s="69"/>
      <c r="BJ741" s="69"/>
      <c r="BK741" s="69"/>
      <c r="BL741" s="69"/>
      <c r="BM741" s="69"/>
      <c r="BN741" s="69"/>
      <c r="BO741" s="69"/>
      <c r="BP741" s="69"/>
      <c r="BQ741" s="69"/>
      <c r="BR741" s="69"/>
      <c r="BS741" s="69"/>
      <c r="BT741" s="69"/>
      <c r="BU741" s="69"/>
      <c r="BV741" s="69"/>
      <c r="BW741" s="69"/>
      <c r="BX741" s="69"/>
      <c r="BY741" s="69"/>
      <c r="BZ741" s="69"/>
      <c r="CA741" s="69"/>
      <c r="CB741" s="69"/>
      <c r="CC741" s="69"/>
      <c r="CD741" s="69"/>
      <c r="CE741" s="69"/>
      <c r="CF741" s="69"/>
      <c r="CG741" s="69"/>
      <c r="CH741" s="69"/>
      <c r="CI741" s="69"/>
      <c r="CJ741" s="69"/>
      <c r="CK741" s="69"/>
      <c r="CL741" s="69"/>
      <c r="CM741" s="69"/>
      <c r="CN741" s="69"/>
      <c r="CO741" s="69"/>
      <c r="CP741" s="69"/>
      <c r="CQ741" s="69"/>
      <c r="CR741" s="69"/>
      <c r="CS741" s="69"/>
      <c r="CT741" s="69"/>
      <c r="CU741" s="69"/>
      <c r="CV741" s="69"/>
      <c r="CW741" s="69"/>
      <c r="CX741" s="69"/>
      <c r="CY741" s="69"/>
      <c r="CZ741" s="69"/>
      <c r="DA741" s="69"/>
      <c r="DB741" s="69"/>
      <c r="DC741" s="69"/>
      <c r="DD741" s="69"/>
      <c r="DE741" s="69"/>
      <c r="DF741" s="69"/>
      <c r="DG741" s="69"/>
      <c r="DH741" s="69"/>
      <c r="DI741" s="69"/>
      <c r="DJ741" s="69"/>
      <c r="DK741" s="69"/>
      <c r="DL741" s="69"/>
    </row>
    <row r="742" spans="1:116" ht="13" x14ac:dyDescent="0.3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202"/>
      <c r="V742" s="69"/>
      <c r="W742" s="69"/>
      <c r="X742" s="69"/>
      <c r="Y742" s="69"/>
      <c r="Z742" s="69"/>
      <c r="AA742" s="69"/>
      <c r="AB742" s="203"/>
      <c r="AC742" s="69"/>
      <c r="AD742" s="69"/>
      <c r="AE742" s="203"/>
      <c r="AF742" s="69"/>
      <c r="AG742" s="69"/>
      <c r="AH742" s="69"/>
      <c r="AI742" s="69"/>
      <c r="AJ742" s="69"/>
      <c r="AK742" s="69"/>
      <c r="AL742" s="69"/>
      <c r="AM742" s="69"/>
      <c r="AN742" s="69"/>
      <c r="AO742" s="69"/>
      <c r="AP742" s="69"/>
      <c r="AQ742" s="69"/>
      <c r="AR742" s="69"/>
      <c r="AS742" s="69"/>
      <c r="AT742" s="69"/>
      <c r="AU742" s="69"/>
      <c r="AV742" s="69"/>
      <c r="AW742" s="69"/>
      <c r="AX742" s="69"/>
      <c r="AY742" s="69"/>
      <c r="AZ742" s="69"/>
      <c r="BA742" s="69"/>
      <c r="BB742" s="69"/>
      <c r="BC742" s="69"/>
      <c r="BD742" s="69"/>
      <c r="BE742" s="69"/>
      <c r="BF742" s="69"/>
      <c r="BG742" s="69"/>
      <c r="BH742" s="69"/>
      <c r="BI742" s="69"/>
      <c r="BJ742" s="69"/>
      <c r="BK742" s="69"/>
      <c r="BL742" s="69"/>
      <c r="BM742" s="69"/>
      <c r="BN742" s="69"/>
      <c r="BO742" s="69"/>
      <c r="BP742" s="69"/>
      <c r="BQ742" s="69"/>
      <c r="BR742" s="69"/>
      <c r="BS742" s="69"/>
      <c r="BT742" s="69"/>
      <c r="BU742" s="69"/>
      <c r="BV742" s="69"/>
      <c r="BW742" s="69"/>
      <c r="BX742" s="69"/>
      <c r="BY742" s="69"/>
      <c r="BZ742" s="69"/>
      <c r="CA742" s="69"/>
      <c r="CB742" s="69"/>
      <c r="CC742" s="69"/>
      <c r="CD742" s="69"/>
      <c r="CE742" s="69"/>
      <c r="CF742" s="69"/>
      <c r="CG742" s="69"/>
      <c r="CH742" s="69"/>
      <c r="CI742" s="69"/>
      <c r="CJ742" s="69"/>
      <c r="CK742" s="69"/>
      <c r="CL742" s="69"/>
      <c r="CM742" s="69"/>
      <c r="CN742" s="69"/>
      <c r="CO742" s="69"/>
      <c r="CP742" s="69"/>
      <c r="CQ742" s="69"/>
      <c r="CR742" s="69"/>
      <c r="CS742" s="69"/>
      <c r="CT742" s="69"/>
      <c r="CU742" s="69"/>
      <c r="CV742" s="69"/>
      <c r="CW742" s="69"/>
      <c r="CX742" s="69"/>
      <c r="CY742" s="69"/>
      <c r="CZ742" s="69"/>
      <c r="DA742" s="69"/>
      <c r="DB742" s="69"/>
      <c r="DC742" s="69"/>
      <c r="DD742" s="69"/>
      <c r="DE742" s="69"/>
      <c r="DF742" s="69"/>
      <c r="DG742" s="69"/>
      <c r="DH742" s="69"/>
      <c r="DI742" s="69"/>
      <c r="DJ742" s="69"/>
      <c r="DK742" s="69"/>
      <c r="DL742" s="69"/>
    </row>
    <row r="743" spans="1:116" ht="13" x14ac:dyDescent="0.3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202"/>
      <c r="V743" s="69"/>
      <c r="W743" s="69"/>
      <c r="X743" s="69"/>
      <c r="Y743" s="69"/>
      <c r="Z743" s="69"/>
      <c r="AA743" s="69"/>
      <c r="AB743" s="203"/>
      <c r="AC743" s="69"/>
      <c r="AD743" s="69"/>
      <c r="AE743" s="203"/>
      <c r="AF743" s="69"/>
      <c r="AG743" s="69"/>
      <c r="AH743" s="69"/>
      <c r="AI743" s="69"/>
      <c r="AJ743" s="69"/>
      <c r="AK743" s="69"/>
      <c r="AL743" s="69"/>
      <c r="AM743" s="69"/>
      <c r="AN743" s="69"/>
      <c r="AO743" s="69"/>
      <c r="AP743" s="69"/>
      <c r="AQ743" s="69"/>
      <c r="AR743" s="69"/>
      <c r="AS743" s="69"/>
      <c r="AT743" s="69"/>
      <c r="AU743" s="69"/>
      <c r="AV743" s="69"/>
      <c r="AW743" s="69"/>
      <c r="AX743" s="69"/>
      <c r="AY743" s="69"/>
      <c r="AZ743" s="69"/>
      <c r="BA743" s="69"/>
      <c r="BB743" s="69"/>
      <c r="BC743" s="69"/>
      <c r="BD743" s="69"/>
      <c r="BE743" s="69"/>
      <c r="BF743" s="69"/>
      <c r="BG743" s="69"/>
      <c r="BH743" s="69"/>
      <c r="BI743" s="69"/>
      <c r="BJ743" s="69"/>
      <c r="BK743" s="69"/>
      <c r="BL743" s="69"/>
      <c r="BM743" s="69"/>
      <c r="BN743" s="69"/>
      <c r="BO743" s="69"/>
      <c r="BP743" s="69"/>
      <c r="BQ743" s="69"/>
      <c r="BR743" s="69"/>
      <c r="BS743" s="69"/>
      <c r="BT743" s="69"/>
      <c r="BU743" s="69"/>
      <c r="BV743" s="69"/>
      <c r="BW743" s="69"/>
      <c r="BX743" s="69"/>
      <c r="BY743" s="69"/>
      <c r="BZ743" s="69"/>
      <c r="CA743" s="69"/>
      <c r="CB743" s="69"/>
      <c r="CC743" s="69"/>
      <c r="CD743" s="69"/>
      <c r="CE743" s="69"/>
      <c r="CF743" s="69"/>
      <c r="CG743" s="69"/>
      <c r="CH743" s="69"/>
      <c r="CI743" s="69"/>
      <c r="CJ743" s="69"/>
      <c r="CK743" s="69"/>
      <c r="CL743" s="69"/>
      <c r="CM743" s="69"/>
      <c r="CN743" s="69"/>
      <c r="CO743" s="69"/>
      <c r="CP743" s="69"/>
      <c r="CQ743" s="69"/>
      <c r="CR743" s="69"/>
      <c r="CS743" s="69"/>
      <c r="CT743" s="69"/>
      <c r="CU743" s="69"/>
      <c r="CV743" s="69"/>
      <c r="CW743" s="69"/>
      <c r="CX743" s="69"/>
      <c r="CY743" s="69"/>
      <c r="CZ743" s="69"/>
      <c r="DA743" s="69"/>
      <c r="DB743" s="69"/>
      <c r="DC743" s="69"/>
      <c r="DD743" s="69"/>
      <c r="DE743" s="69"/>
      <c r="DF743" s="69"/>
      <c r="DG743" s="69"/>
      <c r="DH743" s="69"/>
      <c r="DI743" s="69"/>
      <c r="DJ743" s="69"/>
      <c r="DK743" s="69"/>
      <c r="DL743" s="69"/>
    </row>
    <row r="744" spans="1:116" ht="13" x14ac:dyDescent="0.3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202"/>
      <c r="V744" s="69"/>
      <c r="W744" s="69"/>
      <c r="X744" s="69"/>
      <c r="Y744" s="69"/>
      <c r="Z744" s="69"/>
      <c r="AA744" s="69"/>
      <c r="AB744" s="203"/>
      <c r="AC744" s="69"/>
      <c r="AD744" s="69"/>
      <c r="AE744" s="203"/>
      <c r="AF744" s="69"/>
      <c r="AG744" s="69"/>
      <c r="AH744" s="69"/>
      <c r="AI744" s="69"/>
      <c r="AJ744" s="69"/>
      <c r="AK744" s="69"/>
      <c r="AL744" s="69"/>
      <c r="AM744" s="69"/>
      <c r="AN744" s="69"/>
      <c r="AO744" s="69"/>
      <c r="AP744" s="69"/>
      <c r="AQ744" s="69"/>
      <c r="AR744" s="69"/>
      <c r="AS744" s="69"/>
      <c r="AT744" s="69"/>
      <c r="AU744" s="69"/>
      <c r="AV744" s="69"/>
      <c r="AW744" s="69"/>
      <c r="AX744" s="69"/>
      <c r="AY744" s="69"/>
      <c r="AZ744" s="69"/>
      <c r="BA744" s="69"/>
      <c r="BB744" s="69"/>
      <c r="BC744" s="69"/>
      <c r="BD744" s="69"/>
      <c r="BE744" s="69"/>
      <c r="BF744" s="69"/>
      <c r="BG744" s="69"/>
      <c r="BH744" s="69"/>
      <c r="BI744" s="69"/>
      <c r="BJ744" s="69"/>
      <c r="BK744" s="69"/>
      <c r="BL744" s="69"/>
      <c r="BM744" s="69"/>
      <c r="BN744" s="69"/>
      <c r="BO744" s="69"/>
      <c r="BP744" s="69"/>
      <c r="BQ744" s="69"/>
      <c r="BR744" s="69"/>
      <c r="BS744" s="69"/>
      <c r="BT744" s="69"/>
      <c r="BU744" s="69"/>
      <c r="BV744" s="69"/>
      <c r="BW744" s="69"/>
      <c r="BX744" s="69"/>
      <c r="BY744" s="69"/>
      <c r="BZ744" s="69"/>
      <c r="CA744" s="69"/>
      <c r="CB744" s="69"/>
      <c r="CC744" s="69"/>
      <c r="CD744" s="69"/>
      <c r="CE744" s="69"/>
      <c r="CF744" s="69"/>
      <c r="CG744" s="69"/>
      <c r="CH744" s="69"/>
      <c r="CI744" s="69"/>
      <c r="CJ744" s="69"/>
      <c r="CK744" s="69"/>
      <c r="CL744" s="69"/>
      <c r="CM744" s="69"/>
      <c r="CN744" s="69"/>
      <c r="CO744" s="69"/>
      <c r="CP744" s="69"/>
      <c r="CQ744" s="69"/>
      <c r="CR744" s="69"/>
      <c r="CS744" s="69"/>
      <c r="CT744" s="69"/>
      <c r="CU744" s="69"/>
      <c r="CV744" s="69"/>
      <c r="CW744" s="69"/>
      <c r="CX744" s="69"/>
      <c r="CY744" s="69"/>
      <c r="CZ744" s="69"/>
      <c r="DA744" s="69"/>
      <c r="DB744" s="69"/>
      <c r="DC744" s="69"/>
      <c r="DD744" s="69"/>
      <c r="DE744" s="69"/>
      <c r="DF744" s="69"/>
      <c r="DG744" s="69"/>
      <c r="DH744" s="69"/>
      <c r="DI744" s="69"/>
      <c r="DJ744" s="69"/>
      <c r="DK744" s="69"/>
      <c r="DL744" s="69"/>
    </row>
    <row r="745" spans="1:116" ht="13" x14ac:dyDescent="0.3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202"/>
      <c r="V745" s="69"/>
      <c r="W745" s="69"/>
      <c r="X745" s="69"/>
      <c r="Y745" s="69"/>
      <c r="Z745" s="69"/>
      <c r="AA745" s="69"/>
      <c r="AB745" s="203"/>
      <c r="AC745" s="69"/>
      <c r="AD745" s="69"/>
      <c r="AE745" s="203"/>
      <c r="AF745" s="69"/>
      <c r="AG745" s="69"/>
      <c r="AH745" s="69"/>
      <c r="AI745" s="69"/>
      <c r="AJ745" s="69"/>
      <c r="AK745" s="69"/>
      <c r="AL745" s="69"/>
      <c r="AM745" s="69"/>
      <c r="AN745" s="69"/>
      <c r="AO745" s="69"/>
      <c r="AP745" s="69"/>
      <c r="AQ745" s="69"/>
      <c r="AR745" s="69"/>
      <c r="AS745" s="69"/>
      <c r="AT745" s="69"/>
      <c r="AU745" s="69"/>
      <c r="AV745" s="69"/>
      <c r="AW745" s="69"/>
      <c r="AX745" s="69"/>
      <c r="AY745" s="69"/>
      <c r="AZ745" s="69"/>
      <c r="BA745" s="69"/>
      <c r="BB745" s="69"/>
      <c r="BC745" s="69"/>
      <c r="BD745" s="69"/>
      <c r="BE745" s="69"/>
      <c r="BF745" s="69"/>
      <c r="BG745" s="69"/>
      <c r="BH745" s="69"/>
      <c r="BI745" s="69"/>
      <c r="BJ745" s="69"/>
      <c r="BK745" s="69"/>
      <c r="BL745" s="69"/>
      <c r="BM745" s="69"/>
      <c r="BN745" s="69"/>
      <c r="BO745" s="69"/>
      <c r="BP745" s="69"/>
      <c r="BQ745" s="69"/>
      <c r="BR745" s="69"/>
      <c r="BS745" s="69"/>
      <c r="BT745" s="69"/>
      <c r="BU745" s="69"/>
      <c r="BV745" s="69"/>
      <c r="BW745" s="69"/>
      <c r="BX745" s="69"/>
      <c r="BY745" s="69"/>
      <c r="BZ745" s="69"/>
      <c r="CA745" s="69"/>
      <c r="CB745" s="69"/>
      <c r="CC745" s="69"/>
      <c r="CD745" s="69"/>
      <c r="CE745" s="69"/>
      <c r="CF745" s="69"/>
      <c r="CG745" s="69"/>
      <c r="CH745" s="69"/>
      <c r="CI745" s="69"/>
      <c r="CJ745" s="69"/>
      <c r="CK745" s="69"/>
      <c r="CL745" s="69"/>
      <c r="CM745" s="69"/>
      <c r="CN745" s="69"/>
      <c r="CO745" s="69"/>
      <c r="CP745" s="69"/>
      <c r="CQ745" s="69"/>
      <c r="CR745" s="69"/>
      <c r="CS745" s="69"/>
      <c r="CT745" s="69"/>
      <c r="CU745" s="69"/>
      <c r="CV745" s="69"/>
      <c r="CW745" s="69"/>
      <c r="CX745" s="69"/>
      <c r="CY745" s="69"/>
      <c r="CZ745" s="69"/>
      <c r="DA745" s="69"/>
      <c r="DB745" s="69"/>
      <c r="DC745" s="69"/>
      <c r="DD745" s="69"/>
      <c r="DE745" s="69"/>
      <c r="DF745" s="69"/>
      <c r="DG745" s="69"/>
      <c r="DH745" s="69"/>
      <c r="DI745" s="69"/>
      <c r="DJ745" s="69"/>
      <c r="DK745" s="69"/>
      <c r="DL745" s="69"/>
    </row>
    <row r="746" spans="1:116" ht="13" x14ac:dyDescent="0.3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202"/>
      <c r="V746" s="69"/>
      <c r="W746" s="69"/>
      <c r="X746" s="69"/>
      <c r="Y746" s="69"/>
      <c r="Z746" s="69"/>
      <c r="AA746" s="69"/>
      <c r="AB746" s="203"/>
      <c r="AC746" s="69"/>
      <c r="AD746" s="69"/>
      <c r="AE746" s="203"/>
      <c r="AF746" s="69"/>
      <c r="AG746" s="69"/>
      <c r="AH746" s="69"/>
      <c r="AI746" s="69"/>
      <c r="AJ746" s="69"/>
      <c r="AK746" s="69"/>
      <c r="AL746" s="69"/>
      <c r="AM746" s="69"/>
      <c r="AN746" s="69"/>
      <c r="AO746" s="69"/>
      <c r="AP746" s="69"/>
      <c r="AQ746" s="69"/>
      <c r="AR746" s="69"/>
      <c r="AS746" s="69"/>
      <c r="AT746" s="69"/>
      <c r="AU746" s="69"/>
      <c r="AV746" s="69"/>
      <c r="AW746" s="69"/>
      <c r="AX746" s="69"/>
      <c r="AY746" s="69"/>
      <c r="AZ746" s="69"/>
      <c r="BA746" s="69"/>
      <c r="BB746" s="69"/>
      <c r="BC746" s="69"/>
      <c r="BD746" s="69"/>
      <c r="BE746" s="69"/>
      <c r="BF746" s="69"/>
      <c r="BG746" s="69"/>
      <c r="BH746" s="69"/>
      <c r="BI746" s="69"/>
      <c r="BJ746" s="69"/>
      <c r="BK746" s="69"/>
      <c r="BL746" s="69"/>
      <c r="BM746" s="69"/>
      <c r="BN746" s="69"/>
      <c r="BO746" s="69"/>
      <c r="BP746" s="69"/>
      <c r="BQ746" s="69"/>
      <c r="BR746" s="69"/>
      <c r="BS746" s="69"/>
      <c r="BT746" s="69"/>
      <c r="BU746" s="69"/>
      <c r="BV746" s="69"/>
      <c r="BW746" s="69"/>
      <c r="BX746" s="69"/>
      <c r="BY746" s="69"/>
      <c r="BZ746" s="69"/>
      <c r="CA746" s="69"/>
      <c r="CB746" s="69"/>
      <c r="CC746" s="69"/>
      <c r="CD746" s="69"/>
      <c r="CE746" s="69"/>
      <c r="CF746" s="69"/>
      <c r="CG746" s="69"/>
      <c r="CH746" s="69"/>
      <c r="CI746" s="69"/>
      <c r="CJ746" s="69"/>
      <c r="CK746" s="69"/>
      <c r="CL746" s="69"/>
      <c r="CM746" s="69"/>
      <c r="CN746" s="69"/>
      <c r="CO746" s="69"/>
      <c r="CP746" s="69"/>
      <c r="CQ746" s="69"/>
      <c r="CR746" s="69"/>
      <c r="CS746" s="69"/>
      <c r="CT746" s="69"/>
      <c r="CU746" s="69"/>
      <c r="CV746" s="69"/>
      <c r="CW746" s="69"/>
      <c r="CX746" s="69"/>
      <c r="CY746" s="69"/>
      <c r="CZ746" s="69"/>
      <c r="DA746" s="69"/>
      <c r="DB746" s="69"/>
      <c r="DC746" s="69"/>
      <c r="DD746" s="69"/>
      <c r="DE746" s="69"/>
      <c r="DF746" s="69"/>
      <c r="DG746" s="69"/>
      <c r="DH746" s="69"/>
      <c r="DI746" s="69"/>
      <c r="DJ746" s="69"/>
      <c r="DK746" s="69"/>
      <c r="DL746" s="69"/>
    </row>
    <row r="747" spans="1:116" ht="13" x14ac:dyDescent="0.3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202"/>
      <c r="V747" s="69"/>
      <c r="W747" s="69"/>
      <c r="X747" s="69"/>
      <c r="Y747" s="69"/>
      <c r="Z747" s="69"/>
      <c r="AA747" s="69"/>
      <c r="AB747" s="203"/>
      <c r="AC747" s="69"/>
      <c r="AD747" s="69"/>
      <c r="AE747" s="203"/>
      <c r="AF747" s="69"/>
      <c r="AG747" s="69"/>
      <c r="AH747" s="69"/>
      <c r="AI747" s="69"/>
      <c r="AJ747" s="69"/>
      <c r="AK747" s="69"/>
      <c r="AL747" s="69"/>
      <c r="AM747" s="69"/>
      <c r="AN747" s="69"/>
      <c r="AO747" s="69"/>
      <c r="AP747" s="69"/>
      <c r="AQ747" s="69"/>
      <c r="AR747" s="69"/>
      <c r="AS747" s="69"/>
      <c r="AT747" s="69"/>
      <c r="AU747" s="69"/>
      <c r="AV747" s="69"/>
      <c r="AW747" s="69"/>
      <c r="AX747" s="69"/>
      <c r="AY747" s="69"/>
      <c r="AZ747" s="69"/>
      <c r="BA747" s="69"/>
      <c r="BB747" s="69"/>
      <c r="BC747" s="69"/>
      <c r="BD747" s="69"/>
      <c r="BE747" s="69"/>
      <c r="BF747" s="69"/>
      <c r="BG747" s="69"/>
      <c r="BH747" s="69"/>
      <c r="BI747" s="69"/>
      <c r="BJ747" s="69"/>
      <c r="BK747" s="69"/>
      <c r="BL747" s="69"/>
      <c r="BM747" s="69"/>
      <c r="BN747" s="69"/>
      <c r="BO747" s="69"/>
      <c r="BP747" s="69"/>
      <c r="BQ747" s="69"/>
      <c r="BR747" s="69"/>
      <c r="BS747" s="69"/>
      <c r="BT747" s="69"/>
      <c r="BU747" s="69"/>
      <c r="BV747" s="69"/>
      <c r="BW747" s="69"/>
      <c r="BX747" s="69"/>
      <c r="BY747" s="69"/>
      <c r="BZ747" s="69"/>
      <c r="CA747" s="69"/>
      <c r="CB747" s="69"/>
      <c r="CC747" s="69"/>
      <c r="CD747" s="69"/>
      <c r="CE747" s="69"/>
      <c r="CF747" s="69"/>
      <c r="CG747" s="69"/>
      <c r="CH747" s="69"/>
      <c r="CI747" s="69"/>
      <c r="CJ747" s="69"/>
      <c r="CK747" s="69"/>
      <c r="CL747" s="69"/>
      <c r="CM747" s="69"/>
      <c r="CN747" s="69"/>
      <c r="CO747" s="69"/>
      <c r="CP747" s="69"/>
      <c r="CQ747" s="69"/>
      <c r="CR747" s="69"/>
      <c r="CS747" s="69"/>
      <c r="CT747" s="69"/>
      <c r="CU747" s="69"/>
      <c r="CV747" s="69"/>
      <c r="CW747" s="69"/>
      <c r="CX747" s="69"/>
      <c r="CY747" s="69"/>
      <c r="CZ747" s="69"/>
      <c r="DA747" s="69"/>
      <c r="DB747" s="69"/>
      <c r="DC747" s="69"/>
      <c r="DD747" s="69"/>
      <c r="DE747" s="69"/>
      <c r="DF747" s="69"/>
      <c r="DG747" s="69"/>
      <c r="DH747" s="69"/>
      <c r="DI747" s="69"/>
      <c r="DJ747" s="69"/>
      <c r="DK747" s="69"/>
      <c r="DL747" s="69"/>
    </row>
    <row r="748" spans="1:116" ht="13" x14ac:dyDescent="0.3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202"/>
      <c r="V748" s="69"/>
      <c r="W748" s="69"/>
      <c r="X748" s="69"/>
      <c r="Y748" s="69"/>
      <c r="Z748" s="69"/>
      <c r="AA748" s="69"/>
      <c r="AB748" s="203"/>
      <c r="AC748" s="69"/>
      <c r="AD748" s="69"/>
      <c r="AE748" s="203"/>
      <c r="AF748" s="69"/>
      <c r="AG748" s="69"/>
      <c r="AH748" s="69"/>
      <c r="AI748" s="69"/>
      <c r="AJ748" s="69"/>
      <c r="AK748" s="69"/>
      <c r="AL748" s="69"/>
      <c r="AM748" s="69"/>
      <c r="AN748" s="69"/>
      <c r="AO748" s="69"/>
      <c r="AP748" s="69"/>
      <c r="AQ748" s="69"/>
      <c r="AR748" s="69"/>
      <c r="AS748" s="69"/>
      <c r="AT748" s="69"/>
      <c r="AU748" s="69"/>
      <c r="AV748" s="69"/>
      <c r="AW748" s="69"/>
      <c r="AX748" s="69"/>
      <c r="AY748" s="69"/>
      <c r="AZ748" s="69"/>
      <c r="BA748" s="69"/>
      <c r="BB748" s="69"/>
      <c r="BC748" s="69"/>
      <c r="BD748" s="69"/>
      <c r="BE748" s="69"/>
      <c r="BF748" s="69"/>
      <c r="BG748" s="69"/>
      <c r="BH748" s="69"/>
      <c r="BI748" s="69"/>
      <c r="BJ748" s="69"/>
      <c r="BK748" s="69"/>
      <c r="BL748" s="69"/>
      <c r="BM748" s="69"/>
      <c r="BN748" s="69"/>
      <c r="BO748" s="69"/>
      <c r="BP748" s="69"/>
      <c r="BQ748" s="69"/>
      <c r="BR748" s="69"/>
      <c r="BS748" s="69"/>
      <c r="BT748" s="69"/>
      <c r="BU748" s="69"/>
      <c r="BV748" s="69"/>
      <c r="BW748" s="69"/>
      <c r="BX748" s="69"/>
      <c r="BY748" s="69"/>
      <c r="BZ748" s="69"/>
      <c r="CA748" s="69"/>
      <c r="CB748" s="69"/>
      <c r="CC748" s="69"/>
      <c r="CD748" s="69"/>
      <c r="CE748" s="69"/>
      <c r="CF748" s="69"/>
      <c r="CG748" s="69"/>
      <c r="CH748" s="69"/>
      <c r="CI748" s="69"/>
      <c r="CJ748" s="69"/>
      <c r="CK748" s="69"/>
      <c r="CL748" s="69"/>
      <c r="CM748" s="69"/>
      <c r="CN748" s="69"/>
      <c r="CO748" s="69"/>
      <c r="CP748" s="69"/>
      <c r="CQ748" s="69"/>
      <c r="CR748" s="69"/>
      <c r="CS748" s="69"/>
      <c r="CT748" s="69"/>
      <c r="CU748" s="69"/>
      <c r="CV748" s="69"/>
      <c r="CW748" s="69"/>
      <c r="CX748" s="69"/>
      <c r="CY748" s="69"/>
      <c r="CZ748" s="69"/>
      <c r="DA748" s="69"/>
      <c r="DB748" s="69"/>
      <c r="DC748" s="69"/>
      <c r="DD748" s="69"/>
      <c r="DE748" s="69"/>
      <c r="DF748" s="69"/>
      <c r="DG748" s="69"/>
      <c r="DH748" s="69"/>
      <c r="DI748" s="69"/>
      <c r="DJ748" s="69"/>
      <c r="DK748" s="69"/>
      <c r="DL748" s="69"/>
    </row>
    <row r="749" spans="1:116" ht="13" x14ac:dyDescent="0.3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202"/>
      <c r="V749" s="69"/>
      <c r="W749" s="69"/>
      <c r="X749" s="69"/>
      <c r="Y749" s="69"/>
      <c r="Z749" s="69"/>
      <c r="AA749" s="69"/>
      <c r="AB749" s="203"/>
      <c r="AC749" s="69"/>
      <c r="AD749" s="69"/>
      <c r="AE749" s="203"/>
      <c r="AF749" s="69"/>
      <c r="AG749" s="69"/>
      <c r="AH749" s="69"/>
      <c r="AI749" s="69"/>
      <c r="AJ749" s="69"/>
      <c r="AK749" s="69"/>
      <c r="AL749" s="69"/>
      <c r="AM749" s="69"/>
      <c r="AN749" s="69"/>
      <c r="AO749" s="69"/>
      <c r="AP749" s="69"/>
      <c r="AQ749" s="69"/>
      <c r="AR749" s="69"/>
      <c r="AS749" s="69"/>
      <c r="AT749" s="69"/>
      <c r="AU749" s="69"/>
      <c r="AV749" s="69"/>
      <c r="AW749" s="69"/>
      <c r="AX749" s="69"/>
      <c r="AY749" s="69"/>
      <c r="AZ749" s="69"/>
      <c r="BA749" s="69"/>
      <c r="BB749" s="69"/>
      <c r="BC749" s="69"/>
      <c r="BD749" s="69"/>
      <c r="BE749" s="69"/>
      <c r="BF749" s="69"/>
      <c r="BG749" s="69"/>
      <c r="BH749" s="69"/>
      <c r="BI749" s="69"/>
      <c r="BJ749" s="69"/>
      <c r="BK749" s="69"/>
      <c r="BL749" s="69"/>
      <c r="BM749" s="69"/>
      <c r="BN749" s="69"/>
      <c r="BO749" s="69"/>
      <c r="BP749" s="69"/>
      <c r="BQ749" s="69"/>
      <c r="BR749" s="69"/>
      <c r="BS749" s="69"/>
      <c r="BT749" s="69"/>
      <c r="BU749" s="69"/>
      <c r="BV749" s="69"/>
      <c r="BW749" s="69"/>
      <c r="BX749" s="69"/>
      <c r="BY749" s="69"/>
      <c r="BZ749" s="69"/>
      <c r="CA749" s="69"/>
      <c r="CB749" s="69"/>
      <c r="CC749" s="69"/>
      <c r="CD749" s="69"/>
      <c r="CE749" s="69"/>
      <c r="CF749" s="69"/>
      <c r="CG749" s="69"/>
      <c r="CH749" s="69"/>
      <c r="CI749" s="69"/>
      <c r="CJ749" s="69"/>
      <c r="CK749" s="69"/>
      <c r="CL749" s="69"/>
      <c r="CM749" s="69"/>
      <c r="CN749" s="69"/>
      <c r="CO749" s="69"/>
      <c r="CP749" s="69"/>
      <c r="CQ749" s="69"/>
      <c r="CR749" s="69"/>
      <c r="CS749" s="69"/>
      <c r="CT749" s="69"/>
      <c r="CU749" s="69"/>
      <c r="CV749" s="69"/>
      <c r="CW749" s="69"/>
      <c r="CX749" s="69"/>
      <c r="CY749" s="69"/>
      <c r="CZ749" s="69"/>
      <c r="DA749" s="69"/>
      <c r="DB749" s="69"/>
      <c r="DC749" s="69"/>
      <c r="DD749" s="69"/>
      <c r="DE749" s="69"/>
      <c r="DF749" s="69"/>
      <c r="DG749" s="69"/>
      <c r="DH749" s="69"/>
      <c r="DI749" s="69"/>
      <c r="DJ749" s="69"/>
      <c r="DK749" s="69"/>
      <c r="DL749" s="69"/>
    </row>
    <row r="750" spans="1:116" ht="13" x14ac:dyDescent="0.3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202"/>
      <c r="V750" s="69"/>
      <c r="W750" s="69"/>
      <c r="X750" s="69"/>
      <c r="Y750" s="69"/>
      <c r="Z750" s="69"/>
      <c r="AA750" s="69"/>
      <c r="AB750" s="203"/>
      <c r="AC750" s="69"/>
      <c r="AD750" s="69"/>
      <c r="AE750" s="203"/>
      <c r="AF750" s="69"/>
      <c r="AG750" s="69"/>
      <c r="AH750" s="69"/>
      <c r="AI750" s="69"/>
      <c r="AJ750" s="69"/>
      <c r="AK750" s="69"/>
      <c r="AL750" s="69"/>
      <c r="AM750" s="69"/>
      <c r="AN750" s="69"/>
      <c r="AO750" s="69"/>
      <c r="AP750" s="69"/>
      <c r="AQ750" s="69"/>
      <c r="AR750" s="69"/>
      <c r="AS750" s="69"/>
      <c r="AT750" s="69"/>
      <c r="AU750" s="69"/>
      <c r="AV750" s="69"/>
      <c r="AW750" s="69"/>
      <c r="AX750" s="69"/>
      <c r="AY750" s="69"/>
      <c r="AZ750" s="69"/>
      <c r="BA750" s="69"/>
      <c r="BB750" s="69"/>
      <c r="BC750" s="69"/>
      <c r="BD750" s="69"/>
      <c r="BE750" s="69"/>
      <c r="BF750" s="69"/>
      <c r="BG750" s="69"/>
      <c r="BH750" s="69"/>
      <c r="BI750" s="69"/>
      <c r="BJ750" s="69"/>
      <c r="BK750" s="69"/>
      <c r="BL750" s="69"/>
      <c r="BM750" s="69"/>
      <c r="BN750" s="69"/>
      <c r="BO750" s="69"/>
      <c r="BP750" s="69"/>
      <c r="BQ750" s="69"/>
      <c r="BR750" s="69"/>
      <c r="BS750" s="69"/>
      <c r="BT750" s="69"/>
      <c r="BU750" s="69"/>
      <c r="BV750" s="69"/>
      <c r="BW750" s="69"/>
      <c r="BX750" s="69"/>
      <c r="BY750" s="69"/>
      <c r="BZ750" s="69"/>
      <c r="CA750" s="69"/>
      <c r="CB750" s="69"/>
      <c r="CC750" s="69"/>
      <c r="CD750" s="69"/>
      <c r="CE750" s="69"/>
      <c r="CF750" s="69"/>
      <c r="CG750" s="69"/>
      <c r="CH750" s="69"/>
      <c r="CI750" s="69"/>
      <c r="CJ750" s="69"/>
      <c r="CK750" s="69"/>
      <c r="CL750" s="69"/>
      <c r="CM750" s="69"/>
      <c r="CN750" s="69"/>
      <c r="CO750" s="69"/>
      <c r="CP750" s="69"/>
      <c r="CQ750" s="69"/>
      <c r="CR750" s="69"/>
      <c r="CS750" s="69"/>
      <c r="CT750" s="69"/>
      <c r="CU750" s="69"/>
      <c r="CV750" s="69"/>
      <c r="CW750" s="69"/>
      <c r="CX750" s="69"/>
      <c r="CY750" s="69"/>
      <c r="CZ750" s="69"/>
      <c r="DA750" s="69"/>
      <c r="DB750" s="69"/>
      <c r="DC750" s="69"/>
      <c r="DD750" s="69"/>
      <c r="DE750" s="69"/>
      <c r="DF750" s="69"/>
      <c r="DG750" s="69"/>
      <c r="DH750" s="69"/>
      <c r="DI750" s="69"/>
      <c r="DJ750" s="69"/>
      <c r="DK750" s="69"/>
      <c r="DL750" s="69"/>
    </row>
    <row r="751" spans="1:116" ht="13" x14ac:dyDescent="0.3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202"/>
      <c r="V751" s="69"/>
      <c r="W751" s="69"/>
      <c r="X751" s="69"/>
      <c r="Y751" s="69"/>
      <c r="Z751" s="69"/>
      <c r="AA751" s="69"/>
      <c r="AB751" s="203"/>
      <c r="AC751" s="69"/>
      <c r="AD751" s="69"/>
      <c r="AE751" s="203"/>
      <c r="AF751" s="69"/>
      <c r="AG751" s="69"/>
      <c r="AH751" s="69"/>
      <c r="AI751" s="69"/>
      <c r="AJ751" s="69"/>
      <c r="AK751" s="69"/>
      <c r="AL751" s="69"/>
      <c r="AM751" s="69"/>
      <c r="AN751" s="69"/>
      <c r="AO751" s="69"/>
      <c r="AP751" s="69"/>
      <c r="AQ751" s="69"/>
      <c r="AR751" s="69"/>
      <c r="AS751" s="69"/>
      <c r="AT751" s="69"/>
      <c r="AU751" s="69"/>
      <c r="AV751" s="69"/>
      <c r="AW751" s="69"/>
      <c r="AX751" s="69"/>
      <c r="AY751" s="69"/>
      <c r="AZ751" s="69"/>
      <c r="BA751" s="69"/>
      <c r="BB751" s="69"/>
      <c r="BC751" s="69"/>
      <c r="BD751" s="69"/>
      <c r="BE751" s="69"/>
      <c r="BF751" s="69"/>
      <c r="BG751" s="69"/>
      <c r="BH751" s="69"/>
      <c r="BI751" s="69"/>
      <c r="BJ751" s="69"/>
      <c r="BK751" s="69"/>
      <c r="BL751" s="69"/>
      <c r="BM751" s="69"/>
      <c r="BN751" s="69"/>
      <c r="BO751" s="69"/>
      <c r="BP751" s="69"/>
      <c r="BQ751" s="69"/>
      <c r="BR751" s="69"/>
      <c r="BS751" s="69"/>
      <c r="BT751" s="69"/>
      <c r="BU751" s="69"/>
      <c r="BV751" s="69"/>
      <c r="BW751" s="69"/>
      <c r="BX751" s="69"/>
      <c r="BY751" s="69"/>
      <c r="BZ751" s="69"/>
      <c r="CA751" s="69"/>
      <c r="CB751" s="69"/>
      <c r="CC751" s="69"/>
      <c r="CD751" s="69"/>
      <c r="CE751" s="69"/>
      <c r="CF751" s="69"/>
      <c r="CG751" s="69"/>
      <c r="CH751" s="69"/>
      <c r="CI751" s="69"/>
      <c r="CJ751" s="69"/>
      <c r="CK751" s="69"/>
      <c r="CL751" s="69"/>
      <c r="CM751" s="69"/>
      <c r="CN751" s="69"/>
      <c r="CO751" s="69"/>
      <c r="CP751" s="69"/>
      <c r="CQ751" s="69"/>
      <c r="CR751" s="69"/>
      <c r="CS751" s="69"/>
      <c r="CT751" s="69"/>
      <c r="CU751" s="69"/>
      <c r="CV751" s="69"/>
      <c r="CW751" s="69"/>
      <c r="CX751" s="69"/>
      <c r="CY751" s="69"/>
      <c r="CZ751" s="69"/>
      <c r="DA751" s="69"/>
      <c r="DB751" s="69"/>
      <c r="DC751" s="69"/>
      <c r="DD751" s="69"/>
      <c r="DE751" s="69"/>
      <c r="DF751" s="69"/>
      <c r="DG751" s="69"/>
      <c r="DH751" s="69"/>
      <c r="DI751" s="69"/>
      <c r="DJ751" s="69"/>
      <c r="DK751" s="69"/>
      <c r="DL751" s="69"/>
    </row>
    <row r="752" spans="1:116" ht="13" x14ac:dyDescent="0.3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202"/>
      <c r="V752" s="69"/>
      <c r="W752" s="69"/>
      <c r="X752" s="69"/>
      <c r="Y752" s="69"/>
      <c r="Z752" s="69"/>
      <c r="AA752" s="69"/>
      <c r="AB752" s="203"/>
      <c r="AC752" s="69"/>
      <c r="AD752" s="69"/>
      <c r="AE752" s="203"/>
      <c r="AF752" s="69"/>
      <c r="AG752" s="69"/>
      <c r="AH752" s="69"/>
      <c r="AI752" s="69"/>
      <c r="AJ752" s="69"/>
      <c r="AK752" s="69"/>
      <c r="AL752" s="69"/>
      <c r="AM752" s="69"/>
      <c r="AN752" s="69"/>
      <c r="AO752" s="69"/>
      <c r="AP752" s="69"/>
      <c r="AQ752" s="69"/>
      <c r="AR752" s="69"/>
      <c r="AS752" s="69"/>
      <c r="AT752" s="69"/>
      <c r="AU752" s="69"/>
      <c r="AV752" s="69"/>
      <c r="AW752" s="69"/>
      <c r="AX752" s="69"/>
      <c r="AY752" s="69"/>
      <c r="AZ752" s="69"/>
      <c r="BA752" s="69"/>
      <c r="BB752" s="69"/>
      <c r="BC752" s="69"/>
      <c r="BD752" s="69"/>
      <c r="BE752" s="69"/>
      <c r="BF752" s="69"/>
      <c r="BG752" s="69"/>
      <c r="BH752" s="69"/>
      <c r="BI752" s="69"/>
      <c r="BJ752" s="69"/>
      <c r="BK752" s="69"/>
      <c r="BL752" s="69"/>
      <c r="BM752" s="69"/>
      <c r="BN752" s="69"/>
      <c r="BO752" s="69"/>
      <c r="BP752" s="69"/>
      <c r="BQ752" s="69"/>
      <c r="BR752" s="69"/>
      <c r="BS752" s="69"/>
      <c r="BT752" s="69"/>
      <c r="BU752" s="69"/>
      <c r="BV752" s="69"/>
      <c r="BW752" s="69"/>
      <c r="BX752" s="69"/>
      <c r="BY752" s="69"/>
      <c r="BZ752" s="69"/>
      <c r="CA752" s="69"/>
      <c r="CB752" s="69"/>
      <c r="CC752" s="69"/>
      <c r="CD752" s="69"/>
      <c r="CE752" s="69"/>
      <c r="CF752" s="69"/>
      <c r="CG752" s="69"/>
      <c r="CH752" s="69"/>
      <c r="CI752" s="69"/>
      <c r="CJ752" s="69"/>
      <c r="CK752" s="69"/>
      <c r="CL752" s="69"/>
      <c r="CM752" s="69"/>
      <c r="CN752" s="69"/>
      <c r="CO752" s="69"/>
      <c r="CP752" s="69"/>
      <c r="CQ752" s="69"/>
      <c r="CR752" s="69"/>
      <c r="CS752" s="69"/>
      <c r="CT752" s="69"/>
      <c r="CU752" s="69"/>
      <c r="CV752" s="69"/>
      <c r="CW752" s="69"/>
      <c r="CX752" s="69"/>
      <c r="CY752" s="69"/>
      <c r="CZ752" s="69"/>
      <c r="DA752" s="69"/>
      <c r="DB752" s="69"/>
      <c r="DC752" s="69"/>
      <c r="DD752" s="69"/>
      <c r="DE752" s="69"/>
      <c r="DF752" s="69"/>
      <c r="DG752" s="69"/>
      <c r="DH752" s="69"/>
      <c r="DI752" s="69"/>
      <c r="DJ752" s="69"/>
      <c r="DK752" s="69"/>
      <c r="DL752" s="69"/>
    </row>
    <row r="753" spans="1:116" ht="13" x14ac:dyDescent="0.3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202"/>
      <c r="V753" s="69"/>
      <c r="W753" s="69"/>
      <c r="X753" s="69"/>
      <c r="Y753" s="69"/>
      <c r="Z753" s="69"/>
      <c r="AA753" s="69"/>
      <c r="AB753" s="203"/>
      <c r="AC753" s="69"/>
      <c r="AD753" s="69"/>
      <c r="AE753" s="203"/>
      <c r="AF753" s="69"/>
      <c r="AG753" s="69"/>
      <c r="AH753" s="69"/>
      <c r="AI753" s="69"/>
      <c r="AJ753" s="69"/>
      <c r="AK753" s="69"/>
      <c r="AL753" s="69"/>
      <c r="AM753" s="69"/>
      <c r="AN753" s="69"/>
      <c r="AO753" s="69"/>
      <c r="AP753" s="69"/>
      <c r="AQ753" s="69"/>
      <c r="AR753" s="69"/>
      <c r="AS753" s="69"/>
      <c r="AT753" s="69"/>
      <c r="AU753" s="69"/>
      <c r="AV753" s="69"/>
      <c r="AW753" s="69"/>
      <c r="AX753" s="69"/>
      <c r="AY753" s="69"/>
      <c r="AZ753" s="69"/>
      <c r="BA753" s="69"/>
      <c r="BB753" s="69"/>
      <c r="BC753" s="69"/>
      <c r="BD753" s="69"/>
      <c r="BE753" s="69"/>
      <c r="BF753" s="69"/>
      <c r="BG753" s="69"/>
      <c r="BH753" s="69"/>
      <c r="BI753" s="69"/>
      <c r="BJ753" s="69"/>
      <c r="BK753" s="69"/>
      <c r="BL753" s="69"/>
      <c r="BM753" s="69"/>
      <c r="BN753" s="69"/>
      <c r="BO753" s="69"/>
      <c r="BP753" s="69"/>
      <c r="BQ753" s="69"/>
      <c r="BR753" s="69"/>
      <c r="BS753" s="69"/>
      <c r="BT753" s="69"/>
      <c r="BU753" s="69"/>
      <c r="BV753" s="69"/>
      <c r="BW753" s="69"/>
      <c r="BX753" s="69"/>
      <c r="BY753" s="69"/>
      <c r="BZ753" s="69"/>
      <c r="CA753" s="69"/>
      <c r="CB753" s="69"/>
      <c r="CC753" s="69"/>
      <c r="CD753" s="69"/>
      <c r="CE753" s="69"/>
      <c r="CF753" s="69"/>
      <c r="CG753" s="69"/>
      <c r="CH753" s="69"/>
      <c r="CI753" s="69"/>
      <c r="CJ753" s="69"/>
      <c r="CK753" s="69"/>
      <c r="CL753" s="69"/>
      <c r="CM753" s="69"/>
      <c r="CN753" s="69"/>
      <c r="CO753" s="69"/>
      <c r="CP753" s="69"/>
      <c r="CQ753" s="69"/>
      <c r="CR753" s="69"/>
      <c r="CS753" s="69"/>
      <c r="CT753" s="69"/>
      <c r="CU753" s="69"/>
      <c r="CV753" s="69"/>
      <c r="CW753" s="69"/>
      <c r="CX753" s="69"/>
      <c r="CY753" s="69"/>
      <c r="CZ753" s="69"/>
      <c r="DA753" s="69"/>
      <c r="DB753" s="69"/>
      <c r="DC753" s="69"/>
      <c r="DD753" s="69"/>
      <c r="DE753" s="69"/>
      <c r="DF753" s="69"/>
      <c r="DG753" s="69"/>
      <c r="DH753" s="69"/>
      <c r="DI753" s="69"/>
      <c r="DJ753" s="69"/>
      <c r="DK753" s="69"/>
      <c r="DL753" s="69"/>
    </row>
    <row r="754" spans="1:116" ht="13" x14ac:dyDescent="0.3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202"/>
      <c r="V754" s="69"/>
      <c r="W754" s="69"/>
      <c r="X754" s="69"/>
      <c r="Y754" s="69"/>
      <c r="Z754" s="69"/>
      <c r="AA754" s="69"/>
      <c r="AB754" s="203"/>
      <c r="AC754" s="69"/>
      <c r="AD754" s="69"/>
      <c r="AE754" s="203"/>
      <c r="AF754" s="69"/>
      <c r="AG754" s="69"/>
      <c r="AH754" s="69"/>
      <c r="AI754" s="69"/>
      <c r="AJ754" s="69"/>
      <c r="AK754" s="69"/>
      <c r="AL754" s="69"/>
      <c r="AM754" s="69"/>
      <c r="AN754" s="69"/>
      <c r="AO754" s="69"/>
      <c r="AP754" s="69"/>
      <c r="AQ754" s="69"/>
      <c r="AR754" s="69"/>
      <c r="AS754" s="69"/>
      <c r="AT754" s="69"/>
      <c r="AU754" s="69"/>
      <c r="AV754" s="69"/>
      <c r="AW754" s="69"/>
      <c r="AX754" s="69"/>
      <c r="AY754" s="69"/>
      <c r="AZ754" s="69"/>
      <c r="BA754" s="69"/>
      <c r="BB754" s="69"/>
      <c r="BC754" s="69"/>
      <c r="BD754" s="69"/>
      <c r="BE754" s="69"/>
      <c r="BF754" s="69"/>
      <c r="BG754" s="69"/>
      <c r="BH754" s="69"/>
      <c r="BI754" s="69"/>
      <c r="BJ754" s="69"/>
      <c r="BK754" s="69"/>
      <c r="BL754" s="69"/>
      <c r="BM754" s="69"/>
      <c r="BN754" s="69"/>
      <c r="BO754" s="69"/>
      <c r="BP754" s="69"/>
      <c r="BQ754" s="69"/>
      <c r="BR754" s="69"/>
      <c r="BS754" s="69"/>
      <c r="BT754" s="69"/>
      <c r="BU754" s="69"/>
      <c r="BV754" s="69"/>
      <c r="BW754" s="69"/>
      <c r="BX754" s="69"/>
      <c r="BY754" s="69"/>
      <c r="BZ754" s="69"/>
      <c r="CA754" s="69"/>
      <c r="CB754" s="69"/>
      <c r="CC754" s="69"/>
      <c r="CD754" s="69"/>
      <c r="CE754" s="69"/>
      <c r="CF754" s="69"/>
      <c r="CG754" s="69"/>
      <c r="CH754" s="69"/>
      <c r="CI754" s="69"/>
      <c r="CJ754" s="69"/>
      <c r="CK754" s="69"/>
      <c r="CL754" s="69"/>
      <c r="CM754" s="69"/>
      <c r="CN754" s="69"/>
      <c r="CO754" s="69"/>
      <c r="CP754" s="69"/>
      <c r="CQ754" s="69"/>
      <c r="CR754" s="69"/>
      <c r="CS754" s="69"/>
      <c r="CT754" s="69"/>
      <c r="CU754" s="69"/>
      <c r="CV754" s="69"/>
      <c r="CW754" s="69"/>
      <c r="CX754" s="69"/>
      <c r="CY754" s="69"/>
      <c r="CZ754" s="69"/>
      <c r="DA754" s="69"/>
      <c r="DB754" s="69"/>
      <c r="DC754" s="69"/>
      <c r="DD754" s="69"/>
      <c r="DE754" s="69"/>
      <c r="DF754" s="69"/>
      <c r="DG754" s="69"/>
      <c r="DH754" s="69"/>
      <c r="DI754" s="69"/>
      <c r="DJ754" s="69"/>
      <c r="DK754" s="69"/>
      <c r="DL754" s="69"/>
    </row>
    <row r="755" spans="1:116" ht="13" x14ac:dyDescent="0.3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202"/>
      <c r="V755" s="69"/>
      <c r="W755" s="69"/>
      <c r="X755" s="69"/>
      <c r="Y755" s="69"/>
      <c r="Z755" s="69"/>
      <c r="AA755" s="69"/>
      <c r="AB755" s="203"/>
      <c r="AC755" s="69"/>
      <c r="AD755" s="69"/>
      <c r="AE755" s="203"/>
      <c r="AF755" s="69"/>
      <c r="AG755" s="69"/>
      <c r="AH755" s="69"/>
      <c r="AI755" s="69"/>
      <c r="AJ755" s="69"/>
      <c r="AK755" s="69"/>
      <c r="AL755" s="69"/>
      <c r="AM755" s="69"/>
      <c r="AN755" s="69"/>
      <c r="AO755" s="69"/>
      <c r="AP755" s="69"/>
      <c r="AQ755" s="69"/>
      <c r="AR755" s="69"/>
      <c r="AS755" s="69"/>
      <c r="AT755" s="69"/>
      <c r="AU755" s="69"/>
      <c r="AV755" s="69"/>
      <c r="AW755" s="69"/>
      <c r="AX755" s="69"/>
      <c r="AY755" s="69"/>
      <c r="AZ755" s="69"/>
      <c r="BA755" s="69"/>
      <c r="BB755" s="69"/>
      <c r="BC755" s="69"/>
      <c r="BD755" s="69"/>
      <c r="BE755" s="69"/>
      <c r="BF755" s="69"/>
      <c r="BG755" s="69"/>
      <c r="BH755" s="69"/>
      <c r="BI755" s="69"/>
      <c r="BJ755" s="69"/>
      <c r="BK755" s="69"/>
      <c r="BL755" s="69"/>
      <c r="BM755" s="69"/>
      <c r="BN755" s="69"/>
      <c r="BO755" s="69"/>
      <c r="BP755" s="69"/>
      <c r="BQ755" s="69"/>
      <c r="BR755" s="69"/>
      <c r="BS755" s="69"/>
      <c r="BT755" s="69"/>
      <c r="BU755" s="69"/>
      <c r="BV755" s="69"/>
      <c r="BW755" s="69"/>
      <c r="BX755" s="69"/>
      <c r="BY755" s="69"/>
      <c r="BZ755" s="69"/>
      <c r="CA755" s="69"/>
      <c r="CB755" s="69"/>
      <c r="CC755" s="69"/>
      <c r="CD755" s="69"/>
      <c r="CE755" s="69"/>
      <c r="CF755" s="69"/>
      <c r="CG755" s="69"/>
      <c r="CH755" s="69"/>
      <c r="CI755" s="69"/>
      <c r="CJ755" s="69"/>
      <c r="CK755" s="69"/>
      <c r="CL755" s="69"/>
      <c r="CM755" s="69"/>
      <c r="CN755" s="69"/>
      <c r="CO755" s="69"/>
      <c r="CP755" s="69"/>
      <c r="CQ755" s="69"/>
      <c r="CR755" s="69"/>
      <c r="CS755" s="69"/>
      <c r="CT755" s="69"/>
      <c r="CU755" s="69"/>
      <c r="CV755" s="69"/>
      <c r="CW755" s="69"/>
      <c r="CX755" s="69"/>
      <c r="CY755" s="69"/>
      <c r="CZ755" s="69"/>
      <c r="DA755" s="69"/>
      <c r="DB755" s="69"/>
      <c r="DC755" s="69"/>
      <c r="DD755" s="69"/>
      <c r="DE755" s="69"/>
      <c r="DF755" s="69"/>
      <c r="DG755" s="69"/>
      <c r="DH755" s="69"/>
      <c r="DI755" s="69"/>
      <c r="DJ755" s="69"/>
      <c r="DK755" s="69"/>
      <c r="DL755" s="69"/>
    </row>
    <row r="756" spans="1:116" ht="13" x14ac:dyDescent="0.3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202"/>
      <c r="V756" s="69"/>
      <c r="W756" s="69"/>
      <c r="X756" s="69"/>
      <c r="Y756" s="69"/>
      <c r="Z756" s="69"/>
      <c r="AA756" s="69"/>
      <c r="AB756" s="203"/>
      <c r="AC756" s="69"/>
      <c r="AD756" s="69"/>
      <c r="AE756" s="203"/>
      <c r="AF756" s="69"/>
      <c r="AG756" s="69"/>
      <c r="AH756" s="69"/>
      <c r="AI756" s="69"/>
      <c r="AJ756" s="69"/>
      <c r="AK756" s="69"/>
      <c r="AL756" s="69"/>
      <c r="AM756" s="69"/>
      <c r="AN756" s="69"/>
      <c r="AO756" s="69"/>
      <c r="AP756" s="69"/>
      <c r="AQ756" s="69"/>
      <c r="AR756" s="69"/>
      <c r="AS756" s="69"/>
      <c r="AT756" s="69"/>
      <c r="AU756" s="69"/>
      <c r="AV756" s="69"/>
      <c r="AW756" s="69"/>
      <c r="AX756" s="69"/>
      <c r="AY756" s="69"/>
      <c r="AZ756" s="69"/>
      <c r="BA756" s="69"/>
      <c r="BB756" s="69"/>
      <c r="BC756" s="69"/>
      <c r="BD756" s="69"/>
      <c r="BE756" s="69"/>
      <c r="BF756" s="69"/>
      <c r="BG756" s="69"/>
      <c r="BH756" s="69"/>
      <c r="BI756" s="69"/>
      <c r="BJ756" s="69"/>
      <c r="BK756" s="69"/>
      <c r="BL756" s="69"/>
      <c r="BM756" s="69"/>
      <c r="BN756" s="69"/>
      <c r="BO756" s="69"/>
      <c r="BP756" s="69"/>
      <c r="BQ756" s="69"/>
      <c r="BR756" s="69"/>
      <c r="BS756" s="69"/>
      <c r="BT756" s="69"/>
      <c r="BU756" s="69"/>
      <c r="BV756" s="69"/>
      <c r="BW756" s="69"/>
      <c r="BX756" s="69"/>
      <c r="BY756" s="69"/>
      <c r="BZ756" s="69"/>
      <c r="CA756" s="69"/>
      <c r="CB756" s="69"/>
      <c r="CC756" s="69"/>
      <c r="CD756" s="69"/>
      <c r="CE756" s="69"/>
      <c r="CF756" s="69"/>
      <c r="CG756" s="69"/>
      <c r="CH756" s="69"/>
      <c r="CI756" s="69"/>
      <c r="CJ756" s="69"/>
      <c r="CK756" s="69"/>
      <c r="CL756" s="69"/>
      <c r="CM756" s="69"/>
      <c r="CN756" s="69"/>
      <c r="CO756" s="69"/>
      <c r="CP756" s="69"/>
      <c r="CQ756" s="69"/>
      <c r="CR756" s="69"/>
      <c r="CS756" s="69"/>
      <c r="CT756" s="69"/>
      <c r="CU756" s="69"/>
      <c r="CV756" s="69"/>
      <c r="CW756" s="69"/>
      <c r="CX756" s="69"/>
      <c r="CY756" s="69"/>
      <c r="CZ756" s="69"/>
      <c r="DA756" s="69"/>
      <c r="DB756" s="69"/>
      <c r="DC756" s="69"/>
      <c r="DD756" s="69"/>
      <c r="DE756" s="69"/>
      <c r="DF756" s="69"/>
      <c r="DG756" s="69"/>
      <c r="DH756" s="69"/>
      <c r="DI756" s="69"/>
      <c r="DJ756" s="69"/>
      <c r="DK756" s="69"/>
      <c r="DL756" s="69"/>
    </row>
    <row r="757" spans="1:116" ht="13" x14ac:dyDescent="0.3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202"/>
      <c r="V757" s="69"/>
      <c r="W757" s="69"/>
      <c r="X757" s="69"/>
      <c r="Y757" s="69"/>
      <c r="Z757" s="69"/>
      <c r="AA757" s="69"/>
      <c r="AB757" s="203"/>
      <c r="AC757" s="69"/>
      <c r="AD757" s="69"/>
      <c r="AE757" s="203"/>
      <c r="AF757" s="69"/>
      <c r="AG757" s="69"/>
      <c r="AH757" s="69"/>
      <c r="AI757" s="69"/>
      <c r="AJ757" s="69"/>
      <c r="AK757" s="69"/>
      <c r="AL757" s="69"/>
      <c r="AM757" s="69"/>
      <c r="AN757" s="69"/>
      <c r="AO757" s="69"/>
      <c r="AP757" s="69"/>
      <c r="AQ757" s="69"/>
      <c r="AR757" s="69"/>
      <c r="AS757" s="69"/>
      <c r="AT757" s="69"/>
      <c r="AU757" s="69"/>
      <c r="AV757" s="69"/>
      <c r="AW757" s="69"/>
      <c r="AX757" s="69"/>
      <c r="AY757" s="69"/>
      <c r="AZ757" s="69"/>
      <c r="BA757" s="69"/>
      <c r="BB757" s="69"/>
      <c r="BC757" s="69"/>
      <c r="BD757" s="69"/>
      <c r="BE757" s="69"/>
      <c r="BF757" s="69"/>
      <c r="BG757" s="69"/>
      <c r="BH757" s="69"/>
      <c r="BI757" s="69"/>
      <c r="BJ757" s="69"/>
      <c r="BK757" s="69"/>
      <c r="BL757" s="69"/>
      <c r="BM757" s="69"/>
      <c r="BN757" s="69"/>
      <c r="BO757" s="69"/>
      <c r="BP757" s="69"/>
      <c r="BQ757" s="69"/>
      <c r="BR757" s="69"/>
      <c r="BS757" s="69"/>
      <c r="BT757" s="69"/>
      <c r="BU757" s="69"/>
      <c r="BV757" s="69"/>
      <c r="BW757" s="69"/>
      <c r="BX757" s="69"/>
      <c r="BY757" s="69"/>
      <c r="BZ757" s="69"/>
      <c r="CA757" s="69"/>
      <c r="CB757" s="69"/>
      <c r="CC757" s="69"/>
      <c r="CD757" s="69"/>
      <c r="CE757" s="69"/>
      <c r="CF757" s="69"/>
      <c r="CG757" s="69"/>
      <c r="CH757" s="69"/>
      <c r="CI757" s="69"/>
      <c r="CJ757" s="69"/>
      <c r="CK757" s="69"/>
      <c r="CL757" s="69"/>
      <c r="CM757" s="69"/>
      <c r="CN757" s="69"/>
      <c r="CO757" s="69"/>
      <c r="CP757" s="69"/>
      <c r="CQ757" s="69"/>
      <c r="CR757" s="69"/>
      <c r="CS757" s="69"/>
      <c r="CT757" s="69"/>
      <c r="CU757" s="69"/>
      <c r="CV757" s="69"/>
      <c r="CW757" s="69"/>
      <c r="CX757" s="69"/>
      <c r="CY757" s="69"/>
      <c r="CZ757" s="69"/>
      <c r="DA757" s="69"/>
      <c r="DB757" s="69"/>
      <c r="DC757" s="69"/>
      <c r="DD757" s="69"/>
      <c r="DE757" s="69"/>
      <c r="DF757" s="69"/>
      <c r="DG757" s="69"/>
      <c r="DH757" s="69"/>
      <c r="DI757" s="69"/>
      <c r="DJ757" s="69"/>
      <c r="DK757" s="69"/>
      <c r="DL757" s="69"/>
    </row>
    <row r="758" spans="1:116" ht="13" x14ac:dyDescent="0.3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202"/>
      <c r="V758" s="69"/>
      <c r="W758" s="69"/>
      <c r="X758" s="69"/>
      <c r="Y758" s="69"/>
      <c r="Z758" s="69"/>
      <c r="AA758" s="69"/>
      <c r="AB758" s="203"/>
      <c r="AC758" s="69"/>
      <c r="AD758" s="69"/>
      <c r="AE758" s="203"/>
      <c r="AF758" s="69"/>
      <c r="AG758" s="69"/>
      <c r="AH758" s="69"/>
      <c r="AI758" s="69"/>
      <c r="AJ758" s="69"/>
      <c r="AK758" s="69"/>
      <c r="AL758" s="69"/>
      <c r="AM758" s="69"/>
      <c r="AN758" s="69"/>
      <c r="AO758" s="69"/>
      <c r="AP758" s="69"/>
      <c r="AQ758" s="69"/>
      <c r="AR758" s="69"/>
      <c r="AS758" s="69"/>
      <c r="AT758" s="69"/>
      <c r="AU758" s="69"/>
      <c r="AV758" s="69"/>
      <c r="AW758" s="69"/>
      <c r="AX758" s="69"/>
      <c r="AY758" s="69"/>
      <c r="AZ758" s="69"/>
      <c r="BA758" s="69"/>
      <c r="BB758" s="69"/>
      <c r="BC758" s="69"/>
      <c r="BD758" s="69"/>
      <c r="BE758" s="69"/>
      <c r="BF758" s="69"/>
      <c r="BG758" s="69"/>
      <c r="BH758" s="69"/>
      <c r="BI758" s="69"/>
      <c r="BJ758" s="69"/>
      <c r="BK758" s="69"/>
      <c r="BL758" s="69"/>
      <c r="BM758" s="69"/>
      <c r="BN758" s="69"/>
      <c r="BO758" s="69"/>
      <c r="BP758" s="69"/>
      <c r="BQ758" s="69"/>
      <c r="BR758" s="69"/>
      <c r="BS758" s="69"/>
      <c r="BT758" s="69"/>
      <c r="BU758" s="69"/>
      <c r="BV758" s="69"/>
      <c r="BW758" s="69"/>
      <c r="BX758" s="69"/>
      <c r="BY758" s="69"/>
      <c r="BZ758" s="69"/>
      <c r="CA758" s="69"/>
      <c r="CB758" s="69"/>
      <c r="CC758" s="69"/>
      <c r="CD758" s="69"/>
      <c r="CE758" s="69"/>
      <c r="CF758" s="69"/>
      <c r="CG758" s="69"/>
      <c r="CH758" s="69"/>
      <c r="CI758" s="69"/>
      <c r="CJ758" s="69"/>
      <c r="CK758" s="69"/>
      <c r="CL758" s="69"/>
      <c r="CM758" s="69"/>
      <c r="CN758" s="69"/>
      <c r="CO758" s="69"/>
      <c r="CP758" s="69"/>
      <c r="CQ758" s="69"/>
      <c r="CR758" s="69"/>
      <c r="CS758" s="69"/>
      <c r="CT758" s="69"/>
      <c r="CU758" s="69"/>
      <c r="CV758" s="69"/>
      <c r="CW758" s="69"/>
      <c r="CX758" s="69"/>
      <c r="CY758" s="69"/>
      <c r="CZ758" s="69"/>
      <c r="DA758" s="69"/>
      <c r="DB758" s="69"/>
      <c r="DC758" s="69"/>
      <c r="DD758" s="69"/>
      <c r="DE758" s="69"/>
      <c r="DF758" s="69"/>
      <c r="DG758" s="69"/>
      <c r="DH758" s="69"/>
      <c r="DI758" s="69"/>
      <c r="DJ758" s="69"/>
      <c r="DK758" s="69"/>
      <c r="DL758" s="69"/>
    </row>
    <row r="759" spans="1:116" ht="13" x14ac:dyDescent="0.3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202"/>
      <c r="V759" s="69"/>
      <c r="W759" s="69"/>
      <c r="X759" s="69"/>
      <c r="Y759" s="69"/>
      <c r="Z759" s="69"/>
      <c r="AA759" s="69"/>
      <c r="AB759" s="203"/>
      <c r="AC759" s="69"/>
      <c r="AD759" s="69"/>
      <c r="AE759" s="203"/>
      <c r="AF759" s="69"/>
      <c r="AG759" s="69"/>
      <c r="AH759" s="69"/>
      <c r="AI759" s="69"/>
      <c r="AJ759" s="69"/>
      <c r="AK759" s="69"/>
      <c r="AL759" s="69"/>
      <c r="AM759" s="69"/>
      <c r="AN759" s="69"/>
      <c r="AO759" s="69"/>
      <c r="AP759" s="69"/>
      <c r="AQ759" s="69"/>
      <c r="AR759" s="69"/>
      <c r="AS759" s="69"/>
      <c r="AT759" s="69"/>
      <c r="AU759" s="69"/>
      <c r="AV759" s="69"/>
      <c r="AW759" s="69"/>
      <c r="AX759" s="69"/>
      <c r="AY759" s="69"/>
      <c r="AZ759" s="69"/>
      <c r="BA759" s="69"/>
      <c r="BB759" s="69"/>
      <c r="BC759" s="69"/>
      <c r="BD759" s="69"/>
      <c r="BE759" s="69"/>
      <c r="BF759" s="69"/>
      <c r="BG759" s="69"/>
      <c r="BH759" s="69"/>
      <c r="BI759" s="69"/>
      <c r="BJ759" s="69"/>
      <c r="BK759" s="69"/>
      <c r="BL759" s="69"/>
      <c r="BM759" s="69"/>
      <c r="BN759" s="69"/>
      <c r="BO759" s="69"/>
      <c r="BP759" s="69"/>
      <c r="BQ759" s="69"/>
      <c r="BR759" s="69"/>
      <c r="BS759" s="69"/>
      <c r="BT759" s="69"/>
      <c r="BU759" s="69"/>
      <c r="BV759" s="69"/>
      <c r="BW759" s="69"/>
      <c r="BX759" s="69"/>
      <c r="BY759" s="69"/>
      <c r="BZ759" s="69"/>
      <c r="CA759" s="69"/>
      <c r="CB759" s="69"/>
      <c r="CC759" s="69"/>
      <c r="CD759" s="69"/>
      <c r="CE759" s="69"/>
      <c r="CF759" s="69"/>
      <c r="CG759" s="69"/>
      <c r="CH759" s="69"/>
      <c r="CI759" s="69"/>
      <c r="CJ759" s="69"/>
      <c r="CK759" s="69"/>
      <c r="CL759" s="69"/>
      <c r="CM759" s="69"/>
      <c r="CN759" s="69"/>
      <c r="CO759" s="69"/>
      <c r="CP759" s="69"/>
      <c r="CQ759" s="69"/>
      <c r="CR759" s="69"/>
      <c r="CS759" s="69"/>
      <c r="CT759" s="69"/>
      <c r="CU759" s="69"/>
      <c r="CV759" s="69"/>
      <c r="CW759" s="69"/>
      <c r="CX759" s="69"/>
      <c r="CY759" s="69"/>
      <c r="CZ759" s="69"/>
      <c r="DA759" s="69"/>
      <c r="DB759" s="69"/>
      <c r="DC759" s="69"/>
      <c r="DD759" s="69"/>
      <c r="DE759" s="69"/>
      <c r="DF759" s="69"/>
      <c r="DG759" s="69"/>
      <c r="DH759" s="69"/>
      <c r="DI759" s="69"/>
      <c r="DJ759" s="69"/>
      <c r="DK759" s="69"/>
      <c r="DL759" s="69"/>
    </row>
    <row r="760" spans="1:116" ht="13" x14ac:dyDescent="0.3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202"/>
      <c r="V760" s="69"/>
      <c r="W760" s="69"/>
      <c r="X760" s="69"/>
      <c r="Y760" s="69"/>
      <c r="Z760" s="69"/>
      <c r="AA760" s="69"/>
      <c r="AB760" s="203"/>
      <c r="AC760" s="69"/>
      <c r="AD760" s="69"/>
      <c r="AE760" s="203"/>
      <c r="AF760" s="69"/>
      <c r="AG760" s="69"/>
      <c r="AH760" s="69"/>
      <c r="AI760" s="69"/>
      <c r="AJ760" s="69"/>
      <c r="AK760" s="69"/>
      <c r="AL760" s="69"/>
      <c r="AM760" s="69"/>
      <c r="AN760" s="69"/>
      <c r="AO760" s="69"/>
      <c r="AP760" s="69"/>
      <c r="AQ760" s="69"/>
      <c r="AR760" s="69"/>
      <c r="AS760" s="69"/>
      <c r="AT760" s="69"/>
      <c r="AU760" s="69"/>
      <c r="AV760" s="69"/>
      <c r="AW760" s="69"/>
      <c r="AX760" s="69"/>
      <c r="AY760" s="69"/>
      <c r="AZ760" s="69"/>
      <c r="BA760" s="69"/>
      <c r="BB760" s="69"/>
      <c r="BC760" s="69"/>
      <c r="BD760" s="69"/>
      <c r="BE760" s="69"/>
      <c r="BF760" s="69"/>
      <c r="BG760" s="69"/>
      <c r="BH760" s="69"/>
      <c r="BI760" s="69"/>
      <c r="BJ760" s="69"/>
      <c r="BK760" s="69"/>
      <c r="BL760" s="69"/>
      <c r="BM760" s="69"/>
      <c r="BN760" s="69"/>
      <c r="BO760" s="69"/>
      <c r="BP760" s="69"/>
      <c r="BQ760" s="69"/>
      <c r="BR760" s="69"/>
      <c r="BS760" s="69"/>
      <c r="BT760" s="69"/>
      <c r="BU760" s="69"/>
      <c r="BV760" s="69"/>
      <c r="BW760" s="69"/>
      <c r="BX760" s="69"/>
      <c r="BY760" s="69"/>
      <c r="BZ760" s="69"/>
      <c r="CA760" s="69"/>
      <c r="CB760" s="69"/>
      <c r="CC760" s="69"/>
      <c r="CD760" s="69"/>
      <c r="CE760" s="69"/>
      <c r="CF760" s="69"/>
      <c r="CG760" s="69"/>
      <c r="CH760" s="69"/>
      <c r="CI760" s="69"/>
      <c r="CJ760" s="69"/>
      <c r="CK760" s="69"/>
      <c r="CL760" s="69"/>
      <c r="CM760" s="69"/>
      <c r="CN760" s="69"/>
      <c r="CO760" s="69"/>
      <c r="CP760" s="69"/>
      <c r="CQ760" s="69"/>
      <c r="CR760" s="69"/>
      <c r="CS760" s="69"/>
      <c r="CT760" s="69"/>
      <c r="CU760" s="69"/>
      <c r="CV760" s="69"/>
      <c r="CW760" s="69"/>
      <c r="CX760" s="69"/>
      <c r="CY760" s="69"/>
      <c r="CZ760" s="69"/>
      <c r="DA760" s="69"/>
      <c r="DB760" s="69"/>
      <c r="DC760" s="69"/>
      <c r="DD760" s="69"/>
      <c r="DE760" s="69"/>
      <c r="DF760" s="69"/>
      <c r="DG760" s="69"/>
      <c r="DH760" s="69"/>
      <c r="DI760" s="69"/>
      <c r="DJ760" s="69"/>
      <c r="DK760" s="69"/>
      <c r="DL760" s="69"/>
    </row>
    <row r="761" spans="1:116" ht="13" x14ac:dyDescent="0.3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202"/>
      <c r="V761" s="69"/>
      <c r="W761" s="69"/>
      <c r="X761" s="69"/>
      <c r="Y761" s="69"/>
      <c r="Z761" s="69"/>
      <c r="AA761" s="69"/>
      <c r="AB761" s="203"/>
      <c r="AC761" s="69"/>
      <c r="AD761" s="69"/>
      <c r="AE761" s="203"/>
      <c r="AF761" s="69"/>
      <c r="AG761" s="69"/>
      <c r="AH761" s="69"/>
      <c r="AI761" s="69"/>
      <c r="AJ761" s="69"/>
      <c r="AK761" s="69"/>
      <c r="AL761" s="69"/>
      <c r="AM761" s="69"/>
      <c r="AN761" s="69"/>
      <c r="AO761" s="69"/>
      <c r="AP761" s="69"/>
      <c r="AQ761" s="69"/>
      <c r="AR761" s="69"/>
      <c r="AS761" s="69"/>
      <c r="AT761" s="69"/>
      <c r="AU761" s="69"/>
      <c r="AV761" s="69"/>
      <c r="AW761" s="69"/>
      <c r="AX761" s="69"/>
      <c r="AY761" s="69"/>
      <c r="AZ761" s="69"/>
      <c r="BA761" s="69"/>
      <c r="BB761" s="69"/>
      <c r="BC761" s="69"/>
      <c r="BD761" s="69"/>
      <c r="BE761" s="69"/>
      <c r="BF761" s="69"/>
      <c r="BG761" s="69"/>
      <c r="BH761" s="69"/>
      <c r="BI761" s="69"/>
      <c r="BJ761" s="69"/>
      <c r="BK761" s="69"/>
      <c r="BL761" s="69"/>
      <c r="BM761" s="69"/>
      <c r="BN761" s="69"/>
      <c r="BO761" s="69"/>
      <c r="BP761" s="69"/>
      <c r="BQ761" s="69"/>
      <c r="BR761" s="69"/>
      <c r="BS761" s="69"/>
      <c r="BT761" s="69"/>
      <c r="BU761" s="69"/>
      <c r="BV761" s="69"/>
      <c r="BW761" s="69"/>
      <c r="BX761" s="69"/>
      <c r="BY761" s="69"/>
      <c r="BZ761" s="69"/>
      <c r="CA761" s="69"/>
      <c r="CB761" s="69"/>
      <c r="CC761" s="69"/>
      <c r="CD761" s="69"/>
      <c r="CE761" s="69"/>
      <c r="CF761" s="69"/>
      <c r="CG761" s="69"/>
      <c r="CH761" s="69"/>
      <c r="CI761" s="69"/>
      <c r="CJ761" s="69"/>
      <c r="CK761" s="69"/>
      <c r="CL761" s="69"/>
      <c r="CM761" s="69"/>
      <c r="CN761" s="69"/>
      <c r="CO761" s="69"/>
      <c r="CP761" s="69"/>
      <c r="CQ761" s="69"/>
      <c r="CR761" s="69"/>
      <c r="CS761" s="69"/>
      <c r="CT761" s="69"/>
      <c r="CU761" s="69"/>
      <c r="CV761" s="69"/>
      <c r="CW761" s="69"/>
      <c r="CX761" s="69"/>
      <c r="CY761" s="69"/>
      <c r="CZ761" s="69"/>
      <c r="DA761" s="69"/>
      <c r="DB761" s="69"/>
      <c r="DC761" s="69"/>
      <c r="DD761" s="69"/>
      <c r="DE761" s="69"/>
      <c r="DF761" s="69"/>
      <c r="DG761" s="69"/>
      <c r="DH761" s="69"/>
      <c r="DI761" s="69"/>
      <c r="DJ761" s="69"/>
      <c r="DK761" s="69"/>
      <c r="DL761" s="69"/>
    </row>
    <row r="762" spans="1:116" ht="13" x14ac:dyDescent="0.3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202"/>
      <c r="V762" s="69"/>
      <c r="W762" s="69"/>
      <c r="X762" s="69"/>
      <c r="Y762" s="69"/>
      <c r="Z762" s="69"/>
      <c r="AA762" s="69"/>
      <c r="AB762" s="203"/>
      <c r="AC762" s="69"/>
      <c r="AD762" s="69"/>
      <c r="AE762" s="203"/>
      <c r="AF762" s="69"/>
      <c r="AG762" s="69"/>
      <c r="AH762" s="69"/>
      <c r="AI762" s="69"/>
      <c r="AJ762" s="69"/>
      <c r="AK762" s="69"/>
      <c r="AL762" s="69"/>
      <c r="AM762" s="69"/>
      <c r="AN762" s="69"/>
      <c r="AO762" s="69"/>
      <c r="AP762" s="69"/>
      <c r="AQ762" s="69"/>
      <c r="AR762" s="69"/>
      <c r="AS762" s="69"/>
      <c r="AT762" s="69"/>
      <c r="AU762" s="69"/>
      <c r="AV762" s="69"/>
      <c r="AW762" s="69"/>
      <c r="AX762" s="69"/>
      <c r="AY762" s="69"/>
      <c r="AZ762" s="69"/>
      <c r="BA762" s="69"/>
      <c r="BB762" s="69"/>
      <c r="BC762" s="69"/>
      <c r="BD762" s="69"/>
      <c r="BE762" s="69"/>
      <c r="BF762" s="69"/>
      <c r="BG762" s="69"/>
      <c r="BH762" s="69"/>
      <c r="BI762" s="69"/>
      <c r="BJ762" s="69"/>
      <c r="BK762" s="69"/>
      <c r="BL762" s="69"/>
      <c r="BM762" s="69"/>
      <c r="BN762" s="69"/>
      <c r="BO762" s="69"/>
      <c r="BP762" s="69"/>
      <c r="BQ762" s="69"/>
      <c r="BR762" s="69"/>
      <c r="BS762" s="69"/>
      <c r="BT762" s="69"/>
      <c r="BU762" s="69"/>
      <c r="BV762" s="69"/>
      <c r="BW762" s="69"/>
      <c r="BX762" s="69"/>
      <c r="BY762" s="69"/>
      <c r="BZ762" s="69"/>
      <c r="CA762" s="69"/>
      <c r="CB762" s="69"/>
      <c r="CC762" s="69"/>
      <c r="CD762" s="69"/>
      <c r="CE762" s="69"/>
      <c r="CF762" s="69"/>
      <c r="CG762" s="69"/>
      <c r="CH762" s="69"/>
      <c r="CI762" s="69"/>
      <c r="CJ762" s="69"/>
      <c r="CK762" s="69"/>
      <c r="CL762" s="69"/>
      <c r="CM762" s="69"/>
      <c r="CN762" s="69"/>
      <c r="CO762" s="69"/>
      <c r="CP762" s="69"/>
      <c r="CQ762" s="69"/>
      <c r="CR762" s="69"/>
      <c r="CS762" s="69"/>
      <c r="CT762" s="69"/>
      <c r="CU762" s="69"/>
      <c r="CV762" s="69"/>
      <c r="CW762" s="69"/>
      <c r="CX762" s="69"/>
      <c r="CY762" s="69"/>
      <c r="CZ762" s="69"/>
      <c r="DA762" s="69"/>
      <c r="DB762" s="69"/>
      <c r="DC762" s="69"/>
      <c r="DD762" s="69"/>
      <c r="DE762" s="69"/>
      <c r="DF762" s="69"/>
      <c r="DG762" s="69"/>
      <c r="DH762" s="69"/>
      <c r="DI762" s="69"/>
      <c r="DJ762" s="69"/>
      <c r="DK762" s="69"/>
      <c r="DL762" s="69"/>
    </row>
    <row r="763" spans="1:116" ht="13" x14ac:dyDescent="0.3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202"/>
      <c r="V763" s="69"/>
      <c r="W763" s="69"/>
      <c r="X763" s="69"/>
      <c r="Y763" s="69"/>
      <c r="Z763" s="69"/>
      <c r="AA763" s="69"/>
      <c r="AB763" s="203"/>
      <c r="AC763" s="69"/>
      <c r="AD763" s="69"/>
      <c r="AE763" s="203"/>
      <c r="AF763" s="69"/>
      <c r="AG763" s="69"/>
      <c r="AH763" s="69"/>
      <c r="AI763" s="69"/>
      <c r="AJ763" s="69"/>
      <c r="AK763" s="69"/>
      <c r="AL763" s="69"/>
      <c r="AM763" s="69"/>
      <c r="AN763" s="69"/>
      <c r="AO763" s="69"/>
      <c r="AP763" s="69"/>
      <c r="AQ763" s="69"/>
      <c r="AR763" s="69"/>
      <c r="AS763" s="69"/>
      <c r="AT763" s="69"/>
      <c r="AU763" s="69"/>
      <c r="AV763" s="69"/>
      <c r="AW763" s="69"/>
      <c r="AX763" s="69"/>
      <c r="AY763" s="69"/>
      <c r="AZ763" s="69"/>
      <c r="BA763" s="69"/>
      <c r="BB763" s="69"/>
      <c r="BC763" s="69"/>
      <c r="BD763" s="69"/>
      <c r="BE763" s="69"/>
      <c r="BF763" s="69"/>
      <c r="BG763" s="69"/>
      <c r="BH763" s="69"/>
      <c r="BI763" s="69"/>
      <c r="BJ763" s="69"/>
      <c r="BK763" s="69"/>
      <c r="BL763" s="69"/>
      <c r="BM763" s="69"/>
      <c r="BN763" s="69"/>
      <c r="BO763" s="69"/>
      <c r="BP763" s="69"/>
      <c r="BQ763" s="69"/>
      <c r="BR763" s="69"/>
      <c r="BS763" s="69"/>
      <c r="BT763" s="69"/>
      <c r="BU763" s="69"/>
      <c r="BV763" s="69"/>
      <c r="BW763" s="69"/>
      <c r="BX763" s="69"/>
      <c r="BY763" s="69"/>
      <c r="BZ763" s="69"/>
      <c r="CA763" s="69"/>
      <c r="CB763" s="69"/>
      <c r="CC763" s="69"/>
      <c r="CD763" s="69"/>
      <c r="CE763" s="69"/>
      <c r="CF763" s="69"/>
      <c r="CG763" s="69"/>
      <c r="CH763" s="69"/>
      <c r="CI763" s="69"/>
      <c r="CJ763" s="69"/>
      <c r="CK763" s="69"/>
      <c r="CL763" s="69"/>
      <c r="CM763" s="69"/>
      <c r="CN763" s="69"/>
      <c r="CO763" s="69"/>
      <c r="CP763" s="69"/>
      <c r="CQ763" s="69"/>
      <c r="CR763" s="69"/>
      <c r="CS763" s="69"/>
      <c r="CT763" s="69"/>
      <c r="CU763" s="69"/>
      <c r="CV763" s="69"/>
      <c r="CW763" s="69"/>
      <c r="CX763" s="69"/>
      <c r="CY763" s="69"/>
      <c r="CZ763" s="69"/>
      <c r="DA763" s="69"/>
      <c r="DB763" s="69"/>
      <c r="DC763" s="69"/>
      <c r="DD763" s="69"/>
      <c r="DE763" s="69"/>
      <c r="DF763" s="69"/>
      <c r="DG763" s="69"/>
      <c r="DH763" s="69"/>
      <c r="DI763" s="69"/>
      <c r="DJ763" s="69"/>
      <c r="DK763" s="69"/>
      <c r="DL763" s="69"/>
    </row>
    <row r="764" spans="1:116" ht="13" x14ac:dyDescent="0.3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202"/>
      <c r="V764" s="69"/>
      <c r="W764" s="69"/>
      <c r="X764" s="69"/>
      <c r="Y764" s="69"/>
      <c r="Z764" s="69"/>
      <c r="AA764" s="69"/>
      <c r="AB764" s="203"/>
      <c r="AC764" s="69"/>
      <c r="AD764" s="69"/>
      <c r="AE764" s="203"/>
      <c r="AF764" s="69"/>
      <c r="AG764" s="69"/>
      <c r="AH764" s="69"/>
      <c r="AI764" s="69"/>
      <c r="AJ764" s="69"/>
      <c r="AK764" s="69"/>
      <c r="AL764" s="69"/>
      <c r="AM764" s="69"/>
      <c r="AN764" s="69"/>
      <c r="AO764" s="69"/>
      <c r="AP764" s="69"/>
      <c r="AQ764" s="69"/>
      <c r="AR764" s="69"/>
      <c r="AS764" s="69"/>
      <c r="AT764" s="69"/>
      <c r="AU764" s="69"/>
      <c r="AV764" s="69"/>
      <c r="AW764" s="69"/>
      <c r="AX764" s="69"/>
      <c r="AY764" s="69"/>
      <c r="AZ764" s="69"/>
      <c r="BA764" s="69"/>
      <c r="BB764" s="69"/>
      <c r="BC764" s="69"/>
      <c r="BD764" s="69"/>
      <c r="BE764" s="69"/>
      <c r="BF764" s="69"/>
      <c r="BG764" s="69"/>
      <c r="BH764" s="69"/>
      <c r="BI764" s="69"/>
      <c r="BJ764" s="69"/>
      <c r="BK764" s="69"/>
      <c r="BL764" s="69"/>
      <c r="BM764" s="69"/>
      <c r="BN764" s="69"/>
      <c r="BO764" s="69"/>
      <c r="BP764" s="69"/>
      <c r="BQ764" s="69"/>
      <c r="BR764" s="69"/>
      <c r="BS764" s="69"/>
      <c r="BT764" s="69"/>
      <c r="BU764" s="69"/>
      <c r="BV764" s="69"/>
      <c r="BW764" s="69"/>
      <c r="BX764" s="69"/>
      <c r="BY764" s="69"/>
      <c r="BZ764" s="69"/>
      <c r="CA764" s="69"/>
      <c r="CB764" s="69"/>
      <c r="CC764" s="69"/>
      <c r="CD764" s="69"/>
      <c r="CE764" s="69"/>
      <c r="CF764" s="69"/>
      <c r="CG764" s="69"/>
      <c r="CH764" s="69"/>
      <c r="CI764" s="69"/>
      <c r="CJ764" s="69"/>
      <c r="CK764" s="69"/>
      <c r="CL764" s="69"/>
      <c r="CM764" s="69"/>
      <c r="CN764" s="69"/>
      <c r="CO764" s="69"/>
      <c r="CP764" s="69"/>
      <c r="CQ764" s="69"/>
      <c r="CR764" s="69"/>
      <c r="CS764" s="69"/>
      <c r="CT764" s="69"/>
      <c r="CU764" s="69"/>
      <c r="CV764" s="69"/>
      <c r="CW764" s="69"/>
      <c r="CX764" s="69"/>
      <c r="CY764" s="69"/>
      <c r="CZ764" s="69"/>
      <c r="DA764" s="69"/>
      <c r="DB764" s="69"/>
      <c r="DC764" s="69"/>
      <c r="DD764" s="69"/>
      <c r="DE764" s="69"/>
      <c r="DF764" s="69"/>
      <c r="DG764" s="69"/>
      <c r="DH764" s="69"/>
      <c r="DI764" s="69"/>
      <c r="DJ764" s="69"/>
      <c r="DK764" s="69"/>
      <c r="DL764" s="69"/>
    </row>
    <row r="765" spans="1:116" ht="13" x14ac:dyDescent="0.3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202"/>
      <c r="V765" s="69"/>
      <c r="W765" s="69"/>
      <c r="X765" s="69"/>
      <c r="Y765" s="69"/>
      <c r="Z765" s="69"/>
      <c r="AA765" s="69"/>
      <c r="AB765" s="203"/>
      <c r="AC765" s="69"/>
      <c r="AD765" s="69"/>
      <c r="AE765" s="203"/>
      <c r="AF765" s="69"/>
      <c r="AG765" s="69"/>
      <c r="AH765" s="69"/>
      <c r="AI765" s="69"/>
      <c r="AJ765" s="69"/>
      <c r="AK765" s="69"/>
      <c r="AL765" s="69"/>
      <c r="AM765" s="69"/>
      <c r="AN765" s="69"/>
      <c r="AO765" s="69"/>
      <c r="AP765" s="69"/>
      <c r="AQ765" s="69"/>
      <c r="AR765" s="69"/>
      <c r="AS765" s="69"/>
      <c r="AT765" s="69"/>
      <c r="AU765" s="69"/>
      <c r="AV765" s="69"/>
      <c r="AW765" s="69"/>
      <c r="AX765" s="69"/>
      <c r="AY765" s="69"/>
      <c r="AZ765" s="69"/>
      <c r="BA765" s="69"/>
      <c r="BB765" s="69"/>
      <c r="BC765" s="69"/>
      <c r="BD765" s="69"/>
      <c r="BE765" s="69"/>
      <c r="BF765" s="69"/>
      <c r="BG765" s="69"/>
      <c r="BH765" s="69"/>
      <c r="BI765" s="69"/>
      <c r="BJ765" s="69"/>
      <c r="BK765" s="69"/>
      <c r="BL765" s="69"/>
      <c r="BM765" s="69"/>
      <c r="BN765" s="69"/>
      <c r="BO765" s="69"/>
      <c r="BP765" s="69"/>
      <c r="BQ765" s="69"/>
      <c r="BR765" s="69"/>
      <c r="BS765" s="69"/>
      <c r="BT765" s="69"/>
      <c r="BU765" s="69"/>
      <c r="BV765" s="69"/>
      <c r="BW765" s="69"/>
      <c r="BX765" s="69"/>
      <c r="BY765" s="69"/>
      <c r="BZ765" s="69"/>
      <c r="CA765" s="69"/>
      <c r="CB765" s="69"/>
      <c r="CC765" s="69"/>
      <c r="CD765" s="69"/>
      <c r="CE765" s="69"/>
      <c r="CF765" s="69"/>
      <c r="CG765" s="69"/>
      <c r="CH765" s="69"/>
      <c r="CI765" s="69"/>
      <c r="CJ765" s="69"/>
      <c r="CK765" s="69"/>
      <c r="CL765" s="69"/>
      <c r="CM765" s="69"/>
      <c r="CN765" s="69"/>
      <c r="CO765" s="69"/>
      <c r="CP765" s="69"/>
      <c r="CQ765" s="69"/>
      <c r="CR765" s="69"/>
      <c r="CS765" s="69"/>
      <c r="CT765" s="69"/>
      <c r="CU765" s="69"/>
      <c r="CV765" s="69"/>
      <c r="CW765" s="69"/>
      <c r="CX765" s="69"/>
      <c r="CY765" s="69"/>
      <c r="CZ765" s="69"/>
      <c r="DA765" s="69"/>
      <c r="DB765" s="69"/>
      <c r="DC765" s="69"/>
      <c r="DD765" s="69"/>
      <c r="DE765" s="69"/>
      <c r="DF765" s="69"/>
      <c r="DG765" s="69"/>
      <c r="DH765" s="69"/>
      <c r="DI765" s="69"/>
      <c r="DJ765" s="69"/>
      <c r="DK765" s="69"/>
      <c r="DL765" s="69"/>
    </row>
    <row r="766" spans="1:116" ht="13" x14ac:dyDescent="0.3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202"/>
      <c r="V766" s="69"/>
      <c r="W766" s="69"/>
      <c r="X766" s="69"/>
      <c r="Y766" s="69"/>
      <c r="Z766" s="69"/>
      <c r="AA766" s="69"/>
      <c r="AB766" s="203"/>
      <c r="AC766" s="69"/>
      <c r="AD766" s="69"/>
      <c r="AE766" s="203"/>
      <c r="AF766" s="69"/>
      <c r="AG766" s="69"/>
      <c r="AH766" s="69"/>
      <c r="AI766" s="69"/>
      <c r="AJ766" s="69"/>
      <c r="AK766" s="69"/>
      <c r="AL766" s="69"/>
      <c r="AM766" s="69"/>
      <c r="AN766" s="69"/>
      <c r="AO766" s="69"/>
      <c r="AP766" s="69"/>
      <c r="AQ766" s="69"/>
      <c r="AR766" s="69"/>
      <c r="AS766" s="69"/>
      <c r="AT766" s="69"/>
      <c r="AU766" s="69"/>
      <c r="AV766" s="69"/>
      <c r="AW766" s="69"/>
      <c r="AX766" s="69"/>
      <c r="AY766" s="69"/>
      <c r="AZ766" s="69"/>
      <c r="BA766" s="69"/>
      <c r="BB766" s="69"/>
      <c r="BC766" s="69"/>
      <c r="BD766" s="69"/>
      <c r="BE766" s="69"/>
      <c r="BF766" s="69"/>
      <c r="BG766" s="69"/>
      <c r="BH766" s="69"/>
      <c r="BI766" s="69"/>
      <c r="BJ766" s="69"/>
      <c r="BK766" s="69"/>
      <c r="BL766" s="69"/>
      <c r="BM766" s="69"/>
      <c r="BN766" s="69"/>
      <c r="BO766" s="69"/>
      <c r="BP766" s="69"/>
      <c r="BQ766" s="69"/>
      <c r="BR766" s="69"/>
      <c r="BS766" s="69"/>
      <c r="BT766" s="69"/>
      <c r="BU766" s="69"/>
      <c r="BV766" s="69"/>
      <c r="BW766" s="69"/>
      <c r="BX766" s="69"/>
      <c r="BY766" s="69"/>
      <c r="BZ766" s="69"/>
      <c r="CA766" s="69"/>
      <c r="CB766" s="69"/>
      <c r="CC766" s="69"/>
      <c r="CD766" s="69"/>
      <c r="CE766" s="69"/>
      <c r="CF766" s="69"/>
      <c r="CG766" s="69"/>
      <c r="CH766" s="69"/>
      <c r="CI766" s="69"/>
      <c r="CJ766" s="69"/>
      <c r="CK766" s="69"/>
      <c r="CL766" s="69"/>
      <c r="CM766" s="69"/>
      <c r="CN766" s="69"/>
      <c r="CO766" s="69"/>
      <c r="CP766" s="69"/>
      <c r="CQ766" s="69"/>
      <c r="CR766" s="69"/>
      <c r="CS766" s="69"/>
      <c r="CT766" s="69"/>
      <c r="CU766" s="69"/>
      <c r="CV766" s="69"/>
      <c r="CW766" s="69"/>
      <c r="CX766" s="69"/>
      <c r="CY766" s="69"/>
      <c r="CZ766" s="69"/>
      <c r="DA766" s="69"/>
      <c r="DB766" s="69"/>
      <c r="DC766" s="69"/>
      <c r="DD766" s="69"/>
      <c r="DE766" s="69"/>
      <c r="DF766" s="69"/>
      <c r="DG766" s="69"/>
      <c r="DH766" s="69"/>
      <c r="DI766" s="69"/>
      <c r="DJ766" s="69"/>
      <c r="DK766" s="69"/>
      <c r="DL766" s="69"/>
    </row>
    <row r="767" spans="1:116" ht="13" x14ac:dyDescent="0.3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202"/>
      <c r="V767" s="69"/>
      <c r="W767" s="69"/>
      <c r="X767" s="69"/>
      <c r="Y767" s="69"/>
      <c r="Z767" s="69"/>
      <c r="AA767" s="69"/>
      <c r="AB767" s="203"/>
      <c r="AC767" s="69"/>
      <c r="AD767" s="69"/>
      <c r="AE767" s="203"/>
      <c r="AF767" s="69"/>
      <c r="AG767" s="69"/>
      <c r="AH767" s="69"/>
      <c r="AI767" s="69"/>
      <c r="AJ767" s="69"/>
      <c r="AK767" s="69"/>
      <c r="AL767" s="69"/>
      <c r="AM767" s="69"/>
      <c r="AN767" s="69"/>
      <c r="AO767" s="69"/>
      <c r="AP767" s="69"/>
      <c r="AQ767" s="69"/>
      <c r="AR767" s="69"/>
      <c r="AS767" s="69"/>
      <c r="AT767" s="69"/>
      <c r="AU767" s="69"/>
      <c r="AV767" s="69"/>
      <c r="AW767" s="69"/>
      <c r="AX767" s="69"/>
      <c r="AY767" s="69"/>
      <c r="AZ767" s="69"/>
      <c r="BA767" s="69"/>
      <c r="BB767" s="69"/>
      <c r="BC767" s="69"/>
      <c r="BD767" s="69"/>
      <c r="BE767" s="69"/>
      <c r="BF767" s="69"/>
      <c r="BG767" s="69"/>
      <c r="BH767" s="69"/>
      <c r="BI767" s="69"/>
      <c r="BJ767" s="69"/>
      <c r="BK767" s="69"/>
      <c r="BL767" s="69"/>
      <c r="BM767" s="69"/>
      <c r="BN767" s="69"/>
      <c r="BO767" s="69"/>
      <c r="BP767" s="69"/>
      <c r="BQ767" s="69"/>
      <c r="BR767" s="69"/>
      <c r="BS767" s="69"/>
      <c r="BT767" s="69"/>
      <c r="BU767" s="69"/>
      <c r="BV767" s="69"/>
      <c r="BW767" s="69"/>
      <c r="BX767" s="69"/>
      <c r="BY767" s="69"/>
      <c r="BZ767" s="69"/>
      <c r="CA767" s="69"/>
      <c r="CB767" s="69"/>
      <c r="CC767" s="69"/>
      <c r="CD767" s="69"/>
      <c r="CE767" s="69"/>
      <c r="CF767" s="69"/>
      <c r="CG767" s="69"/>
      <c r="CH767" s="69"/>
      <c r="CI767" s="69"/>
      <c r="CJ767" s="69"/>
      <c r="CK767" s="69"/>
      <c r="CL767" s="69"/>
      <c r="CM767" s="69"/>
      <c r="CN767" s="69"/>
      <c r="CO767" s="69"/>
      <c r="CP767" s="69"/>
      <c r="CQ767" s="69"/>
      <c r="CR767" s="69"/>
      <c r="CS767" s="69"/>
      <c r="CT767" s="69"/>
      <c r="CU767" s="69"/>
      <c r="CV767" s="69"/>
      <c r="CW767" s="69"/>
      <c r="CX767" s="69"/>
      <c r="CY767" s="69"/>
      <c r="CZ767" s="69"/>
      <c r="DA767" s="69"/>
      <c r="DB767" s="69"/>
      <c r="DC767" s="69"/>
      <c r="DD767" s="69"/>
      <c r="DE767" s="69"/>
      <c r="DF767" s="69"/>
      <c r="DG767" s="69"/>
      <c r="DH767" s="69"/>
      <c r="DI767" s="69"/>
      <c r="DJ767" s="69"/>
      <c r="DK767" s="69"/>
      <c r="DL767" s="69"/>
    </row>
    <row r="768" spans="1:116" ht="13" x14ac:dyDescent="0.3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202"/>
      <c r="V768" s="69"/>
      <c r="W768" s="69"/>
      <c r="X768" s="69"/>
      <c r="Y768" s="69"/>
      <c r="Z768" s="69"/>
      <c r="AA768" s="69"/>
      <c r="AB768" s="203"/>
      <c r="AC768" s="69"/>
      <c r="AD768" s="69"/>
      <c r="AE768" s="203"/>
      <c r="AF768" s="69"/>
      <c r="AG768" s="69"/>
      <c r="AH768" s="69"/>
      <c r="AI768" s="69"/>
      <c r="AJ768" s="69"/>
      <c r="AK768" s="69"/>
      <c r="AL768" s="69"/>
      <c r="AM768" s="69"/>
      <c r="AN768" s="69"/>
      <c r="AO768" s="69"/>
      <c r="AP768" s="69"/>
      <c r="AQ768" s="69"/>
      <c r="AR768" s="69"/>
      <c r="AS768" s="69"/>
      <c r="AT768" s="69"/>
      <c r="AU768" s="69"/>
      <c r="AV768" s="69"/>
      <c r="AW768" s="69"/>
      <c r="AX768" s="69"/>
      <c r="AY768" s="69"/>
      <c r="AZ768" s="69"/>
      <c r="BA768" s="69"/>
      <c r="BB768" s="69"/>
      <c r="BC768" s="69"/>
      <c r="BD768" s="69"/>
      <c r="BE768" s="69"/>
      <c r="BF768" s="69"/>
      <c r="BG768" s="69"/>
      <c r="BH768" s="69"/>
      <c r="BI768" s="69"/>
      <c r="BJ768" s="69"/>
      <c r="BK768" s="69"/>
      <c r="BL768" s="69"/>
      <c r="BM768" s="69"/>
      <c r="BN768" s="69"/>
      <c r="BO768" s="69"/>
      <c r="BP768" s="69"/>
      <c r="BQ768" s="69"/>
      <c r="BR768" s="69"/>
      <c r="BS768" s="69"/>
      <c r="BT768" s="69"/>
      <c r="BU768" s="69"/>
      <c r="BV768" s="69"/>
      <c r="BW768" s="69"/>
      <c r="BX768" s="69"/>
      <c r="BY768" s="69"/>
      <c r="BZ768" s="69"/>
      <c r="CA768" s="69"/>
      <c r="CB768" s="69"/>
      <c r="CC768" s="69"/>
      <c r="CD768" s="69"/>
      <c r="CE768" s="69"/>
      <c r="CF768" s="69"/>
      <c r="CG768" s="69"/>
      <c r="CH768" s="69"/>
      <c r="CI768" s="69"/>
      <c r="CJ768" s="69"/>
      <c r="CK768" s="69"/>
      <c r="CL768" s="69"/>
      <c r="CM768" s="69"/>
      <c r="CN768" s="69"/>
      <c r="CO768" s="69"/>
      <c r="CP768" s="69"/>
      <c r="CQ768" s="69"/>
      <c r="CR768" s="69"/>
      <c r="CS768" s="69"/>
      <c r="CT768" s="69"/>
      <c r="CU768" s="69"/>
      <c r="CV768" s="69"/>
      <c r="CW768" s="69"/>
      <c r="CX768" s="69"/>
      <c r="CY768" s="69"/>
      <c r="CZ768" s="69"/>
      <c r="DA768" s="69"/>
      <c r="DB768" s="69"/>
      <c r="DC768" s="69"/>
      <c r="DD768" s="69"/>
      <c r="DE768" s="69"/>
      <c r="DF768" s="69"/>
      <c r="DG768" s="69"/>
      <c r="DH768" s="69"/>
      <c r="DI768" s="69"/>
      <c r="DJ768" s="69"/>
      <c r="DK768" s="69"/>
      <c r="DL768" s="69"/>
    </row>
    <row r="769" spans="1:116" ht="13" x14ac:dyDescent="0.3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202"/>
      <c r="V769" s="69"/>
      <c r="W769" s="69"/>
      <c r="X769" s="69"/>
      <c r="Y769" s="69"/>
      <c r="Z769" s="69"/>
      <c r="AA769" s="69"/>
      <c r="AB769" s="203"/>
      <c r="AC769" s="69"/>
      <c r="AD769" s="69"/>
      <c r="AE769" s="203"/>
      <c r="AF769" s="69"/>
      <c r="AG769" s="69"/>
      <c r="AH769" s="69"/>
      <c r="AI769" s="69"/>
      <c r="AJ769" s="69"/>
      <c r="AK769" s="69"/>
      <c r="AL769" s="69"/>
      <c r="AM769" s="69"/>
      <c r="AN769" s="69"/>
      <c r="AO769" s="69"/>
      <c r="AP769" s="69"/>
      <c r="AQ769" s="69"/>
      <c r="AR769" s="69"/>
      <c r="AS769" s="69"/>
      <c r="AT769" s="69"/>
      <c r="AU769" s="69"/>
      <c r="AV769" s="69"/>
      <c r="AW769" s="69"/>
      <c r="AX769" s="69"/>
      <c r="AY769" s="69"/>
      <c r="AZ769" s="69"/>
      <c r="BA769" s="69"/>
      <c r="BB769" s="69"/>
      <c r="BC769" s="69"/>
      <c r="BD769" s="69"/>
      <c r="BE769" s="69"/>
      <c r="BF769" s="69"/>
      <c r="BG769" s="69"/>
      <c r="BH769" s="69"/>
      <c r="BI769" s="69"/>
      <c r="BJ769" s="69"/>
      <c r="BK769" s="69"/>
      <c r="BL769" s="69"/>
      <c r="BM769" s="69"/>
      <c r="BN769" s="69"/>
      <c r="BO769" s="69"/>
      <c r="BP769" s="69"/>
      <c r="BQ769" s="69"/>
      <c r="BR769" s="69"/>
      <c r="BS769" s="69"/>
      <c r="BT769" s="69"/>
      <c r="BU769" s="69"/>
      <c r="BV769" s="69"/>
      <c r="BW769" s="69"/>
      <c r="BX769" s="69"/>
      <c r="BY769" s="69"/>
      <c r="BZ769" s="69"/>
      <c r="CA769" s="69"/>
      <c r="CB769" s="69"/>
      <c r="CC769" s="69"/>
      <c r="CD769" s="69"/>
      <c r="CE769" s="69"/>
      <c r="CF769" s="69"/>
      <c r="CG769" s="69"/>
      <c r="CH769" s="69"/>
      <c r="CI769" s="69"/>
      <c r="CJ769" s="69"/>
      <c r="CK769" s="69"/>
      <c r="CL769" s="69"/>
      <c r="CM769" s="69"/>
      <c r="CN769" s="69"/>
      <c r="CO769" s="69"/>
      <c r="CP769" s="69"/>
      <c r="CQ769" s="69"/>
      <c r="CR769" s="69"/>
      <c r="CS769" s="69"/>
      <c r="CT769" s="69"/>
      <c r="CU769" s="69"/>
      <c r="CV769" s="69"/>
      <c r="CW769" s="69"/>
      <c r="CX769" s="69"/>
      <c r="CY769" s="69"/>
      <c r="CZ769" s="69"/>
      <c r="DA769" s="69"/>
      <c r="DB769" s="69"/>
      <c r="DC769" s="69"/>
      <c r="DD769" s="69"/>
      <c r="DE769" s="69"/>
      <c r="DF769" s="69"/>
      <c r="DG769" s="69"/>
      <c r="DH769" s="69"/>
      <c r="DI769" s="69"/>
      <c r="DJ769" s="69"/>
      <c r="DK769" s="69"/>
      <c r="DL769" s="69"/>
    </row>
    <row r="770" spans="1:116" ht="13" x14ac:dyDescent="0.3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202"/>
      <c r="V770" s="69"/>
      <c r="W770" s="69"/>
      <c r="X770" s="69"/>
      <c r="Y770" s="69"/>
      <c r="Z770" s="69"/>
      <c r="AA770" s="69"/>
      <c r="AB770" s="203"/>
      <c r="AC770" s="69"/>
      <c r="AD770" s="69"/>
      <c r="AE770" s="203"/>
      <c r="AF770" s="69"/>
      <c r="AG770" s="69"/>
      <c r="AH770" s="69"/>
      <c r="AI770" s="69"/>
      <c r="AJ770" s="69"/>
      <c r="AK770" s="69"/>
      <c r="AL770" s="69"/>
      <c r="AM770" s="69"/>
      <c r="AN770" s="69"/>
      <c r="AO770" s="69"/>
      <c r="AP770" s="69"/>
      <c r="AQ770" s="69"/>
      <c r="AR770" s="69"/>
      <c r="AS770" s="69"/>
      <c r="AT770" s="69"/>
      <c r="AU770" s="69"/>
      <c r="AV770" s="69"/>
      <c r="AW770" s="69"/>
      <c r="AX770" s="69"/>
      <c r="AY770" s="69"/>
      <c r="AZ770" s="69"/>
      <c r="BA770" s="69"/>
      <c r="BB770" s="69"/>
      <c r="BC770" s="69"/>
      <c r="BD770" s="69"/>
      <c r="BE770" s="69"/>
      <c r="BF770" s="69"/>
      <c r="BG770" s="69"/>
      <c r="BH770" s="69"/>
      <c r="BI770" s="69"/>
      <c r="BJ770" s="69"/>
      <c r="BK770" s="69"/>
      <c r="BL770" s="69"/>
      <c r="BM770" s="69"/>
      <c r="BN770" s="69"/>
      <c r="BO770" s="69"/>
      <c r="BP770" s="69"/>
      <c r="BQ770" s="69"/>
      <c r="BR770" s="69"/>
      <c r="BS770" s="69"/>
      <c r="BT770" s="69"/>
      <c r="BU770" s="69"/>
      <c r="BV770" s="69"/>
      <c r="BW770" s="69"/>
      <c r="BX770" s="69"/>
      <c r="BY770" s="69"/>
      <c r="BZ770" s="69"/>
      <c r="CA770" s="69"/>
      <c r="CB770" s="69"/>
      <c r="CC770" s="69"/>
      <c r="CD770" s="69"/>
      <c r="CE770" s="69"/>
      <c r="CF770" s="69"/>
      <c r="CG770" s="69"/>
      <c r="CH770" s="69"/>
      <c r="CI770" s="69"/>
      <c r="CJ770" s="69"/>
      <c r="CK770" s="69"/>
      <c r="CL770" s="69"/>
      <c r="CM770" s="69"/>
      <c r="CN770" s="69"/>
      <c r="CO770" s="69"/>
      <c r="CP770" s="69"/>
      <c r="CQ770" s="69"/>
      <c r="CR770" s="69"/>
      <c r="CS770" s="69"/>
      <c r="CT770" s="69"/>
      <c r="CU770" s="69"/>
      <c r="CV770" s="69"/>
      <c r="CW770" s="69"/>
      <c r="CX770" s="69"/>
      <c r="CY770" s="69"/>
      <c r="CZ770" s="69"/>
      <c r="DA770" s="69"/>
      <c r="DB770" s="69"/>
      <c r="DC770" s="69"/>
      <c r="DD770" s="69"/>
      <c r="DE770" s="69"/>
      <c r="DF770" s="69"/>
      <c r="DG770" s="69"/>
      <c r="DH770" s="69"/>
      <c r="DI770" s="69"/>
      <c r="DJ770" s="69"/>
      <c r="DK770" s="69"/>
      <c r="DL770" s="69"/>
    </row>
    <row r="771" spans="1:116" ht="13" x14ac:dyDescent="0.3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202"/>
      <c r="V771" s="69"/>
      <c r="W771" s="69"/>
      <c r="X771" s="69"/>
      <c r="Y771" s="69"/>
      <c r="Z771" s="69"/>
      <c r="AA771" s="69"/>
      <c r="AB771" s="203"/>
      <c r="AC771" s="69"/>
      <c r="AD771" s="69"/>
      <c r="AE771" s="203"/>
      <c r="AF771" s="69"/>
      <c r="AG771" s="69"/>
      <c r="AH771" s="69"/>
      <c r="AI771" s="69"/>
      <c r="AJ771" s="69"/>
      <c r="AK771" s="69"/>
      <c r="AL771" s="69"/>
      <c r="AM771" s="69"/>
      <c r="AN771" s="69"/>
      <c r="AO771" s="69"/>
      <c r="AP771" s="69"/>
      <c r="AQ771" s="69"/>
      <c r="AR771" s="69"/>
      <c r="AS771" s="69"/>
      <c r="AT771" s="69"/>
      <c r="AU771" s="69"/>
      <c r="AV771" s="69"/>
      <c r="AW771" s="69"/>
      <c r="AX771" s="69"/>
      <c r="AY771" s="69"/>
      <c r="AZ771" s="69"/>
      <c r="BA771" s="69"/>
      <c r="BB771" s="69"/>
      <c r="BC771" s="69"/>
      <c r="BD771" s="69"/>
      <c r="BE771" s="69"/>
      <c r="BF771" s="69"/>
      <c r="BG771" s="69"/>
      <c r="BH771" s="69"/>
      <c r="BI771" s="69"/>
      <c r="BJ771" s="69"/>
      <c r="BK771" s="69"/>
      <c r="BL771" s="69"/>
      <c r="BM771" s="69"/>
      <c r="BN771" s="69"/>
      <c r="BO771" s="69"/>
      <c r="BP771" s="69"/>
      <c r="BQ771" s="69"/>
      <c r="BR771" s="69"/>
      <c r="BS771" s="69"/>
      <c r="BT771" s="69"/>
      <c r="BU771" s="69"/>
      <c r="BV771" s="69"/>
      <c r="BW771" s="69"/>
      <c r="BX771" s="69"/>
      <c r="BY771" s="69"/>
      <c r="BZ771" s="69"/>
      <c r="CA771" s="69"/>
      <c r="CB771" s="69"/>
      <c r="CC771" s="69"/>
      <c r="CD771" s="69"/>
      <c r="CE771" s="69"/>
      <c r="CF771" s="69"/>
      <c r="CG771" s="69"/>
      <c r="CH771" s="69"/>
      <c r="CI771" s="69"/>
      <c r="CJ771" s="69"/>
      <c r="CK771" s="69"/>
      <c r="CL771" s="69"/>
      <c r="CM771" s="69"/>
      <c r="CN771" s="69"/>
      <c r="CO771" s="69"/>
      <c r="CP771" s="69"/>
      <c r="CQ771" s="69"/>
      <c r="CR771" s="69"/>
      <c r="CS771" s="69"/>
      <c r="CT771" s="69"/>
      <c r="CU771" s="69"/>
      <c r="CV771" s="69"/>
      <c r="CW771" s="69"/>
      <c r="CX771" s="69"/>
      <c r="CY771" s="69"/>
      <c r="CZ771" s="69"/>
      <c r="DA771" s="69"/>
      <c r="DB771" s="69"/>
      <c r="DC771" s="69"/>
      <c r="DD771" s="69"/>
      <c r="DE771" s="69"/>
      <c r="DF771" s="69"/>
      <c r="DG771" s="69"/>
      <c r="DH771" s="69"/>
      <c r="DI771" s="69"/>
      <c r="DJ771" s="69"/>
      <c r="DK771" s="69"/>
      <c r="DL771" s="69"/>
    </row>
    <row r="772" spans="1:116" ht="13" x14ac:dyDescent="0.3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202"/>
      <c r="V772" s="69"/>
      <c r="W772" s="69"/>
      <c r="X772" s="69"/>
      <c r="Y772" s="69"/>
      <c r="Z772" s="69"/>
      <c r="AA772" s="69"/>
      <c r="AB772" s="203"/>
      <c r="AC772" s="69"/>
      <c r="AD772" s="69"/>
      <c r="AE772" s="203"/>
      <c r="AF772" s="69"/>
      <c r="AG772" s="69"/>
      <c r="AH772" s="69"/>
      <c r="AI772" s="69"/>
      <c r="AJ772" s="69"/>
      <c r="AK772" s="69"/>
      <c r="AL772" s="69"/>
      <c r="AM772" s="69"/>
      <c r="AN772" s="69"/>
      <c r="AO772" s="69"/>
      <c r="AP772" s="69"/>
      <c r="AQ772" s="69"/>
      <c r="AR772" s="69"/>
      <c r="AS772" s="69"/>
      <c r="AT772" s="69"/>
      <c r="AU772" s="69"/>
      <c r="AV772" s="69"/>
      <c r="AW772" s="69"/>
      <c r="AX772" s="69"/>
      <c r="AY772" s="69"/>
      <c r="AZ772" s="69"/>
      <c r="BA772" s="69"/>
      <c r="BB772" s="69"/>
      <c r="BC772" s="69"/>
      <c r="BD772" s="69"/>
      <c r="BE772" s="69"/>
      <c r="BF772" s="69"/>
      <c r="BG772" s="69"/>
      <c r="BH772" s="69"/>
      <c r="BI772" s="69"/>
      <c r="BJ772" s="69"/>
      <c r="BK772" s="69"/>
      <c r="BL772" s="69"/>
      <c r="BM772" s="69"/>
      <c r="BN772" s="69"/>
      <c r="BO772" s="69"/>
      <c r="BP772" s="69"/>
      <c r="BQ772" s="69"/>
      <c r="BR772" s="69"/>
      <c r="BS772" s="69"/>
      <c r="BT772" s="69"/>
      <c r="BU772" s="69"/>
      <c r="BV772" s="69"/>
      <c r="BW772" s="69"/>
      <c r="BX772" s="69"/>
      <c r="BY772" s="69"/>
      <c r="BZ772" s="69"/>
      <c r="CA772" s="69"/>
      <c r="CB772" s="69"/>
      <c r="CC772" s="69"/>
      <c r="CD772" s="69"/>
      <c r="CE772" s="69"/>
      <c r="CF772" s="69"/>
      <c r="CG772" s="69"/>
      <c r="CH772" s="69"/>
      <c r="CI772" s="69"/>
      <c r="CJ772" s="69"/>
      <c r="CK772" s="69"/>
      <c r="CL772" s="69"/>
      <c r="CM772" s="69"/>
      <c r="CN772" s="69"/>
      <c r="CO772" s="69"/>
      <c r="CP772" s="69"/>
      <c r="CQ772" s="69"/>
      <c r="CR772" s="69"/>
      <c r="CS772" s="69"/>
      <c r="CT772" s="69"/>
      <c r="CU772" s="69"/>
      <c r="CV772" s="69"/>
      <c r="CW772" s="69"/>
      <c r="CX772" s="69"/>
      <c r="CY772" s="69"/>
      <c r="CZ772" s="69"/>
      <c r="DA772" s="69"/>
      <c r="DB772" s="69"/>
      <c r="DC772" s="69"/>
      <c r="DD772" s="69"/>
      <c r="DE772" s="69"/>
      <c r="DF772" s="69"/>
      <c r="DG772" s="69"/>
      <c r="DH772" s="69"/>
      <c r="DI772" s="69"/>
      <c r="DJ772" s="69"/>
      <c r="DK772" s="69"/>
      <c r="DL772" s="69"/>
    </row>
    <row r="773" spans="1:116" ht="13" x14ac:dyDescent="0.3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202"/>
      <c r="V773" s="69"/>
      <c r="W773" s="69"/>
      <c r="X773" s="69"/>
      <c r="Y773" s="69"/>
      <c r="Z773" s="69"/>
      <c r="AA773" s="69"/>
      <c r="AB773" s="203"/>
      <c r="AC773" s="69"/>
      <c r="AD773" s="69"/>
      <c r="AE773" s="203"/>
      <c r="AF773" s="69"/>
      <c r="AG773" s="69"/>
      <c r="AH773" s="69"/>
      <c r="AI773" s="69"/>
      <c r="AJ773" s="69"/>
      <c r="AK773" s="69"/>
      <c r="AL773" s="69"/>
      <c r="AM773" s="69"/>
      <c r="AN773" s="69"/>
      <c r="AO773" s="69"/>
      <c r="AP773" s="69"/>
      <c r="AQ773" s="69"/>
      <c r="AR773" s="69"/>
      <c r="AS773" s="69"/>
      <c r="AT773" s="69"/>
      <c r="AU773" s="69"/>
      <c r="AV773" s="69"/>
      <c r="AW773" s="69"/>
      <c r="AX773" s="69"/>
      <c r="AY773" s="69"/>
      <c r="AZ773" s="69"/>
      <c r="BA773" s="69"/>
      <c r="BB773" s="69"/>
      <c r="BC773" s="69"/>
      <c r="BD773" s="69"/>
      <c r="BE773" s="69"/>
      <c r="BF773" s="69"/>
      <c r="BG773" s="69"/>
      <c r="BH773" s="69"/>
      <c r="BI773" s="69"/>
      <c r="BJ773" s="69"/>
      <c r="BK773" s="69"/>
      <c r="BL773" s="69"/>
      <c r="BM773" s="69"/>
      <c r="BN773" s="69"/>
      <c r="BO773" s="69"/>
      <c r="BP773" s="69"/>
      <c r="BQ773" s="69"/>
      <c r="BR773" s="69"/>
      <c r="BS773" s="69"/>
      <c r="BT773" s="69"/>
      <c r="BU773" s="69"/>
      <c r="BV773" s="69"/>
      <c r="BW773" s="69"/>
      <c r="BX773" s="69"/>
      <c r="BY773" s="69"/>
      <c r="BZ773" s="69"/>
      <c r="CA773" s="69"/>
      <c r="CB773" s="69"/>
      <c r="CC773" s="69"/>
      <c r="CD773" s="69"/>
      <c r="CE773" s="69"/>
      <c r="CF773" s="69"/>
      <c r="CG773" s="69"/>
      <c r="CH773" s="69"/>
      <c r="CI773" s="69"/>
      <c r="CJ773" s="69"/>
      <c r="CK773" s="69"/>
      <c r="CL773" s="69"/>
      <c r="CM773" s="69"/>
      <c r="CN773" s="69"/>
      <c r="CO773" s="69"/>
      <c r="CP773" s="69"/>
      <c r="CQ773" s="69"/>
      <c r="CR773" s="69"/>
      <c r="CS773" s="69"/>
      <c r="CT773" s="69"/>
      <c r="CU773" s="69"/>
      <c r="CV773" s="69"/>
      <c r="CW773" s="69"/>
      <c r="CX773" s="69"/>
      <c r="CY773" s="69"/>
      <c r="CZ773" s="69"/>
      <c r="DA773" s="69"/>
      <c r="DB773" s="69"/>
      <c r="DC773" s="69"/>
      <c r="DD773" s="69"/>
      <c r="DE773" s="69"/>
      <c r="DF773" s="69"/>
      <c r="DG773" s="69"/>
      <c r="DH773" s="69"/>
      <c r="DI773" s="69"/>
      <c r="DJ773" s="69"/>
      <c r="DK773" s="69"/>
      <c r="DL773" s="69"/>
    </row>
    <row r="774" spans="1:116" ht="13" x14ac:dyDescent="0.3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202"/>
      <c r="V774" s="69"/>
      <c r="W774" s="69"/>
      <c r="X774" s="69"/>
      <c r="Y774" s="69"/>
      <c r="Z774" s="69"/>
      <c r="AA774" s="69"/>
      <c r="AB774" s="203"/>
      <c r="AC774" s="69"/>
      <c r="AD774" s="69"/>
      <c r="AE774" s="203"/>
      <c r="AF774" s="69"/>
      <c r="AG774" s="69"/>
      <c r="AH774" s="69"/>
      <c r="AI774" s="69"/>
      <c r="AJ774" s="69"/>
      <c r="AK774" s="69"/>
      <c r="AL774" s="69"/>
      <c r="AM774" s="69"/>
      <c r="AN774" s="69"/>
      <c r="AO774" s="69"/>
      <c r="AP774" s="69"/>
      <c r="AQ774" s="69"/>
      <c r="AR774" s="69"/>
      <c r="AS774" s="69"/>
      <c r="AT774" s="69"/>
      <c r="AU774" s="69"/>
      <c r="AV774" s="69"/>
      <c r="AW774" s="69"/>
      <c r="AX774" s="69"/>
      <c r="AY774" s="69"/>
      <c r="AZ774" s="69"/>
      <c r="BA774" s="69"/>
      <c r="BB774" s="69"/>
      <c r="BC774" s="69"/>
      <c r="BD774" s="69"/>
      <c r="BE774" s="69"/>
      <c r="BF774" s="69"/>
      <c r="BG774" s="69"/>
      <c r="BH774" s="69"/>
      <c r="BI774" s="69"/>
      <c r="BJ774" s="69"/>
      <c r="BK774" s="69"/>
      <c r="BL774" s="69"/>
      <c r="BM774" s="69"/>
      <c r="BN774" s="69"/>
      <c r="BO774" s="69"/>
      <c r="BP774" s="69"/>
      <c r="BQ774" s="69"/>
      <c r="BR774" s="69"/>
      <c r="BS774" s="69"/>
      <c r="BT774" s="69"/>
      <c r="BU774" s="69"/>
      <c r="BV774" s="69"/>
      <c r="BW774" s="69"/>
      <c r="BX774" s="69"/>
      <c r="BY774" s="69"/>
      <c r="BZ774" s="69"/>
      <c r="CA774" s="69"/>
      <c r="CB774" s="69"/>
      <c r="CC774" s="69"/>
      <c r="CD774" s="69"/>
      <c r="CE774" s="69"/>
      <c r="CF774" s="69"/>
      <c r="CG774" s="69"/>
      <c r="CH774" s="69"/>
      <c r="CI774" s="69"/>
      <c r="CJ774" s="69"/>
      <c r="CK774" s="69"/>
      <c r="CL774" s="69"/>
      <c r="CM774" s="69"/>
      <c r="CN774" s="69"/>
      <c r="CO774" s="69"/>
      <c r="CP774" s="69"/>
      <c r="CQ774" s="69"/>
      <c r="CR774" s="69"/>
      <c r="CS774" s="69"/>
      <c r="CT774" s="69"/>
      <c r="CU774" s="69"/>
      <c r="CV774" s="69"/>
      <c r="CW774" s="69"/>
      <c r="CX774" s="69"/>
      <c r="CY774" s="69"/>
      <c r="CZ774" s="69"/>
      <c r="DA774" s="69"/>
      <c r="DB774" s="69"/>
      <c r="DC774" s="69"/>
      <c r="DD774" s="69"/>
      <c r="DE774" s="69"/>
      <c r="DF774" s="69"/>
      <c r="DG774" s="69"/>
      <c r="DH774" s="69"/>
      <c r="DI774" s="69"/>
      <c r="DJ774" s="69"/>
      <c r="DK774" s="69"/>
      <c r="DL774" s="69"/>
    </row>
    <row r="775" spans="1:116" ht="13" x14ac:dyDescent="0.3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202"/>
      <c r="V775" s="69"/>
      <c r="W775" s="69"/>
      <c r="X775" s="69"/>
      <c r="Y775" s="69"/>
      <c r="Z775" s="69"/>
      <c r="AA775" s="69"/>
      <c r="AB775" s="203"/>
      <c r="AC775" s="69"/>
      <c r="AD775" s="69"/>
      <c r="AE775" s="203"/>
      <c r="AF775" s="69"/>
      <c r="AG775" s="69"/>
      <c r="AH775" s="69"/>
      <c r="AI775" s="69"/>
      <c r="AJ775" s="69"/>
      <c r="AK775" s="69"/>
      <c r="AL775" s="69"/>
      <c r="AM775" s="69"/>
      <c r="AN775" s="69"/>
      <c r="AO775" s="69"/>
      <c r="AP775" s="69"/>
      <c r="AQ775" s="69"/>
      <c r="AR775" s="69"/>
      <c r="AS775" s="69"/>
      <c r="AT775" s="69"/>
      <c r="AU775" s="69"/>
      <c r="AV775" s="69"/>
      <c r="AW775" s="69"/>
      <c r="AX775" s="69"/>
      <c r="AY775" s="69"/>
      <c r="AZ775" s="69"/>
      <c r="BA775" s="69"/>
      <c r="BB775" s="69"/>
      <c r="BC775" s="69"/>
      <c r="BD775" s="69"/>
      <c r="BE775" s="69"/>
      <c r="BF775" s="69"/>
      <c r="BG775" s="69"/>
      <c r="BH775" s="69"/>
      <c r="BI775" s="69"/>
      <c r="BJ775" s="69"/>
      <c r="BK775" s="69"/>
      <c r="BL775" s="69"/>
      <c r="BM775" s="69"/>
      <c r="BN775" s="69"/>
      <c r="BO775" s="69"/>
      <c r="BP775" s="69"/>
      <c r="BQ775" s="69"/>
      <c r="BR775" s="69"/>
      <c r="BS775" s="69"/>
      <c r="BT775" s="69"/>
      <c r="BU775" s="69"/>
      <c r="BV775" s="69"/>
      <c r="BW775" s="69"/>
      <c r="BX775" s="69"/>
      <c r="BY775" s="69"/>
      <c r="BZ775" s="69"/>
      <c r="CA775" s="69"/>
      <c r="CB775" s="69"/>
      <c r="CC775" s="69"/>
      <c r="CD775" s="69"/>
      <c r="CE775" s="69"/>
      <c r="CF775" s="69"/>
      <c r="CG775" s="69"/>
      <c r="CH775" s="69"/>
      <c r="CI775" s="69"/>
      <c r="CJ775" s="69"/>
      <c r="CK775" s="69"/>
      <c r="CL775" s="69"/>
      <c r="CM775" s="69"/>
      <c r="CN775" s="69"/>
      <c r="CO775" s="69"/>
      <c r="CP775" s="69"/>
      <c r="CQ775" s="69"/>
      <c r="CR775" s="69"/>
      <c r="CS775" s="69"/>
      <c r="CT775" s="69"/>
      <c r="CU775" s="69"/>
      <c r="CV775" s="69"/>
      <c r="CW775" s="69"/>
      <c r="CX775" s="69"/>
      <c r="CY775" s="69"/>
      <c r="CZ775" s="69"/>
      <c r="DA775" s="69"/>
      <c r="DB775" s="69"/>
      <c r="DC775" s="69"/>
      <c r="DD775" s="69"/>
      <c r="DE775" s="69"/>
      <c r="DF775" s="69"/>
      <c r="DG775" s="69"/>
      <c r="DH775" s="69"/>
      <c r="DI775" s="69"/>
      <c r="DJ775" s="69"/>
      <c r="DK775" s="69"/>
      <c r="DL775" s="69"/>
    </row>
    <row r="776" spans="1:116" ht="13" x14ac:dyDescent="0.3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202"/>
      <c r="V776" s="69"/>
      <c r="W776" s="69"/>
      <c r="X776" s="69"/>
      <c r="Y776" s="69"/>
      <c r="Z776" s="69"/>
      <c r="AA776" s="69"/>
      <c r="AB776" s="203"/>
      <c r="AC776" s="69"/>
      <c r="AD776" s="69"/>
      <c r="AE776" s="203"/>
      <c r="AF776" s="69"/>
      <c r="AG776" s="69"/>
      <c r="AH776" s="69"/>
      <c r="AI776" s="69"/>
      <c r="AJ776" s="69"/>
      <c r="AK776" s="69"/>
      <c r="AL776" s="69"/>
      <c r="AM776" s="69"/>
      <c r="AN776" s="69"/>
      <c r="AO776" s="69"/>
      <c r="AP776" s="69"/>
      <c r="AQ776" s="69"/>
      <c r="AR776" s="69"/>
      <c r="AS776" s="69"/>
      <c r="AT776" s="69"/>
      <c r="AU776" s="69"/>
      <c r="AV776" s="69"/>
      <c r="AW776" s="69"/>
      <c r="AX776" s="69"/>
      <c r="AY776" s="69"/>
      <c r="AZ776" s="69"/>
      <c r="BA776" s="69"/>
      <c r="BB776" s="69"/>
      <c r="BC776" s="69"/>
      <c r="BD776" s="69"/>
      <c r="BE776" s="69"/>
      <c r="BF776" s="69"/>
      <c r="BG776" s="69"/>
      <c r="BH776" s="69"/>
      <c r="BI776" s="69"/>
      <c r="BJ776" s="69"/>
      <c r="BK776" s="69"/>
      <c r="BL776" s="69"/>
      <c r="BM776" s="69"/>
      <c r="BN776" s="69"/>
      <c r="BO776" s="69"/>
      <c r="BP776" s="69"/>
      <c r="BQ776" s="69"/>
      <c r="BR776" s="69"/>
      <c r="BS776" s="69"/>
      <c r="BT776" s="69"/>
      <c r="BU776" s="69"/>
      <c r="BV776" s="69"/>
      <c r="BW776" s="69"/>
      <c r="BX776" s="69"/>
      <c r="BY776" s="69"/>
      <c r="BZ776" s="69"/>
      <c r="CA776" s="69"/>
      <c r="CB776" s="69"/>
      <c r="CC776" s="69"/>
      <c r="CD776" s="69"/>
      <c r="CE776" s="69"/>
      <c r="CF776" s="69"/>
      <c r="CG776" s="69"/>
      <c r="CH776" s="69"/>
      <c r="CI776" s="69"/>
      <c r="CJ776" s="69"/>
      <c r="CK776" s="69"/>
      <c r="CL776" s="69"/>
      <c r="CM776" s="69"/>
      <c r="CN776" s="69"/>
      <c r="CO776" s="69"/>
      <c r="CP776" s="69"/>
      <c r="CQ776" s="69"/>
      <c r="CR776" s="69"/>
      <c r="CS776" s="69"/>
      <c r="CT776" s="69"/>
      <c r="CU776" s="69"/>
      <c r="CV776" s="69"/>
      <c r="CW776" s="69"/>
      <c r="CX776" s="69"/>
      <c r="CY776" s="69"/>
      <c r="CZ776" s="69"/>
      <c r="DA776" s="69"/>
      <c r="DB776" s="69"/>
      <c r="DC776" s="69"/>
      <c r="DD776" s="69"/>
      <c r="DE776" s="69"/>
      <c r="DF776" s="69"/>
      <c r="DG776" s="69"/>
      <c r="DH776" s="69"/>
      <c r="DI776" s="69"/>
      <c r="DJ776" s="69"/>
      <c r="DK776" s="69"/>
      <c r="DL776" s="69"/>
    </row>
    <row r="777" spans="1:116" ht="13" x14ac:dyDescent="0.3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202"/>
      <c r="V777" s="69"/>
      <c r="W777" s="69"/>
      <c r="X777" s="69"/>
      <c r="Y777" s="69"/>
      <c r="Z777" s="69"/>
      <c r="AA777" s="69"/>
      <c r="AB777" s="203"/>
      <c r="AC777" s="69"/>
      <c r="AD777" s="69"/>
      <c r="AE777" s="203"/>
      <c r="AF777" s="69"/>
      <c r="AG777" s="69"/>
      <c r="AH777" s="69"/>
      <c r="AI777" s="69"/>
      <c r="AJ777" s="69"/>
      <c r="AK777" s="69"/>
      <c r="AL777" s="69"/>
      <c r="AM777" s="69"/>
      <c r="AN777" s="69"/>
      <c r="AO777" s="69"/>
      <c r="AP777" s="69"/>
      <c r="AQ777" s="69"/>
      <c r="AR777" s="69"/>
      <c r="AS777" s="69"/>
      <c r="AT777" s="69"/>
      <c r="AU777" s="69"/>
      <c r="AV777" s="69"/>
      <c r="AW777" s="69"/>
      <c r="AX777" s="69"/>
      <c r="AY777" s="69"/>
      <c r="AZ777" s="69"/>
      <c r="BA777" s="69"/>
      <c r="BB777" s="69"/>
      <c r="BC777" s="69"/>
      <c r="BD777" s="69"/>
      <c r="BE777" s="69"/>
      <c r="BF777" s="69"/>
      <c r="BG777" s="69"/>
      <c r="BH777" s="69"/>
      <c r="BI777" s="69"/>
      <c r="BJ777" s="69"/>
      <c r="BK777" s="69"/>
      <c r="BL777" s="69"/>
      <c r="BM777" s="69"/>
      <c r="BN777" s="69"/>
      <c r="BO777" s="69"/>
      <c r="BP777" s="69"/>
      <c r="BQ777" s="69"/>
      <c r="BR777" s="69"/>
      <c r="BS777" s="69"/>
      <c r="BT777" s="69"/>
      <c r="BU777" s="69"/>
      <c r="BV777" s="69"/>
      <c r="BW777" s="69"/>
      <c r="BX777" s="69"/>
      <c r="BY777" s="69"/>
      <c r="BZ777" s="69"/>
      <c r="CA777" s="69"/>
      <c r="CB777" s="69"/>
      <c r="CC777" s="69"/>
      <c r="CD777" s="69"/>
      <c r="CE777" s="69"/>
      <c r="CF777" s="69"/>
      <c r="CG777" s="69"/>
      <c r="CH777" s="69"/>
      <c r="CI777" s="69"/>
      <c r="CJ777" s="69"/>
      <c r="CK777" s="69"/>
      <c r="CL777" s="69"/>
      <c r="CM777" s="69"/>
      <c r="CN777" s="69"/>
      <c r="CO777" s="69"/>
      <c r="CP777" s="69"/>
      <c r="CQ777" s="69"/>
      <c r="CR777" s="69"/>
      <c r="CS777" s="69"/>
      <c r="CT777" s="69"/>
      <c r="CU777" s="69"/>
      <c r="CV777" s="69"/>
      <c r="CW777" s="69"/>
      <c r="CX777" s="69"/>
      <c r="CY777" s="69"/>
      <c r="CZ777" s="69"/>
      <c r="DA777" s="69"/>
      <c r="DB777" s="69"/>
      <c r="DC777" s="69"/>
      <c r="DD777" s="69"/>
      <c r="DE777" s="69"/>
      <c r="DF777" s="69"/>
      <c r="DG777" s="69"/>
      <c r="DH777" s="69"/>
      <c r="DI777" s="69"/>
      <c r="DJ777" s="69"/>
      <c r="DK777" s="69"/>
      <c r="DL777" s="69"/>
    </row>
    <row r="778" spans="1:116" ht="13" x14ac:dyDescent="0.3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202"/>
      <c r="V778" s="69"/>
      <c r="W778" s="69"/>
      <c r="X778" s="69"/>
      <c r="Y778" s="69"/>
      <c r="Z778" s="69"/>
      <c r="AA778" s="69"/>
      <c r="AB778" s="203"/>
      <c r="AC778" s="69"/>
      <c r="AD778" s="69"/>
      <c r="AE778" s="203"/>
      <c r="AF778" s="69"/>
      <c r="AG778" s="69"/>
      <c r="AH778" s="69"/>
      <c r="AI778" s="69"/>
      <c r="AJ778" s="69"/>
      <c r="AK778" s="69"/>
      <c r="AL778" s="69"/>
      <c r="AM778" s="69"/>
      <c r="AN778" s="69"/>
      <c r="AO778" s="69"/>
      <c r="AP778" s="69"/>
      <c r="AQ778" s="69"/>
      <c r="AR778" s="69"/>
      <c r="AS778" s="69"/>
      <c r="AT778" s="69"/>
      <c r="AU778" s="69"/>
      <c r="AV778" s="69"/>
      <c r="AW778" s="69"/>
      <c r="AX778" s="69"/>
      <c r="AY778" s="69"/>
      <c r="AZ778" s="69"/>
      <c r="BA778" s="69"/>
      <c r="BB778" s="69"/>
      <c r="BC778" s="69"/>
      <c r="BD778" s="69"/>
      <c r="BE778" s="69"/>
      <c r="BF778" s="69"/>
      <c r="BG778" s="69"/>
      <c r="BH778" s="69"/>
      <c r="BI778" s="69"/>
      <c r="BJ778" s="69"/>
      <c r="BK778" s="69"/>
      <c r="BL778" s="69"/>
      <c r="BM778" s="69"/>
      <c r="BN778" s="69"/>
      <c r="BO778" s="69"/>
      <c r="BP778" s="69"/>
      <c r="BQ778" s="69"/>
      <c r="BR778" s="69"/>
      <c r="BS778" s="69"/>
      <c r="BT778" s="69"/>
      <c r="BU778" s="69"/>
      <c r="BV778" s="69"/>
      <c r="BW778" s="69"/>
      <c r="BX778" s="69"/>
      <c r="BY778" s="69"/>
      <c r="BZ778" s="69"/>
      <c r="CA778" s="69"/>
      <c r="CB778" s="69"/>
      <c r="CC778" s="69"/>
      <c r="CD778" s="69"/>
      <c r="CE778" s="69"/>
      <c r="CF778" s="69"/>
      <c r="CG778" s="69"/>
      <c r="CH778" s="69"/>
      <c r="CI778" s="69"/>
      <c r="CJ778" s="69"/>
      <c r="CK778" s="69"/>
      <c r="CL778" s="69"/>
      <c r="CM778" s="69"/>
      <c r="CN778" s="69"/>
      <c r="CO778" s="69"/>
      <c r="CP778" s="69"/>
      <c r="CQ778" s="69"/>
      <c r="CR778" s="69"/>
      <c r="CS778" s="69"/>
      <c r="CT778" s="69"/>
      <c r="CU778" s="69"/>
      <c r="CV778" s="69"/>
      <c r="CW778" s="69"/>
      <c r="CX778" s="69"/>
      <c r="CY778" s="69"/>
      <c r="CZ778" s="69"/>
      <c r="DA778" s="69"/>
      <c r="DB778" s="69"/>
      <c r="DC778" s="69"/>
      <c r="DD778" s="69"/>
      <c r="DE778" s="69"/>
      <c r="DF778" s="69"/>
      <c r="DG778" s="69"/>
      <c r="DH778" s="69"/>
      <c r="DI778" s="69"/>
      <c r="DJ778" s="69"/>
      <c r="DK778" s="69"/>
      <c r="DL778" s="69"/>
    </row>
    <row r="779" spans="1:116" ht="13" x14ac:dyDescent="0.3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202"/>
      <c r="V779" s="69"/>
      <c r="W779" s="69"/>
      <c r="X779" s="69"/>
      <c r="Y779" s="69"/>
      <c r="Z779" s="69"/>
      <c r="AA779" s="69"/>
      <c r="AB779" s="203"/>
      <c r="AC779" s="69"/>
      <c r="AD779" s="69"/>
      <c r="AE779" s="203"/>
      <c r="AF779" s="69"/>
      <c r="AG779" s="69"/>
      <c r="AH779" s="69"/>
      <c r="AI779" s="69"/>
      <c r="AJ779" s="69"/>
      <c r="AK779" s="69"/>
      <c r="AL779" s="69"/>
      <c r="AM779" s="69"/>
      <c r="AN779" s="69"/>
      <c r="AO779" s="69"/>
      <c r="AP779" s="69"/>
      <c r="AQ779" s="69"/>
      <c r="AR779" s="69"/>
      <c r="AS779" s="69"/>
      <c r="AT779" s="69"/>
      <c r="AU779" s="69"/>
      <c r="AV779" s="69"/>
      <c r="AW779" s="69"/>
      <c r="AX779" s="69"/>
      <c r="AY779" s="69"/>
      <c r="AZ779" s="69"/>
      <c r="BA779" s="69"/>
      <c r="BB779" s="69"/>
      <c r="BC779" s="69"/>
      <c r="BD779" s="69"/>
      <c r="BE779" s="69"/>
      <c r="BF779" s="69"/>
      <c r="BG779" s="69"/>
      <c r="BH779" s="69"/>
      <c r="BI779" s="69"/>
      <c r="BJ779" s="69"/>
      <c r="BK779" s="69"/>
      <c r="BL779" s="69"/>
      <c r="BM779" s="69"/>
      <c r="BN779" s="69"/>
      <c r="BO779" s="69"/>
      <c r="BP779" s="69"/>
      <c r="BQ779" s="69"/>
      <c r="BR779" s="69"/>
      <c r="BS779" s="69"/>
      <c r="BT779" s="69"/>
      <c r="BU779" s="69"/>
      <c r="BV779" s="69"/>
      <c r="BW779" s="69"/>
      <c r="BX779" s="69"/>
      <c r="BY779" s="69"/>
      <c r="BZ779" s="69"/>
      <c r="CA779" s="69"/>
      <c r="CB779" s="69"/>
      <c r="CC779" s="69"/>
      <c r="CD779" s="69"/>
      <c r="CE779" s="69"/>
      <c r="CF779" s="69"/>
      <c r="CG779" s="69"/>
      <c r="CH779" s="69"/>
      <c r="CI779" s="69"/>
      <c r="CJ779" s="69"/>
      <c r="CK779" s="69"/>
      <c r="CL779" s="69"/>
      <c r="CM779" s="69"/>
      <c r="CN779" s="69"/>
      <c r="CO779" s="69"/>
      <c r="CP779" s="69"/>
      <c r="CQ779" s="69"/>
      <c r="CR779" s="69"/>
      <c r="CS779" s="69"/>
      <c r="CT779" s="69"/>
      <c r="CU779" s="69"/>
      <c r="CV779" s="69"/>
      <c r="CW779" s="69"/>
      <c r="CX779" s="69"/>
      <c r="CY779" s="69"/>
      <c r="CZ779" s="69"/>
      <c r="DA779" s="69"/>
      <c r="DB779" s="69"/>
      <c r="DC779" s="69"/>
      <c r="DD779" s="69"/>
      <c r="DE779" s="69"/>
      <c r="DF779" s="69"/>
      <c r="DG779" s="69"/>
      <c r="DH779" s="69"/>
      <c r="DI779" s="69"/>
      <c r="DJ779" s="69"/>
      <c r="DK779" s="69"/>
      <c r="DL779" s="69"/>
    </row>
    <row r="780" spans="1:116" ht="13" x14ac:dyDescent="0.3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202"/>
      <c r="V780" s="69"/>
      <c r="W780" s="69"/>
      <c r="X780" s="69"/>
      <c r="Y780" s="69"/>
      <c r="Z780" s="69"/>
      <c r="AA780" s="69"/>
      <c r="AB780" s="203"/>
      <c r="AC780" s="69"/>
      <c r="AD780" s="69"/>
      <c r="AE780" s="203"/>
      <c r="AF780" s="69"/>
      <c r="AG780" s="69"/>
      <c r="AH780" s="69"/>
      <c r="AI780" s="69"/>
      <c r="AJ780" s="69"/>
      <c r="AK780" s="69"/>
      <c r="AL780" s="69"/>
      <c r="AM780" s="69"/>
      <c r="AN780" s="69"/>
      <c r="AO780" s="69"/>
      <c r="AP780" s="69"/>
      <c r="AQ780" s="69"/>
      <c r="AR780" s="69"/>
      <c r="AS780" s="69"/>
      <c r="AT780" s="69"/>
      <c r="AU780" s="69"/>
      <c r="AV780" s="69"/>
      <c r="AW780" s="69"/>
      <c r="AX780" s="69"/>
      <c r="AY780" s="69"/>
      <c r="AZ780" s="69"/>
      <c r="BA780" s="69"/>
      <c r="BB780" s="69"/>
      <c r="BC780" s="69"/>
      <c r="BD780" s="69"/>
      <c r="BE780" s="69"/>
      <c r="BF780" s="69"/>
      <c r="BG780" s="69"/>
      <c r="BH780" s="69"/>
      <c r="BI780" s="69"/>
      <c r="BJ780" s="69"/>
      <c r="BK780" s="69"/>
      <c r="BL780" s="69"/>
      <c r="BM780" s="69"/>
      <c r="BN780" s="69"/>
      <c r="BO780" s="69"/>
      <c r="BP780" s="69"/>
      <c r="BQ780" s="69"/>
      <c r="BR780" s="69"/>
      <c r="BS780" s="69"/>
      <c r="BT780" s="69"/>
      <c r="BU780" s="69"/>
      <c r="BV780" s="69"/>
      <c r="BW780" s="69"/>
      <c r="BX780" s="69"/>
      <c r="BY780" s="69"/>
      <c r="BZ780" s="69"/>
      <c r="CA780" s="69"/>
      <c r="CB780" s="69"/>
      <c r="CC780" s="69"/>
      <c r="CD780" s="69"/>
      <c r="CE780" s="69"/>
      <c r="CF780" s="69"/>
      <c r="CG780" s="69"/>
      <c r="CH780" s="69"/>
      <c r="CI780" s="69"/>
      <c r="CJ780" s="69"/>
      <c r="CK780" s="69"/>
      <c r="CL780" s="69"/>
      <c r="CM780" s="69"/>
      <c r="CN780" s="69"/>
      <c r="CO780" s="69"/>
      <c r="CP780" s="69"/>
      <c r="CQ780" s="69"/>
      <c r="CR780" s="69"/>
      <c r="CS780" s="69"/>
      <c r="CT780" s="69"/>
      <c r="CU780" s="69"/>
      <c r="CV780" s="69"/>
      <c r="CW780" s="69"/>
      <c r="CX780" s="69"/>
      <c r="CY780" s="69"/>
      <c r="CZ780" s="69"/>
      <c r="DA780" s="69"/>
      <c r="DB780" s="69"/>
      <c r="DC780" s="69"/>
      <c r="DD780" s="69"/>
      <c r="DE780" s="69"/>
      <c r="DF780" s="69"/>
      <c r="DG780" s="69"/>
      <c r="DH780" s="69"/>
      <c r="DI780" s="69"/>
      <c r="DJ780" s="69"/>
      <c r="DK780" s="69"/>
      <c r="DL780" s="69"/>
    </row>
    <row r="781" spans="1:116" ht="13" x14ac:dyDescent="0.3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202"/>
      <c r="V781" s="69"/>
      <c r="W781" s="69"/>
      <c r="X781" s="69"/>
      <c r="Y781" s="69"/>
      <c r="Z781" s="69"/>
      <c r="AA781" s="69"/>
      <c r="AB781" s="203"/>
      <c r="AC781" s="69"/>
      <c r="AD781" s="69"/>
      <c r="AE781" s="203"/>
      <c r="AF781" s="69"/>
      <c r="AG781" s="69"/>
      <c r="AH781" s="69"/>
      <c r="AI781" s="69"/>
      <c r="AJ781" s="69"/>
      <c r="AK781" s="69"/>
      <c r="AL781" s="69"/>
      <c r="AM781" s="69"/>
      <c r="AN781" s="69"/>
      <c r="AO781" s="69"/>
      <c r="AP781" s="69"/>
      <c r="AQ781" s="69"/>
      <c r="AR781" s="69"/>
      <c r="AS781" s="69"/>
      <c r="AT781" s="69"/>
      <c r="AU781" s="69"/>
      <c r="AV781" s="69"/>
      <c r="AW781" s="69"/>
      <c r="AX781" s="69"/>
      <c r="AY781" s="69"/>
      <c r="AZ781" s="69"/>
      <c r="BA781" s="69"/>
      <c r="BB781" s="69"/>
      <c r="BC781" s="69"/>
      <c r="BD781" s="69"/>
      <c r="BE781" s="69"/>
      <c r="BF781" s="69"/>
      <c r="BG781" s="69"/>
      <c r="BH781" s="69"/>
      <c r="BI781" s="69"/>
      <c r="BJ781" s="69"/>
      <c r="BK781" s="69"/>
      <c r="BL781" s="69"/>
      <c r="BM781" s="69"/>
      <c r="BN781" s="69"/>
      <c r="BO781" s="69"/>
      <c r="BP781" s="69"/>
      <c r="BQ781" s="69"/>
      <c r="BR781" s="69"/>
      <c r="BS781" s="69"/>
      <c r="BT781" s="69"/>
      <c r="BU781" s="69"/>
      <c r="BV781" s="69"/>
      <c r="BW781" s="69"/>
      <c r="BX781" s="69"/>
      <c r="BY781" s="69"/>
      <c r="BZ781" s="69"/>
      <c r="CA781" s="69"/>
      <c r="CB781" s="69"/>
      <c r="CC781" s="69"/>
      <c r="CD781" s="69"/>
      <c r="CE781" s="69"/>
      <c r="CF781" s="69"/>
      <c r="CG781" s="69"/>
      <c r="CH781" s="69"/>
      <c r="CI781" s="69"/>
      <c r="CJ781" s="69"/>
      <c r="CK781" s="69"/>
      <c r="CL781" s="69"/>
      <c r="CM781" s="69"/>
      <c r="CN781" s="69"/>
      <c r="CO781" s="69"/>
      <c r="CP781" s="69"/>
      <c r="CQ781" s="69"/>
      <c r="CR781" s="69"/>
      <c r="CS781" s="69"/>
      <c r="CT781" s="69"/>
      <c r="CU781" s="69"/>
      <c r="CV781" s="69"/>
      <c r="CW781" s="69"/>
      <c r="CX781" s="69"/>
      <c r="CY781" s="69"/>
      <c r="CZ781" s="69"/>
      <c r="DA781" s="69"/>
      <c r="DB781" s="69"/>
      <c r="DC781" s="69"/>
      <c r="DD781" s="69"/>
      <c r="DE781" s="69"/>
      <c r="DF781" s="69"/>
      <c r="DG781" s="69"/>
      <c r="DH781" s="69"/>
      <c r="DI781" s="69"/>
      <c r="DJ781" s="69"/>
      <c r="DK781" s="69"/>
      <c r="DL781" s="69"/>
    </row>
    <row r="782" spans="1:116" ht="13" x14ac:dyDescent="0.3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202"/>
      <c r="V782" s="69"/>
      <c r="W782" s="69"/>
      <c r="X782" s="69"/>
      <c r="Y782" s="69"/>
      <c r="Z782" s="69"/>
      <c r="AA782" s="69"/>
      <c r="AB782" s="203"/>
      <c r="AC782" s="69"/>
      <c r="AD782" s="69"/>
      <c r="AE782" s="203"/>
      <c r="AF782" s="69"/>
      <c r="AG782" s="69"/>
      <c r="AH782" s="69"/>
      <c r="AI782" s="69"/>
      <c r="AJ782" s="69"/>
      <c r="AK782" s="69"/>
      <c r="AL782" s="69"/>
      <c r="AM782" s="69"/>
      <c r="AN782" s="69"/>
      <c r="AO782" s="69"/>
      <c r="AP782" s="69"/>
      <c r="AQ782" s="69"/>
      <c r="AR782" s="69"/>
      <c r="AS782" s="69"/>
      <c r="AT782" s="69"/>
      <c r="AU782" s="69"/>
      <c r="AV782" s="69"/>
      <c r="AW782" s="69"/>
      <c r="AX782" s="69"/>
      <c r="AY782" s="69"/>
      <c r="AZ782" s="69"/>
      <c r="BA782" s="69"/>
      <c r="BB782" s="69"/>
      <c r="BC782" s="69"/>
      <c r="BD782" s="69"/>
      <c r="BE782" s="69"/>
      <c r="BF782" s="69"/>
      <c r="BG782" s="69"/>
      <c r="BH782" s="69"/>
      <c r="BI782" s="69"/>
      <c r="BJ782" s="69"/>
      <c r="BK782" s="69"/>
      <c r="BL782" s="69"/>
      <c r="BM782" s="69"/>
      <c r="BN782" s="69"/>
      <c r="BO782" s="69"/>
      <c r="BP782" s="69"/>
      <c r="BQ782" s="69"/>
      <c r="BR782" s="69"/>
      <c r="BS782" s="69"/>
      <c r="BT782" s="69"/>
      <c r="BU782" s="69"/>
      <c r="BV782" s="69"/>
      <c r="BW782" s="69"/>
      <c r="BX782" s="69"/>
      <c r="BY782" s="69"/>
      <c r="BZ782" s="69"/>
      <c r="CA782" s="69"/>
      <c r="CB782" s="69"/>
      <c r="CC782" s="69"/>
      <c r="CD782" s="69"/>
      <c r="CE782" s="69"/>
      <c r="CF782" s="69"/>
      <c r="CG782" s="69"/>
      <c r="CH782" s="69"/>
      <c r="CI782" s="69"/>
      <c r="CJ782" s="69"/>
      <c r="CK782" s="69"/>
      <c r="CL782" s="69"/>
      <c r="CM782" s="69"/>
      <c r="CN782" s="69"/>
      <c r="CO782" s="69"/>
      <c r="CP782" s="69"/>
      <c r="CQ782" s="69"/>
      <c r="CR782" s="69"/>
      <c r="CS782" s="69"/>
      <c r="CT782" s="69"/>
      <c r="CU782" s="69"/>
      <c r="CV782" s="69"/>
      <c r="CW782" s="69"/>
      <c r="CX782" s="69"/>
      <c r="CY782" s="69"/>
      <c r="CZ782" s="69"/>
      <c r="DA782" s="69"/>
      <c r="DB782" s="69"/>
      <c r="DC782" s="69"/>
      <c r="DD782" s="69"/>
      <c r="DE782" s="69"/>
      <c r="DF782" s="69"/>
      <c r="DG782" s="69"/>
      <c r="DH782" s="69"/>
      <c r="DI782" s="69"/>
      <c r="DJ782" s="69"/>
      <c r="DK782" s="69"/>
      <c r="DL782" s="69"/>
    </row>
    <row r="783" spans="1:116" ht="13" x14ac:dyDescent="0.3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202"/>
      <c r="V783" s="69"/>
      <c r="W783" s="69"/>
      <c r="X783" s="69"/>
      <c r="Y783" s="69"/>
      <c r="Z783" s="69"/>
      <c r="AA783" s="69"/>
      <c r="AB783" s="203"/>
      <c r="AC783" s="69"/>
      <c r="AD783" s="69"/>
      <c r="AE783" s="203"/>
      <c r="AF783" s="69"/>
      <c r="AG783" s="69"/>
      <c r="AH783" s="69"/>
      <c r="AI783" s="69"/>
      <c r="AJ783" s="69"/>
      <c r="AK783" s="69"/>
      <c r="AL783" s="69"/>
      <c r="AM783" s="69"/>
      <c r="AN783" s="69"/>
      <c r="AO783" s="69"/>
      <c r="AP783" s="69"/>
      <c r="AQ783" s="69"/>
      <c r="AR783" s="69"/>
      <c r="AS783" s="69"/>
      <c r="AT783" s="69"/>
      <c r="AU783" s="69"/>
      <c r="AV783" s="69"/>
      <c r="AW783" s="69"/>
      <c r="AX783" s="69"/>
      <c r="AY783" s="69"/>
      <c r="AZ783" s="69"/>
      <c r="BA783" s="69"/>
      <c r="BB783" s="69"/>
      <c r="BC783" s="69"/>
      <c r="BD783" s="69"/>
      <c r="BE783" s="69"/>
      <c r="BF783" s="69"/>
      <c r="BG783" s="69"/>
      <c r="BH783" s="69"/>
      <c r="BI783" s="69"/>
      <c r="BJ783" s="69"/>
      <c r="BK783" s="69"/>
      <c r="BL783" s="69"/>
      <c r="BM783" s="69"/>
      <c r="BN783" s="69"/>
      <c r="BO783" s="69"/>
      <c r="BP783" s="69"/>
      <c r="BQ783" s="69"/>
      <c r="BR783" s="69"/>
      <c r="BS783" s="69"/>
      <c r="BT783" s="69"/>
      <c r="BU783" s="69"/>
      <c r="BV783" s="69"/>
      <c r="BW783" s="69"/>
      <c r="BX783" s="69"/>
      <c r="BY783" s="69"/>
      <c r="BZ783" s="69"/>
      <c r="CA783" s="69"/>
      <c r="CB783" s="69"/>
      <c r="CC783" s="69"/>
      <c r="CD783" s="69"/>
      <c r="CE783" s="69"/>
      <c r="CF783" s="69"/>
      <c r="CG783" s="69"/>
      <c r="CH783" s="69"/>
      <c r="CI783" s="69"/>
      <c r="CJ783" s="69"/>
      <c r="CK783" s="69"/>
      <c r="CL783" s="69"/>
      <c r="CM783" s="69"/>
      <c r="CN783" s="69"/>
      <c r="CO783" s="69"/>
      <c r="CP783" s="69"/>
      <c r="CQ783" s="69"/>
      <c r="CR783" s="69"/>
      <c r="CS783" s="69"/>
      <c r="CT783" s="69"/>
      <c r="CU783" s="69"/>
      <c r="CV783" s="69"/>
      <c r="CW783" s="69"/>
      <c r="CX783" s="69"/>
      <c r="CY783" s="69"/>
      <c r="CZ783" s="69"/>
      <c r="DA783" s="69"/>
      <c r="DB783" s="69"/>
      <c r="DC783" s="69"/>
      <c r="DD783" s="69"/>
      <c r="DE783" s="69"/>
      <c r="DF783" s="69"/>
      <c r="DG783" s="69"/>
      <c r="DH783" s="69"/>
      <c r="DI783" s="69"/>
      <c r="DJ783" s="69"/>
      <c r="DK783" s="69"/>
      <c r="DL783" s="69"/>
    </row>
    <row r="784" spans="1:116" ht="13" x14ac:dyDescent="0.3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202"/>
      <c r="V784" s="69"/>
      <c r="W784" s="69"/>
      <c r="X784" s="69"/>
      <c r="Y784" s="69"/>
      <c r="Z784" s="69"/>
      <c r="AA784" s="69"/>
      <c r="AB784" s="203"/>
      <c r="AC784" s="69"/>
      <c r="AD784" s="69"/>
      <c r="AE784" s="203"/>
      <c r="AF784" s="69"/>
      <c r="AG784" s="69"/>
      <c r="AH784" s="69"/>
      <c r="AI784" s="69"/>
      <c r="AJ784" s="69"/>
      <c r="AK784" s="69"/>
      <c r="AL784" s="69"/>
      <c r="AM784" s="69"/>
      <c r="AN784" s="69"/>
      <c r="AO784" s="69"/>
      <c r="AP784" s="69"/>
      <c r="AQ784" s="69"/>
      <c r="AR784" s="69"/>
      <c r="AS784" s="69"/>
      <c r="AT784" s="69"/>
      <c r="AU784" s="69"/>
      <c r="AV784" s="69"/>
      <c r="AW784" s="69"/>
      <c r="AX784" s="69"/>
      <c r="AY784" s="69"/>
      <c r="AZ784" s="69"/>
      <c r="BA784" s="69"/>
      <c r="BB784" s="69"/>
      <c r="BC784" s="69"/>
      <c r="BD784" s="69"/>
      <c r="BE784" s="69"/>
      <c r="BF784" s="69"/>
      <c r="BG784" s="69"/>
      <c r="BH784" s="69"/>
      <c r="BI784" s="69"/>
      <c r="BJ784" s="69"/>
      <c r="BK784" s="69"/>
      <c r="BL784" s="69"/>
      <c r="BM784" s="69"/>
      <c r="BN784" s="69"/>
      <c r="BO784" s="69"/>
      <c r="BP784" s="69"/>
      <c r="BQ784" s="69"/>
      <c r="BR784" s="69"/>
      <c r="BS784" s="69"/>
      <c r="BT784" s="69"/>
      <c r="BU784" s="69"/>
      <c r="BV784" s="69"/>
      <c r="BW784" s="69"/>
      <c r="BX784" s="69"/>
      <c r="BY784" s="69"/>
      <c r="BZ784" s="69"/>
      <c r="CA784" s="69"/>
      <c r="CB784" s="69"/>
      <c r="CC784" s="69"/>
      <c r="CD784" s="69"/>
      <c r="CE784" s="69"/>
      <c r="CF784" s="69"/>
      <c r="CG784" s="69"/>
      <c r="CH784" s="69"/>
      <c r="CI784" s="69"/>
      <c r="CJ784" s="69"/>
      <c r="CK784" s="69"/>
      <c r="CL784" s="69"/>
      <c r="CM784" s="69"/>
      <c r="CN784" s="69"/>
      <c r="CO784" s="69"/>
      <c r="CP784" s="69"/>
      <c r="CQ784" s="69"/>
      <c r="CR784" s="69"/>
      <c r="CS784" s="69"/>
      <c r="CT784" s="69"/>
      <c r="CU784" s="69"/>
      <c r="CV784" s="69"/>
      <c r="CW784" s="69"/>
      <c r="CX784" s="69"/>
      <c r="CY784" s="69"/>
      <c r="CZ784" s="69"/>
      <c r="DA784" s="69"/>
      <c r="DB784" s="69"/>
      <c r="DC784" s="69"/>
      <c r="DD784" s="69"/>
      <c r="DE784" s="69"/>
      <c r="DF784" s="69"/>
      <c r="DG784" s="69"/>
      <c r="DH784" s="69"/>
      <c r="DI784" s="69"/>
      <c r="DJ784" s="69"/>
      <c r="DK784" s="69"/>
      <c r="DL784" s="69"/>
    </row>
    <row r="785" spans="1:116" ht="13" x14ac:dyDescent="0.3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202"/>
      <c r="V785" s="69"/>
      <c r="W785" s="69"/>
      <c r="X785" s="69"/>
      <c r="Y785" s="69"/>
      <c r="Z785" s="69"/>
      <c r="AA785" s="69"/>
      <c r="AB785" s="203"/>
      <c r="AC785" s="69"/>
      <c r="AD785" s="69"/>
      <c r="AE785" s="203"/>
      <c r="AF785" s="69"/>
      <c r="AG785" s="69"/>
      <c r="AH785" s="69"/>
      <c r="AI785" s="69"/>
      <c r="AJ785" s="69"/>
      <c r="AK785" s="69"/>
      <c r="AL785" s="69"/>
      <c r="AM785" s="69"/>
      <c r="AN785" s="69"/>
      <c r="AO785" s="69"/>
      <c r="AP785" s="69"/>
      <c r="AQ785" s="69"/>
      <c r="AR785" s="69"/>
      <c r="AS785" s="69"/>
      <c r="AT785" s="69"/>
      <c r="AU785" s="69"/>
      <c r="AV785" s="69"/>
      <c r="AW785" s="69"/>
      <c r="AX785" s="69"/>
      <c r="AY785" s="69"/>
      <c r="AZ785" s="69"/>
      <c r="BA785" s="69"/>
      <c r="BB785" s="69"/>
      <c r="BC785" s="69"/>
      <c r="BD785" s="69"/>
      <c r="BE785" s="69"/>
      <c r="BF785" s="69"/>
      <c r="BG785" s="69"/>
      <c r="BH785" s="69"/>
      <c r="BI785" s="69"/>
      <c r="BJ785" s="69"/>
      <c r="BK785" s="69"/>
      <c r="BL785" s="69"/>
      <c r="BM785" s="69"/>
      <c r="BN785" s="69"/>
      <c r="BO785" s="69"/>
      <c r="BP785" s="69"/>
      <c r="BQ785" s="69"/>
      <c r="BR785" s="69"/>
      <c r="BS785" s="69"/>
      <c r="BT785" s="69"/>
      <c r="BU785" s="69"/>
      <c r="BV785" s="69"/>
      <c r="BW785" s="69"/>
      <c r="BX785" s="69"/>
      <c r="BY785" s="69"/>
      <c r="BZ785" s="69"/>
      <c r="CA785" s="69"/>
      <c r="CB785" s="69"/>
      <c r="CC785" s="69"/>
      <c r="CD785" s="69"/>
      <c r="CE785" s="69"/>
      <c r="CF785" s="69"/>
      <c r="CG785" s="69"/>
      <c r="CH785" s="69"/>
      <c r="CI785" s="69"/>
      <c r="CJ785" s="69"/>
      <c r="CK785" s="69"/>
      <c r="CL785" s="69"/>
      <c r="CM785" s="69"/>
      <c r="CN785" s="69"/>
      <c r="CO785" s="69"/>
      <c r="CP785" s="69"/>
      <c r="CQ785" s="69"/>
      <c r="CR785" s="69"/>
      <c r="CS785" s="69"/>
      <c r="CT785" s="69"/>
      <c r="CU785" s="69"/>
      <c r="CV785" s="69"/>
      <c r="CW785" s="69"/>
      <c r="CX785" s="69"/>
      <c r="CY785" s="69"/>
      <c r="CZ785" s="69"/>
      <c r="DA785" s="69"/>
      <c r="DB785" s="69"/>
      <c r="DC785" s="69"/>
      <c r="DD785" s="69"/>
      <c r="DE785" s="69"/>
      <c r="DF785" s="69"/>
      <c r="DG785" s="69"/>
      <c r="DH785" s="69"/>
      <c r="DI785" s="69"/>
      <c r="DJ785" s="69"/>
      <c r="DK785" s="69"/>
      <c r="DL785" s="69"/>
    </row>
    <row r="786" spans="1:116" ht="13" x14ac:dyDescent="0.3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202"/>
      <c r="V786" s="69"/>
      <c r="W786" s="69"/>
      <c r="X786" s="69"/>
      <c r="Y786" s="69"/>
      <c r="Z786" s="69"/>
      <c r="AA786" s="69"/>
      <c r="AB786" s="203"/>
      <c r="AC786" s="69"/>
      <c r="AD786" s="69"/>
      <c r="AE786" s="203"/>
      <c r="AF786" s="69"/>
      <c r="AG786" s="69"/>
      <c r="AH786" s="69"/>
      <c r="AI786" s="69"/>
      <c r="AJ786" s="69"/>
      <c r="AK786" s="69"/>
      <c r="AL786" s="69"/>
      <c r="AM786" s="69"/>
      <c r="AN786" s="69"/>
      <c r="AO786" s="69"/>
      <c r="AP786" s="69"/>
      <c r="AQ786" s="69"/>
      <c r="AR786" s="69"/>
      <c r="AS786" s="69"/>
      <c r="AT786" s="69"/>
      <c r="AU786" s="69"/>
      <c r="AV786" s="69"/>
      <c r="AW786" s="69"/>
      <c r="AX786" s="69"/>
      <c r="AY786" s="69"/>
      <c r="AZ786" s="69"/>
      <c r="BA786" s="69"/>
      <c r="BB786" s="69"/>
      <c r="BC786" s="69"/>
      <c r="BD786" s="69"/>
      <c r="BE786" s="69"/>
      <c r="BF786" s="69"/>
      <c r="BG786" s="69"/>
      <c r="BH786" s="69"/>
      <c r="BI786" s="69"/>
      <c r="BJ786" s="69"/>
      <c r="BK786" s="69"/>
      <c r="BL786" s="69"/>
      <c r="BM786" s="69"/>
      <c r="BN786" s="69"/>
      <c r="BO786" s="69"/>
      <c r="BP786" s="69"/>
      <c r="BQ786" s="69"/>
      <c r="BR786" s="69"/>
      <c r="BS786" s="69"/>
      <c r="BT786" s="69"/>
      <c r="BU786" s="69"/>
      <c r="BV786" s="69"/>
      <c r="BW786" s="69"/>
      <c r="BX786" s="69"/>
      <c r="BY786" s="69"/>
      <c r="BZ786" s="69"/>
      <c r="CA786" s="69"/>
      <c r="CB786" s="69"/>
      <c r="CC786" s="69"/>
      <c r="CD786" s="69"/>
      <c r="CE786" s="69"/>
      <c r="CF786" s="69"/>
      <c r="CG786" s="69"/>
      <c r="CH786" s="69"/>
      <c r="CI786" s="69"/>
      <c r="CJ786" s="69"/>
      <c r="CK786" s="69"/>
      <c r="CL786" s="69"/>
      <c r="CM786" s="69"/>
      <c r="CN786" s="69"/>
      <c r="CO786" s="69"/>
      <c r="CP786" s="69"/>
      <c r="CQ786" s="69"/>
      <c r="CR786" s="69"/>
      <c r="CS786" s="69"/>
      <c r="CT786" s="69"/>
      <c r="CU786" s="69"/>
      <c r="CV786" s="69"/>
      <c r="CW786" s="69"/>
      <c r="CX786" s="69"/>
      <c r="CY786" s="69"/>
      <c r="CZ786" s="69"/>
      <c r="DA786" s="69"/>
      <c r="DB786" s="69"/>
      <c r="DC786" s="69"/>
      <c r="DD786" s="69"/>
      <c r="DE786" s="69"/>
      <c r="DF786" s="69"/>
      <c r="DG786" s="69"/>
      <c r="DH786" s="69"/>
      <c r="DI786" s="69"/>
      <c r="DJ786" s="69"/>
      <c r="DK786" s="69"/>
      <c r="DL786" s="69"/>
    </row>
    <row r="787" spans="1:116" ht="13" x14ac:dyDescent="0.3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202"/>
      <c r="V787" s="69"/>
      <c r="W787" s="69"/>
      <c r="X787" s="69"/>
      <c r="Y787" s="69"/>
      <c r="Z787" s="69"/>
      <c r="AA787" s="69"/>
      <c r="AB787" s="203"/>
      <c r="AC787" s="69"/>
      <c r="AD787" s="69"/>
      <c r="AE787" s="203"/>
      <c r="AF787" s="69"/>
      <c r="AG787" s="69"/>
      <c r="AH787" s="69"/>
      <c r="AI787" s="69"/>
      <c r="AJ787" s="69"/>
      <c r="AK787" s="69"/>
      <c r="AL787" s="69"/>
      <c r="AM787" s="69"/>
      <c r="AN787" s="69"/>
      <c r="AO787" s="69"/>
      <c r="AP787" s="69"/>
      <c r="AQ787" s="69"/>
      <c r="AR787" s="69"/>
      <c r="AS787" s="69"/>
      <c r="AT787" s="69"/>
      <c r="AU787" s="69"/>
      <c r="AV787" s="69"/>
      <c r="AW787" s="69"/>
      <c r="AX787" s="69"/>
      <c r="AY787" s="69"/>
      <c r="AZ787" s="69"/>
      <c r="BA787" s="69"/>
      <c r="BB787" s="69"/>
      <c r="BC787" s="69"/>
      <c r="BD787" s="69"/>
      <c r="BE787" s="69"/>
      <c r="BF787" s="69"/>
      <c r="BG787" s="69"/>
      <c r="BH787" s="69"/>
      <c r="BI787" s="69"/>
      <c r="BJ787" s="69"/>
      <c r="BK787" s="69"/>
      <c r="BL787" s="69"/>
      <c r="BM787" s="69"/>
      <c r="BN787" s="69"/>
      <c r="BO787" s="69"/>
      <c r="BP787" s="69"/>
      <c r="BQ787" s="69"/>
      <c r="BR787" s="69"/>
      <c r="BS787" s="69"/>
      <c r="BT787" s="69"/>
      <c r="BU787" s="69"/>
      <c r="BV787" s="69"/>
      <c r="BW787" s="69"/>
      <c r="BX787" s="69"/>
      <c r="BY787" s="69"/>
      <c r="BZ787" s="69"/>
      <c r="CA787" s="69"/>
      <c r="CB787" s="69"/>
      <c r="CC787" s="69"/>
      <c r="CD787" s="69"/>
      <c r="CE787" s="69"/>
      <c r="CF787" s="69"/>
      <c r="CG787" s="69"/>
      <c r="CH787" s="69"/>
      <c r="CI787" s="69"/>
      <c r="CJ787" s="69"/>
      <c r="CK787" s="69"/>
      <c r="CL787" s="69"/>
      <c r="CM787" s="69"/>
      <c r="CN787" s="69"/>
      <c r="CO787" s="69"/>
      <c r="CP787" s="69"/>
      <c r="CQ787" s="69"/>
      <c r="CR787" s="69"/>
      <c r="CS787" s="69"/>
      <c r="CT787" s="69"/>
      <c r="CU787" s="69"/>
      <c r="CV787" s="69"/>
      <c r="CW787" s="69"/>
      <c r="CX787" s="69"/>
      <c r="CY787" s="69"/>
      <c r="CZ787" s="69"/>
      <c r="DA787" s="69"/>
      <c r="DB787" s="69"/>
      <c r="DC787" s="69"/>
      <c r="DD787" s="69"/>
      <c r="DE787" s="69"/>
      <c r="DF787" s="69"/>
      <c r="DG787" s="69"/>
      <c r="DH787" s="69"/>
      <c r="DI787" s="69"/>
      <c r="DJ787" s="69"/>
      <c r="DK787" s="69"/>
      <c r="DL787" s="69"/>
    </row>
    <row r="788" spans="1:116" ht="13" x14ac:dyDescent="0.3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202"/>
      <c r="V788" s="69"/>
      <c r="W788" s="69"/>
      <c r="X788" s="69"/>
      <c r="Y788" s="69"/>
      <c r="Z788" s="69"/>
      <c r="AA788" s="69"/>
      <c r="AB788" s="203"/>
      <c r="AC788" s="69"/>
      <c r="AD788" s="69"/>
      <c r="AE788" s="203"/>
      <c r="AF788" s="69"/>
      <c r="AG788" s="69"/>
      <c r="AH788" s="69"/>
      <c r="AI788" s="69"/>
      <c r="AJ788" s="69"/>
      <c r="AK788" s="69"/>
      <c r="AL788" s="69"/>
      <c r="AM788" s="69"/>
      <c r="AN788" s="69"/>
      <c r="AO788" s="69"/>
      <c r="AP788" s="69"/>
      <c r="AQ788" s="69"/>
      <c r="AR788" s="69"/>
      <c r="AS788" s="69"/>
      <c r="AT788" s="69"/>
      <c r="AU788" s="69"/>
      <c r="AV788" s="69"/>
      <c r="AW788" s="69"/>
      <c r="AX788" s="69"/>
      <c r="AY788" s="69"/>
      <c r="AZ788" s="69"/>
      <c r="BA788" s="69"/>
      <c r="BB788" s="69"/>
      <c r="BC788" s="69"/>
      <c r="BD788" s="69"/>
      <c r="BE788" s="69"/>
      <c r="BF788" s="69"/>
      <c r="BG788" s="69"/>
      <c r="BH788" s="69"/>
      <c r="BI788" s="69"/>
      <c r="BJ788" s="69"/>
      <c r="BK788" s="69"/>
      <c r="BL788" s="69"/>
      <c r="BM788" s="69"/>
      <c r="BN788" s="69"/>
      <c r="BO788" s="69"/>
      <c r="BP788" s="69"/>
      <c r="BQ788" s="69"/>
      <c r="BR788" s="69"/>
      <c r="BS788" s="69"/>
      <c r="BT788" s="69"/>
      <c r="BU788" s="69"/>
      <c r="BV788" s="69"/>
      <c r="BW788" s="69"/>
      <c r="BX788" s="69"/>
      <c r="BY788" s="69"/>
      <c r="BZ788" s="69"/>
      <c r="CA788" s="69"/>
      <c r="CB788" s="69"/>
      <c r="CC788" s="69"/>
      <c r="CD788" s="69"/>
      <c r="CE788" s="69"/>
      <c r="CF788" s="69"/>
      <c r="CG788" s="69"/>
      <c r="CH788" s="69"/>
      <c r="CI788" s="69"/>
      <c r="CJ788" s="69"/>
      <c r="CK788" s="69"/>
      <c r="CL788" s="69"/>
      <c r="CM788" s="69"/>
      <c r="CN788" s="69"/>
      <c r="CO788" s="69"/>
      <c r="CP788" s="69"/>
      <c r="CQ788" s="69"/>
      <c r="CR788" s="69"/>
      <c r="CS788" s="69"/>
      <c r="CT788" s="69"/>
      <c r="CU788" s="69"/>
      <c r="CV788" s="69"/>
      <c r="CW788" s="69"/>
      <c r="CX788" s="69"/>
      <c r="CY788" s="69"/>
      <c r="CZ788" s="69"/>
      <c r="DA788" s="69"/>
      <c r="DB788" s="69"/>
      <c r="DC788" s="69"/>
      <c r="DD788" s="69"/>
      <c r="DE788" s="69"/>
      <c r="DF788" s="69"/>
      <c r="DG788" s="69"/>
      <c r="DH788" s="69"/>
      <c r="DI788" s="69"/>
      <c r="DJ788" s="69"/>
      <c r="DK788" s="69"/>
      <c r="DL788" s="69"/>
    </row>
    <row r="789" spans="1:116" ht="13" x14ac:dyDescent="0.3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202"/>
      <c r="V789" s="69"/>
      <c r="W789" s="69"/>
      <c r="X789" s="69"/>
      <c r="Y789" s="69"/>
      <c r="Z789" s="69"/>
      <c r="AA789" s="69"/>
      <c r="AB789" s="203"/>
      <c r="AC789" s="69"/>
      <c r="AD789" s="69"/>
      <c r="AE789" s="203"/>
      <c r="AF789" s="69"/>
      <c r="AG789" s="69"/>
      <c r="AH789" s="69"/>
      <c r="AI789" s="69"/>
      <c r="AJ789" s="69"/>
      <c r="AK789" s="69"/>
      <c r="AL789" s="69"/>
      <c r="AM789" s="69"/>
      <c r="AN789" s="69"/>
      <c r="AO789" s="69"/>
      <c r="AP789" s="69"/>
      <c r="AQ789" s="69"/>
      <c r="AR789" s="69"/>
      <c r="AS789" s="69"/>
      <c r="AT789" s="69"/>
      <c r="AU789" s="69"/>
      <c r="AV789" s="69"/>
      <c r="AW789" s="69"/>
      <c r="AX789" s="69"/>
      <c r="AY789" s="69"/>
      <c r="AZ789" s="69"/>
      <c r="BA789" s="69"/>
      <c r="BB789" s="69"/>
      <c r="BC789" s="69"/>
      <c r="BD789" s="69"/>
      <c r="BE789" s="69"/>
      <c r="BF789" s="69"/>
      <c r="BG789" s="69"/>
      <c r="BH789" s="69"/>
      <c r="BI789" s="69"/>
      <c r="BJ789" s="69"/>
      <c r="BK789" s="69"/>
      <c r="BL789" s="69"/>
      <c r="BM789" s="69"/>
      <c r="BN789" s="69"/>
      <c r="BO789" s="69"/>
      <c r="BP789" s="69"/>
      <c r="BQ789" s="69"/>
      <c r="BR789" s="69"/>
      <c r="BS789" s="69"/>
      <c r="BT789" s="69"/>
      <c r="BU789" s="69"/>
      <c r="BV789" s="69"/>
      <c r="BW789" s="69"/>
      <c r="BX789" s="69"/>
      <c r="BY789" s="69"/>
      <c r="BZ789" s="69"/>
      <c r="CA789" s="69"/>
      <c r="CB789" s="69"/>
      <c r="CC789" s="69"/>
      <c r="CD789" s="69"/>
      <c r="CE789" s="69"/>
      <c r="CF789" s="69"/>
      <c r="CG789" s="69"/>
      <c r="CH789" s="69"/>
      <c r="CI789" s="69"/>
      <c r="CJ789" s="69"/>
      <c r="CK789" s="69"/>
      <c r="CL789" s="69"/>
      <c r="CM789" s="69"/>
      <c r="CN789" s="69"/>
      <c r="CO789" s="69"/>
      <c r="CP789" s="69"/>
      <c r="CQ789" s="69"/>
      <c r="CR789" s="69"/>
      <c r="CS789" s="69"/>
      <c r="CT789" s="69"/>
      <c r="CU789" s="69"/>
      <c r="CV789" s="69"/>
      <c r="CW789" s="69"/>
      <c r="CX789" s="69"/>
      <c r="CY789" s="69"/>
      <c r="CZ789" s="69"/>
      <c r="DA789" s="69"/>
      <c r="DB789" s="69"/>
      <c r="DC789" s="69"/>
      <c r="DD789" s="69"/>
      <c r="DE789" s="69"/>
      <c r="DF789" s="69"/>
      <c r="DG789" s="69"/>
      <c r="DH789" s="69"/>
      <c r="DI789" s="69"/>
      <c r="DJ789" s="69"/>
      <c r="DK789" s="69"/>
      <c r="DL789" s="69"/>
    </row>
    <row r="790" spans="1:116" ht="13" x14ac:dyDescent="0.3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202"/>
      <c r="V790" s="69"/>
      <c r="W790" s="69"/>
      <c r="X790" s="69"/>
      <c r="Y790" s="69"/>
      <c r="Z790" s="69"/>
      <c r="AA790" s="69"/>
      <c r="AB790" s="203"/>
      <c r="AC790" s="69"/>
      <c r="AD790" s="69"/>
      <c r="AE790" s="203"/>
      <c r="AF790" s="69"/>
      <c r="AG790" s="69"/>
      <c r="AH790" s="69"/>
      <c r="AI790" s="69"/>
      <c r="AJ790" s="69"/>
      <c r="AK790" s="69"/>
      <c r="AL790" s="69"/>
      <c r="AM790" s="69"/>
      <c r="AN790" s="69"/>
      <c r="AO790" s="69"/>
      <c r="AP790" s="69"/>
      <c r="AQ790" s="69"/>
      <c r="AR790" s="69"/>
      <c r="AS790" s="69"/>
      <c r="AT790" s="69"/>
      <c r="AU790" s="69"/>
      <c r="AV790" s="69"/>
      <c r="AW790" s="69"/>
      <c r="AX790" s="69"/>
      <c r="AY790" s="69"/>
      <c r="AZ790" s="69"/>
      <c r="BA790" s="69"/>
      <c r="BB790" s="69"/>
      <c r="BC790" s="69"/>
      <c r="BD790" s="69"/>
      <c r="BE790" s="69"/>
      <c r="BF790" s="69"/>
      <c r="BG790" s="69"/>
      <c r="BH790" s="69"/>
      <c r="BI790" s="69"/>
      <c r="BJ790" s="69"/>
      <c r="BK790" s="69"/>
      <c r="BL790" s="69"/>
      <c r="BM790" s="69"/>
      <c r="BN790" s="69"/>
      <c r="BO790" s="69"/>
      <c r="BP790" s="69"/>
      <c r="BQ790" s="69"/>
      <c r="BR790" s="69"/>
      <c r="BS790" s="69"/>
      <c r="BT790" s="69"/>
      <c r="BU790" s="69"/>
      <c r="BV790" s="69"/>
      <c r="BW790" s="69"/>
      <c r="BX790" s="69"/>
      <c r="BY790" s="69"/>
      <c r="BZ790" s="69"/>
      <c r="CA790" s="69"/>
      <c r="CB790" s="69"/>
      <c r="CC790" s="69"/>
      <c r="CD790" s="69"/>
      <c r="CE790" s="69"/>
      <c r="CF790" s="69"/>
      <c r="CG790" s="69"/>
      <c r="CH790" s="69"/>
      <c r="CI790" s="69"/>
      <c r="CJ790" s="69"/>
      <c r="CK790" s="69"/>
      <c r="CL790" s="69"/>
      <c r="CM790" s="69"/>
      <c r="CN790" s="69"/>
      <c r="CO790" s="69"/>
      <c r="CP790" s="69"/>
      <c r="CQ790" s="69"/>
      <c r="CR790" s="69"/>
      <c r="CS790" s="69"/>
      <c r="CT790" s="69"/>
      <c r="CU790" s="69"/>
      <c r="CV790" s="69"/>
      <c r="CW790" s="69"/>
      <c r="CX790" s="69"/>
      <c r="CY790" s="69"/>
      <c r="CZ790" s="69"/>
      <c r="DA790" s="69"/>
      <c r="DB790" s="69"/>
      <c r="DC790" s="69"/>
      <c r="DD790" s="69"/>
      <c r="DE790" s="69"/>
      <c r="DF790" s="69"/>
      <c r="DG790" s="69"/>
      <c r="DH790" s="69"/>
      <c r="DI790" s="69"/>
      <c r="DJ790" s="69"/>
      <c r="DK790" s="69"/>
      <c r="DL790" s="69"/>
    </row>
    <row r="791" spans="1:116" ht="13" x14ac:dyDescent="0.3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202"/>
      <c r="V791" s="69"/>
      <c r="W791" s="69"/>
      <c r="X791" s="69"/>
      <c r="Y791" s="69"/>
      <c r="Z791" s="69"/>
      <c r="AA791" s="69"/>
      <c r="AB791" s="203"/>
      <c r="AC791" s="69"/>
      <c r="AD791" s="69"/>
      <c r="AE791" s="203"/>
      <c r="AF791" s="69"/>
      <c r="AG791" s="69"/>
      <c r="AH791" s="69"/>
      <c r="AI791" s="69"/>
      <c r="AJ791" s="69"/>
      <c r="AK791" s="69"/>
      <c r="AL791" s="69"/>
      <c r="AM791" s="69"/>
      <c r="AN791" s="69"/>
      <c r="AO791" s="69"/>
      <c r="AP791" s="69"/>
      <c r="AQ791" s="69"/>
      <c r="AR791" s="69"/>
      <c r="AS791" s="69"/>
      <c r="AT791" s="69"/>
      <c r="AU791" s="69"/>
      <c r="AV791" s="69"/>
      <c r="AW791" s="69"/>
      <c r="AX791" s="69"/>
      <c r="AY791" s="69"/>
      <c r="AZ791" s="69"/>
      <c r="BA791" s="69"/>
      <c r="BB791" s="69"/>
      <c r="BC791" s="69"/>
      <c r="BD791" s="69"/>
      <c r="BE791" s="69"/>
      <c r="BF791" s="69"/>
      <c r="BG791" s="69"/>
      <c r="BH791" s="69"/>
      <c r="BI791" s="69"/>
      <c r="BJ791" s="69"/>
      <c r="BK791" s="69"/>
      <c r="BL791" s="69"/>
      <c r="BM791" s="69"/>
      <c r="BN791" s="69"/>
      <c r="BO791" s="69"/>
      <c r="BP791" s="69"/>
      <c r="BQ791" s="69"/>
      <c r="BR791" s="69"/>
      <c r="BS791" s="69"/>
      <c r="BT791" s="69"/>
      <c r="BU791" s="69"/>
      <c r="BV791" s="69"/>
      <c r="BW791" s="69"/>
      <c r="BX791" s="69"/>
      <c r="BY791" s="69"/>
      <c r="BZ791" s="69"/>
      <c r="CA791" s="69"/>
      <c r="CB791" s="69"/>
      <c r="CC791" s="69"/>
      <c r="CD791" s="69"/>
      <c r="CE791" s="69"/>
      <c r="CF791" s="69"/>
      <c r="CG791" s="69"/>
      <c r="CH791" s="69"/>
      <c r="CI791" s="69"/>
      <c r="CJ791" s="69"/>
      <c r="CK791" s="69"/>
      <c r="CL791" s="69"/>
      <c r="CM791" s="69"/>
      <c r="CN791" s="69"/>
      <c r="CO791" s="69"/>
      <c r="CP791" s="69"/>
      <c r="CQ791" s="69"/>
      <c r="CR791" s="69"/>
      <c r="CS791" s="69"/>
      <c r="CT791" s="69"/>
      <c r="CU791" s="69"/>
      <c r="CV791" s="69"/>
      <c r="CW791" s="69"/>
      <c r="CX791" s="69"/>
      <c r="CY791" s="69"/>
      <c r="CZ791" s="69"/>
      <c r="DA791" s="69"/>
      <c r="DB791" s="69"/>
      <c r="DC791" s="69"/>
      <c r="DD791" s="69"/>
      <c r="DE791" s="69"/>
      <c r="DF791" s="69"/>
      <c r="DG791" s="69"/>
      <c r="DH791" s="69"/>
      <c r="DI791" s="69"/>
      <c r="DJ791" s="69"/>
      <c r="DK791" s="69"/>
      <c r="DL791" s="69"/>
    </row>
    <row r="792" spans="1:116" ht="13" x14ac:dyDescent="0.3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202"/>
      <c r="V792" s="69"/>
      <c r="W792" s="69"/>
      <c r="X792" s="69"/>
      <c r="Y792" s="69"/>
      <c r="Z792" s="69"/>
      <c r="AA792" s="69"/>
      <c r="AB792" s="203"/>
      <c r="AC792" s="69"/>
      <c r="AD792" s="69"/>
      <c r="AE792" s="203"/>
      <c r="AF792" s="69"/>
      <c r="AG792" s="69"/>
      <c r="AH792" s="69"/>
      <c r="AI792" s="69"/>
      <c r="AJ792" s="69"/>
      <c r="AK792" s="69"/>
      <c r="AL792" s="69"/>
      <c r="AM792" s="69"/>
      <c r="AN792" s="69"/>
      <c r="AO792" s="69"/>
      <c r="AP792" s="69"/>
      <c r="AQ792" s="69"/>
      <c r="AR792" s="69"/>
      <c r="AS792" s="69"/>
      <c r="AT792" s="69"/>
      <c r="AU792" s="69"/>
      <c r="AV792" s="69"/>
      <c r="AW792" s="69"/>
      <c r="AX792" s="69"/>
      <c r="AY792" s="69"/>
      <c r="AZ792" s="69"/>
      <c r="BA792" s="69"/>
      <c r="BB792" s="69"/>
      <c r="BC792" s="69"/>
      <c r="BD792" s="69"/>
      <c r="BE792" s="69"/>
      <c r="BF792" s="69"/>
      <c r="BG792" s="69"/>
      <c r="BH792" s="69"/>
      <c r="BI792" s="69"/>
      <c r="BJ792" s="69"/>
      <c r="BK792" s="69"/>
      <c r="BL792" s="69"/>
      <c r="BM792" s="69"/>
      <c r="BN792" s="69"/>
      <c r="BO792" s="69"/>
      <c r="BP792" s="69"/>
      <c r="BQ792" s="69"/>
      <c r="BR792" s="69"/>
      <c r="BS792" s="69"/>
      <c r="BT792" s="69"/>
      <c r="BU792" s="69"/>
      <c r="BV792" s="69"/>
      <c r="BW792" s="69"/>
      <c r="BX792" s="69"/>
      <c r="BY792" s="69"/>
      <c r="BZ792" s="69"/>
      <c r="CA792" s="69"/>
      <c r="CB792" s="69"/>
      <c r="CC792" s="69"/>
      <c r="CD792" s="69"/>
      <c r="CE792" s="69"/>
      <c r="CF792" s="69"/>
      <c r="CG792" s="69"/>
      <c r="CH792" s="69"/>
      <c r="CI792" s="69"/>
      <c r="CJ792" s="69"/>
      <c r="CK792" s="69"/>
      <c r="CL792" s="69"/>
      <c r="CM792" s="69"/>
      <c r="CN792" s="69"/>
      <c r="CO792" s="69"/>
      <c r="CP792" s="69"/>
      <c r="CQ792" s="69"/>
      <c r="CR792" s="69"/>
      <c r="CS792" s="69"/>
      <c r="CT792" s="69"/>
      <c r="CU792" s="69"/>
      <c r="CV792" s="69"/>
      <c r="CW792" s="69"/>
      <c r="CX792" s="69"/>
      <c r="CY792" s="69"/>
      <c r="CZ792" s="69"/>
      <c r="DA792" s="69"/>
      <c r="DB792" s="69"/>
      <c r="DC792" s="69"/>
      <c r="DD792" s="69"/>
      <c r="DE792" s="69"/>
      <c r="DF792" s="69"/>
      <c r="DG792" s="69"/>
      <c r="DH792" s="69"/>
      <c r="DI792" s="69"/>
      <c r="DJ792" s="69"/>
      <c r="DK792" s="69"/>
      <c r="DL792" s="69"/>
    </row>
    <row r="793" spans="1:116" ht="13" x14ac:dyDescent="0.3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202"/>
      <c r="V793" s="69"/>
      <c r="W793" s="69"/>
      <c r="X793" s="69"/>
      <c r="Y793" s="69"/>
      <c r="Z793" s="69"/>
      <c r="AA793" s="69"/>
      <c r="AB793" s="203"/>
      <c r="AC793" s="69"/>
      <c r="AD793" s="69"/>
      <c r="AE793" s="203"/>
      <c r="AF793" s="69"/>
      <c r="AG793" s="69"/>
      <c r="AH793" s="69"/>
      <c r="AI793" s="69"/>
      <c r="AJ793" s="69"/>
      <c r="AK793" s="69"/>
      <c r="AL793" s="69"/>
      <c r="AM793" s="69"/>
      <c r="AN793" s="69"/>
      <c r="AO793" s="69"/>
      <c r="AP793" s="69"/>
      <c r="AQ793" s="69"/>
      <c r="AR793" s="69"/>
      <c r="AS793" s="69"/>
      <c r="AT793" s="69"/>
      <c r="AU793" s="69"/>
      <c r="AV793" s="69"/>
      <c r="AW793" s="69"/>
      <c r="AX793" s="69"/>
      <c r="AY793" s="69"/>
      <c r="AZ793" s="69"/>
      <c r="BA793" s="69"/>
      <c r="BB793" s="69"/>
      <c r="BC793" s="69"/>
      <c r="BD793" s="69"/>
      <c r="BE793" s="69"/>
      <c r="BF793" s="69"/>
      <c r="BG793" s="69"/>
      <c r="BH793" s="69"/>
      <c r="BI793" s="69"/>
      <c r="BJ793" s="69"/>
      <c r="BK793" s="69"/>
      <c r="BL793" s="69"/>
      <c r="BM793" s="69"/>
      <c r="BN793" s="69"/>
      <c r="BO793" s="69"/>
      <c r="BP793" s="69"/>
      <c r="BQ793" s="69"/>
      <c r="BR793" s="69"/>
      <c r="BS793" s="69"/>
      <c r="BT793" s="69"/>
      <c r="BU793" s="69"/>
      <c r="BV793" s="69"/>
      <c r="BW793" s="69"/>
      <c r="BX793" s="69"/>
      <c r="BY793" s="69"/>
      <c r="BZ793" s="69"/>
      <c r="CA793" s="69"/>
      <c r="CB793" s="69"/>
      <c r="CC793" s="69"/>
      <c r="CD793" s="69"/>
      <c r="CE793" s="69"/>
      <c r="CF793" s="69"/>
      <c r="CG793" s="69"/>
      <c r="CH793" s="69"/>
      <c r="CI793" s="69"/>
      <c r="CJ793" s="69"/>
      <c r="CK793" s="69"/>
      <c r="CL793" s="69"/>
      <c r="CM793" s="69"/>
      <c r="CN793" s="69"/>
      <c r="CO793" s="69"/>
      <c r="CP793" s="69"/>
      <c r="CQ793" s="69"/>
      <c r="CR793" s="69"/>
      <c r="CS793" s="69"/>
      <c r="CT793" s="69"/>
      <c r="CU793" s="69"/>
      <c r="CV793" s="69"/>
      <c r="CW793" s="69"/>
      <c r="CX793" s="69"/>
      <c r="CY793" s="69"/>
      <c r="CZ793" s="69"/>
      <c r="DA793" s="69"/>
      <c r="DB793" s="69"/>
      <c r="DC793" s="69"/>
      <c r="DD793" s="69"/>
      <c r="DE793" s="69"/>
      <c r="DF793" s="69"/>
      <c r="DG793" s="69"/>
      <c r="DH793" s="69"/>
      <c r="DI793" s="69"/>
      <c r="DJ793" s="69"/>
      <c r="DK793" s="69"/>
      <c r="DL793" s="69"/>
    </row>
    <row r="794" spans="1:116" ht="13" x14ac:dyDescent="0.3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202"/>
      <c r="V794" s="69"/>
      <c r="W794" s="69"/>
      <c r="X794" s="69"/>
      <c r="Y794" s="69"/>
      <c r="Z794" s="69"/>
      <c r="AA794" s="69"/>
      <c r="AB794" s="203"/>
      <c r="AC794" s="69"/>
      <c r="AD794" s="69"/>
      <c r="AE794" s="203"/>
      <c r="AF794" s="69"/>
      <c r="AG794" s="69"/>
      <c r="AH794" s="69"/>
      <c r="AI794" s="69"/>
      <c r="AJ794" s="69"/>
      <c r="AK794" s="69"/>
      <c r="AL794" s="69"/>
      <c r="AM794" s="69"/>
      <c r="AN794" s="69"/>
      <c r="AO794" s="69"/>
      <c r="AP794" s="69"/>
      <c r="AQ794" s="69"/>
      <c r="AR794" s="69"/>
      <c r="AS794" s="69"/>
      <c r="AT794" s="69"/>
      <c r="AU794" s="69"/>
      <c r="AV794" s="69"/>
      <c r="AW794" s="69"/>
      <c r="AX794" s="69"/>
      <c r="AY794" s="69"/>
      <c r="AZ794" s="69"/>
      <c r="BA794" s="69"/>
      <c r="BB794" s="69"/>
      <c r="BC794" s="69"/>
      <c r="BD794" s="69"/>
      <c r="BE794" s="69"/>
      <c r="BF794" s="69"/>
      <c r="BG794" s="69"/>
      <c r="BH794" s="69"/>
      <c r="BI794" s="69"/>
      <c r="BJ794" s="69"/>
      <c r="BK794" s="69"/>
      <c r="BL794" s="69"/>
      <c r="BM794" s="69"/>
      <c r="BN794" s="69"/>
      <c r="BO794" s="69"/>
      <c r="BP794" s="69"/>
      <c r="BQ794" s="69"/>
      <c r="BR794" s="69"/>
      <c r="BS794" s="69"/>
      <c r="BT794" s="69"/>
      <c r="BU794" s="69"/>
      <c r="BV794" s="69"/>
      <c r="BW794" s="69"/>
      <c r="BX794" s="69"/>
      <c r="BY794" s="69"/>
      <c r="BZ794" s="69"/>
      <c r="CA794" s="69"/>
      <c r="CB794" s="69"/>
      <c r="CC794" s="69"/>
      <c r="CD794" s="69"/>
      <c r="CE794" s="69"/>
      <c r="CF794" s="69"/>
      <c r="CG794" s="69"/>
      <c r="CH794" s="69"/>
      <c r="CI794" s="69"/>
      <c r="CJ794" s="69"/>
      <c r="CK794" s="69"/>
      <c r="CL794" s="69"/>
      <c r="CM794" s="69"/>
      <c r="CN794" s="69"/>
      <c r="CO794" s="69"/>
      <c r="CP794" s="69"/>
      <c r="CQ794" s="69"/>
      <c r="CR794" s="69"/>
      <c r="CS794" s="69"/>
      <c r="CT794" s="69"/>
      <c r="CU794" s="69"/>
      <c r="CV794" s="69"/>
      <c r="CW794" s="69"/>
      <c r="CX794" s="69"/>
      <c r="CY794" s="69"/>
      <c r="CZ794" s="69"/>
      <c r="DA794" s="69"/>
      <c r="DB794" s="69"/>
      <c r="DC794" s="69"/>
      <c r="DD794" s="69"/>
      <c r="DE794" s="69"/>
      <c r="DF794" s="69"/>
      <c r="DG794" s="69"/>
      <c r="DH794" s="69"/>
      <c r="DI794" s="69"/>
      <c r="DJ794" s="69"/>
      <c r="DK794" s="69"/>
      <c r="DL794" s="69"/>
    </row>
    <row r="795" spans="1:116" ht="13" x14ac:dyDescent="0.3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202"/>
      <c r="V795" s="69"/>
      <c r="W795" s="69"/>
      <c r="X795" s="69"/>
      <c r="Y795" s="69"/>
      <c r="Z795" s="69"/>
      <c r="AA795" s="69"/>
      <c r="AB795" s="203"/>
      <c r="AC795" s="69"/>
      <c r="AD795" s="69"/>
      <c r="AE795" s="203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  <c r="AW795" s="69"/>
      <c r="AX795" s="69"/>
      <c r="AY795" s="69"/>
      <c r="AZ795" s="69"/>
      <c r="BA795" s="69"/>
      <c r="BB795" s="69"/>
      <c r="BC795" s="69"/>
      <c r="BD795" s="69"/>
      <c r="BE795" s="69"/>
      <c r="BF795" s="69"/>
      <c r="BG795" s="69"/>
      <c r="BH795" s="69"/>
      <c r="BI795" s="69"/>
      <c r="BJ795" s="69"/>
      <c r="BK795" s="69"/>
      <c r="BL795" s="69"/>
      <c r="BM795" s="69"/>
      <c r="BN795" s="69"/>
      <c r="BO795" s="69"/>
      <c r="BP795" s="69"/>
      <c r="BQ795" s="69"/>
      <c r="BR795" s="69"/>
      <c r="BS795" s="69"/>
      <c r="BT795" s="69"/>
      <c r="BU795" s="69"/>
      <c r="BV795" s="69"/>
      <c r="BW795" s="69"/>
      <c r="BX795" s="69"/>
      <c r="BY795" s="69"/>
      <c r="BZ795" s="69"/>
      <c r="CA795" s="69"/>
      <c r="CB795" s="69"/>
      <c r="CC795" s="69"/>
      <c r="CD795" s="69"/>
      <c r="CE795" s="69"/>
      <c r="CF795" s="69"/>
      <c r="CG795" s="69"/>
      <c r="CH795" s="69"/>
      <c r="CI795" s="69"/>
      <c r="CJ795" s="69"/>
      <c r="CK795" s="69"/>
      <c r="CL795" s="69"/>
      <c r="CM795" s="69"/>
      <c r="CN795" s="69"/>
      <c r="CO795" s="69"/>
      <c r="CP795" s="69"/>
      <c r="CQ795" s="69"/>
      <c r="CR795" s="69"/>
      <c r="CS795" s="69"/>
      <c r="CT795" s="69"/>
      <c r="CU795" s="69"/>
      <c r="CV795" s="69"/>
      <c r="CW795" s="69"/>
      <c r="CX795" s="69"/>
      <c r="CY795" s="69"/>
      <c r="CZ795" s="69"/>
      <c r="DA795" s="69"/>
      <c r="DB795" s="69"/>
      <c r="DC795" s="69"/>
      <c r="DD795" s="69"/>
      <c r="DE795" s="69"/>
      <c r="DF795" s="69"/>
      <c r="DG795" s="69"/>
      <c r="DH795" s="69"/>
      <c r="DI795" s="69"/>
      <c r="DJ795" s="69"/>
      <c r="DK795" s="69"/>
      <c r="DL795" s="69"/>
    </row>
    <row r="796" spans="1:116" ht="13" x14ac:dyDescent="0.3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202"/>
      <c r="V796" s="69"/>
      <c r="W796" s="69"/>
      <c r="X796" s="69"/>
      <c r="Y796" s="69"/>
      <c r="Z796" s="69"/>
      <c r="AA796" s="69"/>
      <c r="AB796" s="203"/>
      <c r="AC796" s="69"/>
      <c r="AD796" s="69"/>
      <c r="AE796" s="203"/>
      <c r="AF796" s="69"/>
      <c r="AG796" s="69"/>
      <c r="AH796" s="69"/>
      <c r="AI796" s="69"/>
      <c r="AJ796" s="69"/>
      <c r="AK796" s="69"/>
      <c r="AL796" s="69"/>
      <c r="AM796" s="69"/>
      <c r="AN796" s="69"/>
      <c r="AO796" s="69"/>
      <c r="AP796" s="69"/>
      <c r="AQ796" s="69"/>
      <c r="AR796" s="69"/>
      <c r="AS796" s="69"/>
      <c r="AT796" s="69"/>
      <c r="AU796" s="69"/>
      <c r="AV796" s="69"/>
      <c r="AW796" s="69"/>
      <c r="AX796" s="69"/>
      <c r="AY796" s="69"/>
      <c r="AZ796" s="69"/>
      <c r="BA796" s="69"/>
      <c r="BB796" s="69"/>
      <c r="BC796" s="69"/>
      <c r="BD796" s="69"/>
      <c r="BE796" s="69"/>
      <c r="BF796" s="69"/>
      <c r="BG796" s="69"/>
      <c r="BH796" s="69"/>
      <c r="BI796" s="69"/>
      <c r="BJ796" s="69"/>
      <c r="BK796" s="69"/>
      <c r="BL796" s="69"/>
      <c r="BM796" s="69"/>
      <c r="BN796" s="69"/>
      <c r="BO796" s="69"/>
      <c r="BP796" s="69"/>
      <c r="BQ796" s="69"/>
      <c r="BR796" s="69"/>
      <c r="BS796" s="69"/>
      <c r="BT796" s="69"/>
      <c r="BU796" s="69"/>
      <c r="BV796" s="69"/>
      <c r="BW796" s="69"/>
      <c r="BX796" s="69"/>
      <c r="BY796" s="69"/>
      <c r="BZ796" s="69"/>
      <c r="CA796" s="69"/>
      <c r="CB796" s="69"/>
      <c r="CC796" s="69"/>
      <c r="CD796" s="69"/>
      <c r="CE796" s="69"/>
      <c r="CF796" s="69"/>
      <c r="CG796" s="69"/>
      <c r="CH796" s="69"/>
      <c r="CI796" s="69"/>
      <c r="CJ796" s="69"/>
      <c r="CK796" s="69"/>
      <c r="CL796" s="69"/>
      <c r="CM796" s="69"/>
      <c r="CN796" s="69"/>
      <c r="CO796" s="69"/>
      <c r="CP796" s="69"/>
      <c r="CQ796" s="69"/>
      <c r="CR796" s="69"/>
      <c r="CS796" s="69"/>
      <c r="CT796" s="69"/>
      <c r="CU796" s="69"/>
      <c r="CV796" s="69"/>
      <c r="CW796" s="69"/>
      <c r="CX796" s="69"/>
      <c r="CY796" s="69"/>
      <c r="CZ796" s="69"/>
      <c r="DA796" s="69"/>
      <c r="DB796" s="69"/>
      <c r="DC796" s="69"/>
      <c r="DD796" s="69"/>
      <c r="DE796" s="69"/>
      <c r="DF796" s="69"/>
      <c r="DG796" s="69"/>
      <c r="DH796" s="69"/>
      <c r="DI796" s="69"/>
      <c r="DJ796" s="69"/>
      <c r="DK796" s="69"/>
      <c r="DL796" s="69"/>
    </row>
    <row r="797" spans="1:116" ht="13" x14ac:dyDescent="0.3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202"/>
      <c r="V797" s="69"/>
      <c r="W797" s="69"/>
      <c r="X797" s="69"/>
      <c r="Y797" s="69"/>
      <c r="Z797" s="69"/>
      <c r="AA797" s="69"/>
      <c r="AB797" s="203"/>
      <c r="AC797" s="69"/>
      <c r="AD797" s="69"/>
      <c r="AE797" s="203"/>
      <c r="AF797" s="69"/>
      <c r="AG797" s="69"/>
      <c r="AH797" s="69"/>
      <c r="AI797" s="69"/>
      <c r="AJ797" s="69"/>
      <c r="AK797" s="69"/>
      <c r="AL797" s="69"/>
      <c r="AM797" s="69"/>
      <c r="AN797" s="69"/>
      <c r="AO797" s="69"/>
      <c r="AP797" s="69"/>
      <c r="AQ797" s="69"/>
      <c r="AR797" s="69"/>
      <c r="AS797" s="69"/>
      <c r="AT797" s="69"/>
      <c r="AU797" s="69"/>
      <c r="AV797" s="69"/>
      <c r="AW797" s="69"/>
      <c r="AX797" s="69"/>
      <c r="AY797" s="69"/>
      <c r="AZ797" s="69"/>
      <c r="BA797" s="69"/>
      <c r="BB797" s="69"/>
      <c r="BC797" s="69"/>
      <c r="BD797" s="69"/>
      <c r="BE797" s="69"/>
      <c r="BF797" s="69"/>
      <c r="BG797" s="69"/>
      <c r="BH797" s="69"/>
      <c r="BI797" s="69"/>
      <c r="BJ797" s="69"/>
      <c r="BK797" s="69"/>
      <c r="BL797" s="69"/>
      <c r="BM797" s="69"/>
      <c r="BN797" s="69"/>
      <c r="BO797" s="69"/>
      <c r="BP797" s="69"/>
      <c r="BQ797" s="69"/>
      <c r="BR797" s="69"/>
      <c r="BS797" s="69"/>
      <c r="BT797" s="69"/>
      <c r="BU797" s="69"/>
      <c r="BV797" s="69"/>
      <c r="BW797" s="69"/>
      <c r="BX797" s="69"/>
      <c r="BY797" s="69"/>
      <c r="BZ797" s="69"/>
      <c r="CA797" s="69"/>
      <c r="CB797" s="69"/>
      <c r="CC797" s="69"/>
      <c r="CD797" s="69"/>
      <c r="CE797" s="69"/>
      <c r="CF797" s="69"/>
      <c r="CG797" s="69"/>
      <c r="CH797" s="69"/>
      <c r="CI797" s="69"/>
      <c r="CJ797" s="69"/>
      <c r="CK797" s="69"/>
      <c r="CL797" s="69"/>
      <c r="CM797" s="69"/>
      <c r="CN797" s="69"/>
      <c r="CO797" s="69"/>
      <c r="CP797" s="69"/>
      <c r="CQ797" s="69"/>
      <c r="CR797" s="69"/>
      <c r="CS797" s="69"/>
      <c r="CT797" s="69"/>
      <c r="CU797" s="69"/>
      <c r="CV797" s="69"/>
      <c r="CW797" s="69"/>
      <c r="CX797" s="69"/>
      <c r="CY797" s="69"/>
      <c r="CZ797" s="69"/>
      <c r="DA797" s="69"/>
      <c r="DB797" s="69"/>
      <c r="DC797" s="69"/>
      <c r="DD797" s="69"/>
      <c r="DE797" s="69"/>
      <c r="DF797" s="69"/>
      <c r="DG797" s="69"/>
      <c r="DH797" s="69"/>
      <c r="DI797" s="69"/>
      <c r="DJ797" s="69"/>
      <c r="DK797" s="69"/>
      <c r="DL797" s="69"/>
    </row>
    <row r="798" spans="1:116" ht="13" x14ac:dyDescent="0.3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202"/>
      <c r="V798" s="69"/>
      <c r="W798" s="69"/>
      <c r="X798" s="69"/>
      <c r="Y798" s="69"/>
      <c r="Z798" s="69"/>
      <c r="AA798" s="69"/>
      <c r="AB798" s="203"/>
      <c r="AC798" s="69"/>
      <c r="AD798" s="69"/>
      <c r="AE798" s="203"/>
      <c r="AF798" s="69"/>
      <c r="AG798" s="69"/>
      <c r="AH798" s="69"/>
      <c r="AI798" s="69"/>
      <c r="AJ798" s="69"/>
      <c r="AK798" s="69"/>
      <c r="AL798" s="69"/>
      <c r="AM798" s="69"/>
      <c r="AN798" s="69"/>
      <c r="AO798" s="69"/>
      <c r="AP798" s="69"/>
      <c r="AQ798" s="69"/>
      <c r="AR798" s="69"/>
      <c r="AS798" s="69"/>
      <c r="AT798" s="69"/>
      <c r="AU798" s="69"/>
      <c r="AV798" s="69"/>
      <c r="AW798" s="69"/>
      <c r="AX798" s="69"/>
      <c r="AY798" s="69"/>
      <c r="AZ798" s="69"/>
      <c r="BA798" s="69"/>
      <c r="BB798" s="69"/>
      <c r="BC798" s="69"/>
      <c r="BD798" s="69"/>
      <c r="BE798" s="69"/>
      <c r="BF798" s="69"/>
      <c r="BG798" s="69"/>
      <c r="BH798" s="69"/>
      <c r="BI798" s="69"/>
      <c r="BJ798" s="69"/>
      <c r="BK798" s="69"/>
      <c r="BL798" s="69"/>
      <c r="BM798" s="69"/>
      <c r="BN798" s="69"/>
      <c r="BO798" s="69"/>
      <c r="BP798" s="69"/>
      <c r="BQ798" s="69"/>
      <c r="BR798" s="69"/>
      <c r="BS798" s="69"/>
      <c r="BT798" s="69"/>
      <c r="BU798" s="69"/>
      <c r="BV798" s="69"/>
      <c r="BW798" s="69"/>
      <c r="BX798" s="69"/>
      <c r="BY798" s="69"/>
      <c r="BZ798" s="69"/>
      <c r="CA798" s="69"/>
      <c r="CB798" s="69"/>
      <c r="CC798" s="69"/>
      <c r="CD798" s="69"/>
      <c r="CE798" s="69"/>
      <c r="CF798" s="69"/>
      <c r="CG798" s="69"/>
      <c r="CH798" s="69"/>
      <c r="CI798" s="69"/>
      <c r="CJ798" s="69"/>
      <c r="CK798" s="69"/>
      <c r="CL798" s="69"/>
      <c r="CM798" s="69"/>
      <c r="CN798" s="69"/>
      <c r="CO798" s="69"/>
      <c r="CP798" s="69"/>
      <c r="CQ798" s="69"/>
      <c r="CR798" s="69"/>
      <c r="CS798" s="69"/>
      <c r="CT798" s="69"/>
      <c r="CU798" s="69"/>
      <c r="CV798" s="69"/>
      <c r="CW798" s="69"/>
      <c r="CX798" s="69"/>
      <c r="CY798" s="69"/>
      <c r="CZ798" s="69"/>
      <c r="DA798" s="69"/>
      <c r="DB798" s="69"/>
      <c r="DC798" s="69"/>
      <c r="DD798" s="69"/>
      <c r="DE798" s="69"/>
      <c r="DF798" s="69"/>
      <c r="DG798" s="69"/>
      <c r="DH798" s="69"/>
      <c r="DI798" s="69"/>
      <c r="DJ798" s="69"/>
      <c r="DK798" s="69"/>
      <c r="DL798" s="69"/>
    </row>
    <row r="799" spans="1:116" ht="13" x14ac:dyDescent="0.3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202"/>
      <c r="V799" s="69"/>
      <c r="W799" s="69"/>
      <c r="X799" s="69"/>
      <c r="Y799" s="69"/>
      <c r="Z799" s="69"/>
      <c r="AA799" s="69"/>
      <c r="AB799" s="203"/>
      <c r="AC799" s="69"/>
      <c r="AD799" s="69"/>
      <c r="AE799" s="203"/>
      <c r="AF799" s="69"/>
      <c r="AG799" s="69"/>
      <c r="AH799" s="69"/>
      <c r="AI799" s="69"/>
      <c r="AJ799" s="69"/>
      <c r="AK799" s="69"/>
      <c r="AL799" s="69"/>
      <c r="AM799" s="69"/>
      <c r="AN799" s="69"/>
      <c r="AO799" s="69"/>
      <c r="AP799" s="69"/>
      <c r="AQ799" s="69"/>
      <c r="AR799" s="69"/>
      <c r="AS799" s="69"/>
      <c r="AT799" s="69"/>
      <c r="AU799" s="69"/>
      <c r="AV799" s="69"/>
      <c r="AW799" s="69"/>
      <c r="AX799" s="69"/>
      <c r="AY799" s="69"/>
      <c r="AZ799" s="69"/>
      <c r="BA799" s="69"/>
      <c r="BB799" s="69"/>
      <c r="BC799" s="69"/>
      <c r="BD799" s="69"/>
      <c r="BE799" s="69"/>
      <c r="BF799" s="69"/>
      <c r="BG799" s="69"/>
      <c r="BH799" s="69"/>
      <c r="BI799" s="69"/>
      <c r="BJ799" s="69"/>
      <c r="BK799" s="69"/>
      <c r="BL799" s="69"/>
      <c r="BM799" s="69"/>
      <c r="BN799" s="69"/>
      <c r="BO799" s="69"/>
      <c r="BP799" s="69"/>
      <c r="BQ799" s="69"/>
      <c r="BR799" s="69"/>
      <c r="BS799" s="69"/>
      <c r="BT799" s="69"/>
      <c r="BU799" s="69"/>
      <c r="BV799" s="69"/>
      <c r="BW799" s="69"/>
      <c r="BX799" s="69"/>
      <c r="BY799" s="69"/>
      <c r="BZ799" s="69"/>
      <c r="CA799" s="69"/>
      <c r="CB799" s="69"/>
      <c r="CC799" s="69"/>
      <c r="CD799" s="69"/>
      <c r="CE799" s="69"/>
      <c r="CF799" s="69"/>
      <c r="CG799" s="69"/>
      <c r="CH799" s="69"/>
      <c r="CI799" s="69"/>
      <c r="CJ799" s="69"/>
      <c r="CK799" s="69"/>
      <c r="CL799" s="69"/>
      <c r="CM799" s="69"/>
      <c r="CN799" s="69"/>
      <c r="CO799" s="69"/>
      <c r="CP799" s="69"/>
      <c r="CQ799" s="69"/>
      <c r="CR799" s="69"/>
      <c r="CS799" s="69"/>
      <c r="CT799" s="69"/>
      <c r="CU799" s="69"/>
      <c r="CV799" s="69"/>
      <c r="CW799" s="69"/>
      <c r="CX799" s="69"/>
      <c r="CY799" s="69"/>
      <c r="CZ799" s="69"/>
      <c r="DA799" s="69"/>
      <c r="DB799" s="69"/>
      <c r="DC799" s="69"/>
      <c r="DD799" s="69"/>
      <c r="DE799" s="69"/>
      <c r="DF799" s="69"/>
      <c r="DG799" s="69"/>
      <c r="DH799" s="69"/>
      <c r="DI799" s="69"/>
      <c r="DJ799" s="69"/>
      <c r="DK799" s="69"/>
      <c r="DL799" s="69"/>
    </row>
    <row r="800" spans="1:116" ht="13" x14ac:dyDescent="0.3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202"/>
      <c r="V800" s="69"/>
      <c r="W800" s="69"/>
      <c r="X800" s="69"/>
      <c r="Y800" s="69"/>
      <c r="Z800" s="69"/>
      <c r="AA800" s="69"/>
      <c r="AB800" s="203"/>
      <c r="AC800" s="69"/>
      <c r="AD800" s="69"/>
      <c r="AE800" s="203"/>
      <c r="AF800" s="69"/>
      <c r="AG800" s="69"/>
      <c r="AH800" s="69"/>
      <c r="AI800" s="69"/>
      <c r="AJ800" s="69"/>
      <c r="AK800" s="69"/>
      <c r="AL800" s="69"/>
      <c r="AM800" s="69"/>
      <c r="AN800" s="69"/>
      <c r="AO800" s="69"/>
      <c r="AP800" s="69"/>
      <c r="AQ800" s="69"/>
      <c r="AR800" s="69"/>
      <c r="AS800" s="69"/>
      <c r="AT800" s="69"/>
      <c r="AU800" s="69"/>
      <c r="AV800" s="69"/>
      <c r="AW800" s="69"/>
      <c r="AX800" s="69"/>
      <c r="AY800" s="69"/>
      <c r="AZ800" s="69"/>
      <c r="BA800" s="69"/>
      <c r="BB800" s="69"/>
      <c r="BC800" s="69"/>
      <c r="BD800" s="69"/>
      <c r="BE800" s="69"/>
      <c r="BF800" s="69"/>
      <c r="BG800" s="69"/>
      <c r="BH800" s="69"/>
      <c r="BI800" s="69"/>
      <c r="BJ800" s="69"/>
      <c r="BK800" s="69"/>
      <c r="BL800" s="69"/>
      <c r="BM800" s="69"/>
      <c r="BN800" s="69"/>
      <c r="BO800" s="69"/>
      <c r="BP800" s="69"/>
      <c r="BQ800" s="69"/>
      <c r="BR800" s="69"/>
      <c r="BS800" s="69"/>
      <c r="BT800" s="69"/>
      <c r="BU800" s="69"/>
      <c r="BV800" s="69"/>
      <c r="BW800" s="69"/>
      <c r="BX800" s="69"/>
      <c r="BY800" s="69"/>
      <c r="BZ800" s="69"/>
      <c r="CA800" s="69"/>
      <c r="CB800" s="69"/>
      <c r="CC800" s="69"/>
      <c r="CD800" s="69"/>
      <c r="CE800" s="69"/>
      <c r="CF800" s="69"/>
      <c r="CG800" s="69"/>
      <c r="CH800" s="69"/>
      <c r="CI800" s="69"/>
      <c r="CJ800" s="69"/>
      <c r="CK800" s="69"/>
      <c r="CL800" s="69"/>
      <c r="CM800" s="69"/>
      <c r="CN800" s="69"/>
      <c r="CO800" s="69"/>
      <c r="CP800" s="69"/>
      <c r="CQ800" s="69"/>
      <c r="CR800" s="69"/>
      <c r="CS800" s="69"/>
      <c r="CT800" s="69"/>
      <c r="CU800" s="69"/>
      <c r="CV800" s="69"/>
      <c r="CW800" s="69"/>
      <c r="CX800" s="69"/>
      <c r="CY800" s="69"/>
      <c r="CZ800" s="69"/>
      <c r="DA800" s="69"/>
      <c r="DB800" s="69"/>
      <c r="DC800" s="69"/>
      <c r="DD800" s="69"/>
      <c r="DE800" s="69"/>
      <c r="DF800" s="69"/>
      <c r="DG800" s="69"/>
      <c r="DH800" s="69"/>
      <c r="DI800" s="69"/>
      <c r="DJ800" s="69"/>
      <c r="DK800" s="69"/>
      <c r="DL800" s="69"/>
    </row>
    <row r="801" spans="1:116" ht="13" x14ac:dyDescent="0.3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202"/>
      <c r="V801" s="69"/>
      <c r="W801" s="69"/>
      <c r="X801" s="69"/>
      <c r="Y801" s="69"/>
      <c r="Z801" s="69"/>
      <c r="AA801" s="69"/>
      <c r="AB801" s="203"/>
      <c r="AC801" s="69"/>
      <c r="AD801" s="69"/>
      <c r="AE801" s="203"/>
      <c r="AF801" s="69"/>
      <c r="AG801" s="69"/>
      <c r="AH801" s="69"/>
      <c r="AI801" s="69"/>
      <c r="AJ801" s="69"/>
      <c r="AK801" s="69"/>
      <c r="AL801" s="69"/>
      <c r="AM801" s="69"/>
      <c r="AN801" s="69"/>
      <c r="AO801" s="69"/>
      <c r="AP801" s="69"/>
      <c r="AQ801" s="69"/>
      <c r="AR801" s="69"/>
      <c r="AS801" s="69"/>
      <c r="AT801" s="69"/>
      <c r="AU801" s="69"/>
      <c r="AV801" s="69"/>
      <c r="AW801" s="69"/>
      <c r="AX801" s="69"/>
      <c r="AY801" s="69"/>
      <c r="AZ801" s="69"/>
      <c r="BA801" s="69"/>
      <c r="BB801" s="69"/>
      <c r="BC801" s="69"/>
      <c r="BD801" s="69"/>
      <c r="BE801" s="69"/>
      <c r="BF801" s="69"/>
      <c r="BG801" s="69"/>
      <c r="BH801" s="69"/>
      <c r="BI801" s="69"/>
      <c r="BJ801" s="69"/>
      <c r="BK801" s="69"/>
      <c r="BL801" s="69"/>
      <c r="BM801" s="69"/>
      <c r="BN801" s="69"/>
      <c r="BO801" s="69"/>
      <c r="BP801" s="69"/>
      <c r="BQ801" s="69"/>
      <c r="BR801" s="69"/>
      <c r="BS801" s="69"/>
      <c r="BT801" s="69"/>
      <c r="BU801" s="69"/>
      <c r="BV801" s="69"/>
      <c r="BW801" s="69"/>
      <c r="BX801" s="69"/>
      <c r="BY801" s="69"/>
      <c r="BZ801" s="69"/>
      <c r="CA801" s="69"/>
      <c r="CB801" s="69"/>
      <c r="CC801" s="69"/>
      <c r="CD801" s="69"/>
      <c r="CE801" s="69"/>
      <c r="CF801" s="69"/>
      <c r="CG801" s="69"/>
      <c r="CH801" s="69"/>
      <c r="CI801" s="69"/>
      <c r="CJ801" s="69"/>
      <c r="CK801" s="69"/>
      <c r="CL801" s="69"/>
      <c r="CM801" s="69"/>
      <c r="CN801" s="69"/>
      <c r="CO801" s="69"/>
      <c r="CP801" s="69"/>
      <c r="CQ801" s="69"/>
      <c r="CR801" s="69"/>
      <c r="CS801" s="69"/>
      <c r="CT801" s="69"/>
      <c r="CU801" s="69"/>
      <c r="CV801" s="69"/>
      <c r="CW801" s="69"/>
      <c r="CX801" s="69"/>
      <c r="CY801" s="69"/>
      <c r="CZ801" s="69"/>
      <c r="DA801" s="69"/>
      <c r="DB801" s="69"/>
      <c r="DC801" s="69"/>
      <c r="DD801" s="69"/>
      <c r="DE801" s="69"/>
      <c r="DF801" s="69"/>
      <c r="DG801" s="69"/>
      <c r="DH801" s="69"/>
      <c r="DI801" s="69"/>
      <c r="DJ801" s="69"/>
      <c r="DK801" s="69"/>
      <c r="DL801" s="69"/>
    </row>
    <row r="802" spans="1:116" ht="13" x14ac:dyDescent="0.3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202"/>
      <c r="V802" s="69"/>
      <c r="W802" s="69"/>
      <c r="X802" s="69"/>
      <c r="Y802" s="69"/>
      <c r="Z802" s="69"/>
      <c r="AA802" s="69"/>
      <c r="AB802" s="203"/>
      <c r="AC802" s="69"/>
      <c r="AD802" s="69"/>
      <c r="AE802" s="203"/>
      <c r="AF802" s="69"/>
      <c r="AG802" s="69"/>
      <c r="AH802" s="69"/>
      <c r="AI802" s="69"/>
      <c r="AJ802" s="69"/>
      <c r="AK802" s="69"/>
      <c r="AL802" s="69"/>
      <c r="AM802" s="69"/>
      <c r="AN802" s="69"/>
      <c r="AO802" s="69"/>
      <c r="AP802" s="69"/>
      <c r="AQ802" s="69"/>
      <c r="AR802" s="69"/>
      <c r="AS802" s="69"/>
      <c r="AT802" s="69"/>
      <c r="AU802" s="69"/>
      <c r="AV802" s="69"/>
      <c r="AW802" s="69"/>
      <c r="AX802" s="69"/>
      <c r="AY802" s="69"/>
      <c r="AZ802" s="69"/>
      <c r="BA802" s="69"/>
      <c r="BB802" s="69"/>
      <c r="BC802" s="69"/>
      <c r="BD802" s="69"/>
      <c r="BE802" s="69"/>
      <c r="BF802" s="69"/>
      <c r="BG802" s="69"/>
      <c r="BH802" s="69"/>
      <c r="BI802" s="69"/>
      <c r="BJ802" s="69"/>
      <c r="BK802" s="69"/>
      <c r="BL802" s="69"/>
      <c r="BM802" s="69"/>
      <c r="BN802" s="69"/>
      <c r="BO802" s="69"/>
      <c r="BP802" s="69"/>
      <c r="BQ802" s="69"/>
      <c r="BR802" s="69"/>
      <c r="BS802" s="69"/>
      <c r="BT802" s="69"/>
      <c r="BU802" s="69"/>
      <c r="BV802" s="69"/>
      <c r="BW802" s="69"/>
      <c r="BX802" s="69"/>
      <c r="BY802" s="69"/>
      <c r="BZ802" s="69"/>
      <c r="CA802" s="69"/>
      <c r="CB802" s="69"/>
      <c r="CC802" s="69"/>
      <c r="CD802" s="69"/>
      <c r="CE802" s="69"/>
      <c r="CF802" s="69"/>
      <c r="CG802" s="69"/>
      <c r="CH802" s="69"/>
      <c r="CI802" s="69"/>
      <c r="CJ802" s="69"/>
      <c r="CK802" s="69"/>
      <c r="CL802" s="69"/>
      <c r="CM802" s="69"/>
      <c r="CN802" s="69"/>
      <c r="CO802" s="69"/>
      <c r="CP802" s="69"/>
      <c r="CQ802" s="69"/>
      <c r="CR802" s="69"/>
      <c r="CS802" s="69"/>
      <c r="CT802" s="69"/>
      <c r="CU802" s="69"/>
      <c r="CV802" s="69"/>
      <c r="CW802" s="69"/>
      <c r="CX802" s="69"/>
      <c r="CY802" s="69"/>
      <c r="CZ802" s="69"/>
      <c r="DA802" s="69"/>
      <c r="DB802" s="69"/>
      <c r="DC802" s="69"/>
      <c r="DD802" s="69"/>
      <c r="DE802" s="69"/>
      <c r="DF802" s="69"/>
      <c r="DG802" s="69"/>
      <c r="DH802" s="69"/>
      <c r="DI802" s="69"/>
      <c r="DJ802" s="69"/>
      <c r="DK802" s="69"/>
      <c r="DL802" s="69"/>
    </row>
    <row r="803" spans="1:116" ht="13" x14ac:dyDescent="0.3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202"/>
      <c r="V803" s="69"/>
      <c r="W803" s="69"/>
      <c r="X803" s="69"/>
      <c r="Y803" s="69"/>
      <c r="Z803" s="69"/>
      <c r="AA803" s="69"/>
      <c r="AB803" s="203"/>
      <c r="AC803" s="69"/>
      <c r="AD803" s="69"/>
      <c r="AE803" s="203"/>
      <c r="AF803" s="69"/>
      <c r="AG803" s="69"/>
      <c r="AH803" s="69"/>
      <c r="AI803" s="69"/>
      <c r="AJ803" s="69"/>
      <c r="AK803" s="69"/>
      <c r="AL803" s="69"/>
      <c r="AM803" s="69"/>
      <c r="AN803" s="69"/>
      <c r="AO803" s="69"/>
      <c r="AP803" s="69"/>
      <c r="AQ803" s="69"/>
      <c r="AR803" s="69"/>
      <c r="AS803" s="69"/>
      <c r="AT803" s="69"/>
      <c r="AU803" s="69"/>
      <c r="AV803" s="69"/>
      <c r="AW803" s="69"/>
      <c r="AX803" s="69"/>
      <c r="AY803" s="69"/>
      <c r="AZ803" s="69"/>
      <c r="BA803" s="69"/>
      <c r="BB803" s="69"/>
      <c r="BC803" s="69"/>
      <c r="BD803" s="69"/>
      <c r="BE803" s="69"/>
      <c r="BF803" s="69"/>
      <c r="BG803" s="69"/>
      <c r="BH803" s="69"/>
      <c r="BI803" s="69"/>
      <c r="BJ803" s="69"/>
      <c r="BK803" s="69"/>
      <c r="BL803" s="69"/>
      <c r="BM803" s="69"/>
      <c r="BN803" s="69"/>
      <c r="BO803" s="69"/>
      <c r="BP803" s="69"/>
      <c r="BQ803" s="69"/>
      <c r="BR803" s="69"/>
      <c r="BS803" s="69"/>
      <c r="BT803" s="69"/>
      <c r="BU803" s="69"/>
      <c r="BV803" s="69"/>
      <c r="BW803" s="69"/>
      <c r="BX803" s="69"/>
      <c r="BY803" s="69"/>
      <c r="BZ803" s="69"/>
      <c r="CA803" s="69"/>
      <c r="CB803" s="69"/>
      <c r="CC803" s="69"/>
      <c r="CD803" s="69"/>
      <c r="CE803" s="69"/>
      <c r="CF803" s="69"/>
      <c r="CG803" s="69"/>
      <c r="CH803" s="69"/>
      <c r="CI803" s="69"/>
      <c r="CJ803" s="69"/>
      <c r="CK803" s="69"/>
      <c r="CL803" s="69"/>
      <c r="CM803" s="69"/>
      <c r="CN803" s="69"/>
      <c r="CO803" s="69"/>
      <c r="CP803" s="69"/>
      <c r="CQ803" s="69"/>
      <c r="CR803" s="69"/>
      <c r="CS803" s="69"/>
      <c r="CT803" s="69"/>
      <c r="CU803" s="69"/>
      <c r="CV803" s="69"/>
      <c r="CW803" s="69"/>
      <c r="CX803" s="69"/>
      <c r="CY803" s="69"/>
      <c r="CZ803" s="69"/>
      <c r="DA803" s="69"/>
      <c r="DB803" s="69"/>
      <c r="DC803" s="69"/>
      <c r="DD803" s="69"/>
      <c r="DE803" s="69"/>
      <c r="DF803" s="69"/>
      <c r="DG803" s="69"/>
      <c r="DH803" s="69"/>
      <c r="DI803" s="69"/>
      <c r="DJ803" s="69"/>
      <c r="DK803" s="69"/>
      <c r="DL803" s="69"/>
    </row>
    <row r="804" spans="1:116" ht="13" x14ac:dyDescent="0.3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202"/>
      <c r="V804" s="69"/>
      <c r="W804" s="69"/>
      <c r="X804" s="69"/>
      <c r="Y804" s="69"/>
      <c r="Z804" s="69"/>
      <c r="AA804" s="69"/>
      <c r="AB804" s="203"/>
      <c r="AC804" s="69"/>
      <c r="AD804" s="69"/>
      <c r="AE804" s="203"/>
      <c r="AF804" s="69"/>
      <c r="AG804" s="69"/>
      <c r="AH804" s="69"/>
      <c r="AI804" s="69"/>
      <c r="AJ804" s="69"/>
      <c r="AK804" s="69"/>
      <c r="AL804" s="69"/>
      <c r="AM804" s="69"/>
      <c r="AN804" s="69"/>
      <c r="AO804" s="69"/>
      <c r="AP804" s="69"/>
      <c r="AQ804" s="69"/>
      <c r="AR804" s="69"/>
      <c r="AS804" s="69"/>
      <c r="AT804" s="69"/>
      <c r="AU804" s="69"/>
      <c r="AV804" s="69"/>
      <c r="AW804" s="69"/>
      <c r="AX804" s="69"/>
      <c r="AY804" s="69"/>
      <c r="AZ804" s="69"/>
      <c r="BA804" s="69"/>
      <c r="BB804" s="69"/>
      <c r="BC804" s="69"/>
      <c r="BD804" s="69"/>
      <c r="BE804" s="69"/>
      <c r="BF804" s="69"/>
      <c r="BG804" s="69"/>
      <c r="BH804" s="69"/>
      <c r="BI804" s="69"/>
      <c r="BJ804" s="69"/>
      <c r="BK804" s="69"/>
      <c r="BL804" s="69"/>
      <c r="BM804" s="69"/>
      <c r="BN804" s="69"/>
      <c r="BO804" s="69"/>
      <c r="BP804" s="69"/>
      <c r="BQ804" s="69"/>
      <c r="BR804" s="69"/>
      <c r="BS804" s="69"/>
      <c r="BT804" s="69"/>
      <c r="BU804" s="69"/>
      <c r="BV804" s="69"/>
      <c r="BW804" s="69"/>
      <c r="BX804" s="69"/>
      <c r="BY804" s="69"/>
      <c r="BZ804" s="69"/>
      <c r="CA804" s="69"/>
      <c r="CB804" s="69"/>
      <c r="CC804" s="69"/>
      <c r="CD804" s="69"/>
      <c r="CE804" s="69"/>
      <c r="CF804" s="69"/>
      <c r="CG804" s="69"/>
      <c r="CH804" s="69"/>
      <c r="CI804" s="69"/>
      <c r="CJ804" s="69"/>
      <c r="CK804" s="69"/>
      <c r="CL804" s="69"/>
      <c r="CM804" s="69"/>
      <c r="CN804" s="69"/>
      <c r="CO804" s="69"/>
      <c r="CP804" s="69"/>
      <c r="CQ804" s="69"/>
      <c r="CR804" s="69"/>
      <c r="CS804" s="69"/>
      <c r="CT804" s="69"/>
      <c r="CU804" s="69"/>
      <c r="CV804" s="69"/>
      <c r="CW804" s="69"/>
      <c r="CX804" s="69"/>
      <c r="CY804" s="69"/>
      <c r="CZ804" s="69"/>
      <c r="DA804" s="69"/>
      <c r="DB804" s="69"/>
      <c r="DC804" s="69"/>
      <c r="DD804" s="69"/>
      <c r="DE804" s="69"/>
      <c r="DF804" s="69"/>
      <c r="DG804" s="69"/>
      <c r="DH804" s="69"/>
      <c r="DI804" s="69"/>
      <c r="DJ804" s="69"/>
      <c r="DK804" s="69"/>
      <c r="DL804" s="69"/>
    </row>
    <row r="805" spans="1:116" ht="13" x14ac:dyDescent="0.3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202"/>
      <c r="V805" s="69"/>
      <c r="W805" s="69"/>
      <c r="X805" s="69"/>
      <c r="Y805" s="69"/>
      <c r="Z805" s="69"/>
      <c r="AA805" s="69"/>
      <c r="AB805" s="203"/>
      <c r="AC805" s="69"/>
      <c r="AD805" s="69"/>
      <c r="AE805" s="203"/>
      <c r="AF805" s="69"/>
      <c r="AG805" s="69"/>
      <c r="AH805" s="69"/>
      <c r="AI805" s="69"/>
      <c r="AJ805" s="69"/>
      <c r="AK805" s="69"/>
      <c r="AL805" s="69"/>
      <c r="AM805" s="69"/>
      <c r="AN805" s="69"/>
      <c r="AO805" s="69"/>
      <c r="AP805" s="69"/>
      <c r="AQ805" s="69"/>
      <c r="AR805" s="69"/>
      <c r="AS805" s="69"/>
      <c r="AT805" s="69"/>
      <c r="AU805" s="69"/>
      <c r="AV805" s="69"/>
      <c r="AW805" s="69"/>
      <c r="AX805" s="69"/>
      <c r="AY805" s="69"/>
      <c r="AZ805" s="69"/>
      <c r="BA805" s="69"/>
      <c r="BB805" s="69"/>
      <c r="BC805" s="69"/>
      <c r="BD805" s="69"/>
      <c r="BE805" s="69"/>
      <c r="BF805" s="69"/>
      <c r="BG805" s="69"/>
      <c r="BH805" s="69"/>
      <c r="BI805" s="69"/>
      <c r="BJ805" s="69"/>
      <c r="BK805" s="69"/>
      <c r="BL805" s="69"/>
      <c r="BM805" s="69"/>
      <c r="BN805" s="69"/>
      <c r="BO805" s="69"/>
      <c r="BP805" s="69"/>
      <c r="BQ805" s="69"/>
      <c r="BR805" s="69"/>
      <c r="BS805" s="69"/>
      <c r="BT805" s="69"/>
      <c r="BU805" s="69"/>
      <c r="BV805" s="69"/>
      <c r="BW805" s="69"/>
      <c r="BX805" s="69"/>
      <c r="BY805" s="69"/>
      <c r="BZ805" s="69"/>
      <c r="CA805" s="69"/>
      <c r="CB805" s="69"/>
      <c r="CC805" s="69"/>
      <c r="CD805" s="69"/>
      <c r="CE805" s="69"/>
      <c r="CF805" s="69"/>
      <c r="CG805" s="69"/>
      <c r="CH805" s="69"/>
      <c r="CI805" s="69"/>
      <c r="CJ805" s="69"/>
      <c r="CK805" s="69"/>
      <c r="CL805" s="69"/>
      <c r="CM805" s="69"/>
      <c r="CN805" s="69"/>
      <c r="CO805" s="69"/>
      <c r="CP805" s="69"/>
      <c r="CQ805" s="69"/>
      <c r="CR805" s="69"/>
      <c r="CS805" s="69"/>
      <c r="CT805" s="69"/>
      <c r="CU805" s="69"/>
      <c r="CV805" s="69"/>
      <c r="CW805" s="69"/>
      <c r="CX805" s="69"/>
      <c r="CY805" s="69"/>
      <c r="CZ805" s="69"/>
      <c r="DA805" s="69"/>
      <c r="DB805" s="69"/>
      <c r="DC805" s="69"/>
      <c r="DD805" s="69"/>
      <c r="DE805" s="69"/>
      <c r="DF805" s="69"/>
      <c r="DG805" s="69"/>
      <c r="DH805" s="69"/>
      <c r="DI805" s="69"/>
      <c r="DJ805" s="69"/>
      <c r="DK805" s="69"/>
      <c r="DL805" s="69"/>
    </row>
    <row r="806" spans="1:116" ht="13" x14ac:dyDescent="0.3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202"/>
      <c r="V806" s="69"/>
      <c r="W806" s="69"/>
      <c r="X806" s="69"/>
      <c r="Y806" s="69"/>
      <c r="Z806" s="69"/>
      <c r="AA806" s="69"/>
      <c r="AB806" s="203"/>
      <c r="AC806" s="69"/>
      <c r="AD806" s="69"/>
      <c r="AE806" s="203"/>
      <c r="AF806" s="69"/>
      <c r="AG806" s="69"/>
      <c r="AH806" s="69"/>
      <c r="AI806" s="69"/>
      <c r="AJ806" s="69"/>
      <c r="AK806" s="69"/>
      <c r="AL806" s="69"/>
      <c r="AM806" s="69"/>
      <c r="AN806" s="69"/>
      <c r="AO806" s="69"/>
      <c r="AP806" s="69"/>
      <c r="AQ806" s="69"/>
      <c r="AR806" s="69"/>
      <c r="AS806" s="69"/>
      <c r="AT806" s="69"/>
      <c r="AU806" s="69"/>
      <c r="AV806" s="69"/>
      <c r="AW806" s="69"/>
      <c r="AX806" s="69"/>
      <c r="AY806" s="69"/>
      <c r="AZ806" s="69"/>
      <c r="BA806" s="69"/>
      <c r="BB806" s="69"/>
      <c r="BC806" s="69"/>
      <c r="BD806" s="69"/>
      <c r="BE806" s="69"/>
      <c r="BF806" s="69"/>
      <c r="BG806" s="69"/>
      <c r="BH806" s="69"/>
      <c r="BI806" s="69"/>
      <c r="BJ806" s="69"/>
      <c r="BK806" s="69"/>
      <c r="BL806" s="69"/>
      <c r="BM806" s="69"/>
      <c r="BN806" s="69"/>
      <c r="BO806" s="69"/>
      <c r="BP806" s="69"/>
      <c r="BQ806" s="69"/>
      <c r="BR806" s="69"/>
      <c r="BS806" s="69"/>
      <c r="BT806" s="69"/>
      <c r="BU806" s="69"/>
      <c r="BV806" s="69"/>
      <c r="BW806" s="69"/>
      <c r="BX806" s="69"/>
      <c r="BY806" s="69"/>
      <c r="BZ806" s="69"/>
      <c r="CA806" s="69"/>
      <c r="CB806" s="69"/>
      <c r="CC806" s="69"/>
      <c r="CD806" s="69"/>
      <c r="CE806" s="69"/>
      <c r="CF806" s="69"/>
      <c r="CG806" s="69"/>
      <c r="CH806" s="69"/>
      <c r="CI806" s="69"/>
      <c r="CJ806" s="69"/>
      <c r="CK806" s="69"/>
      <c r="CL806" s="69"/>
      <c r="CM806" s="69"/>
      <c r="CN806" s="69"/>
      <c r="CO806" s="69"/>
      <c r="CP806" s="69"/>
      <c r="CQ806" s="69"/>
      <c r="CR806" s="69"/>
      <c r="CS806" s="69"/>
      <c r="CT806" s="69"/>
      <c r="CU806" s="69"/>
      <c r="CV806" s="69"/>
      <c r="CW806" s="69"/>
      <c r="CX806" s="69"/>
      <c r="CY806" s="69"/>
      <c r="CZ806" s="69"/>
      <c r="DA806" s="69"/>
      <c r="DB806" s="69"/>
      <c r="DC806" s="69"/>
      <c r="DD806" s="69"/>
      <c r="DE806" s="69"/>
      <c r="DF806" s="69"/>
      <c r="DG806" s="69"/>
      <c r="DH806" s="69"/>
      <c r="DI806" s="69"/>
      <c r="DJ806" s="69"/>
      <c r="DK806" s="69"/>
      <c r="DL806" s="69"/>
    </row>
    <row r="807" spans="1:116" ht="13" x14ac:dyDescent="0.3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202"/>
      <c r="V807" s="69"/>
      <c r="W807" s="69"/>
      <c r="X807" s="69"/>
      <c r="Y807" s="69"/>
      <c r="Z807" s="69"/>
      <c r="AA807" s="69"/>
      <c r="AB807" s="203"/>
      <c r="AC807" s="69"/>
      <c r="AD807" s="69"/>
      <c r="AE807" s="203"/>
      <c r="AF807" s="69"/>
      <c r="AG807" s="69"/>
      <c r="AH807" s="69"/>
      <c r="AI807" s="69"/>
      <c r="AJ807" s="69"/>
      <c r="AK807" s="69"/>
      <c r="AL807" s="69"/>
      <c r="AM807" s="69"/>
      <c r="AN807" s="69"/>
      <c r="AO807" s="69"/>
      <c r="AP807" s="69"/>
      <c r="AQ807" s="69"/>
      <c r="AR807" s="69"/>
      <c r="AS807" s="69"/>
      <c r="AT807" s="69"/>
      <c r="AU807" s="69"/>
      <c r="AV807" s="69"/>
      <c r="AW807" s="69"/>
      <c r="AX807" s="69"/>
      <c r="AY807" s="69"/>
      <c r="AZ807" s="69"/>
      <c r="BA807" s="69"/>
      <c r="BB807" s="69"/>
      <c r="BC807" s="69"/>
      <c r="BD807" s="69"/>
      <c r="BE807" s="69"/>
      <c r="BF807" s="69"/>
      <c r="BG807" s="69"/>
      <c r="BH807" s="69"/>
      <c r="BI807" s="69"/>
      <c r="BJ807" s="69"/>
      <c r="BK807" s="69"/>
      <c r="BL807" s="69"/>
      <c r="BM807" s="69"/>
      <c r="BN807" s="69"/>
      <c r="BO807" s="69"/>
      <c r="BP807" s="69"/>
      <c r="BQ807" s="69"/>
      <c r="BR807" s="69"/>
      <c r="BS807" s="69"/>
      <c r="BT807" s="69"/>
      <c r="BU807" s="69"/>
      <c r="BV807" s="69"/>
      <c r="BW807" s="69"/>
      <c r="BX807" s="69"/>
      <c r="BY807" s="69"/>
      <c r="BZ807" s="69"/>
      <c r="CA807" s="69"/>
      <c r="CB807" s="69"/>
      <c r="CC807" s="69"/>
      <c r="CD807" s="69"/>
      <c r="CE807" s="69"/>
      <c r="CF807" s="69"/>
      <c r="CG807" s="69"/>
      <c r="CH807" s="69"/>
      <c r="CI807" s="69"/>
      <c r="CJ807" s="69"/>
      <c r="CK807" s="69"/>
      <c r="CL807" s="69"/>
      <c r="CM807" s="69"/>
      <c r="CN807" s="69"/>
      <c r="CO807" s="69"/>
      <c r="CP807" s="69"/>
      <c r="CQ807" s="69"/>
      <c r="CR807" s="69"/>
      <c r="CS807" s="69"/>
      <c r="CT807" s="69"/>
      <c r="CU807" s="69"/>
      <c r="CV807" s="69"/>
      <c r="CW807" s="69"/>
      <c r="CX807" s="69"/>
      <c r="CY807" s="69"/>
      <c r="CZ807" s="69"/>
      <c r="DA807" s="69"/>
      <c r="DB807" s="69"/>
      <c r="DC807" s="69"/>
      <c r="DD807" s="69"/>
      <c r="DE807" s="69"/>
      <c r="DF807" s="69"/>
      <c r="DG807" s="69"/>
      <c r="DH807" s="69"/>
      <c r="DI807" s="69"/>
      <c r="DJ807" s="69"/>
      <c r="DK807" s="69"/>
      <c r="DL807" s="69"/>
    </row>
    <row r="808" spans="1:116" ht="13" x14ac:dyDescent="0.3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202"/>
      <c r="V808" s="69"/>
      <c r="W808" s="69"/>
      <c r="X808" s="69"/>
      <c r="Y808" s="69"/>
      <c r="Z808" s="69"/>
      <c r="AA808" s="69"/>
      <c r="AB808" s="203"/>
      <c r="AC808" s="69"/>
      <c r="AD808" s="69"/>
      <c r="AE808" s="203"/>
      <c r="AF808" s="69"/>
      <c r="AG808" s="69"/>
      <c r="AH808" s="69"/>
      <c r="AI808" s="69"/>
      <c r="AJ808" s="69"/>
      <c r="AK808" s="69"/>
      <c r="AL808" s="69"/>
      <c r="AM808" s="69"/>
      <c r="AN808" s="69"/>
      <c r="AO808" s="69"/>
      <c r="AP808" s="69"/>
      <c r="AQ808" s="69"/>
      <c r="AR808" s="69"/>
      <c r="AS808" s="69"/>
      <c r="AT808" s="69"/>
      <c r="AU808" s="69"/>
      <c r="AV808" s="69"/>
      <c r="AW808" s="69"/>
      <c r="AX808" s="69"/>
      <c r="AY808" s="69"/>
      <c r="AZ808" s="69"/>
      <c r="BA808" s="69"/>
      <c r="BB808" s="69"/>
      <c r="BC808" s="69"/>
      <c r="BD808" s="69"/>
      <c r="BE808" s="69"/>
      <c r="BF808" s="69"/>
      <c r="BG808" s="69"/>
      <c r="BH808" s="69"/>
      <c r="BI808" s="69"/>
      <c r="BJ808" s="69"/>
      <c r="BK808" s="69"/>
      <c r="BL808" s="69"/>
      <c r="BM808" s="69"/>
      <c r="BN808" s="69"/>
      <c r="BO808" s="69"/>
      <c r="BP808" s="69"/>
      <c r="BQ808" s="69"/>
      <c r="BR808" s="69"/>
      <c r="BS808" s="69"/>
      <c r="BT808" s="69"/>
      <c r="BU808" s="69"/>
      <c r="BV808" s="69"/>
      <c r="BW808" s="69"/>
      <c r="BX808" s="69"/>
      <c r="BY808" s="69"/>
      <c r="BZ808" s="69"/>
      <c r="CA808" s="69"/>
      <c r="CB808" s="69"/>
      <c r="CC808" s="69"/>
      <c r="CD808" s="69"/>
      <c r="CE808" s="69"/>
      <c r="CF808" s="69"/>
      <c r="CG808" s="69"/>
      <c r="CH808" s="69"/>
      <c r="CI808" s="69"/>
      <c r="CJ808" s="69"/>
      <c r="CK808" s="69"/>
      <c r="CL808" s="69"/>
      <c r="CM808" s="69"/>
      <c r="CN808" s="69"/>
      <c r="CO808" s="69"/>
      <c r="CP808" s="69"/>
      <c r="CQ808" s="69"/>
      <c r="CR808" s="69"/>
      <c r="CS808" s="69"/>
      <c r="CT808" s="69"/>
      <c r="CU808" s="69"/>
      <c r="CV808" s="69"/>
      <c r="CW808" s="69"/>
      <c r="CX808" s="69"/>
      <c r="CY808" s="69"/>
      <c r="CZ808" s="69"/>
      <c r="DA808" s="69"/>
      <c r="DB808" s="69"/>
      <c r="DC808" s="69"/>
      <c r="DD808" s="69"/>
      <c r="DE808" s="69"/>
      <c r="DF808" s="69"/>
      <c r="DG808" s="69"/>
      <c r="DH808" s="69"/>
      <c r="DI808" s="69"/>
      <c r="DJ808" s="69"/>
      <c r="DK808" s="69"/>
      <c r="DL808" s="69"/>
    </row>
    <row r="809" spans="1:116" ht="13" x14ac:dyDescent="0.3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202"/>
      <c r="V809" s="69"/>
      <c r="W809" s="69"/>
      <c r="X809" s="69"/>
      <c r="Y809" s="69"/>
      <c r="Z809" s="69"/>
      <c r="AA809" s="69"/>
      <c r="AB809" s="203"/>
      <c r="AC809" s="69"/>
      <c r="AD809" s="69"/>
      <c r="AE809" s="203"/>
      <c r="AF809" s="69"/>
      <c r="AG809" s="69"/>
      <c r="AH809" s="69"/>
      <c r="AI809" s="69"/>
      <c r="AJ809" s="69"/>
      <c r="AK809" s="69"/>
      <c r="AL809" s="69"/>
      <c r="AM809" s="69"/>
      <c r="AN809" s="69"/>
      <c r="AO809" s="69"/>
      <c r="AP809" s="69"/>
      <c r="AQ809" s="69"/>
      <c r="AR809" s="69"/>
      <c r="AS809" s="69"/>
      <c r="AT809" s="69"/>
      <c r="AU809" s="69"/>
      <c r="AV809" s="69"/>
      <c r="AW809" s="69"/>
      <c r="AX809" s="69"/>
      <c r="AY809" s="69"/>
      <c r="AZ809" s="69"/>
      <c r="BA809" s="69"/>
      <c r="BB809" s="69"/>
      <c r="BC809" s="69"/>
      <c r="BD809" s="69"/>
      <c r="BE809" s="69"/>
      <c r="BF809" s="69"/>
      <c r="BG809" s="69"/>
      <c r="BH809" s="69"/>
      <c r="BI809" s="69"/>
      <c r="BJ809" s="69"/>
      <c r="BK809" s="69"/>
      <c r="BL809" s="69"/>
      <c r="BM809" s="69"/>
      <c r="BN809" s="69"/>
      <c r="BO809" s="69"/>
      <c r="BP809" s="69"/>
      <c r="BQ809" s="69"/>
      <c r="BR809" s="69"/>
      <c r="BS809" s="69"/>
      <c r="BT809" s="69"/>
      <c r="BU809" s="69"/>
      <c r="BV809" s="69"/>
      <c r="BW809" s="69"/>
      <c r="BX809" s="69"/>
      <c r="BY809" s="69"/>
      <c r="BZ809" s="69"/>
      <c r="CA809" s="69"/>
      <c r="CB809" s="69"/>
      <c r="CC809" s="69"/>
      <c r="CD809" s="69"/>
      <c r="CE809" s="69"/>
      <c r="CF809" s="69"/>
      <c r="CG809" s="69"/>
      <c r="CH809" s="69"/>
      <c r="CI809" s="69"/>
      <c r="CJ809" s="69"/>
      <c r="CK809" s="69"/>
      <c r="CL809" s="69"/>
      <c r="CM809" s="69"/>
      <c r="CN809" s="69"/>
      <c r="CO809" s="69"/>
      <c r="CP809" s="69"/>
      <c r="CQ809" s="69"/>
      <c r="CR809" s="69"/>
      <c r="CS809" s="69"/>
      <c r="CT809" s="69"/>
      <c r="CU809" s="69"/>
      <c r="CV809" s="69"/>
      <c r="CW809" s="69"/>
      <c r="CX809" s="69"/>
      <c r="CY809" s="69"/>
      <c r="CZ809" s="69"/>
      <c r="DA809" s="69"/>
      <c r="DB809" s="69"/>
      <c r="DC809" s="69"/>
      <c r="DD809" s="69"/>
      <c r="DE809" s="69"/>
      <c r="DF809" s="69"/>
      <c r="DG809" s="69"/>
      <c r="DH809" s="69"/>
      <c r="DI809" s="69"/>
      <c r="DJ809" s="69"/>
      <c r="DK809" s="69"/>
      <c r="DL809" s="69"/>
    </row>
    <row r="810" spans="1:116" ht="13" x14ac:dyDescent="0.3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202"/>
      <c r="V810" s="69"/>
      <c r="W810" s="69"/>
      <c r="X810" s="69"/>
      <c r="Y810" s="69"/>
      <c r="Z810" s="69"/>
      <c r="AA810" s="69"/>
      <c r="AB810" s="203"/>
      <c r="AC810" s="69"/>
      <c r="AD810" s="69"/>
      <c r="AE810" s="203"/>
      <c r="AF810" s="69"/>
      <c r="AG810" s="69"/>
      <c r="AH810" s="69"/>
      <c r="AI810" s="69"/>
      <c r="AJ810" s="69"/>
      <c r="AK810" s="69"/>
      <c r="AL810" s="69"/>
      <c r="AM810" s="69"/>
      <c r="AN810" s="69"/>
      <c r="AO810" s="69"/>
      <c r="AP810" s="69"/>
      <c r="AQ810" s="69"/>
      <c r="AR810" s="69"/>
      <c r="AS810" s="69"/>
      <c r="AT810" s="69"/>
      <c r="AU810" s="69"/>
      <c r="AV810" s="69"/>
      <c r="AW810" s="69"/>
      <c r="AX810" s="69"/>
      <c r="AY810" s="69"/>
      <c r="AZ810" s="69"/>
      <c r="BA810" s="69"/>
      <c r="BB810" s="69"/>
      <c r="BC810" s="69"/>
      <c r="BD810" s="69"/>
      <c r="BE810" s="69"/>
      <c r="BF810" s="69"/>
      <c r="BG810" s="69"/>
      <c r="BH810" s="69"/>
      <c r="BI810" s="69"/>
      <c r="BJ810" s="69"/>
      <c r="BK810" s="69"/>
      <c r="BL810" s="69"/>
      <c r="BM810" s="69"/>
      <c r="BN810" s="69"/>
      <c r="BO810" s="69"/>
      <c r="BP810" s="69"/>
      <c r="BQ810" s="69"/>
      <c r="BR810" s="69"/>
      <c r="BS810" s="69"/>
      <c r="BT810" s="69"/>
      <c r="BU810" s="69"/>
      <c r="BV810" s="69"/>
      <c r="BW810" s="69"/>
      <c r="BX810" s="69"/>
      <c r="BY810" s="69"/>
      <c r="BZ810" s="69"/>
      <c r="CA810" s="69"/>
      <c r="CB810" s="69"/>
      <c r="CC810" s="69"/>
      <c r="CD810" s="69"/>
      <c r="CE810" s="69"/>
      <c r="CF810" s="69"/>
      <c r="CG810" s="69"/>
      <c r="CH810" s="69"/>
      <c r="CI810" s="69"/>
      <c r="CJ810" s="69"/>
      <c r="CK810" s="69"/>
      <c r="CL810" s="69"/>
      <c r="CM810" s="69"/>
      <c r="CN810" s="69"/>
      <c r="CO810" s="69"/>
      <c r="CP810" s="69"/>
      <c r="CQ810" s="69"/>
      <c r="CR810" s="69"/>
      <c r="CS810" s="69"/>
      <c r="CT810" s="69"/>
      <c r="CU810" s="69"/>
      <c r="CV810" s="69"/>
      <c r="CW810" s="69"/>
      <c r="CX810" s="69"/>
      <c r="CY810" s="69"/>
      <c r="CZ810" s="69"/>
      <c r="DA810" s="69"/>
      <c r="DB810" s="69"/>
      <c r="DC810" s="69"/>
      <c r="DD810" s="69"/>
      <c r="DE810" s="69"/>
      <c r="DF810" s="69"/>
      <c r="DG810" s="69"/>
      <c r="DH810" s="69"/>
      <c r="DI810" s="69"/>
      <c r="DJ810" s="69"/>
      <c r="DK810" s="69"/>
      <c r="DL810" s="69"/>
    </row>
    <row r="811" spans="1:116" ht="13" x14ac:dyDescent="0.3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202"/>
      <c r="V811" s="69"/>
      <c r="W811" s="69"/>
      <c r="X811" s="69"/>
      <c r="Y811" s="69"/>
      <c r="Z811" s="69"/>
      <c r="AA811" s="69"/>
      <c r="AB811" s="203"/>
      <c r="AC811" s="69"/>
      <c r="AD811" s="69"/>
      <c r="AE811" s="203"/>
      <c r="AF811" s="69"/>
      <c r="AG811" s="69"/>
      <c r="AH811" s="69"/>
      <c r="AI811" s="69"/>
      <c r="AJ811" s="69"/>
      <c r="AK811" s="69"/>
      <c r="AL811" s="69"/>
      <c r="AM811" s="69"/>
      <c r="AN811" s="69"/>
      <c r="AO811" s="69"/>
      <c r="AP811" s="69"/>
      <c r="AQ811" s="69"/>
      <c r="AR811" s="69"/>
      <c r="AS811" s="69"/>
      <c r="AT811" s="69"/>
      <c r="AU811" s="69"/>
      <c r="AV811" s="69"/>
      <c r="AW811" s="69"/>
      <c r="AX811" s="69"/>
      <c r="AY811" s="69"/>
      <c r="AZ811" s="69"/>
      <c r="BA811" s="69"/>
      <c r="BB811" s="69"/>
      <c r="BC811" s="69"/>
      <c r="BD811" s="69"/>
      <c r="BE811" s="69"/>
      <c r="BF811" s="69"/>
      <c r="BG811" s="69"/>
      <c r="BH811" s="69"/>
      <c r="BI811" s="69"/>
      <c r="BJ811" s="69"/>
      <c r="BK811" s="69"/>
      <c r="BL811" s="69"/>
      <c r="BM811" s="69"/>
      <c r="BN811" s="69"/>
      <c r="BO811" s="69"/>
      <c r="BP811" s="69"/>
      <c r="BQ811" s="69"/>
      <c r="BR811" s="69"/>
      <c r="BS811" s="69"/>
      <c r="BT811" s="69"/>
      <c r="BU811" s="69"/>
      <c r="BV811" s="69"/>
      <c r="BW811" s="69"/>
      <c r="BX811" s="69"/>
      <c r="BY811" s="69"/>
      <c r="BZ811" s="69"/>
      <c r="CA811" s="69"/>
      <c r="CB811" s="69"/>
      <c r="CC811" s="69"/>
      <c r="CD811" s="69"/>
      <c r="CE811" s="69"/>
      <c r="CF811" s="69"/>
      <c r="CG811" s="69"/>
      <c r="CH811" s="69"/>
      <c r="CI811" s="69"/>
      <c r="CJ811" s="69"/>
      <c r="CK811" s="69"/>
      <c r="CL811" s="69"/>
      <c r="CM811" s="69"/>
      <c r="CN811" s="69"/>
      <c r="CO811" s="69"/>
      <c r="CP811" s="69"/>
      <c r="CQ811" s="69"/>
      <c r="CR811" s="69"/>
      <c r="CS811" s="69"/>
      <c r="CT811" s="69"/>
      <c r="CU811" s="69"/>
      <c r="CV811" s="69"/>
      <c r="CW811" s="69"/>
      <c r="CX811" s="69"/>
      <c r="CY811" s="69"/>
      <c r="CZ811" s="69"/>
      <c r="DA811" s="69"/>
      <c r="DB811" s="69"/>
      <c r="DC811" s="69"/>
      <c r="DD811" s="69"/>
      <c r="DE811" s="69"/>
      <c r="DF811" s="69"/>
      <c r="DG811" s="69"/>
      <c r="DH811" s="69"/>
      <c r="DI811" s="69"/>
      <c r="DJ811" s="69"/>
      <c r="DK811" s="69"/>
      <c r="DL811" s="69"/>
    </row>
    <row r="812" spans="1:116" ht="13" x14ac:dyDescent="0.3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202"/>
      <c r="V812" s="69"/>
      <c r="W812" s="69"/>
      <c r="X812" s="69"/>
      <c r="Y812" s="69"/>
      <c r="Z812" s="69"/>
      <c r="AA812" s="69"/>
      <c r="AB812" s="203"/>
      <c r="AC812" s="69"/>
      <c r="AD812" s="69"/>
      <c r="AE812" s="203"/>
      <c r="AF812" s="69"/>
      <c r="AG812" s="69"/>
      <c r="AH812" s="69"/>
      <c r="AI812" s="69"/>
      <c r="AJ812" s="69"/>
      <c r="AK812" s="69"/>
      <c r="AL812" s="69"/>
      <c r="AM812" s="69"/>
      <c r="AN812" s="69"/>
      <c r="AO812" s="69"/>
      <c r="AP812" s="69"/>
      <c r="AQ812" s="69"/>
      <c r="AR812" s="69"/>
      <c r="AS812" s="69"/>
      <c r="AT812" s="69"/>
      <c r="AU812" s="69"/>
      <c r="AV812" s="69"/>
      <c r="AW812" s="69"/>
      <c r="AX812" s="69"/>
      <c r="AY812" s="69"/>
      <c r="AZ812" s="69"/>
      <c r="BA812" s="69"/>
      <c r="BB812" s="69"/>
      <c r="BC812" s="69"/>
      <c r="BD812" s="69"/>
      <c r="BE812" s="69"/>
      <c r="BF812" s="69"/>
      <c r="BG812" s="69"/>
      <c r="BH812" s="69"/>
      <c r="BI812" s="69"/>
      <c r="BJ812" s="69"/>
      <c r="BK812" s="69"/>
      <c r="BL812" s="69"/>
      <c r="BM812" s="69"/>
      <c r="BN812" s="69"/>
      <c r="BO812" s="69"/>
      <c r="BP812" s="69"/>
      <c r="BQ812" s="69"/>
      <c r="BR812" s="69"/>
      <c r="BS812" s="69"/>
      <c r="BT812" s="69"/>
      <c r="BU812" s="69"/>
      <c r="BV812" s="69"/>
      <c r="BW812" s="69"/>
      <c r="BX812" s="69"/>
      <c r="BY812" s="69"/>
      <c r="BZ812" s="69"/>
      <c r="CA812" s="69"/>
      <c r="CB812" s="69"/>
      <c r="CC812" s="69"/>
      <c r="CD812" s="69"/>
      <c r="CE812" s="69"/>
      <c r="CF812" s="69"/>
      <c r="CG812" s="69"/>
      <c r="CH812" s="69"/>
      <c r="CI812" s="69"/>
      <c r="CJ812" s="69"/>
      <c r="CK812" s="69"/>
      <c r="CL812" s="69"/>
      <c r="CM812" s="69"/>
      <c r="CN812" s="69"/>
      <c r="CO812" s="69"/>
      <c r="CP812" s="69"/>
      <c r="CQ812" s="69"/>
      <c r="CR812" s="69"/>
      <c r="CS812" s="69"/>
      <c r="CT812" s="69"/>
      <c r="CU812" s="69"/>
      <c r="CV812" s="69"/>
      <c r="CW812" s="69"/>
      <c r="CX812" s="69"/>
      <c r="CY812" s="69"/>
      <c r="CZ812" s="69"/>
      <c r="DA812" s="69"/>
      <c r="DB812" s="69"/>
      <c r="DC812" s="69"/>
      <c r="DD812" s="69"/>
      <c r="DE812" s="69"/>
      <c r="DF812" s="69"/>
      <c r="DG812" s="69"/>
      <c r="DH812" s="69"/>
      <c r="DI812" s="69"/>
      <c r="DJ812" s="69"/>
      <c r="DK812" s="69"/>
      <c r="DL812" s="69"/>
    </row>
    <row r="813" spans="1:116" ht="13" x14ac:dyDescent="0.3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202"/>
      <c r="V813" s="69"/>
      <c r="W813" s="69"/>
      <c r="X813" s="69"/>
      <c r="Y813" s="69"/>
      <c r="Z813" s="69"/>
      <c r="AA813" s="69"/>
      <c r="AB813" s="203"/>
      <c r="AC813" s="69"/>
      <c r="AD813" s="69"/>
      <c r="AE813" s="203"/>
      <c r="AF813" s="69"/>
      <c r="AG813" s="69"/>
      <c r="AH813" s="69"/>
      <c r="AI813" s="69"/>
      <c r="AJ813" s="69"/>
      <c r="AK813" s="69"/>
      <c r="AL813" s="69"/>
      <c r="AM813" s="69"/>
      <c r="AN813" s="69"/>
      <c r="AO813" s="69"/>
      <c r="AP813" s="69"/>
      <c r="AQ813" s="69"/>
      <c r="AR813" s="69"/>
      <c r="AS813" s="69"/>
      <c r="AT813" s="69"/>
      <c r="AU813" s="69"/>
      <c r="AV813" s="69"/>
      <c r="AW813" s="69"/>
      <c r="AX813" s="69"/>
      <c r="AY813" s="69"/>
      <c r="AZ813" s="69"/>
      <c r="BA813" s="69"/>
      <c r="BB813" s="69"/>
      <c r="BC813" s="69"/>
      <c r="BD813" s="69"/>
      <c r="BE813" s="69"/>
      <c r="BF813" s="69"/>
      <c r="BG813" s="69"/>
      <c r="BH813" s="69"/>
      <c r="BI813" s="69"/>
      <c r="BJ813" s="69"/>
      <c r="BK813" s="69"/>
      <c r="BL813" s="69"/>
      <c r="BM813" s="69"/>
      <c r="BN813" s="69"/>
      <c r="BO813" s="69"/>
      <c r="BP813" s="69"/>
      <c r="BQ813" s="69"/>
      <c r="BR813" s="69"/>
      <c r="BS813" s="69"/>
      <c r="BT813" s="69"/>
      <c r="BU813" s="69"/>
      <c r="BV813" s="69"/>
      <c r="BW813" s="69"/>
      <c r="BX813" s="69"/>
      <c r="BY813" s="69"/>
      <c r="BZ813" s="69"/>
      <c r="CA813" s="69"/>
      <c r="CB813" s="69"/>
      <c r="CC813" s="69"/>
      <c r="CD813" s="69"/>
      <c r="CE813" s="69"/>
      <c r="CF813" s="69"/>
      <c r="CG813" s="69"/>
      <c r="CH813" s="69"/>
      <c r="CI813" s="69"/>
      <c r="CJ813" s="69"/>
      <c r="CK813" s="69"/>
      <c r="CL813" s="69"/>
      <c r="CM813" s="69"/>
      <c r="CN813" s="69"/>
      <c r="CO813" s="69"/>
      <c r="CP813" s="69"/>
      <c r="CQ813" s="69"/>
      <c r="CR813" s="69"/>
      <c r="CS813" s="69"/>
      <c r="CT813" s="69"/>
      <c r="CU813" s="69"/>
      <c r="CV813" s="69"/>
      <c r="CW813" s="69"/>
      <c r="CX813" s="69"/>
      <c r="CY813" s="69"/>
      <c r="CZ813" s="69"/>
      <c r="DA813" s="69"/>
      <c r="DB813" s="69"/>
      <c r="DC813" s="69"/>
      <c r="DD813" s="69"/>
      <c r="DE813" s="69"/>
      <c r="DF813" s="69"/>
      <c r="DG813" s="69"/>
      <c r="DH813" s="69"/>
      <c r="DI813" s="69"/>
      <c r="DJ813" s="69"/>
      <c r="DK813" s="69"/>
      <c r="DL813" s="69"/>
    </row>
    <row r="814" spans="1:116" ht="13" x14ac:dyDescent="0.3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202"/>
      <c r="V814" s="69"/>
      <c r="W814" s="69"/>
      <c r="X814" s="69"/>
      <c r="Y814" s="69"/>
      <c r="Z814" s="69"/>
      <c r="AA814" s="69"/>
      <c r="AB814" s="203"/>
      <c r="AC814" s="69"/>
      <c r="AD814" s="69"/>
      <c r="AE814" s="203"/>
      <c r="AF814" s="69"/>
      <c r="AG814" s="69"/>
      <c r="AH814" s="69"/>
      <c r="AI814" s="69"/>
      <c r="AJ814" s="69"/>
      <c r="AK814" s="69"/>
      <c r="AL814" s="69"/>
      <c r="AM814" s="69"/>
      <c r="AN814" s="69"/>
      <c r="AO814" s="69"/>
      <c r="AP814" s="69"/>
      <c r="AQ814" s="69"/>
      <c r="AR814" s="69"/>
      <c r="AS814" s="69"/>
      <c r="AT814" s="69"/>
      <c r="AU814" s="69"/>
      <c r="AV814" s="69"/>
      <c r="AW814" s="69"/>
      <c r="AX814" s="69"/>
      <c r="AY814" s="69"/>
      <c r="AZ814" s="69"/>
      <c r="BA814" s="69"/>
      <c r="BB814" s="69"/>
      <c r="BC814" s="69"/>
      <c r="BD814" s="69"/>
      <c r="BE814" s="69"/>
      <c r="BF814" s="69"/>
      <c r="BG814" s="69"/>
      <c r="BH814" s="69"/>
      <c r="BI814" s="69"/>
      <c r="BJ814" s="69"/>
      <c r="BK814" s="69"/>
      <c r="BL814" s="69"/>
      <c r="BM814" s="69"/>
      <c r="BN814" s="69"/>
      <c r="BO814" s="69"/>
      <c r="BP814" s="69"/>
      <c r="BQ814" s="69"/>
      <c r="BR814" s="69"/>
      <c r="BS814" s="69"/>
      <c r="BT814" s="69"/>
      <c r="BU814" s="69"/>
      <c r="BV814" s="69"/>
      <c r="BW814" s="69"/>
      <c r="BX814" s="69"/>
      <c r="BY814" s="69"/>
      <c r="BZ814" s="69"/>
      <c r="CA814" s="69"/>
      <c r="CB814" s="69"/>
      <c r="CC814" s="69"/>
      <c r="CD814" s="69"/>
      <c r="CE814" s="69"/>
      <c r="CF814" s="69"/>
      <c r="CG814" s="69"/>
      <c r="CH814" s="69"/>
      <c r="CI814" s="69"/>
      <c r="CJ814" s="69"/>
      <c r="CK814" s="69"/>
      <c r="CL814" s="69"/>
      <c r="CM814" s="69"/>
      <c r="CN814" s="69"/>
      <c r="CO814" s="69"/>
      <c r="CP814" s="69"/>
      <c r="CQ814" s="69"/>
      <c r="CR814" s="69"/>
      <c r="CS814" s="69"/>
      <c r="CT814" s="69"/>
      <c r="CU814" s="69"/>
      <c r="CV814" s="69"/>
      <c r="CW814" s="69"/>
      <c r="CX814" s="69"/>
      <c r="CY814" s="69"/>
      <c r="CZ814" s="69"/>
      <c r="DA814" s="69"/>
      <c r="DB814" s="69"/>
      <c r="DC814" s="69"/>
      <c r="DD814" s="69"/>
      <c r="DE814" s="69"/>
      <c r="DF814" s="69"/>
      <c r="DG814" s="69"/>
      <c r="DH814" s="69"/>
      <c r="DI814" s="69"/>
      <c r="DJ814" s="69"/>
      <c r="DK814" s="69"/>
      <c r="DL814" s="69"/>
    </row>
    <row r="815" spans="1:116" ht="13" x14ac:dyDescent="0.3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202"/>
      <c r="V815" s="69"/>
      <c r="W815" s="69"/>
      <c r="X815" s="69"/>
      <c r="Y815" s="69"/>
      <c r="Z815" s="69"/>
      <c r="AA815" s="69"/>
      <c r="AB815" s="203"/>
      <c r="AC815" s="69"/>
      <c r="AD815" s="69"/>
      <c r="AE815" s="203"/>
      <c r="AF815" s="69"/>
      <c r="AG815" s="69"/>
      <c r="AH815" s="69"/>
      <c r="AI815" s="69"/>
      <c r="AJ815" s="69"/>
      <c r="AK815" s="69"/>
      <c r="AL815" s="69"/>
      <c r="AM815" s="69"/>
      <c r="AN815" s="69"/>
      <c r="AO815" s="69"/>
      <c r="AP815" s="69"/>
      <c r="AQ815" s="69"/>
      <c r="AR815" s="69"/>
      <c r="AS815" s="69"/>
      <c r="AT815" s="69"/>
      <c r="AU815" s="69"/>
      <c r="AV815" s="69"/>
      <c r="AW815" s="69"/>
      <c r="AX815" s="69"/>
      <c r="AY815" s="69"/>
      <c r="AZ815" s="69"/>
      <c r="BA815" s="69"/>
      <c r="BB815" s="69"/>
      <c r="BC815" s="69"/>
      <c r="BD815" s="69"/>
      <c r="BE815" s="69"/>
      <c r="BF815" s="69"/>
      <c r="BG815" s="69"/>
      <c r="BH815" s="69"/>
      <c r="BI815" s="69"/>
      <c r="BJ815" s="69"/>
      <c r="BK815" s="69"/>
      <c r="BL815" s="69"/>
      <c r="BM815" s="69"/>
      <c r="BN815" s="69"/>
      <c r="BO815" s="69"/>
      <c r="BP815" s="69"/>
      <c r="BQ815" s="69"/>
      <c r="BR815" s="69"/>
      <c r="BS815" s="69"/>
      <c r="BT815" s="69"/>
      <c r="BU815" s="69"/>
      <c r="BV815" s="69"/>
      <c r="BW815" s="69"/>
      <c r="BX815" s="69"/>
      <c r="BY815" s="69"/>
      <c r="BZ815" s="69"/>
      <c r="CA815" s="69"/>
      <c r="CB815" s="69"/>
      <c r="CC815" s="69"/>
      <c r="CD815" s="69"/>
      <c r="CE815" s="69"/>
      <c r="CF815" s="69"/>
      <c r="CG815" s="69"/>
      <c r="CH815" s="69"/>
      <c r="CI815" s="69"/>
      <c r="CJ815" s="69"/>
      <c r="CK815" s="69"/>
      <c r="CL815" s="69"/>
      <c r="CM815" s="69"/>
      <c r="CN815" s="69"/>
      <c r="CO815" s="69"/>
      <c r="CP815" s="69"/>
      <c r="CQ815" s="69"/>
      <c r="CR815" s="69"/>
      <c r="CS815" s="69"/>
      <c r="CT815" s="69"/>
      <c r="CU815" s="69"/>
      <c r="CV815" s="69"/>
      <c r="CW815" s="69"/>
      <c r="CX815" s="69"/>
      <c r="CY815" s="69"/>
      <c r="CZ815" s="69"/>
      <c r="DA815" s="69"/>
      <c r="DB815" s="69"/>
      <c r="DC815" s="69"/>
      <c r="DD815" s="69"/>
      <c r="DE815" s="69"/>
      <c r="DF815" s="69"/>
      <c r="DG815" s="69"/>
      <c r="DH815" s="69"/>
      <c r="DI815" s="69"/>
      <c r="DJ815" s="69"/>
      <c r="DK815" s="69"/>
      <c r="DL815" s="69"/>
    </row>
    <row r="816" spans="1:116" ht="13" x14ac:dyDescent="0.3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202"/>
      <c r="V816" s="69"/>
      <c r="W816" s="69"/>
      <c r="X816" s="69"/>
      <c r="Y816" s="69"/>
      <c r="Z816" s="69"/>
      <c r="AA816" s="69"/>
      <c r="AB816" s="203"/>
      <c r="AC816" s="69"/>
      <c r="AD816" s="69"/>
      <c r="AE816" s="203"/>
      <c r="AF816" s="69"/>
      <c r="AG816" s="69"/>
      <c r="AH816" s="69"/>
      <c r="AI816" s="69"/>
      <c r="AJ816" s="69"/>
      <c r="AK816" s="69"/>
      <c r="AL816" s="69"/>
      <c r="AM816" s="69"/>
      <c r="AN816" s="69"/>
      <c r="AO816" s="69"/>
      <c r="AP816" s="69"/>
      <c r="AQ816" s="69"/>
      <c r="AR816" s="69"/>
      <c r="AS816" s="69"/>
      <c r="AT816" s="69"/>
      <c r="AU816" s="69"/>
      <c r="AV816" s="69"/>
      <c r="AW816" s="69"/>
      <c r="AX816" s="69"/>
      <c r="AY816" s="69"/>
      <c r="AZ816" s="69"/>
      <c r="BA816" s="69"/>
      <c r="BB816" s="69"/>
      <c r="BC816" s="69"/>
      <c r="BD816" s="69"/>
      <c r="BE816" s="69"/>
      <c r="BF816" s="69"/>
      <c r="BG816" s="69"/>
      <c r="BH816" s="69"/>
      <c r="BI816" s="69"/>
      <c r="BJ816" s="69"/>
      <c r="BK816" s="69"/>
      <c r="BL816" s="69"/>
      <c r="BM816" s="69"/>
      <c r="BN816" s="69"/>
      <c r="BO816" s="69"/>
      <c r="BP816" s="69"/>
      <c r="BQ816" s="69"/>
      <c r="BR816" s="69"/>
      <c r="BS816" s="69"/>
      <c r="BT816" s="69"/>
      <c r="BU816" s="69"/>
      <c r="BV816" s="69"/>
      <c r="BW816" s="69"/>
      <c r="BX816" s="69"/>
      <c r="BY816" s="69"/>
      <c r="BZ816" s="69"/>
      <c r="CA816" s="69"/>
      <c r="CB816" s="69"/>
      <c r="CC816" s="69"/>
      <c r="CD816" s="69"/>
      <c r="CE816" s="69"/>
      <c r="CF816" s="69"/>
      <c r="CG816" s="69"/>
      <c r="CH816" s="69"/>
      <c r="CI816" s="69"/>
      <c r="CJ816" s="69"/>
      <c r="CK816" s="69"/>
      <c r="CL816" s="69"/>
      <c r="CM816" s="69"/>
      <c r="CN816" s="69"/>
      <c r="CO816" s="69"/>
      <c r="CP816" s="69"/>
      <c r="CQ816" s="69"/>
      <c r="CR816" s="69"/>
      <c r="CS816" s="69"/>
      <c r="CT816" s="69"/>
      <c r="CU816" s="69"/>
      <c r="CV816" s="69"/>
      <c r="CW816" s="69"/>
      <c r="CX816" s="69"/>
      <c r="CY816" s="69"/>
      <c r="CZ816" s="69"/>
      <c r="DA816" s="69"/>
      <c r="DB816" s="69"/>
      <c r="DC816" s="69"/>
      <c r="DD816" s="69"/>
      <c r="DE816" s="69"/>
      <c r="DF816" s="69"/>
      <c r="DG816" s="69"/>
      <c r="DH816" s="69"/>
      <c r="DI816" s="69"/>
      <c r="DJ816" s="69"/>
      <c r="DK816" s="69"/>
      <c r="DL816" s="69"/>
    </row>
    <row r="817" spans="1:116" ht="13" x14ac:dyDescent="0.3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202"/>
      <c r="V817" s="69"/>
      <c r="W817" s="69"/>
      <c r="X817" s="69"/>
      <c r="Y817" s="69"/>
      <c r="Z817" s="69"/>
      <c r="AA817" s="69"/>
      <c r="AB817" s="203"/>
      <c r="AC817" s="69"/>
      <c r="AD817" s="69"/>
      <c r="AE817" s="203"/>
      <c r="AF817" s="69"/>
      <c r="AG817" s="69"/>
      <c r="AH817" s="69"/>
      <c r="AI817" s="69"/>
      <c r="AJ817" s="69"/>
      <c r="AK817" s="69"/>
      <c r="AL817" s="69"/>
      <c r="AM817" s="69"/>
      <c r="AN817" s="69"/>
      <c r="AO817" s="69"/>
      <c r="AP817" s="69"/>
      <c r="AQ817" s="69"/>
      <c r="AR817" s="69"/>
      <c r="AS817" s="69"/>
      <c r="AT817" s="69"/>
      <c r="AU817" s="69"/>
      <c r="AV817" s="69"/>
      <c r="AW817" s="69"/>
      <c r="AX817" s="69"/>
      <c r="AY817" s="69"/>
      <c r="AZ817" s="69"/>
      <c r="BA817" s="69"/>
      <c r="BB817" s="69"/>
      <c r="BC817" s="69"/>
      <c r="BD817" s="69"/>
      <c r="BE817" s="69"/>
      <c r="BF817" s="69"/>
      <c r="BG817" s="69"/>
      <c r="BH817" s="69"/>
      <c r="BI817" s="69"/>
      <c r="BJ817" s="69"/>
      <c r="BK817" s="69"/>
      <c r="BL817" s="69"/>
      <c r="BM817" s="69"/>
      <c r="BN817" s="69"/>
      <c r="BO817" s="69"/>
      <c r="BP817" s="69"/>
      <c r="BQ817" s="69"/>
      <c r="BR817" s="69"/>
      <c r="BS817" s="69"/>
      <c r="BT817" s="69"/>
      <c r="BU817" s="69"/>
      <c r="BV817" s="69"/>
      <c r="BW817" s="69"/>
      <c r="BX817" s="69"/>
      <c r="BY817" s="69"/>
      <c r="BZ817" s="69"/>
      <c r="CA817" s="69"/>
      <c r="CB817" s="69"/>
      <c r="CC817" s="69"/>
      <c r="CD817" s="69"/>
      <c r="CE817" s="69"/>
      <c r="CF817" s="69"/>
      <c r="CG817" s="69"/>
      <c r="CH817" s="69"/>
      <c r="CI817" s="69"/>
      <c r="CJ817" s="69"/>
      <c r="CK817" s="69"/>
      <c r="CL817" s="69"/>
      <c r="CM817" s="69"/>
      <c r="CN817" s="69"/>
      <c r="CO817" s="69"/>
      <c r="CP817" s="69"/>
      <c r="CQ817" s="69"/>
      <c r="CR817" s="69"/>
      <c r="CS817" s="69"/>
      <c r="CT817" s="69"/>
      <c r="CU817" s="69"/>
      <c r="CV817" s="69"/>
      <c r="CW817" s="69"/>
      <c r="CX817" s="69"/>
      <c r="CY817" s="69"/>
      <c r="CZ817" s="69"/>
      <c r="DA817" s="69"/>
      <c r="DB817" s="69"/>
      <c r="DC817" s="69"/>
      <c r="DD817" s="69"/>
      <c r="DE817" s="69"/>
      <c r="DF817" s="69"/>
      <c r="DG817" s="69"/>
      <c r="DH817" s="69"/>
      <c r="DI817" s="69"/>
      <c r="DJ817" s="69"/>
      <c r="DK817" s="69"/>
      <c r="DL817" s="69"/>
    </row>
    <row r="818" spans="1:116" ht="13" x14ac:dyDescent="0.3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202"/>
      <c r="V818" s="69"/>
      <c r="W818" s="69"/>
      <c r="X818" s="69"/>
      <c r="Y818" s="69"/>
      <c r="Z818" s="69"/>
      <c r="AA818" s="69"/>
      <c r="AB818" s="203"/>
      <c r="AC818" s="69"/>
      <c r="AD818" s="69"/>
      <c r="AE818" s="203"/>
      <c r="AF818" s="69"/>
      <c r="AG818" s="69"/>
      <c r="AH818" s="69"/>
      <c r="AI818" s="69"/>
      <c r="AJ818" s="69"/>
      <c r="AK818" s="69"/>
      <c r="AL818" s="69"/>
      <c r="AM818" s="69"/>
      <c r="AN818" s="69"/>
      <c r="AO818" s="69"/>
      <c r="AP818" s="69"/>
      <c r="AQ818" s="69"/>
      <c r="AR818" s="69"/>
      <c r="AS818" s="69"/>
      <c r="AT818" s="69"/>
      <c r="AU818" s="69"/>
      <c r="AV818" s="69"/>
      <c r="AW818" s="69"/>
      <c r="AX818" s="69"/>
      <c r="AY818" s="69"/>
      <c r="AZ818" s="69"/>
      <c r="BA818" s="69"/>
      <c r="BB818" s="69"/>
      <c r="BC818" s="69"/>
      <c r="BD818" s="69"/>
      <c r="BE818" s="69"/>
      <c r="BF818" s="69"/>
      <c r="BG818" s="69"/>
      <c r="BH818" s="69"/>
      <c r="BI818" s="69"/>
      <c r="BJ818" s="69"/>
      <c r="BK818" s="69"/>
      <c r="BL818" s="69"/>
      <c r="BM818" s="69"/>
      <c r="BN818" s="69"/>
      <c r="BO818" s="69"/>
      <c r="BP818" s="69"/>
      <c r="BQ818" s="69"/>
      <c r="BR818" s="69"/>
      <c r="BS818" s="69"/>
      <c r="BT818" s="69"/>
      <c r="BU818" s="69"/>
      <c r="BV818" s="69"/>
      <c r="BW818" s="69"/>
      <c r="BX818" s="69"/>
      <c r="BY818" s="69"/>
      <c r="BZ818" s="69"/>
      <c r="CA818" s="69"/>
      <c r="CB818" s="69"/>
      <c r="CC818" s="69"/>
      <c r="CD818" s="69"/>
      <c r="CE818" s="69"/>
      <c r="CF818" s="69"/>
      <c r="CG818" s="69"/>
      <c r="CH818" s="69"/>
      <c r="CI818" s="69"/>
      <c r="CJ818" s="69"/>
      <c r="CK818" s="69"/>
      <c r="CL818" s="69"/>
      <c r="CM818" s="69"/>
      <c r="CN818" s="69"/>
      <c r="CO818" s="69"/>
      <c r="CP818" s="69"/>
      <c r="CQ818" s="69"/>
      <c r="CR818" s="69"/>
      <c r="CS818" s="69"/>
      <c r="CT818" s="69"/>
      <c r="CU818" s="69"/>
      <c r="CV818" s="69"/>
      <c r="CW818" s="69"/>
      <c r="CX818" s="69"/>
      <c r="CY818" s="69"/>
      <c r="CZ818" s="69"/>
      <c r="DA818" s="69"/>
      <c r="DB818" s="69"/>
      <c r="DC818" s="69"/>
      <c r="DD818" s="69"/>
      <c r="DE818" s="69"/>
      <c r="DF818" s="69"/>
      <c r="DG818" s="69"/>
      <c r="DH818" s="69"/>
      <c r="DI818" s="69"/>
      <c r="DJ818" s="69"/>
      <c r="DK818" s="69"/>
      <c r="DL818" s="69"/>
    </row>
    <row r="819" spans="1:116" ht="13" x14ac:dyDescent="0.3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202"/>
      <c r="V819" s="69"/>
      <c r="W819" s="69"/>
      <c r="X819" s="69"/>
      <c r="Y819" s="69"/>
      <c r="Z819" s="69"/>
      <c r="AA819" s="69"/>
      <c r="AB819" s="203"/>
      <c r="AC819" s="69"/>
      <c r="AD819" s="69"/>
      <c r="AE819" s="203"/>
      <c r="AF819" s="69"/>
      <c r="AG819" s="69"/>
      <c r="AH819" s="69"/>
      <c r="AI819" s="69"/>
      <c r="AJ819" s="69"/>
      <c r="AK819" s="69"/>
      <c r="AL819" s="69"/>
      <c r="AM819" s="69"/>
      <c r="AN819" s="69"/>
      <c r="AO819" s="69"/>
      <c r="AP819" s="69"/>
      <c r="AQ819" s="69"/>
      <c r="AR819" s="69"/>
      <c r="AS819" s="69"/>
      <c r="AT819" s="69"/>
      <c r="AU819" s="69"/>
      <c r="AV819" s="69"/>
      <c r="AW819" s="69"/>
      <c r="AX819" s="69"/>
      <c r="AY819" s="69"/>
      <c r="AZ819" s="69"/>
      <c r="BA819" s="69"/>
      <c r="BB819" s="69"/>
      <c r="BC819" s="69"/>
      <c r="BD819" s="69"/>
      <c r="BE819" s="69"/>
      <c r="BF819" s="69"/>
      <c r="BG819" s="69"/>
      <c r="BH819" s="69"/>
      <c r="BI819" s="69"/>
      <c r="BJ819" s="69"/>
      <c r="BK819" s="69"/>
      <c r="BL819" s="69"/>
      <c r="BM819" s="69"/>
      <c r="BN819" s="69"/>
      <c r="BO819" s="69"/>
      <c r="BP819" s="69"/>
      <c r="BQ819" s="69"/>
      <c r="BR819" s="69"/>
      <c r="BS819" s="69"/>
      <c r="BT819" s="69"/>
      <c r="BU819" s="69"/>
      <c r="BV819" s="69"/>
      <c r="BW819" s="69"/>
      <c r="BX819" s="69"/>
      <c r="BY819" s="69"/>
      <c r="BZ819" s="69"/>
      <c r="CA819" s="69"/>
      <c r="CB819" s="69"/>
      <c r="CC819" s="69"/>
      <c r="CD819" s="69"/>
      <c r="CE819" s="69"/>
      <c r="CF819" s="69"/>
      <c r="CG819" s="69"/>
      <c r="CH819" s="69"/>
      <c r="CI819" s="69"/>
      <c r="CJ819" s="69"/>
      <c r="CK819" s="69"/>
      <c r="CL819" s="69"/>
      <c r="CM819" s="69"/>
      <c r="CN819" s="69"/>
      <c r="CO819" s="69"/>
      <c r="CP819" s="69"/>
      <c r="CQ819" s="69"/>
      <c r="CR819" s="69"/>
      <c r="CS819" s="69"/>
      <c r="CT819" s="69"/>
      <c r="CU819" s="69"/>
      <c r="CV819" s="69"/>
      <c r="CW819" s="69"/>
      <c r="CX819" s="69"/>
      <c r="CY819" s="69"/>
      <c r="CZ819" s="69"/>
      <c r="DA819" s="69"/>
      <c r="DB819" s="69"/>
      <c r="DC819" s="69"/>
      <c r="DD819" s="69"/>
      <c r="DE819" s="69"/>
      <c r="DF819" s="69"/>
      <c r="DG819" s="69"/>
      <c r="DH819" s="69"/>
      <c r="DI819" s="69"/>
      <c r="DJ819" s="69"/>
      <c r="DK819" s="69"/>
      <c r="DL819" s="69"/>
    </row>
    <row r="820" spans="1:116" ht="13" x14ac:dyDescent="0.3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202"/>
      <c r="V820" s="69"/>
      <c r="W820" s="69"/>
      <c r="X820" s="69"/>
      <c r="Y820" s="69"/>
      <c r="Z820" s="69"/>
      <c r="AA820" s="69"/>
      <c r="AB820" s="203"/>
      <c r="AC820" s="69"/>
      <c r="AD820" s="69"/>
      <c r="AE820" s="203"/>
      <c r="AF820" s="69"/>
      <c r="AG820" s="69"/>
      <c r="AH820" s="69"/>
      <c r="AI820" s="69"/>
      <c r="AJ820" s="69"/>
      <c r="AK820" s="69"/>
      <c r="AL820" s="69"/>
      <c r="AM820" s="69"/>
      <c r="AN820" s="69"/>
      <c r="AO820" s="69"/>
      <c r="AP820" s="69"/>
      <c r="AQ820" s="69"/>
      <c r="AR820" s="69"/>
      <c r="AS820" s="69"/>
      <c r="AT820" s="69"/>
      <c r="AU820" s="69"/>
      <c r="AV820" s="69"/>
      <c r="AW820" s="69"/>
      <c r="AX820" s="69"/>
      <c r="AY820" s="69"/>
      <c r="AZ820" s="69"/>
      <c r="BA820" s="69"/>
      <c r="BB820" s="69"/>
      <c r="BC820" s="69"/>
      <c r="BD820" s="69"/>
      <c r="BE820" s="69"/>
      <c r="BF820" s="69"/>
      <c r="BG820" s="69"/>
      <c r="BH820" s="69"/>
      <c r="BI820" s="69"/>
      <c r="BJ820" s="69"/>
      <c r="BK820" s="69"/>
      <c r="BL820" s="69"/>
      <c r="BM820" s="69"/>
      <c r="BN820" s="69"/>
      <c r="BO820" s="69"/>
      <c r="BP820" s="69"/>
      <c r="BQ820" s="69"/>
      <c r="BR820" s="69"/>
      <c r="BS820" s="69"/>
      <c r="BT820" s="69"/>
      <c r="BU820" s="69"/>
      <c r="BV820" s="69"/>
      <c r="BW820" s="69"/>
      <c r="BX820" s="69"/>
      <c r="BY820" s="69"/>
      <c r="BZ820" s="69"/>
      <c r="CA820" s="69"/>
      <c r="CB820" s="69"/>
      <c r="CC820" s="69"/>
      <c r="CD820" s="69"/>
      <c r="CE820" s="69"/>
      <c r="CF820" s="69"/>
      <c r="CG820" s="69"/>
      <c r="CH820" s="69"/>
      <c r="CI820" s="69"/>
      <c r="CJ820" s="69"/>
      <c r="CK820" s="69"/>
      <c r="CL820" s="69"/>
      <c r="CM820" s="69"/>
      <c r="CN820" s="69"/>
      <c r="CO820" s="69"/>
      <c r="CP820" s="69"/>
      <c r="CQ820" s="69"/>
      <c r="CR820" s="69"/>
      <c r="CS820" s="69"/>
      <c r="CT820" s="69"/>
      <c r="CU820" s="69"/>
      <c r="CV820" s="69"/>
      <c r="CW820" s="69"/>
      <c r="CX820" s="69"/>
      <c r="CY820" s="69"/>
      <c r="CZ820" s="69"/>
      <c r="DA820" s="69"/>
      <c r="DB820" s="69"/>
      <c r="DC820" s="69"/>
      <c r="DD820" s="69"/>
      <c r="DE820" s="69"/>
      <c r="DF820" s="69"/>
      <c r="DG820" s="69"/>
      <c r="DH820" s="69"/>
      <c r="DI820" s="69"/>
      <c r="DJ820" s="69"/>
      <c r="DK820" s="69"/>
      <c r="DL820" s="69"/>
    </row>
    <row r="821" spans="1:116" ht="13" x14ac:dyDescent="0.3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202"/>
      <c r="V821" s="69"/>
      <c r="W821" s="69"/>
      <c r="X821" s="69"/>
      <c r="Y821" s="69"/>
      <c r="Z821" s="69"/>
      <c r="AA821" s="69"/>
      <c r="AB821" s="203"/>
      <c r="AC821" s="69"/>
      <c r="AD821" s="69"/>
      <c r="AE821" s="203"/>
      <c r="AF821" s="69"/>
      <c r="AG821" s="69"/>
      <c r="AH821" s="69"/>
      <c r="AI821" s="69"/>
      <c r="AJ821" s="69"/>
      <c r="AK821" s="69"/>
      <c r="AL821" s="69"/>
      <c r="AM821" s="69"/>
      <c r="AN821" s="69"/>
      <c r="AO821" s="69"/>
      <c r="AP821" s="69"/>
      <c r="AQ821" s="69"/>
      <c r="AR821" s="69"/>
      <c r="AS821" s="69"/>
      <c r="AT821" s="69"/>
      <c r="AU821" s="69"/>
      <c r="AV821" s="69"/>
      <c r="AW821" s="69"/>
      <c r="AX821" s="69"/>
      <c r="AY821" s="69"/>
      <c r="AZ821" s="69"/>
      <c r="BA821" s="69"/>
      <c r="BB821" s="69"/>
      <c r="BC821" s="69"/>
      <c r="BD821" s="69"/>
      <c r="BE821" s="69"/>
      <c r="BF821" s="69"/>
      <c r="BG821" s="69"/>
      <c r="BH821" s="69"/>
      <c r="BI821" s="69"/>
      <c r="BJ821" s="69"/>
      <c r="BK821" s="69"/>
      <c r="BL821" s="69"/>
      <c r="BM821" s="69"/>
      <c r="BN821" s="69"/>
      <c r="BO821" s="69"/>
      <c r="BP821" s="69"/>
      <c r="BQ821" s="69"/>
      <c r="BR821" s="69"/>
      <c r="BS821" s="69"/>
      <c r="BT821" s="69"/>
      <c r="BU821" s="69"/>
      <c r="BV821" s="69"/>
      <c r="BW821" s="69"/>
      <c r="BX821" s="69"/>
      <c r="BY821" s="69"/>
      <c r="BZ821" s="69"/>
      <c r="CA821" s="69"/>
      <c r="CB821" s="69"/>
      <c r="CC821" s="69"/>
      <c r="CD821" s="69"/>
      <c r="CE821" s="69"/>
      <c r="CF821" s="69"/>
      <c r="CG821" s="69"/>
      <c r="CH821" s="69"/>
      <c r="CI821" s="69"/>
      <c r="CJ821" s="69"/>
      <c r="CK821" s="69"/>
      <c r="CL821" s="69"/>
      <c r="CM821" s="69"/>
      <c r="CN821" s="69"/>
      <c r="CO821" s="69"/>
      <c r="CP821" s="69"/>
      <c r="CQ821" s="69"/>
      <c r="CR821" s="69"/>
      <c r="CS821" s="69"/>
      <c r="CT821" s="69"/>
      <c r="CU821" s="69"/>
      <c r="CV821" s="69"/>
      <c r="CW821" s="69"/>
      <c r="CX821" s="69"/>
      <c r="CY821" s="69"/>
      <c r="CZ821" s="69"/>
      <c r="DA821" s="69"/>
      <c r="DB821" s="69"/>
      <c r="DC821" s="69"/>
      <c r="DD821" s="69"/>
      <c r="DE821" s="69"/>
      <c r="DF821" s="69"/>
      <c r="DG821" s="69"/>
      <c r="DH821" s="69"/>
      <c r="DI821" s="69"/>
      <c r="DJ821" s="69"/>
      <c r="DK821" s="69"/>
      <c r="DL821" s="69"/>
    </row>
    <row r="822" spans="1:116" ht="13" x14ac:dyDescent="0.3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202"/>
      <c r="V822" s="69"/>
      <c r="W822" s="69"/>
      <c r="X822" s="69"/>
      <c r="Y822" s="69"/>
      <c r="Z822" s="69"/>
      <c r="AA822" s="69"/>
      <c r="AB822" s="203"/>
      <c r="AC822" s="69"/>
      <c r="AD822" s="69"/>
      <c r="AE822" s="203"/>
      <c r="AF822" s="69"/>
      <c r="AG822" s="69"/>
      <c r="AH822" s="69"/>
      <c r="AI822" s="69"/>
      <c r="AJ822" s="69"/>
      <c r="AK822" s="69"/>
      <c r="AL822" s="69"/>
      <c r="AM822" s="69"/>
      <c r="AN822" s="69"/>
      <c r="AO822" s="69"/>
      <c r="AP822" s="69"/>
      <c r="AQ822" s="69"/>
      <c r="AR822" s="69"/>
      <c r="AS822" s="69"/>
      <c r="AT822" s="69"/>
      <c r="AU822" s="69"/>
      <c r="AV822" s="69"/>
      <c r="AW822" s="69"/>
      <c r="AX822" s="69"/>
      <c r="AY822" s="69"/>
      <c r="AZ822" s="69"/>
      <c r="BA822" s="69"/>
      <c r="BB822" s="69"/>
      <c r="BC822" s="69"/>
      <c r="BD822" s="69"/>
      <c r="BE822" s="69"/>
      <c r="BF822" s="69"/>
      <c r="BG822" s="69"/>
      <c r="BH822" s="69"/>
      <c r="BI822" s="69"/>
      <c r="BJ822" s="69"/>
      <c r="BK822" s="69"/>
      <c r="BL822" s="69"/>
      <c r="BM822" s="69"/>
      <c r="BN822" s="69"/>
      <c r="BO822" s="69"/>
      <c r="BP822" s="69"/>
      <c r="BQ822" s="69"/>
      <c r="BR822" s="69"/>
      <c r="BS822" s="69"/>
      <c r="BT822" s="69"/>
      <c r="BU822" s="69"/>
      <c r="BV822" s="69"/>
      <c r="BW822" s="69"/>
      <c r="BX822" s="69"/>
      <c r="BY822" s="69"/>
      <c r="BZ822" s="69"/>
      <c r="CA822" s="69"/>
      <c r="CB822" s="69"/>
      <c r="CC822" s="69"/>
      <c r="CD822" s="69"/>
      <c r="CE822" s="69"/>
      <c r="CF822" s="69"/>
      <c r="CG822" s="69"/>
      <c r="CH822" s="69"/>
      <c r="CI822" s="69"/>
      <c r="CJ822" s="69"/>
      <c r="CK822" s="69"/>
      <c r="CL822" s="69"/>
      <c r="CM822" s="69"/>
      <c r="CN822" s="69"/>
      <c r="CO822" s="69"/>
      <c r="CP822" s="69"/>
      <c r="CQ822" s="69"/>
      <c r="CR822" s="69"/>
      <c r="CS822" s="69"/>
      <c r="CT822" s="69"/>
      <c r="CU822" s="69"/>
      <c r="CV822" s="69"/>
      <c r="CW822" s="69"/>
      <c r="CX822" s="69"/>
      <c r="CY822" s="69"/>
      <c r="CZ822" s="69"/>
      <c r="DA822" s="69"/>
      <c r="DB822" s="69"/>
      <c r="DC822" s="69"/>
      <c r="DD822" s="69"/>
      <c r="DE822" s="69"/>
      <c r="DF822" s="69"/>
      <c r="DG822" s="69"/>
      <c r="DH822" s="69"/>
      <c r="DI822" s="69"/>
      <c r="DJ822" s="69"/>
      <c r="DK822" s="69"/>
      <c r="DL822" s="69"/>
    </row>
    <row r="823" spans="1:116" ht="13" x14ac:dyDescent="0.3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202"/>
      <c r="V823" s="69"/>
      <c r="W823" s="69"/>
      <c r="X823" s="69"/>
      <c r="Y823" s="69"/>
      <c r="Z823" s="69"/>
      <c r="AA823" s="69"/>
      <c r="AB823" s="203"/>
      <c r="AC823" s="69"/>
      <c r="AD823" s="69"/>
      <c r="AE823" s="203"/>
      <c r="AF823" s="69"/>
      <c r="AG823" s="69"/>
      <c r="AH823" s="69"/>
      <c r="AI823" s="69"/>
      <c r="AJ823" s="69"/>
      <c r="AK823" s="69"/>
      <c r="AL823" s="69"/>
      <c r="AM823" s="69"/>
      <c r="AN823" s="69"/>
      <c r="AO823" s="69"/>
      <c r="AP823" s="69"/>
      <c r="AQ823" s="69"/>
      <c r="AR823" s="69"/>
      <c r="AS823" s="69"/>
      <c r="AT823" s="69"/>
      <c r="AU823" s="69"/>
      <c r="AV823" s="69"/>
      <c r="AW823" s="69"/>
      <c r="AX823" s="69"/>
      <c r="AY823" s="69"/>
      <c r="AZ823" s="69"/>
      <c r="BA823" s="69"/>
      <c r="BB823" s="69"/>
      <c r="BC823" s="69"/>
      <c r="BD823" s="69"/>
      <c r="BE823" s="69"/>
      <c r="BF823" s="69"/>
      <c r="BG823" s="69"/>
      <c r="BH823" s="69"/>
      <c r="BI823" s="69"/>
      <c r="BJ823" s="69"/>
      <c r="BK823" s="69"/>
      <c r="BL823" s="69"/>
      <c r="BM823" s="69"/>
      <c r="BN823" s="69"/>
      <c r="BO823" s="69"/>
      <c r="BP823" s="69"/>
      <c r="BQ823" s="69"/>
      <c r="BR823" s="69"/>
      <c r="BS823" s="69"/>
      <c r="BT823" s="69"/>
      <c r="BU823" s="69"/>
      <c r="BV823" s="69"/>
      <c r="BW823" s="69"/>
      <c r="BX823" s="69"/>
      <c r="BY823" s="69"/>
      <c r="BZ823" s="69"/>
      <c r="CA823" s="69"/>
      <c r="CB823" s="69"/>
      <c r="CC823" s="69"/>
      <c r="CD823" s="69"/>
      <c r="CE823" s="69"/>
      <c r="CF823" s="69"/>
      <c r="CG823" s="69"/>
      <c r="CH823" s="69"/>
      <c r="CI823" s="69"/>
      <c r="CJ823" s="69"/>
      <c r="CK823" s="69"/>
      <c r="CL823" s="69"/>
      <c r="CM823" s="69"/>
      <c r="CN823" s="69"/>
      <c r="CO823" s="69"/>
      <c r="CP823" s="69"/>
      <c r="CQ823" s="69"/>
      <c r="CR823" s="69"/>
      <c r="CS823" s="69"/>
      <c r="CT823" s="69"/>
      <c r="CU823" s="69"/>
      <c r="CV823" s="69"/>
      <c r="CW823" s="69"/>
      <c r="CX823" s="69"/>
      <c r="CY823" s="69"/>
      <c r="CZ823" s="69"/>
      <c r="DA823" s="69"/>
      <c r="DB823" s="69"/>
      <c r="DC823" s="69"/>
      <c r="DD823" s="69"/>
      <c r="DE823" s="69"/>
      <c r="DF823" s="69"/>
      <c r="DG823" s="69"/>
      <c r="DH823" s="69"/>
      <c r="DI823" s="69"/>
      <c r="DJ823" s="69"/>
      <c r="DK823" s="69"/>
      <c r="DL823" s="69"/>
    </row>
    <row r="824" spans="1:116" ht="13" x14ac:dyDescent="0.3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202"/>
      <c r="V824" s="69"/>
      <c r="W824" s="69"/>
      <c r="X824" s="69"/>
      <c r="Y824" s="69"/>
      <c r="Z824" s="69"/>
      <c r="AA824" s="69"/>
      <c r="AB824" s="203"/>
      <c r="AC824" s="69"/>
      <c r="AD824" s="69"/>
      <c r="AE824" s="203"/>
      <c r="AF824" s="69"/>
      <c r="AG824" s="69"/>
      <c r="AH824" s="69"/>
      <c r="AI824" s="69"/>
      <c r="AJ824" s="69"/>
      <c r="AK824" s="69"/>
      <c r="AL824" s="69"/>
      <c r="AM824" s="69"/>
      <c r="AN824" s="69"/>
      <c r="AO824" s="69"/>
      <c r="AP824" s="69"/>
      <c r="AQ824" s="69"/>
      <c r="AR824" s="69"/>
      <c r="AS824" s="69"/>
      <c r="AT824" s="69"/>
      <c r="AU824" s="69"/>
      <c r="AV824" s="69"/>
      <c r="AW824" s="69"/>
      <c r="AX824" s="69"/>
      <c r="AY824" s="69"/>
      <c r="AZ824" s="69"/>
      <c r="BA824" s="69"/>
      <c r="BB824" s="69"/>
      <c r="BC824" s="69"/>
      <c r="BD824" s="69"/>
      <c r="BE824" s="69"/>
      <c r="BF824" s="69"/>
      <c r="BG824" s="69"/>
      <c r="BH824" s="69"/>
      <c r="BI824" s="69"/>
      <c r="BJ824" s="69"/>
      <c r="BK824" s="69"/>
      <c r="BL824" s="69"/>
      <c r="BM824" s="69"/>
      <c r="BN824" s="69"/>
      <c r="BO824" s="69"/>
      <c r="BP824" s="69"/>
      <c r="BQ824" s="69"/>
      <c r="BR824" s="69"/>
      <c r="BS824" s="69"/>
      <c r="BT824" s="69"/>
      <c r="BU824" s="69"/>
      <c r="BV824" s="69"/>
      <c r="BW824" s="69"/>
      <c r="BX824" s="69"/>
      <c r="BY824" s="69"/>
      <c r="BZ824" s="69"/>
      <c r="CA824" s="69"/>
      <c r="CB824" s="69"/>
      <c r="CC824" s="69"/>
      <c r="CD824" s="69"/>
      <c r="CE824" s="69"/>
      <c r="CF824" s="69"/>
      <c r="CG824" s="69"/>
      <c r="CH824" s="69"/>
      <c r="CI824" s="69"/>
      <c r="CJ824" s="69"/>
      <c r="CK824" s="69"/>
      <c r="CL824" s="69"/>
      <c r="CM824" s="69"/>
      <c r="CN824" s="69"/>
      <c r="CO824" s="69"/>
      <c r="CP824" s="69"/>
      <c r="CQ824" s="69"/>
      <c r="CR824" s="69"/>
      <c r="CS824" s="69"/>
      <c r="CT824" s="69"/>
      <c r="CU824" s="69"/>
      <c r="CV824" s="69"/>
      <c r="CW824" s="69"/>
      <c r="CX824" s="69"/>
      <c r="CY824" s="69"/>
      <c r="CZ824" s="69"/>
      <c r="DA824" s="69"/>
      <c r="DB824" s="69"/>
      <c r="DC824" s="69"/>
      <c r="DD824" s="69"/>
      <c r="DE824" s="69"/>
      <c r="DF824" s="69"/>
      <c r="DG824" s="69"/>
      <c r="DH824" s="69"/>
      <c r="DI824" s="69"/>
      <c r="DJ824" s="69"/>
      <c r="DK824" s="69"/>
      <c r="DL824" s="69"/>
    </row>
    <row r="825" spans="1:116" ht="13" x14ac:dyDescent="0.3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202"/>
      <c r="V825" s="69"/>
      <c r="W825" s="69"/>
      <c r="X825" s="69"/>
      <c r="Y825" s="69"/>
      <c r="Z825" s="69"/>
      <c r="AA825" s="69"/>
      <c r="AB825" s="203"/>
      <c r="AC825" s="69"/>
      <c r="AD825" s="69"/>
      <c r="AE825" s="203"/>
      <c r="AF825" s="69"/>
      <c r="AG825" s="69"/>
      <c r="AH825" s="69"/>
      <c r="AI825" s="69"/>
      <c r="AJ825" s="69"/>
      <c r="AK825" s="69"/>
      <c r="AL825" s="69"/>
      <c r="AM825" s="69"/>
      <c r="AN825" s="69"/>
      <c r="AO825" s="69"/>
      <c r="AP825" s="69"/>
      <c r="AQ825" s="69"/>
      <c r="AR825" s="69"/>
      <c r="AS825" s="69"/>
      <c r="AT825" s="69"/>
      <c r="AU825" s="69"/>
      <c r="AV825" s="69"/>
      <c r="AW825" s="69"/>
      <c r="AX825" s="69"/>
      <c r="AY825" s="69"/>
      <c r="AZ825" s="69"/>
      <c r="BA825" s="69"/>
      <c r="BB825" s="69"/>
      <c r="BC825" s="69"/>
      <c r="BD825" s="69"/>
      <c r="BE825" s="69"/>
      <c r="BF825" s="69"/>
      <c r="BG825" s="69"/>
      <c r="BH825" s="69"/>
      <c r="BI825" s="69"/>
      <c r="BJ825" s="69"/>
      <c r="BK825" s="69"/>
      <c r="BL825" s="69"/>
      <c r="BM825" s="69"/>
      <c r="BN825" s="69"/>
      <c r="BO825" s="69"/>
      <c r="BP825" s="69"/>
      <c r="BQ825" s="69"/>
      <c r="BR825" s="69"/>
      <c r="BS825" s="69"/>
      <c r="BT825" s="69"/>
      <c r="BU825" s="69"/>
      <c r="BV825" s="69"/>
      <c r="BW825" s="69"/>
      <c r="BX825" s="69"/>
      <c r="BY825" s="69"/>
      <c r="BZ825" s="69"/>
      <c r="CA825" s="69"/>
      <c r="CB825" s="69"/>
      <c r="CC825" s="69"/>
      <c r="CD825" s="69"/>
      <c r="CE825" s="69"/>
      <c r="CF825" s="69"/>
      <c r="CG825" s="69"/>
      <c r="CH825" s="69"/>
      <c r="CI825" s="69"/>
      <c r="CJ825" s="69"/>
      <c r="CK825" s="69"/>
      <c r="CL825" s="69"/>
      <c r="CM825" s="69"/>
      <c r="CN825" s="69"/>
      <c r="CO825" s="69"/>
      <c r="CP825" s="69"/>
      <c r="CQ825" s="69"/>
      <c r="CR825" s="69"/>
      <c r="CS825" s="69"/>
      <c r="CT825" s="69"/>
      <c r="CU825" s="69"/>
      <c r="CV825" s="69"/>
      <c r="CW825" s="69"/>
      <c r="CX825" s="69"/>
      <c r="CY825" s="69"/>
      <c r="CZ825" s="69"/>
      <c r="DA825" s="69"/>
      <c r="DB825" s="69"/>
      <c r="DC825" s="69"/>
      <c r="DD825" s="69"/>
      <c r="DE825" s="69"/>
      <c r="DF825" s="69"/>
      <c r="DG825" s="69"/>
      <c r="DH825" s="69"/>
      <c r="DI825" s="69"/>
      <c r="DJ825" s="69"/>
      <c r="DK825" s="69"/>
      <c r="DL825" s="69"/>
    </row>
    <row r="826" spans="1:116" ht="13" x14ac:dyDescent="0.3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202"/>
      <c r="V826" s="69"/>
      <c r="W826" s="69"/>
      <c r="X826" s="69"/>
      <c r="Y826" s="69"/>
      <c r="Z826" s="69"/>
      <c r="AA826" s="69"/>
      <c r="AB826" s="203"/>
      <c r="AC826" s="69"/>
      <c r="AD826" s="69"/>
      <c r="AE826" s="203"/>
      <c r="AF826" s="69"/>
      <c r="AG826" s="69"/>
      <c r="AH826" s="69"/>
      <c r="AI826" s="69"/>
      <c r="AJ826" s="69"/>
      <c r="AK826" s="69"/>
      <c r="AL826" s="69"/>
      <c r="AM826" s="69"/>
      <c r="AN826" s="69"/>
      <c r="AO826" s="69"/>
      <c r="AP826" s="69"/>
      <c r="AQ826" s="69"/>
      <c r="AR826" s="69"/>
      <c r="AS826" s="69"/>
      <c r="AT826" s="69"/>
      <c r="AU826" s="69"/>
      <c r="AV826" s="69"/>
      <c r="AW826" s="69"/>
      <c r="AX826" s="69"/>
      <c r="AY826" s="69"/>
      <c r="AZ826" s="69"/>
      <c r="BA826" s="69"/>
      <c r="BB826" s="69"/>
      <c r="BC826" s="69"/>
      <c r="BD826" s="69"/>
      <c r="BE826" s="69"/>
      <c r="BF826" s="69"/>
      <c r="BG826" s="69"/>
      <c r="BH826" s="69"/>
      <c r="BI826" s="69"/>
      <c r="BJ826" s="69"/>
      <c r="BK826" s="69"/>
      <c r="BL826" s="69"/>
      <c r="BM826" s="69"/>
      <c r="BN826" s="69"/>
      <c r="BO826" s="69"/>
      <c r="BP826" s="69"/>
      <c r="BQ826" s="69"/>
      <c r="BR826" s="69"/>
      <c r="BS826" s="69"/>
      <c r="BT826" s="69"/>
      <c r="BU826" s="69"/>
      <c r="BV826" s="69"/>
      <c r="BW826" s="69"/>
      <c r="BX826" s="69"/>
      <c r="BY826" s="69"/>
      <c r="BZ826" s="69"/>
      <c r="CA826" s="69"/>
      <c r="CB826" s="69"/>
      <c r="CC826" s="69"/>
      <c r="CD826" s="69"/>
      <c r="CE826" s="69"/>
      <c r="CF826" s="69"/>
      <c r="CG826" s="69"/>
      <c r="CH826" s="69"/>
      <c r="CI826" s="69"/>
      <c r="CJ826" s="69"/>
      <c r="CK826" s="69"/>
      <c r="CL826" s="69"/>
      <c r="CM826" s="69"/>
      <c r="CN826" s="69"/>
      <c r="CO826" s="69"/>
      <c r="CP826" s="69"/>
      <c r="CQ826" s="69"/>
      <c r="CR826" s="69"/>
      <c r="CS826" s="69"/>
      <c r="CT826" s="69"/>
      <c r="CU826" s="69"/>
      <c r="CV826" s="69"/>
      <c r="CW826" s="69"/>
      <c r="CX826" s="69"/>
      <c r="CY826" s="69"/>
      <c r="CZ826" s="69"/>
      <c r="DA826" s="69"/>
      <c r="DB826" s="69"/>
      <c r="DC826" s="69"/>
      <c r="DD826" s="69"/>
      <c r="DE826" s="69"/>
      <c r="DF826" s="69"/>
      <c r="DG826" s="69"/>
      <c r="DH826" s="69"/>
      <c r="DI826" s="69"/>
      <c r="DJ826" s="69"/>
      <c r="DK826" s="69"/>
      <c r="DL826" s="69"/>
    </row>
    <row r="827" spans="1:116" ht="13" x14ac:dyDescent="0.3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202"/>
      <c r="V827" s="69"/>
      <c r="W827" s="69"/>
      <c r="X827" s="69"/>
      <c r="Y827" s="69"/>
      <c r="Z827" s="69"/>
      <c r="AA827" s="69"/>
      <c r="AB827" s="203"/>
      <c r="AC827" s="69"/>
      <c r="AD827" s="69"/>
      <c r="AE827" s="203"/>
      <c r="AF827" s="69"/>
      <c r="AG827" s="69"/>
      <c r="AH827" s="69"/>
      <c r="AI827" s="69"/>
      <c r="AJ827" s="69"/>
      <c r="AK827" s="69"/>
      <c r="AL827" s="69"/>
      <c r="AM827" s="69"/>
      <c r="AN827" s="69"/>
      <c r="AO827" s="69"/>
      <c r="AP827" s="69"/>
      <c r="AQ827" s="69"/>
      <c r="AR827" s="69"/>
      <c r="AS827" s="69"/>
      <c r="AT827" s="69"/>
      <c r="AU827" s="69"/>
      <c r="AV827" s="69"/>
      <c r="AW827" s="69"/>
      <c r="AX827" s="69"/>
      <c r="AY827" s="69"/>
      <c r="AZ827" s="69"/>
      <c r="BA827" s="69"/>
      <c r="BB827" s="69"/>
      <c r="BC827" s="69"/>
      <c r="BD827" s="69"/>
      <c r="BE827" s="69"/>
      <c r="BF827" s="69"/>
      <c r="BG827" s="69"/>
      <c r="BH827" s="69"/>
      <c r="BI827" s="69"/>
      <c r="BJ827" s="69"/>
      <c r="BK827" s="69"/>
      <c r="BL827" s="69"/>
      <c r="BM827" s="69"/>
      <c r="BN827" s="69"/>
      <c r="BO827" s="69"/>
      <c r="BP827" s="69"/>
      <c r="BQ827" s="69"/>
      <c r="BR827" s="69"/>
      <c r="BS827" s="69"/>
      <c r="BT827" s="69"/>
      <c r="BU827" s="69"/>
      <c r="BV827" s="69"/>
      <c r="BW827" s="69"/>
      <c r="BX827" s="69"/>
      <c r="BY827" s="69"/>
      <c r="BZ827" s="69"/>
      <c r="CA827" s="69"/>
      <c r="CB827" s="69"/>
      <c r="CC827" s="69"/>
      <c r="CD827" s="69"/>
      <c r="CE827" s="69"/>
      <c r="CF827" s="69"/>
      <c r="CG827" s="69"/>
      <c r="CH827" s="69"/>
      <c r="CI827" s="69"/>
      <c r="CJ827" s="69"/>
      <c r="CK827" s="69"/>
      <c r="CL827" s="69"/>
      <c r="CM827" s="69"/>
      <c r="CN827" s="69"/>
      <c r="CO827" s="69"/>
      <c r="CP827" s="69"/>
      <c r="CQ827" s="69"/>
      <c r="CR827" s="69"/>
      <c r="CS827" s="69"/>
      <c r="CT827" s="69"/>
      <c r="CU827" s="69"/>
      <c r="CV827" s="69"/>
      <c r="CW827" s="69"/>
      <c r="CX827" s="69"/>
      <c r="CY827" s="69"/>
      <c r="CZ827" s="69"/>
      <c r="DA827" s="69"/>
      <c r="DB827" s="69"/>
      <c r="DC827" s="69"/>
      <c r="DD827" s="69"/>
      <c r="DE827" s="69"/>
      <c r="DF827" s="69"/>
      <c r="DG827" s="69"/>
      <c r="DH827" s="69"/>
      <c r="DI827" s="69"/>
      <c r="DJ827" s="69"/>
      <c r="DK827" s="69"/>
      <c r="DL827" s="69"/>
    </row>
    <row r="828" spans="1:116" ht="13" x14ac:dyDescent="0.3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202"/>
      <c r="V828" s="69"/>
      <c r="W828" s="69"/>
      <c r="X828" s="69"/>
      <c r="Y828" s="69"/>
      <c r="Z828" s="69"/>
      <c r="AA828" s="69"/>
      <c r="AB828" s="203"/>
      <c r="AC828" s="69"/>
      <c r="AD828" s="69"/>
      <c r="AE828" s="203"/>
      <c r="AF828" s="69"/>
      <c r="AG828" s="69"/>
      <c r="AH828" s="69"/>
      <c r="AI828" s="69"/>
      <c r="AJ828" s="69"/>
      <c r="AK828" s="69"/>
      <c r="AL828" s="69"/>
      <c r="AM828" s="69"/>
      <c r="AN828" s="69"/>
      <c r="AO828" s="69"/>
      <c r="AP828" s="69"/>
      <c r="AQ828" s="69"/>
      <c r="AR828" s="69"/>
      <c r="AS828" s="69"/>
      <c r="AT828" s="69"/>
      <c r="AU828" s="69"/>
      <c r="AV828" s="69"/>
      <c r="AW828" s="69"/>
      <c r="AX828" s="69"/>
      <c r="AY828" s="69"/>
      <c r="AZ828" s="69"/>
      <c r="BA828" s="69"/>
      <c r="BB828" s="69"/>
      <c r="BC828" s="69"/>
      <c r="BD828" s="69"/>
      <c r="BE828" s="69"/>
      <c r="BF828" s="69"/>
      <c r="BG828" s="69"/>
      <c r="BH828" s="69"/>
      <c r="BI828" s="69"/>
      <c r="BJ828" s="69"/>
      <c r="BK828" s="69"/>
      <c r="BL828" s="69"/>
      <c r="BM828" s="69"/>
      <c r="BN828" s="69"/>
      <c r="BO828" s="69"/>
      <c r="BP828" s="69"/>
      <c r="BQ828" s="69"/>
      <c r="BR828" s="69"/>
      <c r="BS828" s="69"/>
      <c r="BT828" s="69"/>
      <c r="BU828" s="69"/>
      <c r="BV828" s="69"/>
      <c r="BW828" s="69"/>
      <c r="BX828" s="69"/>
      <c r="BY828" s="69"/>
      <c r="BZ828" s="69"/>
      <c r="CA828" s="69"/>
      <c r="CB828" s="69"/>
      <c r="CC828" s="69"/>
      <c r="CD828" s="69"/>
      <c r="CE828" s="69"/>
      <c r="CF828" s="69"/>
      <c r="CG828" s="69"/>
      <c r="CH828" s="69"/>
      <c r="CI828" s="69"/>
      <c r="CJ828" s="69"/>
      <c r="CK828" s="69"/>
      <c r="CL828" s="69"/>
      <c r="CM828" s="69"/>
      <c r="CN828" s="69"/>
      <c r="CO828" s="69"/>
      <c r="CP828" s="69"/>
      <c r="CQ828" s="69"/>
      <c r="CR828" s="69"/>
      <c r="CS828" s="69"/>
      <c r="CT828" s="69"/>
      <c r="CU828" s="69"/>
      <c r="CV828" s="69"/>
      <c r="CW828" s="69"/>
      <c r="CX828" s="69"/>
      <c r="CY828" s="69"/>
      <c r="CZ828" s="69"/>
      <c r="DA828" s="69"/>
      <c r="DB828" s="69"/>
      <c r="DC828" s="69"/>
      <c r="DD828" s="69"/>
      <c r="DE828" s="69"/>
      <c r="DF828" s="69"/>
      <c r="DG828" s="69"/>
      <c r="DH828" s="69"/>
      <c r="DI828" s="69"/>
      <c r="DJ828" s="69"/>
      <c r="DK828" s="69"/>
      <c r="DL828" s="69"/>
    </row>
    <row r="829" spans="1:116" ht="13" x14ac:dyDescent="0.3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202"/>
      <c r="V829" s="69"/>
      <c r="W829" s="69"/>
      <c r="X829" s="69"/>
      <c r="Y829" s="69"/>
      <c r="Z829" s="69"/>
      <c r="AA829" s="69"/>
      <c r="AB829" s="203"/>
      <c r="AC829" s="69"/>
      <c r="AD829" s="69"/>
      <c r="AE829" s="203"/>
      <c r="AF829" s="69"/>
      <c r="AG829" s="69"/>
      <c r="AH829" s="69"/>
      <c r="AI829" s="69"/>
      <c r="AJ829" s="69"/>
      <c r="AK829" s="69"/>
      <c r="AL829" s="69"/>
      <c r="AM829" s="69"/>
      <c r="AN829" s="69"/>
      <c r="AO829" s="69"/>
      <c r="AP829" s="69"/>
      <c r="AQ829" s="69"/>
      <c r="AR829" s="69"/>
      <c r="AS829" s="69"/>
      <c r="AT829" s="69"/>
      <c r="AU829" s="69"/>
      <c r="AV829" s="69"/>
      <c r="AW829" s="69"/>
      <c r="AX829" s="69"/>
      <c r="AY829" s="69"/>
      <c r="AZ829" s="69"/>
      <c r="BA829" s="69"/>
      <c r="BB829" s="69"/>
      <c r="BC829" s="69"/>
      <c r="BD829" s="69"/>
      <c r="BE829" s="69"/>
      <c r="BF829" s="69"/>
      <c r="BG829" s="69"/>
      <c r="BH829" s="69"/>
      <c r="BI829" s="69"/>
      <c r="BJ829" s="69"/>
      <c r="BK829" s="69"/>
      <c r="BL829" s="69"/>
      <c r="BM829" s="69"/>
      <c r="BN829" s="69"/>
      <c r="BO829" s="69"/>
      <c r="BP829" s="69"/>
      <c r="BQ829" s="69"/>
      <c r="BR829" s="69"/>
      <c r="BS829" s="69"/>
      <c r="BT829" s="69"/>
      <c r="BU829" s="69"/>
      <c r="BV829" s="69"/>
      <c r="BW829" s="69"/>
      <c r="BX829" s="69"/>
      <c r="BY829" s="69"/>
      <c r="BZ829" s="69"/>
      <c r="CA829" s="69"/>
      <c r="CB829" s="69"/>
      <c r="CC829" s="69"/>
      <c r="CD829" s="69"/>
      <c r="CE829" s="69"/>
      <c r="CF829" s="69"/>
      <c r="CG829" s="69"/>
      <c r="CH829" s="69"/>
      <c r="CI829" s="69"/>
      <c r="CJ829" s="69"/>
      <c r="CK829" s="69"/>
      <c r="CL829" s="69"/>
      <c r="CM829" s="69"/>
      <c r="CN829" s="69"/>
      <c r="CO829" s="69"/>
      <c r="CP829" s="69"/>
      <c r="CQ829" s="69"/>
      <c r="CR829" s="69"/>
      <c r="CS829" s="69"/>
      <c r="CT829" s="69"/>
      <c r="CU829" s="69"/>
      <c r="CV829" s="69"/>
      <c r="CW829" s="69"/>
      <c r="CX829" s="69"/>
      <c r="CY829" s="69"/>
      <c r="CZ829" s="69"/>
      <c r="DA829" s="69"/>
      <c r="DB829" s="69"/>
      <c r="DC829" s="69"/>
      <c r="DD829" s="69"/>
      <c r="DE829" s="69"/>
      <c r="DF829" s="69"/>
      <c r="DG829" s="69"/>
      <c r="DH829" s="69"/>
      <c r="DI829" s="69"/>
      <c r="DJ829" s="69"/>
      <c r="DK829" s="69"/>
      <c r="DL829" s="69"/>
    </row>
    <row r="830" spans="1:116" ht="13" x14ac:dyDescent="0.3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202"/>
      <c r="V830" s="69"/>
      <c r="W830" s="69"/>
      <c r="X830" s="69"/>
      <c r="Y830" s="69"/>
      <c r="Z830" s="69"/>
      <c r="AA830" s="69"/>
      <c r="AB830" s="203"/>
      <c r="AC830" s="69"/>
      <c r="AD830" s="69"/>
      <c r="AE830" s="203"/>
      <c r="AF830" s="69"/>
      <c r="AG830" s="69"/>
      <c r="AH830" s="69"/>
      <c r="AI830" s="69"/>
      <c r="AJ830" s="69"/>
      <c r="AK830" s="69"/>
      <c r="AL830" s="69"/>
      <c r="AM830" s="69"/>
      <c r="AN830" s="69"/>
      <c r="AO830" s="69"/>
      <c r="AP830" s="69"/>
      <c r="AQ830" s="69"/>
      <c r="AR830" s="69"/>
      <c r="AS830" s="69"/>
      <c r="AT830" s="69"/>
      <c r="AU830" s="69"/>
      <c r="AV830" s="69"/>
      <c r="AW830" s="69"/>
      <c r="AX830" s="69"/>
      <c r="AY830" s="69"/>
      <c r="AZ830" s="69"/>
      <c r="BA830" s="69"/>
      <c r="BB830" s="69"/>
      <c r="BC830" s="69"/>
      <c r="BD830" s="69"/>
      <c r="BE830" s="69"/>
      <c r="BF830" s="69"/>
      <c r="BG830" s="69"/>
      <c r="BH830" s="69"/>
      <c r="BI830" s="69"/>
      <c r="BJ830" s="69"/>
      <c r="BK830" s="69"/>
      <c r="BL830" s="69"/>
      <c r="BM830" s="69"/>
      <c r="BN830" s="69"/>
      <c r="BO830" s="69"/>
      <c r="BP830" s="69"/>
      <c r="BQ830" s="69"/>
      <c r="BR830" s="69"/>
      <c r="BS830" s="69"/>
      <c r="BT830" s="69"/>
      <c r="BU830" s="69"/>
      <c r="BV830" s="69"/>
      <c r="BW830" s="69"/>
      <c r="BX830" s="69"/>
      <c r="BY830" s="69"/>
      <c r="BZ830" s="69"/>
      <c r="CA830" s="69"/>
      <c r="CB830" s="69"/>
      <c r="CC830" s="69"/>
      <c r="CD830" s="69"/>
      <c r="CE830" s="69"/>
      <c r="CF830" s="69"/>
      <c r="CG830" s="69"/>
      <c r="CH830" s="69"/>
      <c r="CI830" s="69"/>
      <c r="CJ830" s="69"/>
      <c r="CK830" s="69"/>
      <c r="CL830" s="69"/>
      <c r="CM830" s="69"/>
      <c r="CN830" s="69"/>
      <c r="CO830" s="69"/>
      <c r="CP830" s="69"/>
      <c r="CQ830" s="69"/>
      <c r="CR830" s="69"/>
      <c r="CS830" s="69"/>
      <c r="CT830" s="69"/>
      <c r="CU830" s="69"/>
      <c r="CV830" s="69"/>
      <c r="CW830" s="69"/>
      <c r="CX830" s="69"/>
      <c r="CY830" s="69"/>
      <c r="CZ830" s="69"/>
      <c r="DA830" s="69"/>
      <c r="DB830" s="69"/>
      <c r="DC830" s="69"/>
      <c r="DD830" s="69"/>
      <c r="DE830" s="69"/>
      <c r="DF830" s="69"/>
      <c r="DG830" s="69"/>
      <c r="DH830" s="69"/>
      <c r="DI830" s="69"/>
      <c r="DJ830" s="69"/>
      <c r="DK830" s="69"/>
      <c r="DL830" s="69"/>
    </row>
    <row r="831" spans="1:116" ht="13" x14ac:dyDescent="0.3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202"/>
      <c r="V831" s="69"/>
      <c r="W831" s="69"/>
      <c r="X831" s="69"/>
      <c r="Y831" s="69"/>
      <c r="Z831" s="69"/>
      <c r="AA831" s="69"/>
      <c r="AB831" s="203"/>
      <c r="AC831" s="69"/>
      <c r="AD831" s="69"/>
      <c r="AE831" s="203"/>
      <c r="AF831" s="69"/>
      <c r="AG831" s="69"/>
      <c r="AH831" s="69"/>
      <c r="AI831" s="69"/>
      <c r="AJ831" s="69"/>
      <c r="AK831" s="69"/>
      <c r="AL831" s="69"/>
      <c r="AM831" s="69"/>
      <c r="AN831" s="69"/>
      <c r="AO831" s="69"/>
      <c r="AP831" s="69"/>
      <c r="AQ831" s="69"/>
      <c r="AR831" s="69"/>
      <c r="AS831" s="69"/>
      <c r="AT831" s="69"/>
      <c r="AU831" s="69"/>
      <c r="AV831" s="69"/>
      <c r="AW831" s="69"/>
      <c r="AX831" s="69"/>
      <c r="AY831" s="69"/>
      <c r="AZ831" s="69"/>
      <c r="BA831" s="69"/>
      <c r="BB831" s="69"/>
      <c r="BC831" s="69"/>
      <c r="BD831" s="69"/>
      <c r="BE831" s="69"/>
      <c r="BF831" s="69"/>
      <c r="BG831" s="69"/>
      <c r="BH831" s="69"/>
      <c r="BI831" s="69"/>
      <c r="BJ831" s="69"/>
      <c r="BK831" s="69"/>
      <c r="BL831" s="69"/>
      <c r="BM831" s="69"/>
      <c r="BN831" s="69"/>
      <c r="BO831" s="69"/>
      <c r="BP831" s="69"/>
      <c r="BQ831" s="69"/>
      <c r="BR831" s="69"/>
      <c r="BS831" s="69"/>
      <c r="BT831" s="69"/>
      <c r="BU831" s="69"/>
      <c r="BV831" s="69"/>
      <c r="BW831" s="69"/>
      <c r="BX831" s="69"/>
      <c r="BY831" s="69"/>
      <c r="BZ831" s="69"/>
      <c r="CA831" s="69"/>
      <c r="CB831" s="69"/>
      <c r="CC831" s="69"/>
      <c r="CD831" s="69"/>
      <c r="CE831" s="69"/>
      <c r="CF831" s="69"/>
      <c r="CG831" s="69"/>
      <c r="CH831" s="69"/>
      <c r="CI831" s="69"/>
      <c r="CJ831" s="69"/>
      <c r="CK831" s="69"/>
      <c r="CL831" s="69"/>
      <c r="CM831" s="69"/>
      <c r="CN831" s="69"/>
      <c r="CO831" s="69"/>
      <c r="CP831" s="69"/>
      <c r="CQ831" s="69"/>
      <c r="CR831" s="69"/>
      <c r="CS831" s="69"/>
      <c r="CT831" s="69"/>
      <c r="CU831" s="69"/>
      <c r="CV831" s="69"/>
      <c r="CW831" s="69"/>
      <c r="CX831" s="69"/>
      <c r="CY831" s="69"/>
      <c r="CZ831" s="69"/>
      <c r="DA831" s="69"/>
      <c r="DB831" s="69"/>
      <c r="DC831" s="69"/>
      <c r="DD831" s="69"/>
      <c r="DE831" s="69"/>
      <c r="DF831" s="69"/>
      <c r="DG831" s="69"/>
      <c r="DH831" s="69"/>
      <c r="DI831" s="69"/>
      <c r="DJ831" s="69"/>
      <c r="DK831" s="69"/>
      <c r="DL831" s="69"/>
    </row>
    <row r="832" spans="1:116" ht="13" x14ac:dyDescent="0.3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202"/>
      <c r="V832" s="69"/>
      <c r="W832" s="69"/>
      <c r="X832" s="69"/>
      <c r="Y832" s="69"/>
      <c r="Z832" s="69"/>
      <c r="AA832" s="69"/>
      <c r="AB832" s="203"/>
      <c r="AC832" s="69"/>
      <c r="AD832" s="69"/>
      <c r="AE832" s="203"/>
      <c r="AF832" s="69"/>
      <c r="AG832" s="69"/>
      <c r="AH832" s="69"/>
      <c r="AI832" s="69"/>
      <c r="AJ832" s="69"/>
      <c r="AK832" s="69"/>
      <c r="AL832" s="69"/>
      <c r="AM832" s="69"/>
      <c r="AN832" s="69"/>
      <c r="AO832" s="69"/>
      <c r="AP832" s="69"/>
      <c r="AQ832" s="69"/>
      <c r="AR832" s="69"/>
      <c r="AS832" s="69"/>
      <c r="AT832" s="69"/>
      <c r="AU832" s="69"/>
      <c r="AV832" s="69"/>
      <c r="AW832" s="69"/>
      <c r="AX832" s="69"/>
      <c r="AY832" s="69"/>
      <c r="AZ832" s="69"/>
      <c r="BA832" s="69"/>
      <c r="BB832" s="69"/>
      <c r="BC832" s="69"/>
      <c r="BD832" s="69"/>
      <c r="BE832" s="69"/>
      <c r="BF832" s="69"/>
      <c r="BG832" s="69"/>
      <c r="BH832" s="69"/>
      <c r="BI832" s="69"/>
      <c r="BJ832" s="69"/>
      <c r="BK832" s="69"/>
      <c r="BL832" s="69"/>
      <c r="BM832" s="69"/>
      <c r="BN832" s="69"/>
      <c r="BO832" s="69"/>
      <c r="BP832" s="69"/>
      <c r="BQ832" s="69"/>
      <c r="BR832" s="69"/>
      <c r="BS832" s="69"/>
      <c r="BT832" s="69"/>
      <c r="BU832" s="69"/>
      <c r="BV832" s="69"/>
      <c r="BW832" s="69"/>
      <c r="BX832" s="69"/>
      <c r="BY832" s="69"/>
      <c r="BZ832" s="69"/>
      <c r="CA832" s="69"/>
      <c r="CB832" s="69"/>
      <c r="CC832" s="69"/>
      <c r="CD832" s="69"/>
      <c r="CE832" s="69"/>
      <c r="CF832" s="69"/>
      <c r="CG832" s="69"/>
      <c r="CH832" s="69"/>
      <c r="CI832" s="69"/>
      <c r="CJ832" s="69"/>
      <c r="CK832" s="69"/>
      <c r="CL832" s="69"/>
      <c r="CM832" s="69"/>
      <c r="CN832" s="69"/>
      <c r="CO832" s="69"/>
      <c r="CP832" s="69"/>
      <c r="CQ832" s="69"/>
      <c r="CR832" s="69"/>
      <c r="CS832" s="69"/>
      <c r="CT832" s="69"/>
      <c r="CU832" s="69"/>
      <c r="CV832" s="69"/>
      <c r="CW832" s="69"/>
      <c r="CX832" s="69"/>
      <c r="CY832" s="69"/>
      <c r="CZ832" s="69"/>
      <c r="DA832" s="69"/>
      <c r="DB832" s="69"/>
      <c r="DC832" s="69"/>
      <c r="DD832" s="69"/>
      <c r="DE832" s="69"/>
      <c r="DF832" s="69"/>
      <c r="DG832" s="69"/>
      <c r="DH832" s="69"/>
      <c r="DI832" s="69"/>
      <c r="DJ832" s="69"/>
      <c r="DK832" s="69"/>
      <c r="DL832" s="69"/>
    </row>
    <row r="833" spans="1:116" ht="13" x14ac:dyDescent="0.3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202"/>
      <c r="V833" s="69"/>
      <c r="W833" s="69"/>
      <c r="X833" s="69"/>
      <c r="Y833" s="69"/>
      <c r="Z833" s="69"/>
      <c r="AA833" s="69"/>
      <c r="AB833" s="203"/>
      <c r="AC833" s="69"/>
      <c r="AD833" s="69"/>
      <c r="AE833" s="203"/>
      <c r="AF833" s="69"/>
      <c r="AG833" s="69"/>
      <c r="AH833" s="69"/>
      <c r="AI833" s="69"/>
      <c r="AJ833" s="69"/>
      <c r="AK833" s="69"/>
      <c r="AL833" s="69"/>
      <c r="AM833" s="69"/>
      <c r="AN833" s="69"/>
      <c r="AO833" s="69"/>
      <c r="AP833" s="69"/>
      <c r="AQ833" s="69"/>
      <c r="AR833" s="69"/>
      <c r="AS833" s="69"/>
      <c r="AT833" s="69"/>
      <c r="AU833" s="69"/>
      <c r="AV833" s="69"/>
      <c r="AW833" s="69"/>
      <c r="AX833" s="69"/>
      <c r="AY833" s="69"/>
      <c r="AZ833" s="69"/>
      <c r="BA833" s="69"/>
      <c r="BB833" s="69"/>
      <c r="BC833" s="69"/>
      <c r="BD833" s="69"/>
      <c r="BE833" s="69"/>
      <c r="BF833" s="69"/>
      <c r="BG833" s="69"/>
      <c r="BH833" s="69"/>
      <c r="BI833" s="69"/>
      <c r="BJ833" s="69"/>
      <c r="BK833" s="69"/>
      <c r="BL833" s="69"/>
      <c r="BM833" s="69"/>
      <c r="BN833" s="69"/>
      <c r="BO833" s="69"/>
      <c r="BP833" s="69"/>
      <c r="BQ833" s="69"/>
      <c r="BR833" s="69"/>
      <c r="BS833" s="69"/>
      <c r="BT833" s="69"/>
      <c r="BU833" s="69"/>
      <c r="BV833" s="69"/>
      <c r="BW833" s="69"/>
      <c r="BX833" s="69"/>
      <c r="BY833" s="69"/>
      <c r="BZ833" s="69"/>
      <c r="CA833" s="69"/>
      <c r="CB833" s="69"/>
      <c r="CC833" s="69"/>
      <c r="CD833" s="69"/>
      <c r="CE833" s="69"/>
      <c r="CF833" s="69"/>
      <c r="CG833" s="69"/>
      <c r="CH833" s="69"/>
      <c r="CI833" s="69"/>
      <c r="CJ833" s="69"/>
      <c r="CK833" s="69"/>
      <c r="CL833" s="69"/>
      <c r="CM833" s="69"/>
      <c r="CN833" s="69"/>
      <c r="CO833" s="69"/>
      <c r="CP833" s="69"/>
      <c r="CQ833" s="69"/>
      <c r="CR833" s="69"/>
      <c r="CS833" s="69"/>
      <c r="CT833" s="69"/>
      <c r="CU833" s="69"/>
      <c r="CV833" s="69"/>
      <c r="CW833" s="69"/>
      <c r="CX833" s="69"/>
      <c r="CY833" s="69"/>
      <c r="CZ833" s="69"/>
      <c r="DA833" s="69"/>
      <c r="DB833" s="69"/>
      <c r="DC833" s="69"/>
      <c r="DD833" s="69"/>
      <c r="DE833" s="69"/>
      <c r="DF833" s="69"/>
      <c r="DG833" s="69"/>
      <c r="DH833" s="69"/>
      <c r="DI833" s="69"/>
      <c r="DJ833" s="69"/>
      <c r="DK833" s="69"/>
      <c r="DL833" s="69"/>
    </row>
    <row r="834" spans="1:116" ht="13" x14ac:dyDescent="0.3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202"/>
      <c r="V834" s="69"/>
      <c r="W834" s="69"/>
      <c r="X834" s="69"/>
      <c r="Y834" s="69"/>
      <c r="Z834" s="69"/>
      <c r="AA834" s="69"/>
      <c r="AB834" s="203"/>
      <c r="AC834" s="69"/>
      <c r="AD834" s="69"/>
      <c r="AE834" s="203"/>
      <c r="AF834" s="69"/>
      <c r="AG834" s="69"/>
      <c r="AH834" s="69"/>
      <c r="AI834" s="69"/>
      <c r="AJ834" s="69"/>
      <c r="AK834" s="69"/>
      <c r="AL834" s="69"/>
      <c r="AM834" s="69"/>
      <c r="AN834" s="69"/>
      <c r="AO834" s="69"/>
      <c r="AP834" s="69"/>
      <c r="AQ834" s="69"/>
      <c r="AR834" s="69"/>
      <c r="AS834" s="69"/>
      <c r="AT834" s="69"/>
      <c r="AU834" s="69"/>
      <c r="AV834" s="69"/>
      <c r="AW834" s="69"/>
      <c r="AX834" s="69"/>
      <c r="AY834" s="69"/>
      <c r="AZ834" s="69"/>
      <c r="BA834" s="69"/>
      <c r="BB834" s="69"/>
      <c r="BC834" s="69"/>
      <c r="BD834" s="69"/>
      <c r="BE834" s="69"/>
      <c r="BF834" s="69"/>
      <c r="BG834" s="69"/>
      <c r="BH834" s="69"/>
      <c r="BI834" s="69"/>
      <c r="BJ834" s="69"/>
      <c r="BK834" s="69"/>
      <c r="BL834" s="69"/>
      <c r="BM834" s="69"/>
      <c r="BN834" s="69"/>
      <c r="BO834" s="69"/>
      <c r="BP834" s="69"/>
      <c r="BQ834" s="69"/>
      <c r="BR834" s="69"/>
      <c r="BS834" s="69"/>
      <c r="BT834" s="69"/>
      <c r="BU834" s="69"/>
      <c r="BV834" s="69"/>
      <c r="BW834" s="69"/>
      <c r="BX834" s="69"/>
      <c r="BY834" s="69"/>
      <c r="BZ834" s="69"/>
      <c r="CA834" s="69"/>
      <c r="CB834" s="69"/>
      <c r="CC834" s="69"/>
      <c r="CD834" s="69"/>
      <c r="CE834" s="69"/>
      <c r="CF834" s="69"/>
      <c r="CG834" s="69"/>
      <c r="CH834" s="69"/>
      <c r="CI834" s="69"/>
      <c r="CJ834" s="69"/>
      <c r="CK834" s="69"/>
      <c r="CL834" s="69"/>
      <c r="CM834" s="69"/>
      <c r="CN834" s="69"/>
      <c r="CO834" s="69"/>
      <c r="CP834" s="69"/>
      <c r="CQ834" s="69"/>
      <c r="CR834" s="69"/>
      <c r="CS834" s="69"/>
      <c r="CT834" s="69"/>
      <c r="CU834" s="69"/>
      <c r="CV834" s="69"/>
      <c r="CW834" s="69"/>
      <c r="CX834" s="69"/>
      <c r="CY834" s="69"/>
      <c r="CZ834" s="69"/>
      <c r="DA834" s="69"/>
      <c r="DB834" s="69"/>
      <c r="DC834" s="69"/>
      <c r="DD834" s="69"/>
      <c r="DE834" s="69"/>
      <c r="DF834" s="69"/>
      <c r="DG834" s="69"/>
      <c r="DH834" s="69"/>
      <c r="DI834" s="69"/>
      <c r="DJ834" s="69"/>
      <c r="DK834" s="69"/>
      <c r="DL834" s="69"/>
    </row>
    <row r="835" spans="1:116" ht="13" x14ac:dyDescent="0.3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202"/>
      <c r="V835" s="69"/>
      <c r="W835" s="69"/>
      <c r="X835" s="69"/>
      <c r="Y835" s="69"/>
      <c r="Z835" s="69"/>
      <c r="AA835" s="69"/>
      <c r="AB835" s="203"/>
      <c r="AC835" s="69"/>
      <c r="AD835" s="69"/>
      <c r="AE835" s="203"/>
      <c r="AF835" s="69"/>
      <c r="AG835" s="69"/>
      <c r="AH835" s="69"/>
      <c r="AI835" s="69"/>
      <c r="AJ835" s="69"/>
      <c r="AK835" s="69"/>
      <c r="AL835" s="69"/>
      <c r="AM835" s="69"/>
      <c r="AN835" s="69"/>
      <c r="AO835" s="69"/>
      <c r="AP835" s="69"/>
      <c r="AQ835" s="69"/>
      <c r="AR835" s="69"/>
      <c r="AS835" s="69"/>
      <c r="AT835" s="69"/>
      <c r="AU835" s="69"/>
      <c r="AV835" s="69"/>
      <c r="AW835" s="69"/>
      <c r="AX835" s="69"/>
      <c r="AY835" s="69"/>
      <c r="AZ835" s="69"/>
      <c r="BA835" s="69"/>
      <c r="BB835" s="69"/>
      <c r="BC835" s="69"/>
      <c r="BD835" s="69"/>
      <c r="BE835" s="69"/>
      <c r="BF835" s="69"/>
      <c r="BG835" s="69"/>
      <c r="BH835" s="69"/>
      <c r="BI835" s="69"/>
      <c r="BJ835" s="69"/>
      <c r="BK835" s="69"/>
      <c r="BL835" s="69"/>
      <c r="BM835" s="69"/>
      <c r="BN835" s="69"/>
      <c r="BO835" s="69"/>
      <c r="BP835" s="69"/>
      <c r="BQ835" s="69"/>
      <c r="BR835" s="69"/>
      <c r="BS835" s="69"/>
      <c r="BT835" s="69"/>
      <c r="BU835" s="69"/>
      <c r="BV835" s="69"/>
      <c r="BW835" s="69"/>
      <c r="BX835" s="69"/>
      <c r="BY835" s="69"/>
      <c r="BZ835" s="69"/>
      <c r="CA835" s="69"/>
      <c r="CB835" s="69"/>
      <c r="CC835" s="69"/>
      <c r="CD835" s="69"/>
      <c r="CE835" s="69"/>
      <c r="CF835" s="69"/>
      <c r="CG835" s="69"/>
      <c r="CH835" s="69"/>
      <c r="CI835" s="69"/>
      <c r="CJ835" s="69"/>
      <c r="CK835" s="69"/>
      <c r="CL835" s="69"/>
      <c r="CM835" s="69"/>
      <c r="CN835" s="69"/>
      <c r="CO835" s="69"/>
      <c r="CP835" s="69"/>
      <c r="CQ835" s="69"/>
      <c r="CR835" s="69"/>
      <c r="CS835" s="69"/>
      <c r="CT835" s="69"/>
      <c r="CU835" s="69"/>
      <c r="CV835" s="69"/>
      <c r="CW835" s="69"/>
      <c r="CX835" s="69"/>
      <c r="CY835" s="69"/>
      <c r="CZ835" s="69"/>
      <c r="DA835" s="69"/>
      <c r="DB835" s="69"/>
      <c r="DC835" s="69"/>
      <c r="DD835" s="69"/>
      <c r="DE835" s="69"/>
      <c r="DF835" s="69"/>
      <c r="DG835" s="69"/>
      <c r="DH835" s="69"/>
      <c r="DI835" s="69"/>
      <c r="DJ835" s="69"/>
      <c r="DK835" s="69"/>
      <c r="DL835" s="69"/>
    </row>
    <row r="836" spans="1:116" ht="13" x14ac:dyDescent="0.3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202"/>
      <c r="V836" s="69"/>
      <c r="W836" s="69"/>
      <c r="X836" s="69"/>
      <c r="Y836" s="69"/>
      <c r="Z836" s="69"/>
      <c r="AA836" s="69"/>
      <c r="AB836" s="203"/>
      <c r="AC836" s="69"/>
      <c r="AD836" s="69"/>
      <c r="AE836" s="203"/>
      <c r="AF836" s="69"/>
      <c r="AG836" s="69"/>
      <c r="AH836" s="69"/>
      <c r="AI836" s="69"/>
      <c r="AJ836" s="69"/>
      <c r="AK836" s="69"/>
      <c r="AL836" s="69"/>
      <c r="AM836" s="69"/>
      <c r="AN836" s="69"/>
      <c r="AO836" s="69"/>
      <c r="AP836" s="69"/>
      <c r="AQ836" s="69"/>
      <c r="AR836" s="69"/>
      <c r="AS836" s="69"/>
      <c r="AT836" s="69"/>
      <c r="AU836" s="69"/>
      <c r="AV836" s="69"/>
      <c r="AW836" s="69"/>
      <c r="AX836" s="69"/>
      <c r="AY836" s="69"/>
      <c r="AZ836" s="69"/>
      <c r="BA836" s="69"/>
      <c r="BB836" s="69"/>
      <c r="BC836" s="69"/>
      <c r="BD836" s="69"/>
      <c r="BE836" s="69"/>
      <c r="BF836" s="69"/>
      <c r="BG836" s="69"/>
      <c r="BH836" s="69"/>
      <c r="BI836" s="69"/>
      <c r="BJ836" s="69"/>
      <c r="BK836" s="69"/>
      <c r="BL836" s="69"/>
      <c r="BM836" s="69"/>
      <c r="BN836" s="69"/>
      <c r="BO836" s="69"/>
      <c r="BP836" s="69"/>
      <c r="BQ836" s="69"/>
      <c r="BR836" s="69"/>
      <c r="BS836" s="69"/>
      <c r="BT836" s="69"/>
      <c r="BU836" s="69"/>
      <c r="BV836" s="69"/>
      <c r="BW836" s="69"/>
      <c r="BX836" s="69"/>
      <c r="BY836" s="69"/>
      <c r="BZ836" s="69"/>
      <c r="CA836" s="69"/>
      <c r="CB836" s="69"/>
      <c r="CC836" s="69"/>
      <c r="CD836" s="69"/>
      <c r="CE836" s="69"/>
      <c r="CF836" s="69"/>
      <c r="CG836" s="69"/>
      <c r="CH836" s="69"/>
      <c r="CI836" s="69"/>
      <c r="CJ836" s="69"/>
      <c r="CK836" s="69"/>
      <c r="CL836" s="69"/>
      <c r="CM836" s="69"/>
      <c r="CN836" s="69"/>
      <c r="CO836" s="69"/>
      <c r="CP836" s="69"/>
      <c r="CQ836" s="69"/>
      <c r="CR836" s="69"/>
      <c r="CS836" s="69"/>
      <c r="CT836" s="69"/>
      <c r="CU836" s="69"/>
      <c r="CV836" s="69"/>
      <c r="CW836" s="69"/>
      <c r="CX836" s="69"/>
      <c r="CY836" s="69"/>
      <c r="CZ836" s="69"/>
      <c r="DA836" s="69"/>
      <c r="DB836" s="69"/>
      <c r="DC836" s="69"/>
      <c r="DD836" s="69"/>
      <c r="DE836" s="69"/>
      <c r="DF836" s="69"/>
      <c r="DG836" s="69"/>
      <c r="DH836" s="69"/>
      <c r="DI836" s="69"/>
      <c r="DJ836" s="69"/>
      <c r="DK836" s="69"/>
      <c r="DL836" s="69"/>
    </row>
    <row r="837" spans="1:116" ht="13" x14ac:dyDescent="0.3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202"/>
      <c r="V837" s="69"/>
      <c r="W837" s="69"/>
      <c r="X837" s="69"/>
      <c r="Y837" s="69"/>
      <c r="Z837" s="69"/>
      <c r="AA837" s="69"/>
      <c r="AB837" s="203"/>
      <c r="AC837" s="69"/>
      <c r="AD837" s="69"/>
      <c r="AE837" s="203"/>
      <c r="AF837" s="69"/>
      <c r="AG837" s="69"/>
      <c r="AH837" s="69"/>
      <c r="AI837" s="69"/>
      <c r="AJ837" s="69"/>
      <c r="AK837" s="69"/>
      <c r="AL837" s="69"/>
      <c r="AM837" s="69"/>
      <c r="AN837" s="69"/>
      <c r="AO837" s="69"/>
      <c r="AP837" s="69"/>
      <c r="AQ837" s="69"/>
      <c r="AR837" s="69"/>
      <c r="AS837" s="69"/>
      <c r="AT837" s="69"/>
      <c r="AU837" s="69"/>
      <c r="AV837" s="69"/>
      <c r="AW837" s="69"/>
      <c r="AX837" s="69"/>
      <c r="AY837" s="69"/>
      <c r="AZ837" s="69"/>
      <c r="BA837" s="69"/>
      <c r="BB837" s="69"/>
      <c r="BC837" s="69"/>
      <c r="BD837" s="69"/>
      <c r="BE837" s="69"/>
      <c r="BF837" s="69"/>
      <c r="BG837" s="69"/>
      <c r="BH837" s="69"/>
      <c r="BI837" s="69"/>
      <c r="BJ837" s="69"/>
      <c r="BK837" s="69"/>
      <c r="BL837" s="69"/>
      <c r="BM837" s="69"/>
      <c r="BN837" s="69"/>
      <c r="BO837" s="69"/>
      <c r="BP837" s="69"/>
      <c r="BQ837" s="69"/>
      <c r="BR837" s="69"/>
      <c r="BS837" s="69"/>
      <c r="BT837" s="69"/>
      <c r="BU837" s="69"/>
      <c r="BV837" s="69"/>
      <c r="BW837" s="69"/>
      <c r="BX837" s="69"/>
      <c r="BY837" s="69"/>
      <c r="BZ837" s="69"/>
      <c r="CA837" s="69"/>
      <c r="CB837" s="69"/>
      <c r="CC837" s="69"/>
      <c r="CD837" s="69"/>
      <c r="CE837" s="69"/>
      <c r="CF837" s="69"/>
      <c r="CG837" s="69"/>
      <c r="CH837" s="69"/>
      <c r="CI837" s="69"/>
      <c r="CJ837" s="69"/>
      <c r="CK837" s="69"/>
      <c r="CL837" s="69"/>
      <c r="CM837" s="69"/>
      <c r="CN837" s="69"/>
      <c r="CO837" s="69"/>
      <c r="CP837" s="69"/>
      <c r="CQ837" s="69"/>
      <c r="CR837" s="69"/>
      <c r="CS837" s="69"/>
      <c r="CT837" s="69"/>
      <c r="CU837" s="69"/>
      <c r="CV837" s="69"/>
      <c r="CW837" s="69"/>
      <c r="CX837" s="69"/>
      <c r="CY837" s="69"/>
      <c r="CZ837" s="69"/>
      <c r="DA837" s="69"/>
      <c r="DB837" s="69"/>
      <c r="DC837" s="69"/>
      <c r="DD837" s="69"/>
      <c r="DE837" s="69"/>
      <c r="DF837" s="69"/>
      <c r="DG837" s="69"/>
      <c r="DH837" s="69"/>
      <c r="DI837" s="69"/>
      <c r="DJ837" s="69"/>
      <c r="DK837" s="69"/>
      <c r="DL837" s="69"/>
    </row>
    <row r="838" spans="1:116" ht="13" x14ac:dyDescent="0.3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202"/>
      <c r="V838" s="69"/>
      <c r="W838" s="69"/>
      <c r="X838" s="69"/>
      <c r="Y838" s="69"/>
      <c r="Z838" s="69"/>
      <c r="AA838" s="69"/>
      <c r="AB838" s="203"/>
      <c r="AC838" s="69"/>
      <c r="AD838" s="69"/>
      <c r="AE838" s="203"/>
      <c r="AF838" s="69"/>
      <c r="AG838" s="69"/>
      <c r="AH838" s="69"/>
      <c r="AI838" s="69"/>
      <c r="AJ838" s="69"/>
      <c r="AK838" s="69"/>
      <c r="AL838" s="69"/>
      <c r="AM838" s="69"/>
      <c r="AN838" s="69"/>
      <c r="AO838" s="69"/>
      <c r="AP838" s="69"/>
      <c r="AQ838" s="69"/>
      <c r="AR838" s="69"/>
      <c r="AS838" s="69"/>
      <c r="AT838" s="69"/>
      <c r="AU838" s="69"/>
      <c r="AV838" s="69"/>
      <c r="AW838" s="69"/>
      <c r="AX838" s="69"/>
      <c r="AY838" s="69"/>
      <c r="AZ838" s="69"/>
      <c r="BA838" s="69"/>
      <c r="BB838" s="69"/>
      <c r="BC838" s="69"/>
      <c r="BD838" s="69"/>
      <c r="BE838" s="69"/>
      <c r="BF838" s="69"/>
      <c r="BG838" s="69"/>
      <c r="BH838" s="69"/>
      <c r="BI838" s="69"/>
      <c r="BJ838" s="69"/>
      <c r="BK838" s="69"/>
      <c r="BL838" s="69"/>
      <c r="BM838" s="69"/>
      <c r="BN838" s="69"/>
      <c r="BO838" s="69"/>
      <c r="BP838" s="69"/>
      <c r="BQ838" s="69"/>
      <c r="BR838" s="69"/>
      <c r="BS838" s="69"/>
      <c r="BT838" s="69"/>
      <c r="BU838" s="69"/>
      <c r="BV838" s="69"/>
      <c r="BW838" s="69"/>
      <c r="BX838" s="69"/>
      <c r="BY838" s="69"/>
      <c r="BZ838" s="69"/>
      <c r="CA838" s="69"/>
      <c r="CB838" s="69"/>
      <c r="CC838" s="69"/>
      <c r="CD838" s="69"/>
      <c r="CE838" s="69"/>
      <c r="CF838" s="69"/>
      <c r="CG838" s="69"/>
      <c r="CH838" s="69"/>
      <c r="CI838" s="69"/>
      <c r="CJ838" s="69"/>
      <c r="CK838" s="69"/>
      <c r="CL838" s="69"/>
      <c r="CM838" s="69"/>
      <c r="CN838" s="69"/>
      <c r="CO838" s="69"/>
      <c r="CP838" s="69"/>
      <c r="CQ838" s="69"/>
      <c r="CR838" s="69"/>
      <c r="CS838" s="69"/>
      <c r="CT838" s="69"/>
      <c r="CU838" s="69"/>
      <c r="CV838" s="69"/>
      <c r="CW838" s="69"/>
      <c r="CX838" s="69"/>
      <c r="CY838" s="69"/>
      <c r="CZ838" s="69"/>
      <c r="DA838" s="69"/>
      <c r="DB838" s="69"/>
      <c r="DC838" s="69"/>
      <c r="DD838" s="69"/>
      <c r="DE838" s="69"/>
      <c r="DF838" s="69"/>
      <c r="DG838" s="69"/>
      <c r="DH838" s="69"/>
      <c r="DI838" s="69"/>
      <c r="DJ838" s="69"/>
      <c r="DK838" s="69"/>
      <c r="DL838" s="69"/>
    </row>
    <row r="839" spans="1:116" ht="13" x14ac:dyDescent="0.3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202"/>
      <c r="V839" s="69"/>
      <c r="W839" s="69"/>
      <c r="X839" s="69"/>
      <c r="Y839" s="69"/>
      <c r="Z839" s="69"/>
      <c r="AA839" s="69"/>
      <c r="AB839" s="203"/>
      <c r="AC839" s="69"/>
      <c r="AD839" s="69"/>
      <c r="AE839" s="203"/>
      <c r="AF839" s="69"/>
      <c r="AG839" s="69"/>
      <c r="AH839" s="69"/>
      <c r="AI839" s="69"/>
      <c r="AJ839" s="69"/>
      <c r="AK839" s="69"/>
      <c r="AL839" s="69"/>
      <c r="AM839" s="69"/>
      <c r="AN839" s="69"/>
      <c r="AO839" s="69"/>
      <c r="AP839" s="69"/>
      <c r="AQ839" s="69"/>
      <c r="AR839" s="69"/>
      <c r="AS839" s="69"/>
      <c r="AT839" s="69"/>
      <c r="AU839" s="69"/>
      <c r="AV839" s="69"/>
      <c r="AW839" s="69"/>
      <c r="AX839" s="69"/>
      <c r="AY839" s="69"/>
      <c r="AZ839" s="69"/>
      <c r="BA839" s="69"/>
      <c r="BB839" s="69"/>
      <c r="BC839" s="69"/>
      <c r="BD839" s="69"/>
      <c r="BE839" s="69"/>
      <c r="BF839" s="69"/>
      <c r="BG839" s="69"/>
      <c r="BH839" s="69"/>
      <c r="BI839" s="69"/>
      <c r="BJ839" s="69"/>
      <c r="BK839" s="69"/>
      <c r="BL839" s="69"/>
      <c r="BM839" s="69"/>
      <c r="BN839" s="69"/>
      <c r="BO839" s="69"/>
      <c r="BP839" s="69"/>
      <c r="BQ839" s="69"/>
      <c r="BR839" s="69"/>
      <c r="BS839" s="69"/>
      <c r="BT839" s="69"/>
      <c r="BU839" s="69"/>
      <c r="BV839" s="69"/>
      <c r="BW839" s="69"/>
      <c r="BX839" s="69"/>
      <c r="BY839" s="69"/>
      <c r="BZ839" s="69"/>
      <c r="CA839" s="69"/>
      <c r="CB839" s="69"/>
      <c r="CC839" s="69"/>
      <c r="CD839" s="69"/>
      <c r="CE839" s="69"/>
      <c r="CF839" s="69"/>
      <c r="CG839" s="69"/>
      <c r="CH839" s="69"/>
      <c r="CI839" s="69"/>
      <c r="CJ839" s="69"/>
      <c r="CK839" s="69"/>
      <c r="CL839" s="69"/>
      <c r="CM839" s="69"/>
      <c r="CN839" s="69"/>
      <c r="CO839" s="69"/>
      <c r="CP839" s="69"/>
      <c r="CQ839" s="69"/>
      <c r="CR839" s="69"/>
      <c r="CS839" s="69"/>
      <c r="CT839" s="69"/>
      <c r="CU839" s="69"/>
      <c r="CV839" s="69"/>
      <c r="CW839" s="69"/>
      <c r="CX839" s="69"/>
      <c r="CY839" s="69"/>
      <c r="CZ839" s="69"/>
      <c r="DA839" s="69"/>
      <c r="DB839" s="69"/>
      <c r="DC839" s="69"/>
      <c r="DD839" s="69"/>
      <c r="DE839" s="69"/>
      <c r="DF839" s="69"/>
      <c r="DG839" s="69"/>
      <c r="DH839" s="69"/>
      <c r="DI839" s="69"/>
      <c r="DJ839" s="69"/>
      <c r="DK839" s="69"/>
      <c r="DL839" s="69"/>
    </row>
    <row r="840" spans="1:116" ht="13" x14ac:dyDescent="0.3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202"/>
      <c r="V840" s="69"/>
      <c r="W840" s="69"/>
      <c r="X840" s="69"/>
      <c r="Y840" s="69"/>
      <c r="Z840" s="69"/>
      <c r="AA840" s="69"/>
      <c r="AB840" s="203"/>
      <c r="AC840" s="69"/>
      <c r="AD840" s="69"/>
      <c r="AE840" s="203"/>
      <c r="AF840" s="69"/>
      <c r="AG840" s="69"/>
      <c r="AH840" s="69"/>
      <c r="AI840" s="69"/>
      <c r="AJ840" s="69"/>
      <c r="AK840" s="69"/>
      <c r="AL840" s="69"/>
      <c r="AM840" s="69"/>
      <c r="AN840" s="69"/>
      <c r="AO840" s="69"/>
      <c r="AP840" s="69"/>
      <c r="AQ840" s="69"/>
      <c r="AR840" s="69"/>
      <c r="AS840" s="69"/>
      <c r="AT840" s="69"/>
      <c r="AU840" s="69"/>
      <c r="AV840" s="69"/>
      <c r="AW840" s="69"/>
      <c r="AX840" s="69"/>
      <c r="AY840" s="69"/>
      <c r="AZ840" s="69"/>
      <c r="BA840" s="69"/>
      <c r="BB840" s="69"/>
      <c r="BC840" s="69"/>
      <c r="BD840" s="69"/>
      <c r="BE840" s="69"/>
      <c r="BF840" s="69"/>
      <c r="BG840" s="69"/>
      <c r="BH840" s="69"/>
      <c r="BI840" s="69"/>
      <c r="BJ840" s="69"/>
      <c r="BK840" s="69"/>
      <c r="BL840" s="69"/>
      <c r="BM840" s="69"/>
      <c r="BN840" s="69"/>
      <c r="BO840" s="69"/>
      <c r="BP840" s="69"/>
      <c r="BQ840" s="69"/>
      <c r="BR840" s="69"/>
      <c r="BS840" s="69"/>
      <c r="BT840" s="69"/>
      <c r="BU840" s="69"/>
      <c r="BV840" s="69"/>
      <c r="BW840" s="69"/>
      <c r="BX840" s="69"/>
      <c r="BY840" s="69"/>
      <c r="BZ840" s="69"/>
      <c r="CA840" s="69"/>
      <c r="CB840" s="69"/>
      <c r="CC840" s="69"/>
      <c r="CD840" s="69"/>
      <c r="CE840" s="69"/>
      <c r="CF840" s="69"/>
      <c r="CG840" s="69"/>
      <c r="CH840" s="69"/>
      <c r="CI840" s="69"/>
      <c r="CJ840" s="69"/>
      <c r="CK840" s="69"/>
      <c r="CL840" s="69"/>
      <c r="CM840" s="69"/>
      <c r="CN840" s="69"/>
      <c r="CO840" s="69"/>
      <c r="CP840" s="69"/>
      <c r="CQ840" s="69"/>
      <c r="CR840" s="69"/>
      <c r="CS840" s="69"/>
      <c r="CT840" s="69"/>
      <c r="CU840" s="69"/>
      <c r="CV840" s="69"/>
      <c r="CW840" s="69"/>
      <c r="CX840" s="69"/>
      <c r="CY840" s="69"/>
      <c r="CZ840" s="69"/>
      <c r="DA840" s="69"/>
      <c r="DB840" s="69"/>
      <c r="DC840" s="69"/>
      <c r="DD840" s="69"/>
      <c r="DE840" s="69"/>
      <c r="DF840" s="69"/>
      <c r="DG840" s="69"/>
      <c r="DH840" s="69"/>
      <c r="DI840" s="69"/>
      <c r="DJ840" s="69"/>
      <c r="DK840" s="69"/>
      <c r="DL840" s="69"/>
    </row>
    <row r="841" spans="1:116" ht="13" x14ac:dyDescent="0.3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202"/>
      <c r="V841" s="69"/>
      <c r="W841" s="69"/>
      <c r="X841" s="69"/>
      <c r="Y841" s="69"/>
      <c r="Z841" s="69"/>
      <c r="AA841" s="69"/>
      <c r="AB841" s="203"/>
      <c r="AC841" s="69"/>
      <c r="AD841" s="69"/>
      <c r="AE841" s="203"/>
      <c r="AF841" s="69"/>
      <c r="AG841" s="69"/>
      <c r="AH841" s="69"/>
      <c r="AI841" s="69"/>
      <c r="AJ841" s="69"/>
      <c r="AK841" s="69"/>
      <c r="AL841" s="69"/>
      <c r="AM841" s="69"/>
      <c r="AN841" s="69"/>
      <c r="AO841" s="69"/>
      <c r="AP841" s="69"/>
      <c r="AQ841" s="69"/>
      <c r="AR841" s="69"/>
      <c r="AS841" s="69"/>
      <c r="AT841" s="69"/>
      <c r="AU841" s="69"/>
      <c r="AV841" s="69"/>
      <c r="AW841" s="69"/>
      <c r="AX841" s="69"/>
      <c r="AY841" s="69"/>
      <c r="AZ841" s="69"/>
      <c r="BA841" s="69"/>
      <c r="BB841" s="69"/>
      <c r="BC841" s="69"/>
      <c r="BD841" s="69"/>
      <c r="BE841" s="69"/>
      <c r="BF841" s="69"/>
      <c r="BG841" s="69"/>
      <c r="BH841" s="69"/>
      <c r="BI841" s="69"/>
      <c r="BJ841" s="69"/>
      <c r="BK841" s="69"/>
      <c r="BL841" s="69"/>
      <c r="BM841" s="69"/>
      <c r="BN841" s="69"/>
      <c r="BO841" s="69"/>
      <c r="BP841" s="69"/>
      <c r="BQ841" s="69"/>
      <c r="BR841" s="69"/>
      <c r="BS841" s="69"/>
      <c r="BT841" s="69"/>
      <c r="BU841" s="69"/>
      <c r="BV841" s="69"/>
      <c r="BW841" s="69"/>
      <c r="BX841" s="69"/>
      <c r="BY841" s="69"/>
      <c r="BZ841" s="69"/>
      <c r="CA841" s="69"/>
      <c r="CB841" s="69"/>
      <c r="CC841" s="69"/>
      <c r="CD841" s="69"/>
      <c r="CE841" s="69"/>
      <c r="CF841" s="69"/>
      <c r="CG841" s="69"/>
      <c r="CH841" s="69"/>
      <c r="CI841" s="69"/>
      <c r="CJ841" s="69"/>
      <c r="CK841" s="69"/>
      <c r="CL841" s="69"/>
      <c r="CM841" s="69"/>
      <c r="CN841" s="69"/>
      <c r="CO841" s="69"/>
      <c r="CP841" s="69"/>
      <c r="CQ841" s="69"/>
      <c r="CR841" s="69"/>
      <c r="CS841" s="69"/>
      <c r="CT841" s="69"/>
      <c r="CU841" s="69"/>
      <c r="CV841" s="69"/>
      <c r="CW841" s="69"/>
      <c r="CX841" s="69"/>
      <c r="CY841" s="69"/>
      <c r="CZ841" s="69"/>
      <c r="DA841" s="69"/>
      <c r="DB841" s="69"/>
      <c r="DC841" s="69"/>
      <c r="DD841" s="69"/>
      <c r="DE841" s="69"/>
      <c r="DF841" s="69"/>
      <c r="DG841" s="69"/>
      <c r="DH841" s="69"/>
      <c r="DI841" s="69"/>
      <c r="DJ841" s="69"/>
      <c r="DK841" s="69"/>
      <c r="DL841" s="69"/>
    </row>
    <row r="842" spans="1:116" ht="13" x14ac:dyDescent="0.3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202"/>
      <c r="V842" s="69"/>
      <c r="W842" s="69"/>
      <c r="X842" s="69"/>
      <c r="Y842" s="69"/>
      <c r="Z842" s="69"/>
      <c r="AA842" s="69"/>
      <c r="AB842" s="203"/>
      <c r="AC842" s="69"/>
      <c r="AD842" s="69"/>
      <c r="AE842" s="203"/>
      <c r="AF842" s="69"/>
      <c r="AG842" s="69"/>
      <c r="AH842" s="69"/>
      <c r="AI842" s="69"/>
      <c r="AJ842" s="69"/>
      <c r="AK842" s="69"/>
      <c r="AL842" s="69"/>
      <c r="AM842" s="69"/>
      <c r="AN842" s="69"/>
      <c r="AO842" s="69"/>
      <c r="AP842" s="69"/>
      <c r="AQ842" s="69"/>
      <c r="AR842" s="69"/>
      <c r="AS842" s="69"/>
      <c r="AT842" s="69"/>
      <c r="AU842" s="69"/>
      <c r="AV842" s="69"/>
      <c r="AW842" s="69"/>
      <c r="AX842" s="69"/>
      <c r="AY842" s="69"/>
      <c r="AZ842" s="69"/>
      <c r="BA842" s="69"/>
      <c r="BB842" s="69"/>
      <c r="BC842" s="69"/>
      <c r="BD842" s="69"/>
      <c r="BE842" s="69"/>
      <c r="BF842" s="69"/>
      <c r="BG842" s="69"/>
      <c r="BH842" s="69"/>
      <c r="BI842" s="69"/>
      <c r="BJ842" s="69"/>
      <c r="BK842" s="69"/>
      <c r="BL842" s="69"/>
      <c r="BM842" s="69"/>
      <c r="BN842" s="69"/>
      <c r="BO842" s="69"/>
      <c r="BP842" s="69"/>
      <c r="BQ842" s="69"/>
      <c r="BR842" s="69"/>
      <c r="BS842" s="69"/>
      <c r="BT842" s="69"/>
      <c r="BU842" s="69"/>
      <c r="BV842" s="69"/>
      <c r="BW842" s="69"/>
      <c r="BX842" s="69"/>
      <c r="BY842" s="69"/>
      <c r="BZ842" s="69"/>
      <c r="CA842" s="69"/>
      <c r="CB842" s="69"/>
      <c r="CC842" s="69"/>
      <c r="CD842" s="69"/>
      <c r="CE842" s="69"/>
      <c r="CF842" s="69"/>
      <c r="CG842" s="69"/>
      <c r="CH842" s="69"/>
      <c r="CI842" s="69"/>
      <c r="CJ842" s="69"/>
      <c r="CK842" s="69"/>
      <c r="CL842" s="69"/>
      <c r="CM842" s="69"/>
      <c r="CN842" s="69"/>
      <c r="CO842" s="69"/>
      <c r="CP842" s="69"/>
      <c r="CQ842" s="69"/>
      <c r="CR842" s="69"/>
      <c r="CS842" s="69"/>
      <c r="CT842" s="69"/>
      <c r="CU842" s="69"/>
      <c r="CV842" s="69"/>
      <c r="CW842" s="69"/>
      <c r="CX842" s="69"/>
      <c r="CY842" s="69"/>
      <c r="CZ842" s="69"/>
      <c r="DA842" s="69"/>
      <c r="DB842" s="69"/>
      <c r="DC842" s="69"/>
      <c r="DD842" s="69"/>
      <c r="DE842" s="69"/>
      <c r="DF842" s="69"/>
      <c r="DG842" s="69"/>
      <c r="DH842" s="69"/>
      <c r="DI842" s="69"/>
      <c r="DJ842" s="69"/>
      <c r="DK842" s="69"/>
      <c r="DL842" s="69"/>
    </row>
    <row r="843" spans="1:116" ht="13" x14ac:dyDescent="0.3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202"/>
      <c r="V843" s="69"/>
      <c r="W843" s="69"/>
      <c r="X843" s="69"/>
      <c r="Y843" s="69"/>
      <c r="Z843" s="69"/>
      <c r="AA843" s="69"/>
      <c r="AB843" s="203"/>
      <c r="AC843" s="69"/>
      <c r="AD843" s="69"/>
      <c r="AE843" s="203"/>
      <c r="AF843" s="69"/>
      <c r="AG843" s="69"/>
      <c r="AH843" s="69"/>
      <c r="AI843" s="69"/>
      <c r="AJ843" s="69"/>
      <c r="AK843" s="69"/>
      <c r="AL843" s="69"/>
      <c r="AM843" s="69"/>
      <c r="AN843" s="69"/>
      <c r="AO843" s="69"/>
      <c r="AP843" s="69"/>
      <c r="AQ843" s="69"/>
      <c r="AR843" s="69"/>
      <c r="AS843" s="69"/>
      <c r="AT843" s="69"/>
      <c r="AU843" s="69"/>
      <c r="AV843" s="69"/>
      <c r="AW843" s="69"/>
      <c r="AX843" s="69"/>
      <c r="AY843" s="69"/>
      <c r="AZ843" s="69"/>
      <c r="BA843" s="69"/>
      <c r="BB843" s="69"/>
      <c r="BC843" s="69"/>
      <c r="BD843" s="69"/>
      <c r="BE843" s="69"/>
      <c r="BF843" s="69"/>
      <c r="BG843" s="69"/>
      <c r="BH843" s="69"/>
      <c r="BI843" s="69"/>
      <c r="BJ843" s="69"/>
      <c r="BK843" s="69"/>
      <c r="BL843" s="69"/>
      <c r="BM843" s="69"/>
      <c r="BN843" s="69"/>
      <c r="BO843" s="69"/>
      <c r="BP843" s="69"/>
      <c r="BQ843" s="69"/>
      <c r="BR843" s="69"/>
      <c r="BS843" s="69"/>
      <c r="BT843" s="69"/>
      <c r="BU843" s="69"/>
      <c r="BV843" s="69"/>
      <c r="BW843" s="69"/>
      <c r="BX843" s="69"/>
      <c r="BY843" s="69"/>
      <c r="BZ843" s="69"/>
      <c r="CA843" s="69"/>
      <c r="CB843" s="69"/>
      <c r="CC843" s="69"/>
      <c r="CD843" s="69"/>
      <c r="CE843" s="69"/>
      <c r="CF843" s="69"/>
      <c r="CG843" s="69"/>
      <c r="CH843" s="69"/>
      <c r="CI843" s="69"/>
      <c r="CJ843" s="69"/>
      <c r="CK843" s="69"/>
      <c r="CL843" s="69"/>
      <c r="CM843" s="69"/>
      <c r="CN843" s="69"/>
      <c r="CO843" s="69"/>
      <c r="CP843" s="69"/>
      <c r="CQ843" s="69"/>
      <c r="CR843" s="69"/>
      <c r="CS843" s="69"/>
      <c r="CT843" s="69"/>
      <c r="CU843" s="69"/>
      <c r="CV843" s="69"/>
      <c r="CW843" s="69"/>
      <c r="CX843" s="69"/>
      <c r="CY843" s="69"/>
      <c r="CZ843" s="69"/>
      <c r="DA843" s="69"/>
      <c r="DB843" s="69"/>
      <c r="DC843" s="69"/>
      <c r="DD843" s="69"/>
      <c r="DE843" s="69"/>
      <c r="DF843" s="69"/>
      <c r="DG843" s="69"/>
      <c r="DH843" s="69"/>
      <c r="DI843" s="69"/>
      <c r="DJ843" s="69"/>
      <c r="DK843" s="69"/>
      <c r="DL843" s="69"/>
    </row>
    <row r="844" spans="1:116" ht="13" x14ac:dyDescent="0.3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202"/>
      <c r="V844" s="69"/>
      <c r="W844" s="69"/>
      <c r="X844" s="69"/>
      <c r="Y844" s="69"/>
      <c r="Z844" s="69"/>
      <c r="AA844" s="69"/>
      <c r="AB844" s="203"/>
      <c r="AC844" s="69"/>
      <c r="AD844" s="69"/>
      <c r="AE844" s="203"/>
      <c r="AF844" s="69"/>
      <c r="AG844" s="69"/>
      <c r="AH844" s="69"/>
      <c r="AI844" s="69"/>
      <c r="AJ844" s="69"/>
      <c r="AK844" s="69"/>
      <c r="AL844" s="69"/>
      <c r="AM844" s="69"/>
      <c r="AN844" s="69"/>
      <c r="AO844" s="69"/>
      <c r="AP844" s="69"/>
      <c r="AQ844" s="69"/>
      <c r="AR844" s="69"/>
      <c r="AS844" s="69"/>
      <c r="AT844" s="69"/>
      <c r="AU844" s="69"/>
      <c r="AV844" s="69"/>
      <c r="AW844" s="69"/>
      <c r="AX844" s="69"/>
      <c r="AY844" s="69"/>
      <c r="AZ844" s="69"/>
      <c r="BA844" s="69"/>
      <c r="BB844" s="69"/>
      <c r="BC844" s="69"/>
      <c r="BD844" s="69"/>
      <c r="BE844" s="69"/>
      <c r="BF844" s="69"/>
      <c r="BG844" s="69"/>
      <c r="BH844" s="69"/>
      <c r="BI844" s="69"/>
      <c r="BJ844" s="69"/>
      <c r="BK844" s="69"/>
      <c r="BL844" s="69"/>
      <c r="BM844" s="69"/>
      <c r="BN844" s="69"/>
      <c r="BO844" s="69"/>
      <c r="BP844" s="69"/>
      <c r="BQ844" s="69"/>
      <c r="BR844" s="69"/>
      <c r="BS844" s="69"/>
      <c r="BT844" s="69"/>
      <c r="BU844" s="69"/>
      <c r="BV844" s="69"/>
      <c r="BW844" s="69"/>
      <c r="BX844" s="69"/>
      <c r="BY844" s="69"/>
      <c r="BZ844" s="69"/>
      <c r="CA844" s="69"/>
      <c r="CB844" s="69"/>
      <c r="CC844" s="69"/>
      <c r="CD844" s="69"/>
      <c r="CE844" s="69"/>
      <c r="CF844" s="69"/>
      <c r="CG844" s="69"/>
      <c r="CH844" s="69"/>
      <c r="CI844" s="69"/>
      <c r="CJ844" s="69"/>
      <c r="CK844" s="69"/>
      <c r="CL844" s="69"/>
      <c r="CM844" s="69"/>
      <c r="CN844" s="69"/>
      <c r="CO844" s="69"/>
      <c r="CP844" s="69"/>
      <c r="CQ844" s="69"/>
      <c r="CR844" s="69"/>
      <c r="CS844" s="69"/>
      <c r="CT844" s="69"/>
      <c r="CU844" s="69"/>
      <c r="CV844" s="69"/>
      <c r="CW844" s="69"/>
      <c r="CX844" s="69"/>
      <c r="CY844" s="69"/>
      <c r="CZ844" s="69"/>
      <c r="DA844" s="69"/>
      <c r="DB844" s="69"/>
      <c r="DC844" s="69"/>
      <c r="DD844" s="69"/>
      <c r="DE844" s="69"/>
      <c r="DF844" s="69"/>
      <c r="DG844" s="69"/>
      <c r="DH844" s="69"/>
      <c r="DI844" s="69"/>
      <c r="DJ844" s="69"/>
      <c r="DK844" s="69"/>
      <c r="DL844" s="69"/>
    </row>
    <row r="845" spans="1:116" ht="13" x14ac:dyDescent="0.3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202"/>
      <c r="V845" s="69"/>
      <c r="W845" s="69"/>
      <c r="X845" s="69"/>
      <c r="Y845" s="69"/>
      <c r="Z845" s="69"/>
      <c r="AA845" s="69"/>
      <c r="AB845" s="203"/>
      <c r="AC845" s="69"/>
      <c r="AD845" s="69"/>
      <c r="AE845" s="203"/>
      <c r="AF845" s="69"/>
      <c r="AG845" s="69"/>
      <c r="AH845" s="69"/>
      <c r="AI845" s="69"/>
      <c r="AJ845" s="69"/>
      <c r="AK845" s="69"/>
      <c r="AL845" s="69"/>
      <c r="AM845" s="69"/>
      <c r="AN845" s="69"/>
      <c r="AO845" s="69"/>
      <c r="AP845" s="69"/>
      <c r="AQ845" s="69"/>
      <c r="AR845" s="69"/>
      <c r="AS845" s="69"/>
      <c r="AT845" s="69"/>
      <c r="AU845" s="69"/>
      <c r="AV845" s="69"/>
      <c r="AW845" s="69"/>
      <c r="AX845" s="69"/>
      <c r="AY845" s="69"/>
      <c r="AZ845" s="69"/>
      <c r="BA845" s="69"/>
      <c r="BB845" s="69"/>
      <c r="BC845" s="69"/>
      <c r="BD845" s="69"/>
      <c r="BE845" s="69"/>
      <c r="BF845" s="69"/>
      <c r="BG845" s="69"/>
      <c r="BH845" s="69"/>
      <c r="BI845" s="69"/>
      <c r="BJ845" s="69"/>
      <c r="BK845" s="69"/>
      <c r="BL845" s="69"/>
      <c r="BM845" s="69"/>
      <c r="BN845" s="69"/>
      <c r="BO845" s="69"/>
      <c r="BP845" s="69"/>
      <c r="BQ845" s="69"/>
      <c r="BR845" s="69"/>
      <c r="BS845" s="69"/>
      <c r="BT845" s="69"/>
      <c r="BU845" s="69"/>
      <c r="BV845" s="69"/>
      <c r="BW845" s="69"/>
      <c r="BX845" s="69"/>
      <c r="BY845" s="69"/>
      <c r="BZ845" s="69"/>
      <c r="CA845" s="69"/>
      <c r="CB845" s="69"/>
      <c r="CC845" s="69"/>
      <c r="CD845" s="69"/>
      <c r="CE845" s="69"/>
      <c r="CF845" s="69"/>
      <c r="CG845" s="69"/>
      <c r="CH845" s="69"/>
      <c r="CI845" s="69"/>
      <c r="CJ845" s="69"/>
      <c r="CK845" s="69"/>
      <c r="CL845" s="69"/>
      <c r="CM845" s="69"/>
      <c r="CN845" s="69"/>
      <c r="CO845" s="69"/>
      <c r="CP845" s="69"/>
      <c r="CQ845" s="69"/>
      <c r="CR845" s="69"/>
      <c r="CS845" s="69"/>
      <c r="CT845" s="69"/>
      <c r="CU845" s="69"/>
      <c r="CV845" s="69"/>
      <c r="CW845" s="69"/>
      <c r="CX845" s="69"/>
      <c r="CY845" s="69"/>
      <c r="CZ845" s="69"/>
      <c r="DA845" s="69"/>
      <c r="DB845" s="69"/>
      <c r="DC845" s="69"/>
      <c r="DD845" s="69"/>
      <c r="DE845" s="69"/>
      <c r="DF845" s="69"/>
      <c r="DG845" s="69"/>
      <c r="DH845" s="69"/>
      <c r="DI845" s="69"/>
      <c r="DJ845" s="69"/>
      <c r="DK845" s="69"/>
      <c r="DL845" s="69"/>
    </row>
    <row r="846" spans="1:116" ht="13" x14ac:dyDescent="0.3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202"/>
      <c r="V846" s="69"/>
      <c r="W846" s="69"/>
      <c r="X846" s="69"/>
      <c r="Y846" s="69"/>
      <c r="Z846" s="69"/>
      <c r="AA846" s="69"/>
      <c r="AB846" s="203"/>
      <c r="AC846" s="69"/>
      <c r="AD846" s="69"/>
      <c r="AE846" s="203"/>
      <c r="AF846" s="69"/>
      <c r="AG846" s="69"/>
      <c r="AH846" s="69"/>
      <c r="AI846" s="69"/>
      <c r="AJ846" s="69"/>
      <c r="AK846" s="69"/>
      <c r="AL846" s="69"/>
      <c r="AM846" s="69"/>
      <c r="AN846" s="69"/>
      <c r="AO846" s="69"/>
      <c r="AP846" s="69"/>
      <c r="AQ846" s="69"/>
      <c r="AR846" s="69"/>
      <c r="AS846" s="69"/>
      <c r="AT846" s="69"/>
      <c r="AU846" s="69"/>
      <c r="AV846" s="69"/>
      <c r="AW846" s="69"/>
      <c r="AX846" s="69"/>
      <c r="AY846" s="69"/>
      <c r="AZ846" s="69"/>
      <c r="BA846" s="69"/>
      <c r="BB846" s="69"/>
      <c r="BC846" s="69"/>
      <c r="BD846" s="69"/>
      <c r="BE846" s="69"/>
      <c r="BF846" s="69"/>
      <c r="BG846" s="69"/>
      <c r="BH846" s="69"/>
      <c r="BI846" s="69"/>
      <c r="BJ846" s="69"/>
      <c r="BK846" s="69"/>
      <c r="BL846" s="69"/>
      <c r="BM846" s="69"/>
      <c r="BN846" s="69"/>
      <c r="BO846" s="69"/>
      <c r="BP846" s="69"/>
      <c r="BQ846" s="69"/>
      <c r="BR846" s="69"/>
      <c r="BS846" s="69"/>
      <c r="BT846" s="69"/>
      <c r="BU846" s="69"/>
      <c r="BV846" s="69"/>
      <c r="BW846" s="69"/>
      <c r="BX846" s="69"/>
      <c r="BY846" s="69"/>
      <c r="BZ846" s="69"/>
      <c r="CA846" s="69"/>
      <c r="CB846" s="69"/>
      <c r="CC846" s="69"/>
      <c r="CD846" s="69"/>
      <c r="CE846" s="69"/>
      <c r="CF846" s="69"/>
      <c r="CG846" s="69"/>
      <c r="CH846" s="69"/>
      <c r="CI846" s="69"/>
      <c r="CJ846" s="69"/>
      <c r="CK846" s="69"/>
      <c r="CL846" s="69"/>
      <c r="CM846" s="69"/>
      <c r="CN846" s="69"/>
      <c r="CO846" s="69"/>
      <c r="CP846" s="69"/>
      <c r="CQ846" s="69"/>
      <c r="CR846" s="69"/>
      <c r="CS846" s="69"/>
      <c r="CT846" s="69"/>
      <c r="CU846" s="69"/>
      <c r="CV846" s="69"/>
      <c r="CW846" s="69"/>
      <c r="CX846" s="69"/>
      <c r="CY846" s="69"/>
      <c r="CZ846" s="69"/>
      <c r="DA846" s="69"/>
      <c r="DB846" s="69"/>
      <c r="DC846" s="69"/>
      <c r="DD846" s="69"/>
      <c r="DE846" s="69"/>
      <c r="DF846" s="69"/>
      <c r="DG846" s="69"/>
      <c r="DH846" s="69"/>
      <c r="DI846" s="69"/>
      <c r="DJ846" s="69"/>
      <c r="DK846" s="69"/>
      <c r="DL846" s="69"/>
    </row>
    <row r="847" spans="1:116" ht="13" x14ac:dyDescent="0.3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202"/>
      <c r="V847" s="69"/>
      <c r="W847" s="69"/>
      <c r="X847" s="69"/>
      <c r="Y847" s="69"/>
      <c r="Z847" s="69"/>
      <c r="AA847" s="69"/>
      <c r="AB847" s="203"/>
      <c r="AC847" s="69"/>
      <c r="AD847" s="69"/>
      <c r="AE847" s="203"/>
      <c r="AF847" s="69"/>
      <c r="AG847" s="69"/>
      <c r="AH847" s="69"/>
      <c r="AI847" s="69"/>
      <c r="AJ847" s="69"/>
      <c r="AK847" s="69"/>
      <c r="AL847" s="69"/>
      <c r="AM847" s="69"/>
      <c r="AN847" s="69"/>
      <c r="AO847" s="69"/>
      <c r="AP847" s="69"/>
      <c r="AQ847" s="69"/>
      <c r="AR847" s="69"/>
      <c r="AS847" s="69"/>
      <c r="AT847" s="69"/>
      <c r="AU847" s="69"/>
      <c r="AV847" s="69"/>
      <c r="AW847" s="69"/>
      <c r="AX847" s="69"/>
      <c r="AY847" s="69"/>
      <c r="AZ847" s="69"/>
      <c r="BA847" s="69"/>
      <c r="BB847" s="69"/>
      <c r="BC847" s="69"/>
      <c r="BD847" s="69"/>
      <c r="BE847" s="69"/>
      <c r="BF847" s="69"/>
      <c r="BG847" s="69"/>
      <c r="BH847" s="69"/>
      <c r="BI847" s="69"/>
      <c r="BJ847" s="69"/>
      <c r="BK847" s="69"/>
      <c r="BL847" s="69"/>
      <c r="BM847" s="69"/>
      <c r="BN847" s="69"/>
      <c r="BO847" s="69"/>
      <c r="BP847" s="69"/>
      <c r="BQ847" s="69"/>
      <c r="BR847" s="69"/>
      <c r="BS847" s="69"/>
      <c r="BT847" s="69"/>
      <c r="BU847" s="69"/>
      <c r="BV847" s="69"/>
      <c r="BW847" s="69"/>
      <c r="BX847" s="69"/>
      <c r="BY847" s="69"/>
      <c r="BZ847" s="69"/>
      <c r="CA847" s="69"/>
      <c r="CB847" s="69"/>
      <c r="CC847" s="69"/>
      <c r="CD847" s="69"/>
      <c r="CE847" s="69"/>
      <c r="CF847" s="69"/>
      <c r="CG847" s="69"/>
      <c r="CH847" s="69"/>
      <c r="CI847" s="69"/>
      <c r="CJ847" s="69"/>
      <c r="CK847" s="69"/>
      <c r="CL847" s="69"/>
      <c r="CM847" s="69"/>
      <c r="CN847" s="69"/>
      <c r="CO847" s="69"/>
      <c r="CP847" s="69"/>
      <c r="CQ847" s="69"/>
      <c r="CR847" s="69"/>
      <c r="CS847" s="69"/>
      <c r="CT847" s="69"/>
      <c r="CU847" s="69"/>
      <c r="CV847" s="69"/>
      <c r="CW847" s="69"/>
      <c r="CX847" s="69"/>
      <c r="CY847" s="69"/>
      <c r="CZ847" s="69"/>
      <c r="DA847" s="69"/>
      <c r="DB847" s="69"/>
      <c r="DC847" s="69"/>
      <c r="DD847" s="69"/>
      <c r="DE847" s="69"/>
      <c r="DF847" s="69"/>
      <c r="DG847" s="69"/>
      <c r="DH847" s="69"/>
      <c r="DI847" s="69"/>
      <c r="DJ847" s="69"/>
      <c r="DK847" s="69"/>
      <c r="DL847" s="69"/>
    </row>
    <row r="848" spans="1:116" ht="13" x14ac:dyDescent="0.3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202"/>
      <c r="V848" s="69"/>
      <c r="W848" s="69"/>
      <c r="X848" s="69"/>
      <c r="Y848" s="69"/>
      <c r="Z848" s="69"/>
      <c r="AA848" s="69"/>
      <c r="AB848" s="203"/>
      <c r="AC848" s="69"/>
      <c r="AD848" s="69"/>
      <c r="AE848" s="203"/>
      <c r="AF848" s="69"/>
      <c r="AG848" s="69"/>
      <c r="AH848" s="69"/>
      <c r="AI848" s="69"/>
      <c r="AJ848" s="69"/>
      <c r="AK848" s="69"/>
      <c r="AL848" s="69"/>
      <c r="AM848" s="69"/>
      <c r="AN848" s="69"/>
      <c r="AO848" s="69"/>
      <c r="AP848" s="69"/>
      <c r="AQ848" s="69"/>
      <c r="AR848" s="69"/>
      <c r="AS848" s="69"/>
      <c r="AT848" s="69"/>
      <c r="AU848" s="69"/>
      <c r="AV848" s="69"/>
      <c r="AW848" s="69"/>
      <c r="AX848" s="69"/>
      <c r="AY848" s="69"/>
      <c r="AZ848" s="69"/>
      <c r="BA848" s="69"/>
      <c r="BB848" s="69"/>
      <c r="BC848" s="69"/>
      <c r="BD848" s="69"/>
      <c r="BE848" s="69"/>
      <c r="BF848" s="69"/>
      <c r="BG848" s="69"/>
      <c r="BH848" s="69"/>
      <c r="BI848" s="69"/>
      <c r="BJ848" s="69"/>
      <c r="BK848" s="69"/>
      <c r="BL848" s="69"/>
      <c r="BM848" s="69"/>
      <c r="BN848" s="69"/>
      <c r="BO848" s="69"/>
      <c r="BP848" s="69"/>
      <c r="BQ848" s="69"/>
      <c r="BR848" s="69"/>
      <c r="BS848" s="69"/>
      <c r="BT848" s="69"/>
      <c r="BU848" s="69"/>
      <c r="BV848" s="69"/>
      <c r="BW848" s="69"/>
      <c r="BX848" s="69"/>
      <c r="BY848" s="69"/>
      <c r="BZ848" s="69"/>
      <c r="CA848" s="69"/>
      <c r="CB848" s="69"/>
      <c r="CC848" s="69"/>
      <c r="CD848" s="69"/>
      <c r="CE848" s="69"/>
      <c r="CF848" s="69"/>
      <c r="CG848" s="69"/>
      <c r="CH848" s="69"/>
      <c r="CI848" s="69"/>
      <c r="CJ848" s="69"/>
      <c r="CK848" s="69"/>
      <c r="CL848" s="69"/>
      <c r="CM848" s="69"/>
      <c r="CN848" s="69"/>
      <c r="CO848" s="69"/>
      <c r="CP848" s="69"/>
      <c r="CQ848" s="69"/>
      <c r="CR848" s="69"/>
      <c r="CS848" s="69"/>
      <c r="CT848" s="69"/>
      <c r="CU848" s="69"/>
      <c r="CV848" s="69"/>
      <c r="CW848" s="69"/>
      <c r="CX848" s="69"/>
      <c r="CY848" s="69"/>
      <c r="CZ848" s="69"/>
      <c r="DA848" s="69"/>
      <c r="DB848" s="69"/>
      <c r="DC848" s="69"/>
      <c r="DD848" s="69"/>
      <c r="DE848" s="69"/>
      <c r="DF848" s="69"/>
      <c r="DG848" s="69"/>
      <c r="DH848" s="69"/>
      <c r="DI848" s="69"/>
      <c r="DJ848" s="69"/>
      <c r="DK848" s="69"/>
      <c r="DL848" s="69"/>
    </row>
    <row r="849" spans="1:116" ht="13" x14ac:dyDescent="0.3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202"/>
      <c r="V849" s="69"/>
      <c r="W849" s="69"/>
      <c r="X849" s="69"/>
      <c r="Y849" s="69"/>
      <c r="Z849" s="69"/>
      <c r="AA849" s="69"/>
      <c r="AB849" s="203"/>
      <c r="AC849" s="69"/>
      <c r="AD849" s="69"/>
      <c r="AE849" s="203"/>
      <c r="AF849" s="69"/>
      <c r="AG849" s="69"/>
      <c r="AH849" s="69"/>
      <c r="AI849" s="69"/>
      <c r="AJ849" s="69"/>
      <c r="AK849" s="69"/>
      <c r="AL849" s="69"/>
      <c r="AM849" s="69"/>
      <c r="AN849" s="69"/>
      <c r="AO849" s="69"/>
      <c r="AP849" s="69"/>
      <c r="AQ849" s="69"/>
      <c r="AR849" s="69"/>
      <c r="AS849" s="69"/>
      <c r="AT849" s="69"/>
      <c r="AU849" s="69"/>
      <c r="AV849" s="69"/>
      <c r="AW849" s="69"/>
      <c r="AX849" s="69"/>
      <c r="AY849" s="69"/>
      <c r="AZ849" s="69"/>
      <c r="BA849" s="69"/>
      <c r="BB849" s="69"/>
      <c r="BC849" s="69"/>
      <c r="BD849" s="69"/>
      <c r="BE849" s="69"/>
      <c r="BF849" s="69"/>
      <c r="BG849" s="69"/>
      <c r="BH849" s="69"/>
      <c r="BI849" s="69"/>
      <c r="BJ849" s="69"/>
      <c r="BK849" s="69"/>
      <c r="BL849" s="69"/>
      <c r="BM849" s="69"/>
      <c r="BN849" s="69"/>
      <c r="BO849" s="69"/>
      <c r="BP849" s="69"/>
      <c r="BQ849" s="69"/>
      <c r="BR849" s="69"/>
      <c r="BS849" s="69"/>
      <c r="BT849" s="69"/>
      <c r="BU849" s="69"/>
      <c r="BV849" s="69"/>
      <c r="BW849" s="69"/>
      <c r="BX849" s="69"/>
      <c r="BY849" s="69"/>
      <c r="BZ849" s="69"/>
      <c r="CA849" s="69"/>
      <c r="CB849" s="69"/>
      <c r="CC849" s="69"/>
      <c r="CD849" s="69"/>
      <c r="CE849" s="69"/>
      <c r="CF849" s="69"/>
      <c r="CG849" s="69"/>
      <c r="CH849" s="69"/>
      <c r="CI849" s="69"/>
      <c r="CJ849" s="69"/>
      <c r="CK849" s="69"/>
      <c r="CL849" s="69"/>
      <c r="CM849" s="69"/>
      <c r="CN849" s="69"/>
      <c r="CO849" s="69"/>
      <c r="CP849" s="69"/>
      <c r="CQ849" s="69"/>
      <c r="CR849" s="69"/>
      <c r="CS849" s="69"/>
      <c r="CT849" s="69"/>
      <c r="CU849" s="69"/>
      <c r="CV849" s="69"/>
      <c r="CW849" s="69"/>
      <c r="CX849" s="69"/>
      <c r="CY849" s="69"/>
      <c r="CZ849" s="69"/>
      <c r="DA849" s="69"/>
      <c r="DB849" s="69"/>
      <c r="DC849" s="69"/>
      <c r="DD849" s="69"/>
      <c r="DE849" s="69"/>
      <c r="DF849" s="69"/>
      <c r="DG849" s="69"/>
      <c r="DH849" s="69"/>
      <c r="DI849" s="69"/>
      <c r="DJ849" s="69"/>
      <c r="DK849" s="69"/>
      <c r="DL849" s="69"/>
    </row>
    <row r="850" spans="1:116" ht="13" x14ac:dyDescent="0.3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202"/>
      <c r="V850" s="69"/>
      <c r="W850" s="69"/>
      <c r="X850" s="69"/>
      <c r="Y850" s="69"/>
      <c r="Z850" s="69"/>
      <c r="AA850" s="69"/>
      <c r="AB850" s="203"/>
      <c r="AC850" s="69"/>
      <c r="AD850" s="69"/>
      <c r="AE850" s="203"/>
      <c r="AF850" s="69"/>
      <c r="AG850" s="69"/>
      <c r="AH850" s="69"/>
      <c r="AI850" s="69"/>
      <c r="AJ850" s="69"/>
      <c r="AK850" s="69"/>
      <c r="AL850" s="69"/>
      <c r="AM850" s="69"/>
      <c r="AN850" s="69"/>
      <c r="AO850" s="69"/>
      <c r="AP850" s="69"/>
      <c r="AQ850" s="69"/>
      <c r="AR850" s="69"/>
      <c r="AS850" s="69"/>
      <c r="AT850" s="69"/>
      <c r="AU850" s="69"/>
      <c r="AV850" s="69"/>
      <c r="AW850" s="69"/>
      <c r="AX850" s="69"/>
      <c r="AY850" s="69"/>
      <c r="AZ850" s="69"/>
      <c r="BA850" s="69"/>
      <c r="BB850" s="69"/>
      <c r="BC850" s="69"/>
      <c r="BD850" s="69"/>
      <c r="BE850" s="69"/>
      <c r="BF850" s="69"/>
      <c r="BG850" s="69"/>
      <c r="BH850" s="69"/>
      <c r="BI850" s="69"/>
      <c r="BJ850" s="69"/>
      <c r="BK850" s="69"/>
      <c r="BL850" s="69"/>
      <c r="BM850" s="69"/>
      <c r="BN850" s="69"/>
      <c r="BO850" s="69"/>
      <c r="BP850" s="69"/>
      <c r="BQ850" s="69"/>
      <c r="BR850" s="69"/>
      <c r="BS850" s="69"/>
      <c r="BT850" s="69"/>
      <c r="BU850" s="69"/>
      <c r="BV850" s="69"/>
      <c r="BW850" s="69"/>
      <c r="BX850" s="69"/>
      <c r="BY850" s="69"/>
      <c r="BZ850" s="69"/>
      <c r="CA850" s="69"/>
      <c r="CB850" s="69"/>
      <c r="CC850" s="69"/>
      <c r="CD850" s="69"/>
      <c r="CE850" s="69"/>
      <c r="CF850" s="69"/>
      <c r="CG850" s="69"/>
      <c r="CH850" s="69"/>
      <c r="CI850" s="69"/>
      <c r="CJ850" s="69"/>
      <c r="CK850" s="69"/>
      <c r="CL850" s="69"/>
      <c r="CM850" s="69"/>
      <c r="CN850" s="69"/>
      <c r="CO850" s="69"/>
      <c r="CP850" s="69"/>
      <c r="CQ850" s="69"/>
      <c r="CR850" s="69"/>
      <c r="CS850" s="69"/>
      <c r="CT850" s="69"/>
      <c r="CU850" s="69"/>
      <c r="CV850" s="69"/>
      <c r="CW850" s="69"/>
      <c r="CX850" s="69"/>
      <c r="CY850" s="69"/>
      <c r="CZ850" s="69"/>
      <c r="DA850" s="69"/>
      <c r="DB850" s="69"/>
      <c r="DC850" s="69"/>
      <c r="DD850" s="69"/>
      <c r="DE850" s="69"/>
      <c r="DF850" s="69"/>
      <c r="DG850" s="69"/>
      <c r="DH850" s="69"/>
      <c r="DI850" s="69"/>
      <c r="DJ850" s="69"/>
      <c r="DK850" s="69"/>
      <c r="DL850" s="69"/>
    </row>
    <row r="851" spans="1:116" ht="13" x14ac:dyDescent="0.3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202"/>
      <c r="V851" s="69"/>
      <c r="W851" s="69"/>
      <c r="X851" s="69"/>
      <c r="Y851" s="69"/>
      <c r="Z851" s="69"/>
      <c r="AA851" s="69"/>
      <c r="AB851" s="203"/>
      <c r="AC851" s="69"/>
      <c r="AD851" s="69"/>
      <c r="AE851" s="203"/>
      <c r="AF851" s="69"/>
      <c r="AG851" s="69"/>
      <c r="AH851" s="69"/>
      <c r="AI851" s="69"/>
      <c r="AJ851" s="69"/>
      <c r="AK851" s="69"/>
      <c r="AL851" s="69"/>
      <c r="AM851" s="69"/>
      <c r="AN851" s="69"/>
      <c r="AO851" s="69"/>
      <c r="AP851" s="69"/>
      <c r="AQ851" s="69"/>
      <c r="AR851" s="69"/>
      <c r="AS851" s="69"/>
      <c r="AT851" s="69"/>
      <c r="AU851" s="69"/>
      <c r="AV851" s="69"/>
      <c r="AW851" s="69"/>
      <c r="AX851" s="69"/>
      <c r="AY851" s="69"/>
      <c r="AZ851" s="69"/>
      <c r="BA851" s="69"/>
      <c r="BB851" s="69"/>
      <c r="BC851" s="69"/>
      <c r="BD851" s="69"/>
      <c r="BE851" s="69"/>
      <c r="BF851" s="69"/>
      <c r="BG851" s="69"/>
      <c r="BH851" s="69"/>
      <c r="BI851" s="69"/>
      <c r="BJ851" s="69"/>
      <c r="BK851" s="69"/>
      <c r="BL851" s="69"/>
      <c r="BM851" s="69"/>
      <c r="BN851" s="69"/>
      <c r="BO851" s="69"/>
      <c r="BP851" s="69"/>
      <c r="BQ851" s="69"/>
      <c r="BR851" s="69"/>
      <c r="BS851" s="69"/>
      <c r="BT851" s="69"/>
      <c r="BU851" s="69"/>
      <c r="BV851" s="69"/>
      <c r="BW851" s="69"/>
      <c r="BX851" s="69"/>
      <c r="BY851" s="69"/>
      <c r="BZ851" s="69"/>
      <c r="CA851" s="69"/>
      <c r="CB851" s="69"/>
      <c r="CC851" s="69"/>
      <c r="CD851" s="69"/>
      <c r="CE851" s="69"/>
      <c r="CF851" s="69"/>
      <c r="CG851" s="69"/>
      <c r="CH851" s="69"/>
      <c r="CI851" s="69"/>
      <c r="CJ851" s="69"/>
      <c r="CK851" s="69"/>
      <c r="CL851" s="69"/>
      <c r="CM851" s="69"/>
      <c r="CN851" s="69"/>
      <c r="CO851" s="69"/>
      <c r="CP851" s="69"/>
      <c r="CQ851" s="69"/>
      <c r="CR851" s="69"/>
      <c r="CS851" s="69"/>
      <c r="CT851" s="69"/>
      <c r="CU851" s="69"/>
      <c r="CV851" s="69"/>
      <c r="CW851" s="69"/>
      <c r="CX851" s="69"/>
      <c r="CY851" s="69"/>
      <c r="CZ851" s="69"/>
      <c r="DA851" s="69"/>
      <c r="DB851" s="69"/>
      <c r="DC851" s="69"/>
      <c r="DD851" s="69"/>
      <c r="DE851" s="69"/>
      <c r="DF851" s="69"/>
      <c r="DG851" s="69"/>
      <c r="DH851" s="69"/>
      <c r="DI851" s="69"/>
      <c r="DJ851" s="69"/>
      <c r="DK851" s="69"/>
      <c r="DL851" s="69"/>
    </row>
    <row r="852" spans="1:116" ht="13" x14ac:dyDescent="0.3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202"/>
      <c r="V852" s="69"/>
      <c r="W852" s="69"/>
      <c r="X852" s="69"/>
      <c r="Y852" s="69"/>
      <c r="Z852" s="69"/>
      <c r="AA852" s="69"/>
      <c r="AB852" s="203"/>
      <c r="AC852" s="69"/>
      <c r="AD852" s="69"/>
      <c r="AE852" s="203"/>
      <c r="AF852" s="69"/>
      <c r="AG852" s="69"/>
      <c r="AH852" s="69"/>
      <c r="AI852" s="69"/>
      <c r="AJ852" s="69"/>
      <c r="AK852" s="69"/>
      <c r="AL852" s="69"/>
      <c r="AM852" s="69"/>
      <c r="AN852" s="69"/>
      <c r="AO852" s="69"/>
      <c r="AP852" s="69"/>
      <c r="AQ852" s="69"/>
      <c r="AR852" s="69"/>
      <c r="AS852" s="69"/>
      <c r="AT852" s="69"/>
      <c r="AU852" s="69"/>
      <c r="AV852" s="69"/>
      <c r="AW852" s="69"/>
      <c r="AX852" s="69"/>
      <c r="AY852" s="69"/>
      <c r="AZ852" s="69"/>
      <c r="BA852" s="69"/>
      <c r="BB852" s="69"/>
      <c r="BC852" s="69"/>
      <c r="BD852" s="69"/>
      <c r="BE852" s="69"/>
      <c r="BF852" s="69"/>
      <c r="BG852" s="69"/>
      <c r="BH852" s="69"/>
      <c r="BI852" s="69"/>
      <c r="BJ852" s="69"/>
      <c r="BK852" s="69"/>
      <c r="BL852" s="69"/>
      <c r="BM852" s="69"/>
      <c r="BN852" s="69"/>
      <c r="BO852" s="69"/>
      <c r="BP852" s="69"/>
      <c r="BQ852" s="69"/>
      <c r="BR852" s="69"/>
      <c r="BS852" s="69"/>
      <c r="BT852" s="69"/>
      <c r="BU852" s="69"/>
      <c r="BV852" s="69"/>
      <c r="BW852" s="69"/>
      <c r="BX852" s="69"/>
      <c r="BY852" s="69"/>
      <c r="BZ852" s="69"/>
      <c r="CA852" s="69"/>
      <c r="CB852" s="69"/>
      <c r="CC852" s="69"/>
      <c r="CD852" s="69"/>
      <c r="CE852" s="69"/>
      <c r="CF852" s="69"/>
      <c r="CG852" s="69"/>
      <c r="CH852" s="69"/>
      <c r="CI852" s="69"/>
      <c r="CJ852" s="69"/>
      <c r="CK852" s="69"/>
      <c r="CL852" s="69"/>
      <c r="CM852" s="69"/>
      <c r="CN852" s="69"/>
      <c r="CO852" s="69"/>
      <c r="CP852" s="69"/>
      <c r="CQ852" s="69"/>
      <c r="CR852" s="69"/>
      <c r="CS852" s="69"/>
      <c r="CT852" s="69"/>
      <c r="CU852" s="69"/>
      <c r="CV852" s="69"/>
      <c r="CW852" s="69"/>
      <c r="CX852" s="69"/>
      <c r="CY852" s="69"/>
      <c r="CZ852" s="69"/>
      <c r="DA852" s="69"/>
      <c r="DB852" s="69"/>
      <c r="DC852" s="69"/>
      <c r="DD852" s="69"/>
      <c r="DE852" s="69"/>
      <c r="DF852" s="69"/>
      <c r="DG852" s="69"/>
      <c r="DH852" s="69"/>
      <c r="DI852" s="69"/>
      <c r="DJ852" s="69"/>
      <c r="DK852" s="69"/>
      <c r="DL852" s="69"/>
    </row>
    <row r="853" spans="1:116" ht="13" x14ac:dyDescent="0.3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202"/>
      <c r="V853" s="69"/>
      <c r="W853" s="69"/>
      <c r="X853" s="69"/>
      <c r="Y853" s="69"/>
      <c r="Z853" s="69"/>
      <c r="AA853" s="69"/>
      <c r="AB853" s="203"/>
      <c r="AC853" s="69"/>
      <c r="AD853" s="69"/>
      <c r="AE853" s="203"/>
      <c r="AF853" s="69"/>
      <c r="AG853" s="69"/>
      <c r="AH853" s="69"/>
      <c r="AI853" s="69"/>
      <c r="AJ853" s="69"/>
      <c r="AK853" s="69"/>
      <c r="AL853" s="69"/>
      <c r="AM853" s="69"/>
      <c r="AN853" s="69"/>
      <c r="AO853" s="69"/>
      <c r="AP853" s="69"/>
      <c r="AQ853" s="69"/>
      <c r="AR853" s="69"/>
      <c r="AS853" s="69"/>
      <c r="AT853" s="69"/>
      <c r="AU853" s="69"/>
      <c r="AV853" s="69"/>
      <c r="AW853" s="69"/>
      <c r="AX853" s="69"/>
      <c r="AY853" s="69"/>
      <c r="AZ853" s="69"/>
      <c r="BA853" s="69"/>
      <c r="BB853" s="69"/>
      <c r="BC853" s="69"/>
      <c r="BD853" s="69"/>
      <c r="BE853" s="69"/>
      <c r="BF853" s="69"/>
      <c r="BG853" s="69"/>
      <c r="BH853" s="69"/>
      <c r="BI853" s="69"/>
      <c r="BJ853" s="69"/>
      <c r="BK853" s="69"/>
      <c r="BL853" s="69"/>
      <c r="BM853" s="69"/>
      <c r="BN853" s="69"/>
      <c r="BO853" s="69"/>
      <c r="BP853" s="69"/>
      <c r="BQ853" s="69"/>
      <c r="BR853" s="69"/>
      <c r="BS853" s="69"/>
      <c r="BT853" s="69"/>
      <c r="BU853" s="69"/>
      <c r="BV853" s="69"/>
      <c r="BW853" s="69"/>
      <c r="BX853" s="69"/>
      <c r="BY853" s="69"/>
      <c r="BZ853" s="69"/>
      <c r="CA853" s="69"/>
      <c r="CB853" s="69"/>
      <c r="CC853" s="69"/>
      <c r="CD853" s="69"/>
      <c r="CE853" s="69"/>
      <c r="CF853" s="69"/>
      <c r="CG853" s="69"/>
      <c r="CH853" s="69"/>
      <c r="CI853" s="69"/>
      <c r="CJ853" s="69"/>
      <c r="CK853" s="69"/>
      <c r="CL853" s="69"/>
      <c r="CM853" s="69"/>
      <c r="CN853" s="69"/>
      <c r="CO853" s="69"/>
      <c r="CP853" s="69"/>
      <c r="CQ853" s="69"/>
      <c r="CR853" s="69"/>
      <c r="CS853" s="69"/>
      <c r="CT853" s="69"/>
      <c r="CU853" s="69"/>
      <c r="CV853" s="69"/>
      <c r="CW853" s="69"/>
      <c r="CX853" s="69"/>
      <c r="CY853" s="69"/>
      <c r="CZ853" s="69"/>
      <c r="DA853" s="69"/>
      <c r="DB853" s="69"/>
      <c r="DC853" s="69"/>
      <c r="DD853" s="69"/>
      <c r="DE853" s="69"/>
      <c r="DF853" s="69"/>
      <c r="DG853" s="69"/>
      <c r="DH853" s="69"/>
      <c r="DI853" s="69"/>
      <c r="DJ853" s="69"/>
      <c r="DK853" s="69"/>
      <c r="DL853" s="69"/>
    </row>
    <row r="854" spans="1:116" ht="13" x14ac:dyDescent="0.3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202"/>
      <c r="V854" s="69"/>
      <c r="W854" s="69"/>
      <c r="X854" s="69"/>
      <c r="Y854" s="69"/>
      <c r="Z854" s="69"/>
      <c r="AA854" s="69"/>
      <c r="AB854" s="203"/>
      <c r="AC854" s="69"/>
      <c r="AD854" s="69"/>
      <c r="AE854" s="203"/>
      <c r="AF854" s="69"/>
      <c r="AG854" s="69"/>
      <c r="AH854" s="69"/>
      <c r="AI854" s="69"/>
      <c r="AJ854" s="69"/>
      <c r="AK854" s="69"/>
      <c r="AL854" s="69"/>
      <c r="AM854" s="69"/>
      <c r="AN854" s="69"/>
      <c r="AO854" s="69"/>
      <c r="AP854" s="69"/>
      <c r="AQ854" s="69"/>
      <c r="AR854" s="69"/>
      <c r="AS854" s="69"/>
      <c r="AT854" s="69"/>
      <c r="AU854" s="69"/>
      <c r="AV854" s="69"/>
      <c r="AW854" s="69"/>
      <c r="AX854" s="69"/>
      <c r="AY854" s="69"/>
      <c r="AZ854" s="69"/>
      <c r="BA854" s="69"/>
      <c r="BB854" s="69"/>
      <c r="BC854" s="69"/>
      <c r="BD854" s="69"/>
      <c r="BE854" s="69"/>
      <c r="BF854" s="69"/>
      <c r="BG854" s="69"/>
      <c r="BH854" s="69"/>
      <c r="BI854" s="69"/>
      <c r="BJ854" s="69"/>
      <c r="BK854" s="69"/>
      <c r="BL854" s="69"/>
      <c r="BM854" s="69"/>
      <c r="BN854" s="69"/>
      <c r="BO854" s="69"/>
      <c r="BP854" s="69"/>
      <c r="BQ854" s="69"/>
      <c r="BR854" s="69"/>
      <c r="BS854" s="69"/>
      <c r="BT854" s="69"/>
      <c r="BU854" s="69"/>
      <c r="BV854" s="69"/>
      <c r="BW854" s="69"/>
      <c r="BX854" s="69"/>
      <c r="BY854" s="69"/>
      <c r="BZ854" s="69"/>
      <c r="CA854" s="69"/>
      <c r="CB854" s="69"/>
      <c r="CC854" s="69"/>
      <c r="CD854" s="69"/>
      <c r="CE854" s="69"/>
      <c r="CF854" s="69"/>
      <c r="CG854" s="69"/>
      <c r="CH854" s="69"/>
      <c r="CI854" s="69"/>
      <c r="CJ854" s="69"/>
      <c r="CK854" s="69"/>
      <c r="CL854" s="69"/>
      <c r="CM854" s="69"/>
      <c r="CN854" s="69"/>
      <c r="CO854" s="69"/>
      <c r="CP854" s="69"/>
      <c r="CQ854" s="69"/>
      <c r="CR854" s="69"/>
      <c r="CS854" s="69"/>
      <c r="CT854" s="69"/>
      <c r="CU854" s="69"/>
      <c r="CV854" s="69"/>
      <c r="CW854" s="69"/>
      <c r="CX854" s="69"/>
      <c r="CY854" s="69"/>
      <c r="CZ854" s="69"/>
      <c r="DA854" s="69"/>
      <c r="DB854" s="69"/>
      <c r="DC854" s="69"/>
      <c r="DD854" s="69"/>
      <c r="DE854" s="69"/>
      <c r="DF854" s="69"/>
      <c r="DG854" s="69"/>
      <c r="DH854" s="69"/>
      <c r="DI854" s="69"/>
      <c r="DJ854" s="69"/>
      <c r="DK854" s="69"/>
      <c r="DL854" s="69"/>
    </row>
    <row r="855" spans="1:116" ht="13" x14ac:dyDescent="0.3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202"/>
      <c r="V855" s="69"/>
      <c r="W855" s="69"/>
      <c r="X855" s="69"/>
      <c r="Y855" s="69"/>
      <c r="Z855" s="69"/>
      <c r="AA855" s="69"/>
      <c r="AB855" s="203"/>
      <c r="AC855" s="69"/>
      <c r="AD855" s="69"/>
      <c r="AE855" s="203"/>
      <c r="AF855" s="69"/>
      <c r="AG855" s="69"/>
      <c r="AH855" s="69"/>
      <c r="AI855" s="69"/>
      <c r="AJ855" s="69"/>
      <c r="AK855" s="69"/>
      <c r="AL855" s="69"/>
      <c r="AM855" s="69"/>
      <c r="AN855" s="69"/>
      <c r="AO855" s="69"/>
      <c r="AP855" s="69"/>
      <c r="AQ855" s="69"/>
      <c r="AR855" s="69"/>
      <c r="AS855" s="69"/>
      <c r="AT855" s="69"/>
      <c r="AU855" s="69"/>
      <c r="AV855" s="69"/>
      <c r="AW855" s="69"/>
      <c r="AX855" s="69"/>
      <c r="AY855" s="69"/>
      <c r="AZ855" s="69"/>
      <c r="BA855" s="69"/>
      <c r="BB855" s="69"/>
      <c r="BC855" s="69"/>
      <c r="BD855" s="69"/>
      <c r="BE855" s="69"/>
      <c r="BF855" s="69"/>
      <c r="BG855" s="69"/>
      <c r="BH855" s="69"/>
      <c r="BI855" s="69"/>
      <c r="BJ855" s="69"/>
      <c r="BK855" s="69"/>
      <c r="BL855" s="69"/>
      <c r="BM855" s="69"/>
      <c r="BN855" s="69"/>
      <c r="BO855" s="69"/>
      <c r="BP855" s="69"/>
      <c r="BQ855" s="69"/>
      <c r="BR855" s="69"/>
      <c r="BS855" s="69"/>
      <c r="BT855" s="69"/>
      <c r="BU855" s="69"/>
      <c r="BV855" s="69"/>
      <c r="BW855" s="69"/>
      <c r="BX855" s="69"/>
      <c r="BY855" s="69"/>
      <c r="BZ855" s="69"/>
      <c r="CA855" s="69"/>
      <c r="CB855" s="69"/>
      <c r="CC855" s="69"/>
      <c r="CD855" s="69"/>
      <c r="CE855" s="69"/>
      <c r="CF855" s="69"/>
      <c r="CG855" s="69"/>
      <c r="CH855" s="69"/>
      <c r="CI855" s="69"/>
      <c r="CJ855" s="69"/>
      <c r="CK855" s="69"/>
      <c r="CL855" s="69"/>
      <c r="CM855" s="69"/>
      <c r="CN855" s="69"/>
      <c r="CO855" s="69"/>
      <c r="CP855" s="69"/>
      <c r="CQ855" s="69"/>
      <c r="CR855" s="69"/>
      <c r="CS855" s="69"/>
      <c r="CT855" s="69"/>
      <c r="CU855" s="69"/>
      <c r="CV855" s="69"/>
      <c r="CW855" s="69"/>
      <c r="CX855" s="69"/>
      <c r="CY855" s="69"/>
      <c r="CZ855" s="69"/>
      <c r="DA855" s="69"/>
      <c r="DB855" s="69"/>
      <c r="DC855" s="69"/>
      <c r="DD855" s="69"/>
      <c r="DE855" s="69"/>
      <c r="DF855" s="69"/>
      <c r="DG855" s="69"/>
      <c r="DH855" s="69"/>
      <c r="DI855" s="69"/>
      <c r="DJ855" s="69"/>
      <c r="DK855" s="69"/>
      <c r="DL855" s="69"/>
    </row>
    <row r="856" spans="1:116" ht="13" x14ac:dyDescent="0.3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202"/>
      <c r="V856" s="69"/>
      <c r="W856" s="69"/>
      <c r="X856" s="69"/>
      <c r="Y856" s="69"/>
      <c r="Z856" s="69"/>
      <c r="AA856" s="69"/>
      <c r="AB856" s="203"/>
      <c r="AC856" s="69"/>
      <c r="AD856" s="69"/>
      <c r="AE856" s="203"/>
      <c r="AF856" s="69"/>
      <c r="AG856" s="69"/>
      <c r="AH856" s="69"/>
      <c r="AI856" s="69"/>
      <c r="AJ856" s="69"/>
      <c r="AK856" s="69"/>
      <c r="AL856" s="69"/>
      <c r="AM856" s="69"/>
      <c r="AN856" s="69"/>
      <c r="AO856" s="69"/>
      <c r="AP856" s="69"/>
      <c r="AQ856" s="69"/>
      <c r="AR856" s="69"/>
      <c r="AS856" s="69"/>
      <c r="AT856" s="69"/>
      <c r="AU856" s="69"/>
      <c r="AV856" s="69"/>
      <c r="AW856" s="69"/>
      <c r="AX856" s="69"/>
      <c r="AY856" s="69"/>
      <c r="AZ856" s="69"/>
      <c r="BA856" s="69"/>
      <c r="BB856" s="69"/>
      <c r="BC856" s="69"/>
      <c r="BD856" s="69"/>
      <c r="BE856" s="69"/>
      <c r="BF856" s="69"/>
      <c r="BG856" s="69"/>
      <c r="BH856" s="69"/>
      <c r="BI856" s="69"/>
      <c r="BJ856" s="69"/>
      <c r="BK856" s="69"/>
      <c r="BL856" s="69"/>
      <c r="BM856" s="69"/>
      <c r="BN856" s="69"/>
      <c r="BO856" s="69"/>
      <c r="BP856" s="69"/>
      <c r="BQ856" s="69"/>
      <c r="BR856" s="69"/>
      <c r="BS856" s="69"/>
      <c r="BT856" s="69"/>
      <c r="BU856" s="69"/>
      <c r="BV856" s="69"/>
      <c r="BW856" s="69"/>
      <c r="BX856" s="69"/>
      <c r="BY856" s="69"/>
      <c r="BZ856" s="69"/>
      <c r="CA856" s="69"/>
      <c r="CB856" s="69"/>
      <c r="CC856" s="69"/>
      <c r="CD856" s="69"/>
      <c r="CE856" s="69"/>
      <c r="CF856" s="69"/>
      <c r="CG856" s="69"/>
      <c r="CH856" s="69"/>
      <c r="CI856" s="69"/>
      <c r="CJ856" s="69"/>
      <c r="CK856" s="69"/>
      <c r="CL856" s="69"/>
      <c r="CM856" s="69"/>
      <c r="CN856" s="69"/>
      <c r="CO856" s="69"/>
      <c r="CP856" s="69"/>
      <c r="CQ856" s="69"/>
      <c r="CR856" s="69"/>
      <c r="CS856" s="69"/>
      <c r="CT856" s="69"/>
      <c r="CU856" s="69"/>
      <c r="CV856" s="69"/>
      <c r="CW856" s="69"/>
      <c r="CX856" s="69"/>
      <c r="CY856" s="69"/>
      <c r="CZ856" s="69"/>
      <c r="DA856" s="69"/>
      <c r="DB856" s="69"/>
      <c r="DC856" s="69"/>
      <c r="DD856" s="69"/>
      <c r="DE856" s="69"/>
      <c r="DF856" s="69"/>
      <c r="DG856" s="69"/>
      <c r="DH856" s="69"/>
      <c r="DI856" s="69"/>
      <c r="DJ856" s="69"/>
      <c r="DK856" s="69"/>
      <c r="DL856" s="69"/>
    </row>
    <row r="857" spans="1:116" ht="13" x14ac:dyDescent="0.3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202"/>
      <c r="V857" s="69"/>
      <c r="W857" s="69"/>
      <c r="X857" s="69"/>
      <c r="Y857" s="69"/>
      <c r="Z857" s="69"/>
      <c r="AA857" s="69"/>
      <c r="AB857" s="203"/>
      <c r="AC857" s="69"/>
      <c r="AD857" s="69"/>
      <c r="AE857" s="203"/>
      <c r="AF857" s="69"/>
      <c r="AG857" s="69"/>
      <c r="AH857" s="69"/>
      <c r="AI857" s="69"/>
      <c r="AJ857" s="69"/>
      <c r="AK857" s="69"/>
      <c r="AL857" s="69"/>
      <c r="AM857" s="69"/>
      <c r="AN857" s="69"/>
      <c r="AO857" s="69"/>
      <c r="AP857" s="69"/>
      <c r="AQ857" s="69"/>
      <c r="AR857" s="69"/>
      <c r="AS857" s="69"/>
      <c r="AT857" s="69"/>
      <c r="AU857" s="69"/>
      <c r="AV857" s="69"/>
      <c r="AW857" s="69"/>
      <c r="AX857" s="69"/>
      <c r="AY857" s="69"/>
      <c r="AZ857" s="69"/>
      <c r="BA857" s="69"/>
      <c r="BB857" s="69"/>
      <c r="BC857" s="69"/>
      <c r="BD857" s="69"/>
      <c r="BE857" s="69"/>
      <c r="BF857" s="69"/>
      <c r="BG857" s="69"/>
      <c r="BH857" s="69"/>
      <c r="BI857" s="69"/>
      <c r="BJ857" s="69"/>
      <c r="BK857" s="69"/>
      <c r="BL857" s="69"/>
      <c r="BM857" s="69"/>
      <c r="BN857" s="69"/>
      <c r="BO857" s="69"/>
      <c r="BP857" s="69"/>
      <c r="BQ857" s="69"/>
      <c r="BR857" s="69"/>
      <c r="BS857" s="69"/>
      <c r="BT857" s="69"/>
      <c r="BU857" s="69"/>
      <c r="BV857" s="69"/>
      <c r="BW857" s="69"/>
      <c r="BX857" s="69"/>
      <c r="BY857" s="69"/>
      <c r="BZ857" s="69"/>
      <c r="CA857" s="69"/>
      <c r="CB857" s="69"/>
      <c r="CC857" s="69"/>
      <c r="CD857" s="69"/>
      <c r="CE857" s="69"/>
      <c r="CF857" s="69"/>
      <c r="CG857" s="69"/>
      <c r="CH857" s="69"/>
      <c r="CI857" s="69"/>
      <c r="CJ857" s="69"/>
      <c r="CK857" s="69"/>
      <c r="CL857" s="69"/>
      <c r="CM857" s="69"/>
      <c r="CN857" s="69"/>
      <c r="CO857" s="69"/>
      <c r="CP857" s="69"/>
      <c r="CQ857" s="69"/>
      <c r="CR857" s="69"/>
      <c r="CS857" s="69"/>
      <c r="CT857" s="69"/>
      <c r="CU857" s="69"/>
      <c r="CV857" s="69"/>
      <c r="CW857" s="69"/>
      <c r="CX857" s="69"/>
      <c r="CY857" s="69"/>
      <c r="CZ857" s="69"/>
      <c r="DA857" s="69"/>
      <c r="DB857" s="69"/>
      <c r="DC857" s="69"/>
      <c r="DD857" s="69"/>
      <c r="DE857" s="69"/>
      <c r="DF857" s="69"/>
      <c r="DG857" s="69"/>
      <c r="DH857" s="69"/>
      <c r="DI857" s="69"/>
      <c r="DJ857" s="69"/>
      <c r="DK857" s="69"/>
      <c r="DL857" s="69"/>
    </row>
    <row r="858" spans="1:116" ht="13" x14ac:dyDescent="0.3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202"/>
      <c r="V858" s="69"/>
      <c r="W858" s="69"/>
      <c r="X858" s="69"/>
      <c r="Y858" s="69"/>
      <c r="Z858" s="69"/>
      <c r="AA858" s="69"/>
      <c r="AB858" s="203"/>
      <c r="AC858" s="69"/>
      <c r="AD858" s="69"/>
      <c r="AE858" s="203"/>
      <c r="AF858" s="69"/>
      <c r="AG858" s="69"/>
      <c r="AH858" s="69"/>
      <c r="AI858" s="69"/>
      <c r="AJ858" s="69"/>
      <c r="AK858" s="69"/>
      <c r="AL858" s="69"/>
      <c r="AM858" s="69"/>
      <c r="AN858" s="69"/>
      <c r="AO858" s="69"/>
      <c r="AP858" s="69"/>
      <c r="AQ858" s="69"/>
      <c r="AR858" s="69"/>
      <c r="AS858" s="69"/>
      <c r="AT858" s="69"/>
      <c r="AU858" s="69"/>
      <c r="AV858" s="69"/>
      <c r="AW858" s="69"/>
      <c r="AX858" s="69"/>
      <c r="AY858" s="69"/>
      <c r="AZ858" s="69"/>
      <c r="BA858" s="69"/>
      <c r="BB858" s="69"/>
      <c r="BC858" s="69"/>
      <c r="BD858" s="69"/>
      <c r="BE858" s="69"/>
      <c r="BF858" s="69"/>
      <c r="BG858" s="69"/>
      <c r="BH858" s="69"/>
      <c r="BI858" s="69"/>
      <c r="BJ858" s="69"/>
      <c r="BK858" s="69"/>
      <c r="BL858" s="69"/>
      <c r="BM858" s="69"/>
      <c r="BN858" s="69"/>
      <c r="BO858" s="69"/>
      <c r="BP858" s="69"/>
      <c r="BQ858" s="69"/>
      <c r="BR858" s="69"/>
      <c r="BS858" s="69"/>
      <c r="BT858" s="69"/>
      <c r="BU858" s="69"/>
      <c r="BV858" s="69"/>
      <c r="BW858" s="69"/>
      <c r="BX858" s="69"/>
      <c r="BY858" s="69"/>
      <c r="BZ858" s="69"/>
      <c r="CA858" s="69"/>
      <c r="CB858" s="69"/>
      <c r="CC858" s="69"/>
      <c r="CD858" s="69"/>
      <c r="CE858" s="69"/>
      <c r="CF858" s="69"/>
      <c r="CG858" s="69"/>
      <c r="CH858" s="69"/>
      <c r="CI858" s="69"/>
      <c r="CJ858" s="69"/>
      <c r="CK858" s="69"/>
      <c r="CL858" s="69"/>
      <c r="CM858" s="69"/>
      <c r="CN858" s="69"/>
      <c r="CO858" s="69"/>
      <c r="CP858" s="69"/>
      <c r="CQ858" s="69"/>
      <c r="CR858" s="69"/>
      <c r="CS858" s="69"/>
      <c r="CT858" s="69"/>
      <c r="CU858" s="69"/>
      <c r="CV858" s="69"/>
      <c r="CW858" s="69"/>
      <c r="CX858" s="69"/>
      <c r="CY858" s="69"/>
      <c r="CZ858" s="69"/>
      <c r="DA858" s="69"/>
      <c r="DB858" s="69"/>
      <c r="DC858" s="69"/>
      <c r="DD858" s="69"/>
      <c r="DE858" s="69"/>
      <c r="DF858" s="69"/>
      <c r="DG858" s="69"/>
      <c r="DH858" s="69"/>
      <c r="DI858" s="69"/>
      <c r="DJ858" s="69"/>
      <c r="DK858" s="69"/>
      <c r="DL858" s="69"/>
    </row>
    <row r="859" spans="1:116" ht="13" x14ac:dyDescent="0.3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202"/>
      <c r="V859" s="69"/>
      <c r="W859" s="69"/>
      <c r="X859" s="69"/>
      <c r="Y859" s="69"/>
      <c r="Z859" s="69"/>
      <c r="AA859" s="69"/>
      <c r="AB859" s="203"/>
      <c r="AC859" s="69"/>
      <c r="AD859" s="69"/>
      <c r="AE859" s="203"/>
      <c r="AF859" s="69"/>
      <c r="AG859" s="69"/>
      <c r="AH859" s="69"/>
      <c r="AI859" s="69"/>
      <c r="AJ859" s="69"/>
      <c r="AK859" s="69"/>
      <c r="AL859" s="69"/>
      <c r="AM859" s="69"/>
      <c r="AN859" s="69"/>
      <c r="AO859" s="69"/>
      <c r="AP859" s="69"/>
      <c r="AQ859" s="69"/>
      <c r="AR859" s="69"/>
      <c r="AS859" s="69"/>
      <c r="AT859" s="69"/>
      <c r="AU859" s="69"/>
      <c r="AV859" s="69"/>
      <c r="AW859" s="69"/>
      <c r="AX859" s="69"/>
      <c r="AY859" s="69"/>
      <c r="AZ859" s="69"/>
      <c r="BA859" s="69"/>
      <c r="BB859" s="69"/>
      <c r="BC859" s="69"/>
      <c r="BD859" s="69"/>
      <c r="BE859" s="69"/>
      <c r="BF859" s="69"/>
      <c r="BG859" s="69"/>
      <c r="BH859" s="69"/>
      <c r="BI859" s="69"/>
      <c r="BJ859" s="69"/>
      <c r="BK859" s="69"/>
      <c r="BL859" s="69"/>
      <c r="BM859" s="69"/>
      <c r="BN859" s="69"/>
      <c r="BO859" s="69"/>
      <c r="BP859" s="69"/>
      <c r="BQ859" s="69"/>
      <c r="BR859" s="69"/>
      <c r="BS859" s="69"/>
      <c r="BT859" s="69"/>
      <c r="BU859" s="69"/>
      <c r="BV859" s="69"/>
      <c r="BW859" s="69"/>
      <c r="BX859" s="69"/>
      <c r="BY859" s="69"/>
      <c r="BZ859" s="69"/>
      <c r="CA859" s="69"/>
      <c r="CB859" s="69"/>
      <c r="CC859" s="69"/>
      <c r="CD859" s="69"/>
      <c r="CE859" s="69"/>
      <c r="CF859" s="69"/>
      <c r="CG859" s="69"/>
      <c r="CH859" s="69"/>
      <c r="CI859" s="69"/>
      <c r="CJ859" s="69"/>
      <c r="CK859" s="69"/>
      <c r="CL859" s="69"/>
      <c r="CM859" s="69"/>
      <c r="CN859" s="69"/>
      <c r="CO859" s="69"/>
      <c r="CP859" s="69"/>
      <c r="CQ859" s="69"/>
      <c r="CR859" s="69"/>
      <c r="CS859" s="69"/>
      <c r="CT859" s="69"/>
      <c r="CU859" s="69"/>
      <c r="CV859" s="69"/>
      <c r="CW859" s="69"/>
      <c r="CX859" s="69"/>
      <c r="CY859" s="69"/>
      <c r="CZ859" s="69"/>
      <c r="DA859" s="69"/>
      <c r="DB859" s="69"/>
      <c r="DC859" s="69"/>
      <c r="DD859" s="69"/>
      <c r="DE859" s="69"/>
      <c r="DF859" s="69"/>
      <c r="DG859" s="69"/>
      <c r="DH859" s="69"/>
      <c r="DI859" s="69"/>
      <c r="DJ859" s="69"/>
      <c r="DK859" s="69"/>
      <c r="DL859" s="69"/>
    </row>
    <row r="860" spans="1:116" ht="13" x14ac:dyDescent="0.3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202"/>
      <c r="V860" s="69"/>
      <c r="W860" s="69"/>
      <c r="X860" s="69"/>
      <c r="Y860" s="69"/>
      <c r="Z860" s="69"/>
      <c r="AA860" s="69"/>
      <c r="AB860" s="203"/>
      <c r="AC860" s="69"/>
      <c r="AD860" s="69"/>
      <c r="AE860" s="203"/>
      <c r="AF860" s="69"/>
      <c r="AG860" s="69"/>
      <c r="AH860" s="69"/>
      <c r="AI860" s="69"/>
      <c r="AJ860" s="69"/>
      <c r="AK860" s="69"/>
      <c r="AL860" s="69"/>
      <c r="AM860" s="69"/>
      <c r="AN860" s="69"/>
      <c r="AO860" s="69"/>
      <c r="AP860" s="69"/>
      <c r="AQ860" s="69"/>
      <c r="AR860" s="69"/>
      <c r="AS860" s="69"/>
      <c r="AT860" s="69"/>
      <c r="AU860" s="69"/>
      <c r="AV860" s="69"/>
      <c r="AW860" s="69"/>
      <c r="AX860" s="69"/>
      <c r="AY860" s="69"/>
      <c r="AZ860" s="69"/>
      <c r="BA860" s="69"/>
      <c r="BB860" s="69"/>
      <c r="BC860" s="69"/>
      <c r="BD860" s="69"/>
      <c r="BE860" s="69"/>
      <c r="BF860" s="69"/>
      <c r="BG860" s="69"/>
      <c r="BH860" s="69"/>
      <c r="BI860" s="69"/>
      <c r="BJ860" s="69"/>
      <c r="BK860" s="69"/>
      <c r="BL860" s="69"/>
      <c r="BM860" s="69"/>
      <c r="BN860" s="69"/>
      <c r="BO860" s="69"/>
      <c r="BP860" s="69"/>
      <c r="BQ860" s="69"/>
      <c r="BR860" s="69"/>
      <c r="BS860" s="69"/>
      <c r="BT860" s="69"/>
      <c r="BU860" s="69"/>
      <c r="BV860" s="69"/>
      <c r="BW860" s="69"/>
      <c r="BX860" s="69"/>
      <c r="BY860" s="69"/>
      <c r="BZ860" s="69"/>
      <c r="CA860" s="69"/>
      <c r="CB860" s="69"/>
      <c r="CC860" s="69"/>
      <c r="CD860" s="69"/>
      <c r="CE860" s="69"/>
      <c r="CF860" s="69"/>
      <c r="CG860" s="69"/>
      <c r="CH860" s="69"/>
      <c r="CI860" s="69"/>
      <c r="CJ860" s="69"/>
      <c r="CK860" s="69"/>
      <c r="CL860" s="69"/>
      <c r="CM860" s="69"/>
      <c r="CN860" s="69"/>
      <c r="CO860" s="69"/>
      <c r="CP860" s="69"/>
      <c r="CQ860" s="69"/>
      <c r="CR860" s="69"/>
      <c r="CS860" s="69"/>
      <c r="CT860" s="69"/>
      <c r="CU860" s="69"/>
      <c r="CV860" s="69"/>
      <c r="CW860" s="69"/>
      <c r="CX860" s="69"/>
      <c r="CY860" s="69"/>
      <c r="CZ860" s="69"/>
      <c r="DA860" s="69"/>
      <c r="DB860" s="69"/>
      <c r="DC860" s="69"/>
      <c r="DD860" s="69"/>
      <c r="DE860" s="69"/>
      <c r="DF860" s="69"/>
      <c r="DG860" s="69"/>
      <c r="DH860" s="69"/>
      <c r="DI860" s="69"/>
      <c r="DJ860" s="69"/>
      <c r="DK860" s="69"/>
      <c r="DL860" s="69"/>
    </row>
    <row r="861" spans="1:116" ht="13" x14ac:dyDescent="0.3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202"/>
      <c r="V861" s="69"/>
      <c r="W861" s="69"/>
      <c r="X861" s="69"/>
      <c r="Y861" s="69"/>
      <c r="Z861" s="69"/>
      <c r="AA861" s="69"/>
      <c r="AB861" s="203"/>
      <c r="AC861" s="69"/>
      <c r="AD861" s="69"/>
      <c r="AE861" s="203"/>
      <c r="AF861" s="69"/>
      <c r="AG861" s="69"/>
      <c r="AH861" s="69"/>
      <c r="AI861" s="69"/>
      <c r="AJ861" s="69"/>
      <c r="AK861" s="69"/>
      <c r="AL861" s="69"/>
      <c r="AM861" s="69"/>
      <c r="AN861" s="69"/>
      <c r="AO861" s="69"/>
      <c r="AP861" s="69"/>
      <c r="AQ861" s="69"/>
      <c r="AR861" s="69"/>
      <c r="AS861" s="69"/>
      <c r="AT861" s="69"/>
      <c r="AU861" s="69"/>
      <c r="AV861" s="69"/>
      <c r="AW861" s="69"/>
      <c r="AX861" s="69"/>
      <c r="AY861" s="69"/>
      <c r="AZ861" s="69"/>
      <c r="BA861" s="69"/>
      <c r="BB861" s="69"/>
      <c r="BC861" s="69"/>
      <c r="BD861" s="69"/>
      <c r="BE861" s="69"/>
      <c r="BF861" s="69"/>
      <c r="BG861" s="69"/>
      <c r="BH861" s="69"/>
      <c r="BI861" s="69"/>
      <c r="BJ861" s="69"/>
      <c r="BK861" s="69"/>
      <c r="BL861" s="69"/>
      <c r="BM861" s="69"/>
      <c r="BN861" s="69"/>
      <c r="BO861" s="69"/>
      <c r="BP861" s="69"/>
      <c r="BQ861" s="69"/>
      <c r="BR861" s="69"/>
      <c r="BS861" s="69"/>
      <c r="BT861" s="69"/>
      <c r="BU861" s="69"/>
      <c r="BV861" s="69"/>
      <c r="BW861" s="69"/>
      <c r="BX861" s="69"/>
      <c r="BY861" s="69"/>
      <c r="BZ861" s="69"/>
      <c r="CA861" s="69"/>
      <c r="CB861" s="69"/>
      <c r="CC861" s="69"/>
      <c r="CD861" s="69"/>
      <c r="CE861" s="69"/>
      <c r="CF861" s="69"/>
      <c r="CG861" s="69"/>
      <c r="CH861" s="69"/>
      <c r="CI861" s="69"/>
      <c r="CJ861" s="69"/>
      <c r="CK861" s="69"/>
      <c r="CL861" s="69"/>
      <c r="CM861" s="69"/>
      <c r="CN861" s="69"/>
      <c r="CO861" s="69"/>
      <c r="CP861" s="69"/>
      <c r="CQ861" s="69"/>
      <c r="CR861" s="69"/>
      <c r="CS861" s="69"/>
      <c r="CT861" s="69"/>
      <c r="CU861" s="69"/>
      <c r="CV861" s="69"/>
      <c r="CW861" s="69"/>
      <c r="CX861" s="69"/>
      <c r="CY861" s="69"/>
      <c r="CZ861" s="69"/>
      <c r="DA861" s="69"/>
      <c r="DB861" s="69"/>
      <c r="DC861" s="69"/>
      <c r="DD861" s="69"/>
      <c r="DE861" s="69"/>
      <c r="DF861" s="69"/>
      <c r="DG861" s="69"/>
      <c r="DH861" s="69"/>
      <c r="DI861" s="69"/>
      <c r="DJ861" s="69"/>
      <c r="DK861" s="69"/>
      <c r="DL861" s="69"/>
    </row>
    <row r="862" spans="1:116" ht="13" x14ac:dyDescent="0.3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202"/>
      <c r="V862" s="69"/>
      <c r="W862" s="69"/>
      <c r="X862" s="69"/>
      <c r="Y862" s="69"/>
      <c r="Z862" s="69"/>
      <c r="AA862" s="69"/>
      <c r="AB862" s="203"/>
      <c r="AC862" s="69"/>
      <c r="AD862" s="69"/>
      <c r="AE862" s="203"/>
      <c r="AF862" s="69"/>
      <c r="AG862" s="69"/>
      <c r="AH862" s="69"/>
      <c r="AI862" s="69"/>
      <c r="AJ862" s="69"/>
      <c r="AK862" s="69"/>
      <c r="AL862" s="69"/>
      <c r="AM862" s="69"/>
      <c r="AN862" s="69"/>
      <c r="AO862" s="69"/>
      <c r="AP862" s="69"/>
      <c r="AQ862" s="69"/>
      <c r="AR862" s="69"/>
      <c r="AS862" s="69"/>
      <c r="AT862" s="69"/>
      <c r="AU862" s="69"/>
      <c r="AV862" s="69"/>
      <c r="AW862" s="69"/>
      <c r="AX862" s="69"/>
      <c r="AY862" s="69"/>
      <c r="AZ862" s="69"/>
      <c r="BA862" s="69"/>
      <c r="BB862" s="69"/>
      <c r="BC862" s="69"/>
      <c r="BD862" s="69"/>
      <c r="BE862" s="69"/>
      <c r="BF862" s="69"/>
      <c r="BG862" s="69"/>
      <c r="BH862" s="69"/>
      <c r="BI862" s="69"/>
      <c r="BJ862" s="69"/>
      <c r="BK862" s="69"/>
      <c r="BL862" s="69"/>
      <c r="BM862" s="69"/>
      <c r="BN862" s="69"/>
      <c r="BO862" s="69"/>
      <c r="BP862" s="69"/>
      <c r="BQ862" s="69"/>
      <c r="BR862" s="69"/>
      <c r="BS862" s="69"/>
      <c r="BT862" s="69"/>
      <c r="BU862" s="69"/>
      <c r="BV862" s="69"/>
      <c r="BW862" s="69"/>
      <c r="BX862" s="69"/>
      <c r="BY862" s="69"/>
      <c r="BZ862" s="69"/>
      <c r="CA862" s="69"/>
      <c r="CB862" s="69"/>
      <c r="CC862" s="69"/>
      <c r="CD862" s="69"/>
      <c r="CE862" s="69"/>
      <c r="CF862" s="69"/>
      <c r="CG862" s="69"/>
      <c r="CH862" s="69"/>
      <c r="CI862" s="69"/>
      <c r="CJ862" s="69"/>
      <c r="CK862" s="69"/>
      <c r="CL862" s="69"/>
      <c r="CM862" s="69"/>
      <c r="CN862" s="69"/>
      <c r="CO862" s="69"/>
      <c r="CP862" s="69"/>
      <c r="CQ862" s="69"/>
      <c r="CR862" s="69"/>
      <c r="CS862" s="69"/>
      <c r="CT862" s="69"/>
      <c r="CU862" s="69"/>
      <c r="CV862" s="69"/>
      <c r="CW862" s="69"/>
      <c r="CX862" s="69"/>
      <c r="CY862" s="69"/>
      <c r="CZ862" s="69"/>
      <c r="DA862" s="69"/>
      <c r="DB862" s="69"/>
      <c r="DC862" s="69"/>
      <c r="DD862" s="69"/>
      <c r="DE862" s="69"/>
      <c r="DF862" s="69"/>
      <c r="DG862" s="69"/>
      <c r="DH862" s="69"/>
      <c r="DI862" s="69"/>
      <c r="DJ862" s="69"/>
      <c r="DK862" s="69"/>
      <c r="DL862" s="69"/>
    </row>
    <row r="863" spans="1:116" ht="13" x14ac:dyDescent="0.3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202"/>
      <c r="V863" s="69"/>
      <c r="W863" s="69"/>
      <c r="X863" s="69"/>
      <c r="Y863" s="69"/>
      <c r="Z863" s="69"/>
      <c r="AA863" s="69"/>
      <c r="AB863" s="203"/>
      <c r="AC863" s="69"/>
      <c r="AD863" s="69"/>
      <c r="AE863" s="203"/>
      <c r="AF863" s="69"/>
      <c r="AG863" s="69"/>
      <c r="AH863" s="69"/>
      <c r="AI863" s="69"/>
      <c r="AJ863" s="69"/>
      <c r="AK863" s="69"/>
      <c r="AL863" s="69"/>
      <c r="AM863" s="69"/>
      <c r="AN863" s="69"/>
      <c r="AO863" s="69"/>
      <c r="AP863" s="69"/>
      <c r="AQ863" s="69"/>
      <c r="AR863" s="69"/>
      <c r="AS863" s="69"/>
      <c r="AT863" s="69"/>
      <c r="AU863" s="69"/>
      <c r="AV863" s="69"/>
      <c r="AW863" s="69"/>
      <c r="AX863" s="69"/>
      <c r="AY863" s="69"/>
      <c r="AZ863" s="69"/>
      <c r="BA863" s="69"/>
      <c r="BB863" s="69"/>
      <c r="BC863" s="69"/>
      <c r="BD863" s="69"/>
      <c r="BE863" s="69"/>
      <c r="BF863" s="69"/>
      <c r="BG863" s="69"/>
      <c r="BH863" s="69"/>
      <c r="BI863" s="69"/>
      <c r="BJ863" s="69"/>
      <c r="BK863" s="69"/>
      <c r="BL863" s="69"/>
      <c r="BM863" s="69"/>
      <c r="BN863" s="69"/>
      <c r="BO863" s="69"/>
      <c r="BP863" s="69"/>
      <c r="BQ863" s="69"/>
      <c r="BR863" s="69"/>
      <c r="BS863" s="69"/>
      <c r="BT863" s="69"/>
      <c r="BU863" s="69"/>
      <c r="BV863" s="69"/>
      <c r="BW863" s="69"/>
      <c r="BX863" s="69"/>
      <c r="BY863" s="69"/>
      <c r="BZ863" s="69"/>
      <c r="CA863" s="69"/>
      <c r="CB863" s="69"/>
      <c r="CC863" s="69"/>
      <c r="CD863" s="69"/>
      <c r="CE863" s="69"/>
      <c r="CF863" s="69"/>
      <c r="CG863" s="69"/>
      <c r="CH863" s="69"/>
      <c r="CI863" s="69"/>
      <c r="CJ863" s="69"/>
      <c r="CK863" s="69"/>
      <c r="CL863" s="69"/>
      <c r="CM863" s="69"/>
      <c r="CN863" s="69"/>
      <c r="CO863" s="69"/>
      <c r="CP863" s="69"/>
      <c r="CQ863" s="69"/>
      <c r="CR863" s="69"/>
      <c r="CS863" s="69"/>
      <c r="CT863" s="69"/>
      <c r="CU863" s="69"/>
      <c r="CV863" s="69"/>
      <c r="CW863" s="69"/>
      <c r="CX863" s="69"/>
      <c r="CY863" s="69"/>
      <c r="CZ863" s="69"/>
      <c r="DA863" s="69"/>
      <c r="DB863" s="69"/>
      <c r="DC863" s="69"/>
      <c r="DD863" s="69"/>
      <c r="DE863" s="69"/>
      <c r="DF863" s="69"/>
      <c r="DG863" s="69"/>
      <c r="DH863" s="69"/>
      <c r="DI863" s="69"/>
      <c r="DJ863" s="69"/>
      <c r="DK863" s="69"/>
      <c r="DL863" s="69"/>
    </row>
    <row r="864" spans="1:116" ht="13" x14ac:dyDescent="0.3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202"/>
      <c r="V864" s="69"/>
      <c r="W864" s="69"/>
      <c r="X864" s="69"/>
      <c r="Y864" s="69"/>
      <c r="Z864" s="69"/>
      <c r="AA864" s="69"/>
      <c r="AB864" s="203"/>
      <c r="AC864" s="69"/>
      <c r="AD864" s="69"/>
      <c r="AE864" s="203"/>
      <c r="AF864" s="69"/>
      <c r="AG864" s="69"/>
      <c r="AH864" s="69"/>
      <c r="AI864" s="69"/>
      <c r="AJ864" s="69"/>
      <c r="AK864" s="69"/>
      <c r="AL864" s="69"/>
      <c r="AM864" s="69"/>
      <c r="AN864" s="69"/>
      <c r="AO864" s="69"/>
      <c r="AP864" s="69"/>
      <c r="AQ864" s="69"/>
      <c r="AR864" s="69"/>
      <c r="AS864" s="69"/>
      <c r="AT864" s="69"/>
      <c r="AU864" s="69"/>
      <c r="AV864" s="69"/>
      <c r="AW864" s="69"/>
      <c r="AX864" s="69"/>
      <c r="AY864" s="69"/>
      <c r="AZ864" s="69"/>
      <c r="BA864" s="69"/>
      <c r="BB864" s="69"/>
      <c r="BC864" s="69"/>
      <c r="BD864" s="69"/>
      <c r="BE864" s="69"/>
      <c r="BF864" s="69"/>
      <c r="BG864" s="69"/>
      <c r="BH864" s="69"/>
      <c r="BI864" s="69"/>
      <c r="BJ864" s="69"/>
      <c r="BK864" s="69"/>
      <c r="BL864" s="69"/>
      <c r="BM864" s="69"/>
      <c r="BN864" s="69"/>
      <c r="BO864" s="69"/>
      <c r="BP864" s="69"/>
      <c r="BQ864" s="69"/>
      <c r="BR864" s="69"/>
      <c r="BS864" s="69"/>
      <c r="BT864" s="69"/>
      <c r="BU864" s="69"/>
      <c r="BV864" s="69"/>
      <c r="BW864" s="69"/>
      <c r="BX864" s="69"/>
      <c r="BY864" s="69"/>
      <c r="BZ864" s="69"/>
      <c r="CA864" s="69"/>
      <c r="CB864" s="69"/>
      <c r="CC864" s="69"/>
      <c r="CD864" s="69"/>
      <c r="CE864" s="69"/>
      <c r="CF864" s="69"/>
      <c r="CG864" s="69"/>
      <c r="CH864" s="69"/>
      <c r="CI864" s="69"/>
      <c r="CJ864" s="69"/>
      <c r="CK864" s="69"/>
      <c r="CL864" s="69"/>
      <c r="CM864" s="69"/>
      <c r="CN864" s="69"/>
      <c r="CO864" s="69"/>
      <c r="CP864" s="69"/>
      <c r="CQ864" s="69"/>
      <c r="CR864" s="69"/>
      <c r="CS864" s="69"/>
      <c r="CT864" s="69"/>
      <c r="CU864" s="69"/>
      <c r="CV864" s="69"/>
      <c r="CW864" s="69"/>
      <c r="CX864" s="69"/>
      <c r="CY864" s="69"/>
      <c r="CZ864" s="69"/>
      <c r="DA864" s="69"/>
      <c r="DB864" s="69"/>
      <c r="DC864" s="69"/>
      <c r="DD864" s="69"/>
      <c r="DE864" s="69"/>
      <c r="DF864" s="69"/>
      <c r="DG864" s="69"/>
      <c r="DH864" s="69"/>
      <c r="DI864" s="69"/>
      <c r="DJ864" s="69"/>
      <c r="DK864" s="69"/>
      <c r="DL864" s="69"/>
    </row>
    <row r="865" spans="1:116" ht="13" x14ac:dyDescent="0.3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202"/>
      <c r="V865" s="69"/>
      <c r="W865" s="69"/>
      <c r="X865" s="69"/>
      <c r="Y865" s="69"/>
      <c r="Z865" s="69"/>
      <c r="AA865" s="69"/>
      <c r="AB865" s="203"/>
      <c r="AC865" s="69"/>
      <c r="AD865" s="69"/>
      <c r="AE865" s="203"/>
      <c r="AF865" s="69"/>
      <c r="AG865" s="69"/>
      <c r="AH865" s="69"/>
      <c r="AI865" s="69"/>
      <c r="AJ865" s="69"/>
      <c r="AK865" s="69"/>
      <c r="AL865" s="69"/>
      <c r="AM865" s="69"/>
      <c r="AN865" s="69"/>
      <c r="AO865" s="69"/>
      <c r="AP865" s="69"/>
      <c r="AQ865" s="69"/>
      <c r="AR865" s="69"/>
      <c r="AS865" s="69"/>
      <c r="AT865" s="69"/>
      <c r="AU865" s="69"/>
      <c r="AV865" s="69"/>
      <c r="AW865" s="69"/>
      <c r="AX865" s="69"/>
      <c r="AY865" s="69"/>
      <c r="AZ865" s="69"/>
      <c r="BA865" s="69"/>
      <c r="BB865" s="69"/>
      <c r="BC865" s="69"/>
      <c r="BD865" s="69"/>
      <c r="BE865" s="69"/>
      <c r="BF865" s="69"/>
      <c r="BG865" s="69"/>
      <c r="BH865" s="69"/>
      <c r="BI865" s="69"/>
      <c r="BJ865" s="69"/>
      <c r="BK865" s="69"/>
      <c r="BL865" s="69"/>
      <c r="BM865" s="69"/>
      <c r="BN865" s="69"/>
      <c r="BO865" s="69"/>
      <c r="BP865" s="69"/>
      <c r="BQ865" s="69"/>
      <c r="BR865" s="69"/>
      <c r="BS865" s="69"/>
      <c r="BT865" s="69"/>
      <c r="BU865" s="69"/>
      <c r="BV865" s="69"/>
      <c r="BW865" s="69"/>
      <c r="BX865" s="69"/>
      <c r="BY865" s="69"/>
      <c r="BZ865" s="69"/>
      <c r="CA865" s="69"/>
      <c r="CB865" s="69"/>
      <c r="CC865" s="69"/>
      <c r="CD865" s="69"/>
      <c r="CE865" s="69"/>
      <c r="CF865" s="69"/>
      <c r="CG865" s="69"/>
      <c r="CH865" s="69"/>
      <c r="CI865" s="69"/>
      <c r="CJ865" s="69"/>
      <c r="CK865" s="69"/>
      <c r="CL865" s="69"/>
      <c r="CM865" s="69"/>
      <c r="CN865" s="69"/>
      <c r="CO865" s="69"/>
      <c r="CP865" s="69"/>
      <c r="CQ865" s="69"/>
      <c r="CR865" s="69"/>
      <c r="CS865" s="69"/>
      <c r="CT865" s="69"/>
      <c r="CU865" s="69"/>
      <c r="CV865" s="69"/>
      <c r="CW865" s="69"/>
      <c r="CX865" s="69"/>
      <c r="CY865" s="69"/>
      <c r="CZ865" s="69"/>
      <c r="DA865" s="69"/>
      <c r="DB865" s="69"/>
      <c r="DC865" s="69"/>
      <c r="DD865" s="69"/>
      <c r="DE865" s="69"/>
      <c r="DF865" s="69"/>
      <c r="DG865" s="69"/>
      <c r="DH865" s="69"/>
      <c r="DI865" s="69"/>
      <c r="DJ865" s="69"/>
      <c r="DK865" s="69"/>
      <c r="DL865" s="69"/>
    </row>
    <row r="866" spans="1:116" ht="13" x14ac:dyDescent="0.3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202"/>
      <c r="V866" s="69"/>
      <c r="W866" s="69"/>
      <c r="X866" s="69"/>
      <c r="Y866" s="69"/>
      <c r="Z866" s="69"/>
      <c r="AA866" s="69"/>
      <c r="AB866" s="203"/>
      <c r="AC866" s="69"/>
      <c r="AD866" s="69"/>
      <c r="AE866" s="203"/>
      <c r="AF866" s="69"/>
      <c r="AG866" s="69"/>
      <c r="AH866" s="69"/>
      <c r="AI866" s="69"/>
      <c r="AJ866" s="69"/>
      <c r="AK866" s="69"/>
      <c r="AL866" s="69"/>
      <c r="AM866" s="69"/>
      <c r="AN866" s="69"/>
      <c r="AO866" s="69"/>
      <c r="AP866" s="69"/>
      <c r="AQ866" s="69"/>
      <c r="AR866" s="69"/>
      <c r="AS866" s="69"/>
      <c r="AT866" s="69"/>
      <c r="AU866" s="69"/>
      <c r="AV866" s="69"/>
      <c r="AW866" s="69"/>
      <c r="AX866" s="69"/>
      <c r="AY866" s="69"/>
      <c r="AZ866" s="69"/>
      <c r="BA866" s="69"/>
      <c r="BB866" s="69"/>
      <c r="BC866" s="69"/>
      <c r="BD866" s="69"/>
      <c r="BE866" s="69"/>
      <c r="BF866" s="69"/>
      <c r="BG866" s="69"/>
      <c r="BH866" s="69"/>
      <c r="BI866" s="69"/>
      <c r="BJ866" s="69"/>
      <c r="BK866" s="69"/>
      <c r="BL866" s="69"/>
      <c r="BM866" s="69"/>
      <c r="BN866" s="69"/>
      <c r="BO866" s="69"/>
      <c r="BP866" s="69"/>
      <c r="BQ866" s="69"/>
      <c r="BR866" s="69"/>
      <c r="BS866" s="69"/>
      <c r="BT866" s="69"/>
      <c r="BU866" s="69"/>
      <c r="BV866" s="69"/>
      <c r="BW866" s="69"/>
      <c r="BX866" s="69"/>
      <c r="BY866" s="69"/>
      <c r="BZ866" s="69"/>
      <c r="CA866" s="69"/>
      <c r="CB866" s="69"/>
      <c r="CC866" s="69"/>
      <c r="CD866" s="69"/>
      <c r="CE866" s="69"/>
      <c r="CF866" s="69"/>
      <c r="CG866" s="69"/>
      <c r="CH866" s="69"/>
      <c r="CI866" s="69"/>
      <c r="CJ866" s="69"/>
      <c r="CK866" s="69"/>
      <c r="CL866" s="69"/>
      <c r="CM866" s="69"/>
      <c r="CN866" s="69"/>
      <c r="CO866" s="69"/>
      <c r="CP866" s="69"/>
      <c r="CQ866" s="69"/>
      <c r="CR866" s="69"/>
      <c r="CS866" s="69"/>
      <c r="CT866" s="69"/>
      <c r="CU866" s="69"/>
      <c r="CV866" s="69"/>
      <c r="CW866" s="69"/>
      <c r="CX866" s="69"/>
      <c r="CY866" s="69"/>
      <c r="CZ866" s="69"/>
      <c r="DA866" s="69"/>
      <c r="DB866" s="69"/>
      <c r="DC866" s="69"/>
      <c r="DD866" s="69"/>
      <c r="DE866" s="69"/>
      <c r="DF866" s="69"/>
      <c r="DG866" s="69"/>
      <c r="DH866" s="69"/>
      <c r="DI866" s="69"/>
      <c r="DJ866" s="69"/>
      <c r="DK866" s="69"/>
      <c r="DL866" s="69"/>
    </row>
    <row r="867" spans="1:116" ht="13" x14ac:dyDescent="0.3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202"/>
      <c r="V867" s="69"/>
      <c r="W867" s="69"/>
      <c r="X867" s="69"/>
      <c r="Y867" s="69"/>
      <c r="Z867" s="69"/>
      <c r="AA867" s="69"/>
      <c r="AB867" s="203"/>
      <c r="AC867" s="69"/>
      <c r="AD867" s="69"/>
      <c r="AE867" s="203"/>
      <c r="AF867" s="69"/>
      <c r="AG867" s="69"/>
      <c r="AH867" s="69"/>
      <c r="AI867" s="69"/>
      <c r="AJ867" s="69"/>
      <c r="AK867" s="69"/>
      <c r="AL867" s="69"/>
      <c r="AM867" s="69"/>
      <c r="AN867" s="69"/>
      <c r="AO867" s="69"/>
      <c r="AP867" s="69"/>
      <c r="AQ867" s="69"/>
      <c r="AR867" s="69"/>
      <c r="AS867" s="69"/>
      <c r="AT867" s="69"/>
      <c r="AU867" s="69"/>
      <c r="AV867" s="69"/>
      <c r="AW867" s="69"/>
      <c r="AX867" s="69"/>
      <c r="AY867" s="69"/>
      <c r="AZ867" s="69"/>
      <c r="BA867" s="69"/>
      <c r="BB867" s="69"/>
      <c r="BC867" s="69"/>
      <c r="BD867" s="69"/>
      <c r="BE867" s="69"/>
      <c r="BF867" s="69"/>
      <c r="BG867" s="69"/>
      <c r="BH867" s="69"/>
      <c r="BI867" s="69"/>
      <c r="BJ867" s="69"/>
      <c r="BK867" s="69"/>
      <c r="BL867" s="69"/>
      <c r="BM867" s="69"/>
      <c r="BN867" s="69"/>
      <c r="BO867" s="69"/>
      <c r="BP867" s="69"/>
      <c r="BQ867" s="69"/>
      <c r="BR867" s="69"/>
      <c r="BS867" s="69"/>
      <c r="BT867" s="69"/>
      <c r="BU867" s="69"/>
      <c r="BV867" s="69"/>
      <c r="BW867" s="69"/>
      <c r="BX867" s="69"/>
      <c r="BY867" s="69"/>
      <c r="BZ867" s="69"/>
      <c r="CA867" s="69"/>
      <c r="CB867" s="69"/>
      <c r="CC867" s="69"/>
      <c r="CD867" s="69"/>
      <c r="CE867" s="69"/>
      <c r="CF867" s="69"/>
      <c r="CG867" s="69"/>
      <c r="CH867" s="69"/>
      <c r="CI867" s="69"/>
      <c r="CJ867" s="69"/>
      <c r="CK867" s="69"/>
      <c r="CL867" s="69"/>
      <c r="CM867" s="69"/>
      <c r="CN867" s="69"/>
      <c r="CO867" s="69"/>
      <c r="CP867" s="69"/>
      <c r="CQ867" s="69"/>
      <c r="CR867" s="69"/>
      <c r="CS867" s="69"/>
      <c r="CT867" s="69"/>
      <c r="CU867" s="69"/>
      <c r="CV867" s="69"/>
      <c r="CW867" s="69"/>
      <c r="CX867" s="69"/>
      <c r="CY867" s="69"/>
      <c r="CZ867" s="69"/>
      <c r="DA867" s="69"/>
      <c r="DB867" s="69"/>
      <c r="DC867" s="69"/>
      <c r="DD867" s="69"/>
      <c r="DE867" s="69"/>
      <c r="DF867" s="69"/>
      <c r="DG867" s="69"/>
      <c r="DH867" s="69"/>
      <c r="DI867" s="69"/>
      <c r="DJ867" s="69"/>
      <c r="DK867" s="69"/>
      <c r="DL867" s="69"/>
    </row>
    <row r="868" spans="1:116" ht="13" x14ac:dyDescent="0.3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202"/>
      <c r="V868" s="69"/>
      <c r="W868" s="69"/>
      <c r="X868" s="69"/>
      <c r="Y868" s="69"/>
      <c r="Z868" s="69"/>
      <c r="AA868" s="69"/>
      <c r="AB868" s="203"/>
      <c r="AC868" s="69"/>
      <c r="AD868" s="69"/>
      <c r="AE868" s="203"/>
      <c r="AF868" s="69"/>
      <c r="AG868" s="69"/>
      <c r="AH868" s="69"/>
      <c r="AI868" s="69"/>
      <c r="AJ868" s="69"/>
      <c r="AK868" s="69"/>
      <c r="AL868" s="69"/>
      <c r="AM868" s="69"/>
      <c r="AN868" s="69"/>
      <c r="AO868" s="69"/>
      <c r="AP868" s="69"/>
      <c r="AQ868" s="69"/>
      <c r="AR868" s="69"/>
      <c r="AS868" s="69"/>
      <c r="AT868" s="69"/>
      <c r="AU868" s="69"/>
      <c r="AV868" s="69"/>
      <c r="AW868" s="69"/>
      <c r="AX868" s="69"/>
      <c r="AY868" s="69"/>
      <c r="AZ868" s="69"/>
      <c r="BA868" s="69"/>
      <c r="BB868" s="69"/>
      <c r="BC868" s="69"/>
      <c r="BD868" s="69"/>
      <c r="BE868" s="69"/>
      <c r="BF868" s="69"/>
      <c r="BG868" s="69"/>
      <c r="BH868" s="69"/>
      <c r="BI868" s="69"/>
      <c r="BJ868" s="69"/>
      <c r="BK868" s="69"/>
      <c r="BL868" s="69"/>
      <c r="BM868" s="69"/>
      <c r="BN868" s="69"/>
      <c r="BO868" s="69"/>
      <c r="BP868" s="69"/>
      <c r="BQ868" s="69"/>
      <c r="BR868" s="69"/>
      <c r="BS868" s="69"/>
      <c r="BT868" s="69"/>
      <c r="BU868" s="69"/>
      <c r="BV868" s="69"/>
      <c r="BW868" s="69"/>
      <c r="BX868" s="69"/>
      <c r="BY868" s="69"/>
      <c r="BZ868" s="69"/>
      <c r="CA868" s="69"/>
      <c r="CB868" s="69"/>
      <c r="CC868" s="69"/>
      <c r="CD868" s="69"/>
      <c r="CE868" s="69"/>
      <c r="CF868" s="69"/>
      <c r="CG868" s="69"/>
      <c r="CH868" s="69"/>
      <c r="CI868" s="69"/>
      <c r="CJ868" s="69"/>
      <c r="CK868" s="69"/>
      <c r="CL868" s="69"/>
      <c r="CM868" s="69"/>
      <c r="CN868" s="69"/>
      <c r="CO868" s="69"/>
      <c r="CP868" s="69"/>
      <c r="CQ868" s="69"/>
      <c r="CR868" s="69"/>
      <c r="CS868" s="69"/>
      <c r="CT868" s="69"/>
      <c r="CU868" s="69"/>
      <c r="CV868" s="69"/>
      <c r="CW868" s="69"/>
      <c r="CX868" s="69"/>
      <c r="CY868" s="69"/>
      <c r="CZ868" s="69"/>
      <c r="DA868" s="69"/>
      <c r="DB868" s="69"/>
      <c r="DC868" s="69"/>
      <c r="DD868" s="69"/>
      <c r="DE868" s="69"/>
      <c r="DF868" s="69"/>
      <c r="DG868" s="69"/>
      <c r="DH868" s="69"/>
      <c r="DI868" s="69"/>
      <c r="DJ868" s="69"/>
      <c r="DK868" s="69"/>
      <c r="DL868" s="69"/>
    </row>
    <row r="869" spans="1:116" ht="13" x14ac:dyDescent="0.3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202"/>
      <c r="V869" s="69"/>
      <c r="W869" s="69"/>
      <c r="X869" s="69"/>
      <c r="Y869" s="69"/>
      <c r="Z869" s="69"/>
      <c r="AA869" s="69"/>
      <c r="AB869" s="203"/>
      <c r="AC869" s="69"/>
      <c r="AD869" s="69"/>
      <c r="AE869" s="203"/>
      <c r="AF869" s="69"/>
      <c r="AG869" s="69"/>
      <c r="AH869" s="69"/>
      <c r="AI869" s="69"/>
      <c r="AJ869" s="69"/>
      <c r="AK869" s="69"/>
      <c r="AL869" s="69"/>
      <c r="AM869" s="69"/>
      <c r="AN869" s="69"/>
      <c r="AO869" s="69"/>
      <c r="AP869" s="69"/>
      <c r="AQ869" s="69"/>
      <c r="AR869" s="69"/>
      <c r="AS869" s="69"/>
      <c r="AT869" s="69"/>
      <c r="AU869" s="69"/>
      <c r="AV869" s="69"/>
      <c r="AW869" s="69"/>
      <c r="AX869" s="69"/>
      <c r="AY869" s="69"/>
      <c r="AZ869" s="69"/>
      <c r="BA869" s="69"/>
      <c r="BB869" s="69"/>
      <c r="BC869" s="69"/>
      <c r="BD869" s="69"/>
      <c r="BE869" s="69"/>
      <c r="BF869" s="69"/>
      <c r="BG869" s="69"/>
      <c r="BH869" s="69"/>
      <c r="BI869" s="69"/>
      <c r="BJ869" s="69"/>
      <c r="BK869" s="69"/>
      <c r="BL869" s="69"/>
      <c r="BM869" s="69"/>
      <c r="BN869" s="69"/>
      <c r="BO869" s="69"/>
      <c r="BP869" s="69"/>
      <c r="BQ869" s="69"/>
      <c r="BR869" s="69"/>
      <c r="BS869" s="69"/>
      <c r="BT869" s="69"/>
      <c r="BU869" s="69"/>
      <c r="BV869" s="69"/>
      <c r="BW869" s="69"/>
      <c r="BX869" s="69"/>
      <c r="BY869" s="69"/>
      <c r="BZ869" s="69"/>
      <c r="CA869" s="69"/>
      <c r="CB869" s="69"/>
      <c r="CC869" s="69"/>
      <c r="CD869" s="69"/>
      <c r="CE869" s="69"/>
      <c r="CF869" s="69"/>
      <c r="CG869" s="69"/>
      <c r="CH869" s="69"/>
      <c r="CI869" s="69"/>
      <c r="CJ869" s="69"/>
      <c r="CK869" s="69"/>
      <c r="CL869" s="69"/>
      <c r="CM869" s="69"/>
      <c r="CN869" s="69"/>
      <c r="CO869" s="69"/>
      <c r="CP869" s="69"/>
      <c r="CQ869" s="69"/>
      <c r="CR869" s="69"/>
      <c r="CS869" s="69"/>
      <c r="CT869" s="69"/>
      <c r="CU869" s="69"/>
      <c r="CV869" s="69"/>
      <c r="CW869" s="69"/>
      <c r="CX869" s="69"/>
      <c r="CY869" s="69"/>
      <c r="CZ869" s="69"/>
      <c r="DA869" s="69"/>
      <c r="DB869" s="69"/>
      <c r="DC869" s="69"/>
      <c r="DD869" s="69"/>
      <c r="DE869" s="69"/>
      <c r="DF869" s="69"/>
      <c r="DG869" s="69"/>
      <c r="DH869" s="69"/>
      <c r="DI869" s="69"/>
      <c r="DJ869" s="69"/>
      <c r="DK869" s="69"/>
      <c r="DL869" s="69"/>
    </row>
    <row r="870" spans="1:116" ht="13" x14ac:dyDescent="0.3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202"/>
      <c r="V870" s="69"/>
      <c r="W870" s="69"/>
      <c r="X870" s="69"/>
      <c r="Y870" s="69"/>
      <c r="Z870" s="69"/>
      <c r="AA870" s="69"/>
      <c r="AB870" s="203"/>
      <c r="AC870" s="69"/>
      <c r="AD870" s="69"/>
      <c r="AE870" s="203"/>
      <c r="AF870" s="69"/>
      <c r="AG870" s="69"/>
      <c r="AH870" s="69"/>
      <c r="AI870" s="69"/>
      <c r="AJ870" s="69"/>
      <c r="AK870" s="69"/>
      <c r="AL870" s="69"/>
      <c r="AM870" s="69"/>
      <c r="AN870" s="69"/>
      <c r="AO870" s="69"/>
      <c r="AP870" s="69"/>
      <c r="AQ870" s="69"/>
      <c r="AR870" s="69"/>
      <c r="AS870" s="69"/>
      <c r="AT870" s="69"/>
      <c r="AU870" s="69"/>
      <c r="AV870" s="69"/>
      <c r="AW870" s="69"/>
      <c r="AX870" s="69"/>
      <c r="AY870" s="69"/>
      <c r="AZ870" s="69"/>
      <c r="BA870" s="69"/>
      <c r="BB870" s="69"/>
      <c r="BC870" s="69"/>
      <c r="BD870" s="69"/>
      <c r="BE870" s="69"/>
      <c r="BF870" s="69"/>
      <c r="BG870" s="69"/>
      <c r="BH870" s="69"/>
      <c r="BI870" s="69"/>
      <c r="BJ870" s="69"/>
      <c r="BK870" s="69"/>
      <c r="BL870" s="69"/>
      <c r="BM870" s="69"/>
      <c r="BN870" s="69"/>
      <c r="BO870" s="69"/>
      <c r="BP870" s="69"/>
      <c r="BQ870" s="69"/>
      <c r="BR870" s="69"/>
      <c r="BS870" s="69"/>
      <c r="BT870" s="69"/>
      <c r="BU870" s="69"/>
      <c r="BV870" s="69"/>
      <c r="BW870" s="69"/>
      <c r="BX870" s="69"/>
      <c r="BY870" s="69"/>
      <c r="BZ870" s="69"/>
      <c r="CA870" s="69"/>
      <c r="CB870" s="69"/>
      <c r="CC870" s="69"/>
      <c r="CD870" s="69"/>
      <c r="CE870" s="69"/>
      <c r="CF870" s="69"/>
      <c r="CG870" s="69"/>
      <c r="CH870" s="69"/>
      <c r="CI870" s="69"/>
      <c r="CJ870" s="69"/>
      <c r="CK870" s="69"/>
      <c r="CL870" s="69"/>
      <c r="CM870" s="69"/>
      <c r="CN870" s="69"/>
      <c r="CO870" s="69"/>
      <c r="CP870" s="69"/>
      <c r="CQ870" s="69"/>
      <c r="CR870" s="69"/>
      <c r="CS870" s="69"/>
      <c r="CT870" s="69"/>
      <c r="CU870" s="69"/>
      <c r="CV870" s="69"/>
      <c r="CW870" s="69"/>
      <c r="CX870" s="69"/>
      <c r="CY870" s="69"/>
      <c r="CZ870" s="69"/>
      <c r="DA870" s="69"/>
      <c r="DB870" s="69"/>
      <c r="DC870" s="69"/>
      <c r="DD870" s="69"/>
      <c r="DE870" s="69"/>
      <c r="DF870" s="69"/>
      <c r="DG870" s="69"/>
      <c r="DH870" s="69"/>
      <c r="DI870" s="69"/>
      <c r="DJ870" s="69"/>
      <c r="DK870" s="69"/>
      <c r="DL870" s="69"/>
    </row>
    <row r="871" spans="1:116" ht="13" x14ac:dyDescent="0.3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202"/>
      <c r="V871" s="69"/>
      <c r="W871" s="69"/>
      <c r="X871" s="69"/>
      <c r="Y871" s="69"/>
      <c r="Z871" s="69"/>
      <c r="AA871" s="69"/>
      <c r="AB871" s="203"/>
      <c r="AC871" s="69"/>
      <c r="AD871" s="69"/>
      <c r="AE871" s="203"/>
      <c r="AF871" s="69"/>
      <c r="AG871" s="69"/>
      <c r="AH871" s="69"/>
      <c r="AI871" s="69"/>
      <c r="AJ871" s="69"/>
      <c r="AK871" s="69"/>
      <c r="AL871" s="69"/>
      <c r="AM871" s="69"/>
      <c r="AN871" s="69"/>
      <c r="AO871" s="69"/>
      <c r="AP871" s="69"/>
      <c r="AQ871" s="69"/>
      <c r="AR871" s="69"/>
      <c r="AS871" s="69"/>
      <c r="AT871" s="69"/>
      <c r="AU871" s="69"/>
      <c r="AV871" s="69"/>
      <c r="AW871" s="69"/>
      <c r="AX871" s="69"/>
      <c r="AY871" s="69"/>
      <c r="AZ871" s="69"/>
      <c r="BA871" s="69"/>
      <c r="BB871" s="69"/>
      <c r="BC871" s="69"/>
      <c r="BD871" s="69"/>
      <c r="BE871" s="69"/>
      <c r="BF871" s="69"/>
      <c r="BG871" s="69"/>
      <c r="BH871" s="69"/>
      <c r="BI871" s="69"/>
      <c r="BJ871" s="69"/>
      <c r="BK871" s="69"/>
      <c r="BL871" s="69"/>
      <c r="BM871" s="69"/>
      <c r="BN871" s="69"/>
      <c r="BO871" s="69"/>
      <c r="BP871" s="69"/>
      <c r="BQ871" s="69"/>
      <c r="BR871" s="69"/>
      <c r="BS871" s="69"/>
      <c r="BT871" s="69"/>
      <c r="BU871" s="69"/>
      <c r="BV871" s="69"/>
      <c r="BW871" s="69"/>
      <c r="BX871" s="69"/>
      <c r="BY871" s="69"/>
      <c r="BZ871" s="69"/>
      <c r="CA871" s="69"/>
      <c r="CB871" s="69"/>
      <c r="CC871" s="69"/>
      <c r="CD871" s="69"/>
      <c r="CE871" s="69"/>
      <c r="CF871" s="69"/>
      <c r="CG871" s="69"/>
      <c r="CH871" s="69"/>
      <c r="CI871" s="69"/>
      <c r="CJ871" s="69"/>
      <c r="CK871" s="69"/>
      <c r="CL871" s="69"/>
      <c r="CM871" s="69"/>
      <c r="CN871" s="69"/>
      <c r="CO871" s="69"/>
      <c r="CP871" s="69"/>
      <c r="CQ871" s="69"/>
      <c r="CR871" s="69"/>
      <c r="CS871" s="69"/>
      <c r="CT871" s="69"/>
      <c r="CU871" s="69"/>
      <c r="CV871" s="69"/>
      <c r="CW871" s="69"/>
      <c r="CX871" s="69"/>
      <c r="CY871" s="69"/>
      <c r="CZ871" s="69"/>
      <c r="DA871" s="69"/>
      <c r="DB871" s="69"/>
      <c r="DC871" s="69"/>
      <c r="DD871" s="69"/>
      <c r="DE871" s="69"/>
      <c r="DF871" s="69"/>
      <c r="DG871" s="69"/>
      <c r="DH871" s="69"/>
      <c r="DI871" s="69"/>
      <c r="DJ871" s="69"/>
      <c r="DK871" s="69"/>
      <c r="DL871" s="69"/>
    </row>
    <row r="872" spans="1:116" ht="13" x14ac:dyDescent="0.3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202"/>
      <c r="V872" s="69"/>
      <c r="W872" s="69"/>
      <c r="X872" s="69"/>
      <c r="Y872" s="69"/>
      <c r="Z872" s="69"/>
      <c r="AA872" s="69"/>
      <c r="AB872" s="203"/>
      <c r="AC872" s="69"/>
      <c r="AD872" s="69"/>
      <c r="AE872" s="203"/>
      <c r="AF872" s="69"/>
      <c r="AG872" s="69"/>
      <c r="AH872" s="69"/>
      <c r="AI872" s="69"/>
      <c r="AJ872" s="69"/>
      <c r="AK872" s="69"/>
      <c r="AL872" s="69"/>
      <c r="AM872" s="69"/>
      <c r="AN872" s="69"/>
      <c r="AO872" s="69"/>
      <c r="AP872" s="69"/>
      <c r="AQ872" s="69"/>
      <c r="AR872" s="69"/>
      <c r="AS872" s="69"/>
      <c r="AT872" s="69"/>
      <c r="AU872" s="69"/>
      <c r="AV872" s="69"/>
      <c r="AW872" s="69"/>
      <c r="AX872" s="69"/>
      <c r="AY872" s="69"/>
      <c r="AZ872" s="69"/>
      <c r="BA872" s="69"/>
      <c r="BB872" s="69"/>
      <c r="BC872" s="69"/>
      <c r="BD872" s="69"/>
      <c r="BE872" s="69"/>
      <c r="BF872" s="69"/>
      <c r="BG872" s="69"/>
      <c r="BH872" s="69"/>
      <c r="BI872" s="69"/>
      <c r="BJ872" s="69"/>
      <c r="BK872" s="69"/>
      <c r="BL872" s="69"/>
      <c r="BM872" s="69"/>
      <c r="BN872" s="69"/>
      <c r="BO872" s="69"/>
      <c r="BP872" s="69"/>
      <c r="BQ872" s="69"/>
      <c r="BR872" s="69"/>
      <c r="BS872" s="69"/>
      <c r="BT872" s="69"/>
      <c r="BU872" s="69"/>
      <c r="BV872" s="69"/>
      <c r="BW872" s="69"/>
      <c r="BX872" s="69"/>
      <c r="BY872" s="69"/>
      <c r="BZ872" s="69"/>
      <c r="CA872" s="69"/>
      <c r="CB872" s="69"/>
      <c r="CC872" s="69"/>
      <c r="CD872" s="69"/>
      <c r="CE872" s="69"/>
      <c r="CF872" s="69"/>
      <c r="CG872" s="69"/>
      <c r="CH872" s="69"/>
      <c r="CI872" s="69"/>
      <c r="CJ872" s="69"/>
      <c r="CK872" s="69"/>
      <c r="CL872" s="69"/>
      <c r="CM872" s="69"/>
      <c r="CN872" s="69"/>
      <c r="CO872" s="69"/>
      <c r="CP872" s="69"/>
      <c r="CQ872" s="69"/>
      <c r="CR872" s="69"/>
      <c r="CS872" s="69"/>
      <c r="CT872" s="69"/>
      <c r="CU872" s="69"/>
      <c r="CV872" s="69"/>
      <c r="CW872" s="69"/>
      <c r="CX872" s="69"/>
      <c r="CY872" s="69"/>
      <c r="CZ872" s="69"/>
      <c r="DA872" s="69"/>
      <c r="DB872" s="69"/>
      <c r="DC872" s="69"/>
      <c r="DD872" s="69"/>
      <c r="DE872" s="69"/>
      <c r="DF872" s="69"/>
      <c r="DG872" s="69"/>
      <c r="DH872" s="69"/>
      <c r="DI872" s="69"/>
      <c r="DJ872" s="69"/>
      <c r="DK872" s="69"/>
      <c r="DL872" s="69"/>
    </row>
    <row r="873" spans="1:116" ht="13" x14ac:dyDescent="0.3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202"/>
      <c r="V873" s="69"/>
      <c r="W873" s="69"/>
      <c r="X873" s="69"/>
      <c r="Y873" s="69"/>
      <c r="Z873" s="69"/>
      <c r="AA873" s="69"/>
      <c r="AB873" s="203"/>
      <c r="AC873" s="69"/>
      <c r="AD873" s="69"/>
      <c r="AE873" s="203"/>
      <c r="AF873" s="69"/>
      <c r="AG873" s="69"/>
      <c r="AH873" s="69"/>
      <c r="AI873" s="69"/>
      <c r="AJ873" s="69"/>
      <c r="AK873" s="69"/>
      <c r="AL873" s="69"/>
      <c r="AM873" s="69"/>
      <c r="AN873" s="69"/>
      <c r="AO873" s="69"/>
      <c r="AP873" s="69"/>
      <c r="AQ873" s="69"/>
      <c r="AR873" s="69"/>
      <c r="AS873" s="69"/>
      <c r="AT873" s="69"/>
      <c r="AU873" s="69"/>
      <c r="AV873" s="69"/>
      <c r="AW873" s="69"/>
      <c r="AX873" s="69"/>
      <c r="AY873" s="69"/>
      <c r="AZ873" s="69"/>
      <c r="BA873" s="69"/>
      <c r="BB873" s="69"/>
      <c r="BC873" s="69"/>
      <c r="BD873" s="69"/>
      <c r="BE873" s="69"/>
      <c r="BF873" s="69"/>
      <c r="BG873" s="69"/>
      <c r="BH873" s="69"/>
      <c r="BI873" s="69"/>
      <c r="BJ873" s="69"/>
      <c r="BK873" s="69"/>
      <c r="BL873" s="69"/>
      <c r="BM873" s="69"/>
      <c r="BN873" s="69"/>
      <c r="BO873" s="69"/>
      <c r="BP873" s="69"/>
      <c r="BQ873" s="69"/>
      <c r="BR873" s="69"/>
      <c r="BS873" s="69"/>
      <c r="BT873" s="69"/>
      <c r="BU873" s="69"/>
      <c r="BV873" s="69"/>
      <c r="BW873" s="69"/>
      <c r="BX873" s="69"/>
      <c r="BY873" s="69"/>
      <c r="BZ873" s="69"/>
      <c r="CA873" s="69"/>
      <c r="CB873" s="69"/>
      <c r="CC873" s="69"/>
      <c r="CD873" s="69"/>
      <c r="CE873" s="69"/>
      <c r="CF873" s="69"/>
      <c r="CG873" s="69"/>
      <c r="CH873" s="69"/>
      <c r="CI873" s="69"/>
      <c r="CJ873" s="69"/>
      <c r="CK873" s="69"/>
      <c r="CL873" s="69"/>
      <c r="CM873" s="69"/>
      <c r="CN873" s="69"/>
      <c r="CO873" s="69"/>
      <c r="CP873" s="69"/>
      <c r="CQ873" s="69"/>
      <c r="CR873" s="69"/>
      <c r="CS873" s="69"/>
      <c r="CT873" s="69"/>
      <c r="CU873" s="69"/>
      <c r="CV873" s="69"/>
      <c r="CW873" s="69"/>
      <c r="CX873" s="69"/>
      <c r="CY873" s="69"/>
      <c r="CZ873" s="69"/>
      <c r="DA873" s="69"/>
      <c r="DB873" s="69"/>
      <c r="DC873" s="69"/>
      <c r="DD873" s="69"/>
      <c r="DE873" s="69"/>
      <c r="DF873" s="69"/>
      <c r="DG873" s="69"/>
      <c r="DH873" s="69"/>
      <c r="DI873" s="69"/>
      <c r="DJ873" s="69"/>
      <c r="DK873" s="69"/>
      <c r="DL873" s="69"/>
    </row>
    <row r="874" spans="1:116" ht="13" x14ac:dyDescent="0.3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202"/>
      <c r="V874" s="69"/>
      <c r="W874" s="69"/>
      <c r="X874" s="69"/>
      <c r="Y874" s="69"/>
      <c r="Z874" s="69"/>
      <c r="AA874" s="69"/>
      <c r="AB874" s="203"/>
      <c r="AC874" s="69"/>
      <c r="AD874" s="69"/>
      <c r="AE874" s="203"/>
      <c r="AF874" s="69"/>
      <c r="AG874" s="69"/>
      <c r="AH874" s="69"/>
      <c r="AI874" s="69"/>
      <c r="AJ874" s="69"/>
      <c r="AK874" s="69"/>
      <c r="AL874" s="69"/>
      <c r="AM874" s="69"/>
      <c r="AN874" s="69"/>
      <c r="AO874" s="69"/>
      <c r="AP874" s="69"/>
      <c r="AQ874" s="69"/>
      <c r="AR874" s="69"/>
      <c r="AS874" s="69"/>
      <c r="AT874" s="69"/>
      <c r="AU874" s="69"/>
      <c r="AV874" s="69"/>
      <c r="AW874" s="69"/>
      <c r="AX874" s="69"/>
      <c r="AY874" s="69"/>
      <c r="AZ874" s="69"/>
      <c r="BA874" s="69"/>
      <c r="BB874" s="69"/>
      <c r="BC874" s="69"/>
      <c r="BD874" s="69"/>
      <c r="BE874" s="69"/>
      <c r="BF874" s="69"/>
      <c r="BG874" s="69"/>
      <c r="BH874" s="69"/>
      <c r="BI874" s="69"/>
      <c r="BJ874" s="69"/>
      <c r="BK874" s="69"/>
      <c r="BL874" s="69"/>
      <c r="BM874" s="69"/>
      <c r="BN874" s="69"/>
      <c r="BO874" s="69"/>
      <c r="BP874" s="69"/>
      <c r="BQ874" s="69"/>
      <c r="BR874" s="69"/>
      <c r="BS874" s="69"/>
      <c r="BT874" s="69"/>
      <c r="BU874" s="69"/>
      <c r="BV874" s="69"/>
      <c r="BW874" s="69"/>
      <c r="BX874" s="69"/>
      <c r="BY874" s="69"/>
      <c r="BZ874" s="69"/>
      <c r="CA874" s="69"/>
      <c r="CB874" s="69"/>
      <c r="CC874" s="69"/>
      <c r="CD874" s="69"/>
      <c r="CE874" s="69"/>
      <c r="CF874" s="69"/>
      <c r="CG874" s="69"/>
      <c r="CH874" s="69"/>
      <c r="CI874" s="69"/>
      <c r="CJ874" s="69"/>
      <c r="CK874" s="69"/>
      <c r="CL874" s="69"/>
      <c r="CM874" s="69"/>
      <c r="CN874" s="69"/>
      <c r="CO874" s="69"/>
      <c r="CP874" s="69"/>
      <c r="CQ874" s="69"/>
      <c r="CR874" s="69"/>
      <c r="CS874" s="69"/>
      <c r="CT874" s="69"/>
      <c r="CU874" s="69"/>
      <c r="CV874" s="69"/>
      <c r="CW874" s="69"/>
      <c r="CX874" s="69"/>
      <c r="CY874" s="69"/>
      <c r="CZ874" s="69"/>
      <c r="DA874" s="69"/>
      <c r="DB874" s="69"/>
      <c r="DC874" s="69"/>
      <c r="DD874" s="69"/>
      <c r="DE874" s="69"/>
      <c r="DF874" s="69"/>
      <c r="DG874" s="69"/>
      <c r="DH874" s="69"/>
      <c r="DI874" s="69"/>
      <c r="DJ874" s="69"/>
      <c r="DK874" s="69"/>
      <c r="DL874" s="69"/>
    </row>
    <row r="875" spans="1:116" ht="13" x14ac:dyDescent="0.3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202"/>
      <c r="V875" s="69"/>
      <c r="W875" s="69"/>
      <c r="X875" s="69"/>
      <c r="Y875" s="69"/>
      <c r="Z875" s="69"/>
      <c r="AA875" s="69"/>
      <c r="AB875" s="203"/>
      <c r="AC875" s="69"/>
      <c r="AD875" s="69"/>
      <c r="AE875" s="203"/>
      <c r="AF875" s="69"/>
      <c r="AG875" s="69"/>
      <c r="AH875" s="69"/>
      <c r="AI875" s="69"/>
      <c r="AJ875" s="69"/>
      <c r="AK875" s="69"/>
      <c r="AL875" s="69"/>
      <c r="AM875" s="69"/>
      <c r="AN875" s="69"/>
      <c r="AO875" s="69"/>
      <c r="AP875" s="69"/>
      <c r="AQ875" s="69"/>
      <c r="AR875" s="69"/>
      <c r="AS875" s="69"/>
      <c r="AT875" s="69"/>
      <c r="AU875" s="69"/>
      <c r="AV875" s="69"/>
      <c r="AW875" s="69"/>
      <c r="AX875" s="69"/>
      <c r="AY875" s="69"/>
      <c r="AZ875" s="69"/>
      <c r="BA875" s="69"/>
      <c r="BB875" s="69"/>
      <c r="BC875" s="69"/>
      <c r="BD875" s="69"/>
      <c r="BE875" s="69"/>
      <c r="BF875" s="69"/>
      <c r="BG875" s="69"/>
      <c r="BH875" s="69"/>
      <c r="BI875" s="69"/>
      <c r="BJ875" s="69"/>
      <c r="BK875" s="69"/>
      <c r="BL875" s="69"/>
      <c r="BM875" s="69"/>
      <c r="BN875" s="69"/>
      <c r="BO875" s="69"/>
      <c r="BP875" s="69"/>
      <c r="BQ875" s="69"/>
      <c r="BR875" s="69"/>
      <c r="BS875" s="69"/>
      <c r="BT875" s="69"/>
      <c r="BU875" s="69"/>
      <c r="BV875" s="69"/>
      <c r="BW875" s="69"/>
      <c r="BX875" s="69"/>
      <c r="BY875" s="69"/>
      <c r="BZ875" s="69"/>
      <c r="CA875" s="69"/>
      <c r="CB875" s="69"/>
      <c r="CC875" s="69"/>
      <c r="CD875" s="69"/>
      <c r="CE875" s="69"/>
      <c r="CF875" s="69"/>
      <c r="CG875" s="69"/>
      <c r="CH875" s="69"/>
      <c r="CI875" s="69"/>
      <c r="CJ875" s="69"/>
      <c r="CK875" s="69"/>
      <c r="CL875" s="69"/>
      <c r="CM875" s="69"/>
      <c r="CN875" s="69"/>
      <c r="CO875" s="69"/>
      <c r="CP875" s="69"/>
      <c r="CQ875" s="69"/>
      <c r="CR875" s="69"/>
      <c r="CS875" s="69"/>
      <c r="CT875" s="69"/>
      <c r="CU875" s="69"/>
      <c r="CV875" s="69"/>
      <c r="CW875" s="69"/>
      <c r="CX875" s="69"/>
      <c r="CY875" s="69"/>
      <c r="CZ875" s="69"/>
      <c r="DA875" s="69"/>
      <c r="DB875" s="69"/>
      <c r="DC875" s="69"/>
      <c r="DD875" s="69"/>
      <c r="DE875" s="69"/>
      <c r="DF875" s="69"/>
      <c r="DG875" s="69"/>
      <c r="DH875" s="69"/>
      <c r="DI875" s="69"/>
      <c r="DJ875" s="69"/>
      <c r="DK875" s="69"/>
      <c r="DL875" s="69"/>
    </row>
    <row r="876" spans="1:116" ht="13" x14ac:dyDescent="0.3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202"/>
      <c r="V876" s="69"/>
      <c r="W876" s="69"/>
      <c r="X876" s="69"/>
      <c r="Y876" s="69"/>
      <c r="Z876" s="69"/>
      <c r="AA876" s="69"/>
      <c r="AB876" s="203"/>
      <c r="AC876" s="69"/>
      <c r="AD876" s="69"/>
      <c r="AE876" s="203"/>
      <c r="AF876" s="69"/>
      <c r="AG876" s="69"/>
      <c r="AH876" s="69"/>
      <c r="AI876" s="69"/>
      <c r="AJ876" s="69"/>
      <c r="AK876" s="69"/>
      <c r="AL876" s="69"/>
      <c r="AM876" s="69"/>
      <c r="AN876" s="69"/>
      <c r="AO876" s="69"/>
      <c r="AP876" s="69"/>
      <c r="AQ876" s="69"/>
      <c r="AR876" s="69"/>
      <c r="AS876" s="69"/>
      <c r="AT876" s="69"/>
      <c r="AU876" s="69"/>
      <c r="AV876" s="69"/>
      <c r="AW876" s="69"/>
      <c r="AX876" s="69"/>
      <c r="AY876" s="69"/>
      <c r="AZ876" s="69"/>
      <c r="BA876" s="69"/>
      <c r="BB876" s="69"/>
      <c r="BC876" s="69"/>
      <c r="BD876" s="69"/>
      <c r="BE876" s="69"/>
      <c r="BF876" s="69"/>
      <c r="BG876" s="69"/>
      <c r="BH876" s="69"/>
      <c r="BI876" s="69"/>
      <c r="BJ876" s="69"/>
      <c r="BK876" s="69"/>
      <c r="BL876" s="69"/>
      <c r="BM876" s="69"/>
      <c r="BN876" s="69"/>
      <c r="BO876" s="69"/>
      <c r="BP876" s="69"/>
      <c r="BQ876" s="69"/>
      <c r="BR876" s="69"/>
      <c r="BS876" s="69"/>
      <c r="BT876" s="69"/>
      <c r="BU876" s="69"/>
      <c r="BV876" s="69"/>
      <c r="BW876" s="69"/>
      <c r="BX876" s="69"/>
      <c r="BY876" s="69"/>
      <c r="BZ876" s="69"/>
      <c r="CA876" s="69"/>
      <c r="CB876" s="69"/>
      <c r="CC876" s="69"/>
      <c r="CD876" s="69"/>
      <c r="CE876" s="69"/>
      <c r="CF876" s="69"/>
      <c r="CG876" s="69"/>
      <c r="CH876" s="69"/>
      <c r="CI876" s="69"/>
      <c r="CJ876" s="69"/>
      <c r="CK876" s="69"/>
      <c r="CL876" s="69"/>
      <c r="CM876" s="69"/>
      <c r="CN876" s="69"/>
      <c r="CO876" s="69"/>
      <c r="CP876" s="69"/>
      <c r="CQ876" s="69"/>
      <c r="CR876" s="69"/>
      <c r="CS876" s="69"/>
      <c r="CT876" s="69"/>
      <c r="CU876" s="69"/>
      <c r="CV876" s="69"/>
      <c r="CW876" s="69"/>
      <c r="CX876" s="69"/>
      <c r="CY876" s="69"/>
      <c r="CZ876" s="69"/>
      <c r="DA876" s="69"/>
      <c r="DB876" s="69"/>
      <c r="DC876" s="69"/>
      <c r="DD876" s="69"/>
      <c r="DE876" s="69"/>
      <c r="DF876" s="69"/>
      <c r="DG876" s="69"/>
      <c r="DH876" s="69"/>
      <c r="DI876" s="69"/>
      <c r="DJ876" s="69"/>
      <c r="DK876" s="69"/>
      <c r="DL876" s="69"/>
    </row>
    <row r="877" spans="1:116" ht="13" x14ac:dyDescent="0.3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202"/>
      <c r="V877" s="69"/>
      <c r="W877" s="69"/>
      <c r="X877" s="69"/>
      <c r="Y877" s="69"/>
      <c r="Z877" s="69"/>
      <c r="AA877" s="69"/>
      <c r="AB877" s="203"/>
      <c r="AC877" s="69"/>
      <c r="AD877" s="69"/>
      <c r="AE877" s="203"/>
      <c r="AF877" s="69"/>
      <c r="AG877" s="69"/>
      <c r="AH877" s="69"/>
      <c r="AI877" s="69"/>
      <c r="AJ877" s="69"/>
      <c r="AK877" s="69"/>
      <c r="AL877" s="69"/>
      <c r="AM877" s="69"/>
      <c r="AN877" s="69"/>
      <c r="AO877" s="69"/>
      <c r="AP877" s="69"/>
      <c r="AQ877" s="69"/>
      <c r="AR877" s="69"/>
      <c r="AS877" s="69"/>
      <c r="AT877" s="69"/>
      <c r="AU877" s="69"/>
      <c r="AV877" s="69"/>
      <c r="AW877" s="69"/>
      <c r="AX877" s="69"/>
      <c r="AY877" s="69"/>
      <c r="AZ877" s="69"/>
      <c r="BA877" s="69"/>
      <c r="BB877" s="69"/>
      <c r="BC877" s="69"/>
      <c r="BD877" s="69"/>
      <c r="BE877" s="69"/>
      <c r="BF877" s="69"/>
      <c r="BG877" s="69"/>
      <c r="BH877" s="69"/>
      <c r="BI877" s="69"/>
      <c r="BJ877" s="69"/>
      <c r="BK877" s="69"/>
      <c r="BL877" s="69"/>
      <c r="BM877" s="69"/>
      <c r="BN877" s="69"/>
      <c r="BO877" s="69"/>
      <c r="BP877" s="69"/>
      <c r="BQ877" s="69"/>
      <c r="BR877" s="69"/>
      <c r="BS877" s="69"/>
      <c r="BT877" s="69"/>
      <c r="BU877" s="69"/>
      <c r="BV877" s="69"/>
      <c r="BW877" s="69"/>
      <c r="BX877" s="69"/>
      <c r="BY877" s="69"/>
      <c r="BZ877" s="69"/>
      <c r="CA877" s="69"/>
      <c r="CB877" s="69"/>
      <c r="CC877" s="69"/>
      <c r="CD877" s="69"/>
      <c r="CE877" s="69"/>
      <c r="CF877" s="69"/>
      <c r="CG877" s="69"/>
      <c r="CH877" s="69"/>
      <c r="CI877" s="69"/>
      <c r="CJ877" s="69"/>
      <c r="CK877" s="69"/>
      <c r="CL877" s="69"/>
      <c r="CM877" s="69"/>
      <c r="CN877" s="69"/>
      <c r="CO877" s="69"/>
      <c r="CP877" s="69"/>
      <c r="CQ877" s="69"/>
      <c r="CR877" s="69"/>
      <c r="CS877" s="69"/>
      <c r="CT877" s="69"/>
      <c r="CU877" s="69"/>
      <c r="CV877" s="69"/>
      <c r="CW877" s="69"/>
      <c r="CX877" s="69"/>
      <c r="CY877" s="69"/>
      <c r="CZ877" s="69"/>
      <c r="DA877" s="69"/>
      <c r="DB877" s="69"/>
      <c r="DC877" s="69"/>
      <c r="DD877" s="69"/>
      <c r="DE877" s="69"/>
      <c r="DF877" s="69"/>
      <c r="DG877" s="69"/>
      <c r="DH877" s="69"/>
      <c r="DI877" s="69"/>
      <c r="DJ877" s="69"/>
      <c r="DK877" s="69"/>
      <c r="DL877" s="69"/>
    </row>
    <row r="878" spans="1:116" ht="13" x14ac:dyDescent="0.3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202"/>
      <c r="V878" s="69"/>
      <c r="W878" s="69"/>
      <c r="X878" s="69"/>
      <c r="Y878" s="69"/>
      <c r="Z878" s="69"/>
      <c r="AA878" s="69"/>
      <c r="AB878" s="203"/>
      <c r="AC878" s="69"/>
      <c r="AD878" s="69"/>
      <c r="AE878" s="203"/>
      <c r="AF878" s="69"/>
      <c r="AG878" s="69"/>
      <c r="AH878" s="69"/>
      <c r="AI878" s="69"/>
      <c r="AJ878" s="69"/>
      <c r="AK878" s="69"/>
      <c r="AL878" s="69"/>
      <c r="AM878" s="69"/>
      <c r="AN878" s="69"/>
      <c r="AO878" s="69"/>
      <c r="AP878" s="69"/>
      <c r="AQ878" s="69"/>
      <c r="AR878" s="69"/>
      <c r="AS878" s="69"/>
      <c r="AT878" s="69"/>
      <c r="AU878" s="69"/>
      <c r="AV878" s="69"/>
      <c r="AW878" s="69"/>
      <c r="AX878" s="69"/>
      <c r="AY878" s="69"/>
      <c r="AZ878" s="69"/>
      <c r="BA878" s="69"/>
      <c r="BB878" s="69"/>
      <c r="BC878" s="69"/>
      <c r="BD878" s="69"/>
      <c r="BE878" s="69"/>
      <c r="BF878" s="69"/>
      <c r="BG878" s="69"/>
      <c r="BH878" s="69"/>
      <c r="BI878" s="69"/>
      <c r="BJ878" s="69"/>
      <c r="BK878" s="69"/>
      <c r="BL878" s="69"/>
      <c r="BM878" s="69"/>
      <c r="BN878" s="69"/>
      <c r="BO878" s="69"/>
      <c r="BP878" s="69"/>
      <c r="BQ878" s="69"/>
      <c r="BR878" s="69"/>
      <c r="BS878" s="69"/>
      <c r="BT878" s="69"/>
      <c r="BU878" s="69"/>
      <c r="BV878" s="69"/>
      <c r="BW878" s="69"/>
      <c r="BX878" s="69"/>
      <c r="BY878" s="69"/>
      <c r="BZ878" s="69"/>
      <c r="CA878" s="69"/>
      <c r="CB878" s="69"/>
      <c r="CC878" s="69"/>
      <c r="CD878" s="69"/>
      <c r="CE878" s="69"/>
      <c r="CF878" s="69"/>
      <c r="CG878" s="69"/>
      <c r="CH878" s="69"/>
      <c r="CI878" s="69"/>
      <c r="CJ878" s="69"/>
      <c r="CK878" s="69"/>
      <c r="CL878" s="69"/>
      <c r="CM878" s="69"/>
      <c r="CN878" s="69"/>
      <c r="CO878" s="69"/>
      <c r="CP878" s="69"/>
      <c r="CQ878" s="69"/>
      <c r="CR878" s="69"/>
      <c r="CS878" s="69"/>
      <c r="CT878" s="69"/>
      <c r="CU878" s="69"/>
      <c r="CV878" s="69"/>
      <c r="CW878" s="69"/>
      <c r="CX878" s="69"/>
      <c r="CY878" s="69"/>
      <c r="CZ878" s="69"/>
      <c r="DA878" s="69"/>
      <c r="DB878" s="69"/>
      <c r="DC878" s="69"/>
      <c r="DD878" s="69"/>
      <c r="DE878" s="69"/>
      <c r="DF878" s="69"/>
      <c r="DG878" s="69"/>
      <c r="DH878" s="69"/>
      <c r="DI878" s="69"/>
      <c r="DJ878" s="69"/>
      <c r="DK878" s="69"/>
      <c r="DL878" s="69"/>
    </row>
    <row r="879" spans="1:116" ht="13" x14ac:dyDescent="0.3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202"/>
      <c r="V879" s="69"/>
      <c r="W879" s="69"/>
      <c r="X879" s="69"/>
      <c r="Y879" s="69"/>
      <c r="Z879" s="69"/>
      <c r="AA879" s="69"/>
      <c r="AB879" s="203"/>
      <c r="AC879" s="69"/>
      <c r="AD879" s="69"/>
      <c r="AE879" s="203"/>
      <c r="AF879" s="69"/>
      <c r="AG879" s="69"/>
      <c r="AH879" s="69"/>
      <c r="AI879" s="69"/>
      <c r="AJ879" s="69"/>
      <c r="AK879" s="69"/>
      <c r="AL879" s="69"/>
      <c r="AM879" s="69"/>
      <c r="AN879" s="69"/>
      <c r="AO879" s="69"/>
      <c r="AP879" s="69"/>
      <c r="AQ879" s="69"/>
      <c r="AR879" s="69"/>
      <c r="AS879" s="69"/>
      <c r="AT879" s="69"/>
      <c r="AU879" s="69"/>
      <c r="AV879" s="69"/>
      <c r="AW879" s="69"/>
      <c r="AX879" s="69"/>
      <c r="AY879" s="69"/>
      <c r="AZ879" s="69"/>
      <c r="BA879" s="69"/>
      <c r="BB879" s="69"/>
      <c r="BC879" s="69"/>
      <c r="BD879" s="69"/>
      <c r="BE879" s="69"/>
      <c r="BF879" s="69"/>
      <c r="BG879" s="69"/>
      <c r="BH879" s="69"/>
      <c r="BI879" s="69"/>
      <c r="BJ879" s="69"/>
      <c r="BK879" s="69"/>
      <c r="BL879" s="69"/>
      <c r="BM879" s="69"/>
      <c r="BN879" s="69"/>
      <c r="BO879" s="69"/>
      <c r="BP879" s="69"/>
      <c r="BQ879" s="69"/>
      <c r="BR879" s="69"/>
      <c r="BS879" s="69"/>
      <c r="BT879" s="69"/>
      <c r="BU879" s="69"/>
      <c r="BV879" s="69"/>
      <c r="BW879" s="69"/>
      <c r="BX879" s="69"/>
      <c r="BY879" s="69"/>
      <c r="BZ879" s="69"/>
      <c r="CA879" s="69"/>
      <c r="CB879" s="69"/>
      <c r="CC879" s="69"/>
      <c r="CD879" s="69"/>
      <c r="CE879" s="69"/>
      <c r="CF879" s="69"/>
      <c r="CG879" s="69"/>
      <c r="CH879" s="69"/>
      <c r="CI879" s="69"/>
      <c r="CJ879" s="69"/>
      <c r="CK879" s="69"/>
      <c r="CL879" s="69"/>
      <c r="CM879" s="69"/>
      <c r="CN879" s="69"/>
      <c r="CO879" s="69"/>
      <c r="CP879" s="69"/>
      <c r="CQ879" s="69"/>
      <c r="CR879" s="69"/>
      <c r="CS879" s="69"/>
      <c r="CT879" s="69"/>
      <c r="CU879" s="69"/>
      <c r="CV879" s="69"/>
      <c r="CW879" s="69"/>
      <c r="CX879" s="69"/>
      <c r="CY879" s="69"/>
      <c r="CZ879" s="69"/>
      <c r="DA879" s="69"/>
      <c r="DB879" s="69"/>
      <c r="DC879" s="69"/>
      <c r="DD879" s="69"/>
      <c r="DE879" s="69"/>
      <c r="DF879" s="69"/>
      <c r="DG879" s="69"/>
      <c r="DH879" s="69"/>
      <c r="DI879" s="69"/>
      <c r="DJ879" s="69"/>
      <c r="DK879" s="69"/>
      <c r="DL879" s="69"/>
    </row>
    <row r="880" spans="1:116" ht="13" x14ac:dyDescent="0.3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202"/>
      <c r="V880" s="69"/>
      <c r="W880" s="69"/>
      <c r="X880" s="69"/>
      <c r="Y880" s="69"/>
      <c r="Z880" s="69"/>
      <c r="AA880" s="69"/>
      <c r="AB880" s="203"/>
      <c r="AC880" s="69"/>
      <c r="AD880" s="69"/>
      <c r="AE880" s="203"/>
      <c r="AF880" s="69"/>
      <c r="AG880" s="69"/>
      <c r="AH880" s="69"/>
      <c r="AI880" s="69"/>
      <c r="AJ880" s="69"/>
      <c r="AK880" s="69"/>
      <c r="AL880" s="69"/>
      <c r="AM880" s="69"/>
      <c r="AN880" s="69"/>
      <c r="AO880" s="69"/>
      <c r="AP880" s="69"/>
      <c r="AQ880" s="69"/>
      <c r="AR880" s="69"/>
      <c r="AS880" s="69"/>
      <c r="AT880" s="69"/>
      <c r="AU880" s="69"/>
      <c r="AV880" s="69"/>
      <c r="AW880" s="69"/>
      <c r="AX880" s="69"/>
      <c r="AY880" s="69"/>
      <c r="AZ880" s="69"/>
      <c r="BA880" s="69"/>
      <c r="BB880" s="69"/>
      <c r="BC880" s="69"/>
      <c r="BD880" s="69"/>
      <c r="BE880" s="69"/>
      <c r="BF880" s="69"/>
      <c r="BG880" s="69"/>
      <c r="BH880" s="69"/>
      <c r="BI880" s="69"/>
      <c r="BJ880" s="69"/>
      <c r="BK880" s="69"/>
      <c r="BL880" s="69"/>
      <c r="BM880" s="69"/>
      <c r="BN880" s="69"/>
      <c r="BO880" s="69"/>
      <c r="BP880" s="69"/>
      <c r="BQ880" s="69"/>
      <c r="BR880" s="69"/>
      <c r="BS880" s="69"/>
      <c r="BT880" s="69"/>
      <c r="BU880" s="69"/>
      <c r="BV880" s="69"/>
      <c r="BW880" s="69"/>
      <c r="BX880" s="69"/>
      <c r="BY880" s="69"/>
      <c r="BZ880" s="69"/>
      <c r="CA880" s="69"/>
      <c r="CB880" s="69"/>
      <c r="CC880" s="69"/>
      <c r="CD880" s="69"/>
      <c r="CE880" s="69"/>
      <c r="CF880" s="69"/>
      <c r="CG880" s="69"/>
      <c r="CH880" s="69"/>
      <c r="CI880" s="69"/>
      <c r="CJ880" s="69"/>
      <c r="CK880" s="69"/>
      <c r="CL880" s="69"/>
      <c r="CM880" s="69"/>
      <c r="CN880" s="69"/>
      <c r="CO880" s="69"/>
      <c r="CP880" s="69"/>
      <c r="CQ880" s="69"/>
      <c r="CR880" s="69"/>
      <c r="CS880" s="69"/>
      <c r="CT880" s="69"/>
      <c r="CU880" s="69"/>
      <c r="CV880" s="69"/>
      <c r="CW880" s="69"/>
      <c r="CX880" s="69"/>
      <c r="CY880" s="69"/>
      <c r="CZ880" s="69"/>
      <c r="DA880" s="69"/>
      <c r="DB880" s="69"/>
      <c r="DC880" s="69"/>
      <c r="DD880" s="69"/>
      <c r="DE880" s="69"/>
      <c r="DF880" s="69"/>
      <c r="DG880" s="69"/>
      <c r="DH880" s="69"/>
      <c r="DI880" s="69"/>
      <c r="DJ880" s="69"/>
      <c r="DK880" s="69"/>
      <c r="DL880" s="69"/>
    </row>
    <row r="881" spans="1:116" ht="13" x14ac:dyDescent="0.3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202"/>
      <c r="V881" s="69"/>
      <c r="W881" s="69"/>
      <c r="X881" s="69"/>
      <c r="Y881" s="69"/>
      <c r="Z881" s="69"/>
      <c r="AA881" s="69"/>
      <c r="AB881" s="203"/>
      <c r="AC881" s="69"/>
      <c r="AD881" s="69"/>
      <c r="AE881" s="203"/>
      <c r="AF881" s="69"/>
      <c r="AG881" s="69"/>
      <c r="AH881" s="69"/>
      <c r="AI881" s="69"/>
      <c r="AJ881" s="69"/>
      <c r="AK881" s="69"/>
      <c r="AL881" s="69"/>
      <c r="AM881" s="69"/>
      <c r="AN881" s="69"/>
      <c r="AO881" s="69"/>
      <c r="AP881" s="69"/>
      <c r="AQ881" s="69"/>
      <c r="AR881" s="69"/>
      <c r="AS881" s="69"/>
      <c r="AT881" s="69"/>
      <c r="AU881" s="69"/>
      <c r="AV881" s="69"/>
      <c r="AW881" s="69"/>
      <c r="AX881" s="69"/>
      <c r="AY881" s="69"/>
      <c r="AZ881" s="69"/>
      <c r="BA881" s="69"/>
      <c r="BB881" s="69"/>
      <c r="BC881" s="69"/>
      <c r="BD881" s="69"/>
      <c r="BE881" s="69"/>
      <c r="BF881" s="69"/>
      <c r="BG881" s="69"/>
      <c r="BH881" s="69"/>
      <c r="BI881" s="69"/>
      <c r="BJ881" s="69"/>
      <c r="BK881" s="69"/>
      <c r="BL881" s="69"/>
      <c r="BM881" s="69"/>
      <c r="BN881" s="69"/>
      <c r="BO881" s="69"/>
      <c r="BP881" s="69"/>
      <c r="BQ881" s="69"/>
      <c r="BR881" s="69"/>
      <c r="BS881" s="69"/>
      <c r="BT881" s="69"/>
      <c r="BU881" s="69"/>
      <c r="BV881" s="69"/>
      <c r="BW881" s="69"/>
      <c r="BX881" s="69"/>
      <c r="BY881" s="69"/>
      <c r="BZ881" s="69"/>
      <c r="CA881" s="69"/>
      <c r="CB881" s="69"/>
      <c r="CC881" s="69"/>
      <c r="CD881" s="69"/>
      <c r="CE881" s="69"/>
      <c r="CF881" s="69"/>
      <c r="CG881" s="69"/>
      <c r="CH881" s="69"/>
      <c r="CI881" s="69"/>
      <c r="CJ881" s="69"/>
      <c r="CK881" s="69"/>
      <c r="CL881" s="69"/>
      <c r="CM881" s="69"/>
      <c r="CN881" s="69"/>
      <c r="CO881" s="69"/>
      <c r="CP881" s="69"/>
      <c r="CQ881" s="69"/>
      <c r="CR881" s="69"/>
      <c r="CS881" s="69"/>
      <c r="CT881" s="69"/>
      <c r="CU881" s="69"/>
      <c r="CV881" s="69"/>
      <c r="CW881" s="69"/>
      <c r="CX881" s="69"/>
      <c r="CY881" s="69"/>
      <c r="CZ881" s="69"/>
      <c r="DA881" s="69"/>
      <c r="DB881" s="69"/>
      <c r="DC881" s="69"/>
      <c r="DD881" s="69"/>
      <c r="DE881" s="69"/>
      <c r="DF881" s="69"/>
      <c r="DG881" s="69"/>
      <c r="DH881" s="69"/>
      <c r="DI881" s="69"/>
      <c r="DJ881" s="69"/>
      <c r="DK881" s="69"/>
      <c r="DL881" s="69"/>
    </row>
    <row r="882" spans="1:116" ht="13" x14ac:dyDescent="0.3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202"/>
      <c r="V882" s="69"/>
      <c r="W882" s="69"/>
      <c r="X882" s="69"/>
      <c r="Y882" s="69"/>
      <c r="Z882" s="69"/>
      <c r="AA882" s="69"/>
      <c r="AB882" s="203"/>
      <c r="AC882" s="69"/>
      <c r="AD882" s="69"/>
      <c r="AE882" s="203"/>
      <c r="AF882" s="69"/>
      <c r="AG882" s="69"/>
      <c r="AH882" s="69"/>
      <c r="AI882" s="69"/>
      <c r="AJ882" s="69"/>
      <c r="AK882" s="69"/>
      <c r="AL882" s="69"/>
      <c r="AM882" s="69"/>
      <c r="AN882" s="69"/>
      <c r="AO882" s="69"/>
      <c r="AP882" s="69"/>
      <c r="AQ882" s="69"/>
      <c r="AR882" s="69"/>
      <c r="AS882" s="69"/>
      <c r="AT882" s="69"/>
      <c r="AU882" s="69"/>
      <c r="AV882" s="69"/>
      <c r="AW882" s="69"/>
      <c r="AX882" s="69"/>
      <c r="AY882" s="69"/>
      <c r="AZ882" s="69"/>
      <c r="BA882" s="69"/>
      <c r="BB882" s="69"/>
      <c r="BC882" s="69"/>
      <c r="BD882" s="69"/>
      <c r="BE882" s="69"/>
      <c r="BF882" s="69"/>
      <c r="BG882" s="69"/>
      <c r="BH882" s="69"/>
      <c r="BI882" s="69"/>
      <c r="BJ882" s="69"/>
      <c r="BK882" s="69"/>
      <c r="BL882" s="69"/>
      <c r="BM882" s="69"/>
      <c r="BN882" s="69"/>
      <c r="BO882" s="69"/>
      <c r="BP882" s="69"/>
      <c r="BQ882" s="69"/>
      <c r="BR882" s="69"/>
      <c r="BS882" s="69"/>
      <c r="BT882" s="69"/>
      <c r="BU882" s="69"/>
      <c r="BV882" s="69"/>
      <c r="BW882" s="69"/>
      <c r="BX882" s="69"/>
      <c r="BY882" s="69"/>
      <c r="BZ882" s="69"/>
      <c r="CA882" s="69"/>
      <c r="CB882" s="69"/>
      <c r="CC882" s="69"/>
      <c r="CD882" s="69"/>
      <c r="CE882" s="69"/>
      <c r="CF882" s="69"/>
      <c r="CG882" s="69"/>
      <c r="CH882" s="69"/>
      <c r="CI882" s="69"/>
      <c r="CJ882" s="69"/>
      <c r="CK882" s="69"/>
      <c r="CL882" s="69"/>
      <c r="CM882" s="69"/>
      <c r="CN882" s="69"/>
      <c r="CO882" s="69"/>
      <c r="CP882" s="69"/>
      <c r="CQ882" s="69"/>
      <c r="CR882" s="69"/>
      <c r="CS882" s="69"/>
      <c r="CT882" s="69"/>
      <c r="CU882" s="69"/>
      <c r="CV882" s="69"/>
      <c r="CW882" s="69"/>
      <c r="CX882" s="69"/>
      <c r="CY882" s="69"/>
      <c r="CZ882" s="69"/>
      <c r="DA882" s="69"/>
      <c r="DB882" s="69"/>
      <c r="DC882" s="69"/>
      <c r="DD882" s="69"/>
      <c r="DE882" s="69"/>
      <c r="DF882" s="69"/>
      <c r="DG882" s="69"/>
      <c r="DH882" s="69"/>
      <c r="DI882" s="69"/>
      <c r="DJ882" s="69"/>
      <c r="DK882" s="69"/>
      <c r="DL882" s="69"/>
    </row>
    <row r="883" spans="1:116" ht="13" x14ac:dyDescent="0.3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202"/>
      <c r="V883" s="69"/>
      <c r="W883" s="69"/>
      <c r="X883" s="69"/>
      <c r="Y883" s="69"/>
      <c r="Z883" s="69"/>
      <c r="AA883" s="69"/>
      <c r="AB883" s="203"/>
      <c r="AC883" s="69"/>
      <c r="AD883" s="69"/>
      <c r="AE883" s="203"/>
      <c r="AF883" s="69"/>
      <c r="AG883" s="69"/>
      <c r="AH883" s="69"/>
      <c r="AI883" s="69"/>
      <c r="AJ883" s="69"/>
      <c r="AK883" s="69"/>
      <c r="AL883" s="69"/>
      <c r="AM883" s="69"/>
      <c r="AN883" s="69"/>
      <c r="AO883" s="69"/>
      <c r="AP883" s="69"/>
      <c r="AQ883" s="69"/>
      <c r="AR883" s="69"/>
      <c r="AS883" s="69"/>
      <c r="AT883" s="69"/>
      <c r="AU883" s="69"/>
      <c r="AV883" s="69"/>
      <c r="AW883" s="69"/>
      <c r="AX883" s="69"/>
      <c r="AY883" s="69"/>
      <c r="AZ883" s="69"/>
      <c r="BA883" s="69"/>
      <c r="BB883" s="69"/>
      <c r="BC883" s="69"/>
      <c r="BD883" s="69"/>
      <c r="BE883" s="69"/>
      <c r="BF883" s="69"/>
      <c r="BG883" s="69"/>
      <c r="BH883" s="69"/>
      <c r="BI883" s="69"/>
      <c r="BJ883" s="69"/>
      <c r="BK883" s="69"/>
      <c r="BL883" s="69"/>
      <c r="BM883" s="69"/>
      <c r="BN883" s="69"/>
      <c r="BO883" s="69"/>
      <c r="BP883" s="69"/>
      <c r="BQ883" s="69"/>
      <c r="BR883" s="69"/>
      <c r="BS883" s="69"/>
      <c r="BT883" s="69"/>
      <c r="BU883" s="69"/>
      <c r="BV883" s="69"/>
      <c r="BW883" s="69"/>
      <c r="BX883" s="69"/>
      <c r="BY883" s="69"/>
      <c r="BZ883" s="69"/>
      <c r="CA883" s="69"/>
      <c r="CB883" s="69"/>
      <c r="CC883" s="69"/>
      <c r="CD883" s="69"/>
      <c r="CE883" s="69"/>
      <c r="CF883" s="69"/>
      <c r="CG883" s="69"/>
      <c r="CH883" s="69"/>
      <c r="CI883" s="69"/>
      <c r="CJ883" s="69"/>
      <c r="CK883" s="69"/>
      <c r="CL883" s="69"/>
      <c r="CM883" s="69"/>
      <c r="CN883" s="69"/>
      <c r="CO883" s="69"/>
      <c r="CP883" s="69"/>
      <c r="CQ883" s="69"/>
      <c r="CR883" s="69"/>
      <c r="CS883" s="69"/>
      <c r="CT883" s="69"/>
      <c r="CU883" s="69"/>
      <c r="CV883" s="69"/>
      <c r="CW883" s="69"/>
      <c r="CX883" s="69"/>
      <c r="CY883" s="69"/>
      <c r="CZ883" s="69"/>
      <c r="DA883" s="69"/>
      <c r="DB883" s="69"/>
      <c r="DC883" s="69"/>
      <c r="DD883" s="69"/>
      <c r="DE883" s="69"/>
      <c r="DF883" s="69"/>
      <c r="DG883" s="69"/>
      <c r="DH883" s="69"/>
      <c r="DI883" s="69"/>
      <c r="DJ883" s="69"/>
      <c r="DK883" s="69"/>
      <c r="DL883" s="69"/>
    </row>
    <row r="884" spans="1:116" ht="13" x14ac:dyDescent="0.3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202"/>
      <c r="V884" s="69"/>
      <c r="W884" s="69"/>
      <c r="X884" s="69"/>
      <c r="Y884" s="69"/>
      <c r="Z884" s="69"/>
      <c r="AA884" s="69"/>
      <c r="AB884" s="203"/>
      <c r="AC884" s="69"/>
      <c r="AD884" s="69"/>
      <c r="AE884" s="203"/>
      <c r="AF884" s="69"/>
      <c r="AG884" s="69"/>
      <c r="AH884" s="69"/>
      <c r="AI884" s="69"/>
      <c r="AJ884" s="69"/>
      <c r="AK884" s="69"/>
      <c r="AL884" s="69"/>
      <c r="AM884" s="69"/>
      <c r="AN884" s="69"/>
      <c r="AO884" s="69"/>
      <c r="AP884" s="69"/>
      <c r="AQ884" s="69"/>
      <c r="AR884" s="69"/>
      <c r="AS884" s="69"/>
      <c r="AT884" s="69"/>
      <c r="AU884" s="69"/>
      <c r="AV884" s="69"/>
      <c r="AW884" s="69"/>
      <c r="AX884" s="69"/>
      <c r="AY884" s="69"/>
      <c r="AZ884" s="69"/>
      <c r="BA884" s="69"/>
      <c r="BB884" s="69"/>
      <c r="BC884" s="69"/>
      <c r="BD884" s="69"/>
      <c r="BE884" s="69"/>
      <c r="BF884" s="69"/>
      <c r="BG884" s="69"/>
      <c r="BH884" s="69"/>
      <c r="BI884" s="69"/>
      <c r="BJ884" s="69"/>
      <c r="BK884" s="69"/>
      <c r="BL884" s="69"/>
      <c r="BM884" s="69"/>
      <c r="BN884" s="69"/>
      <c r="BO884" s="69"/>
      <c r="BP884" s="69"/>
      <c r="BQ884" s="69"/>
      <c r="BR884" s="69"/>
      <c r="BS884" s="69"/>
      <c r="BT884" s="69"/>
      <c r="BU884" s="69"/>
      <c r="BV884" s="69"/>
      <c r="BW884" s="69"/>
      <c r="BX884" s="69"/>
      <c r="BY884" s="69"/>
      <c r="BZ884" s="69"/>
      <c r="CA884" s="69"/>
      <c r="CB884" s="69"/>
      <c r="CC884" s="69"/>
      <c r="CD884" s="69"/>
      <c r="CE884" s="69"/>
      <c r="CF884" s="69"/>
      <c r="CG884" s="69"/>
      <c r="CH884" s="69"/>
      <c r="CI884" s="69"/>
      <c r="CJ884" s="69"/>
      <c r="CK884" s="69"/>
      <c r="CL884" s="69"/>
      <c r="CM884" s="69"/>
      <c r="CN884" s="69"/>
      <c r="CO884" s="69"/>
      <c r="CP884" s="69"/>
      <c r="CQ884" s="69"/>
      <c r="CR884" s="69"/>
      <c r="CS884" s="69"/>
      <c r="CT884" s="69"/>
      <c r="CU884" s="69"/>
      <c r="CV884" s="69"/>
      <c r="CW884" s="69"/>
      <c r="CX884" s="69"/>
      <c r="CY884" s="69"/>
      <c r="CZ884" s="69"/>
      <c r="DA884" s="69"/>
      <c r="DB884" s="69"/>
      <c r="DC884" s="69"/>
      <c r="DD884" s="69"/>
      <c r="DE884" s="69"/>
      <c r="DF884" s="69"/>
      <c r="DG884" s="69"/>
      <c r="DH884" s="69"/>
      <c r="DI884" s="69"/>
      <c r="DJ884" s="69"/>
      <c r="DK884" s="69"/>
      <c r="DL884" s="69"/>
    </row>
    <row r="885" spans="1:116" ht="13" x14ac:dyDescent="0.3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202"/>
      <c r="V885" s="69"/>
      <c r="W885" s="69"/>
      <c r="X885" s="69"/>
      <c r="Y885" s="69"/>
      <c r="Z885" s="69"/>
      <c r="AA885" s="69"/>
      <c r="AB885" s="203"/>
      <c r="AC885" s="69"/>
      <c r="AD885" s="69"/>
      <c r="AE885" s="203"/>
      <c r="AF885" s="69"/>
      <c r="AG885" s="69"/>
      <c r="AH885" s="69"/>
      <c r="AI885" s="69"/>
      <c r="AJ885" s="69"/>
      <c r="AK885" s="69"/>
      <c r="AL885" s="69"/>
      <c r="AM885" s="69"/>
      <c r="AN885" s="69"/>
      <c r="AO885" s="69"/>
      <c r="AP885" s="69"/>
      <c r="AQ885" s="69"/>
      <c r="AR885" s="69"/>
      <c r="AS885" s="69"/>
      <c r="AT885" s="69"/>
      <c r="AU885" s="69"/>
      <c r="AV885" s="69"/>
      <c r="AW885" s="69"/>
      <c r="AX885" s="69"/>
      <c r="AY885" s="69"/>
      <c r="AZ885" s="69"/>
      <c r="BA885" s="69"/>
      <c r="BB885" s="69"/>
      <c r="BC885" s="69"/>
      <c r="BD885" s="69"/>
      <c r="BE885" s="69"/>
      <c r="BF885" s="69"/>
      <c r="BG885" s="69"/>
      <c r="BH885" s="69"/>
      <c r="BI885" s="69"/>
      <c r="BJ885" s="69"/>
      <c r="BK885" s="69"/>
      <c r="BL885" s="69"/>
      <c r="BM885" s="69"/>
      <c r="BN885" s="69"/>
      <c r="BO885" s="69"/>
      <c r="BP885" s="69"/>
      <c r="BQ885" s="69"/>
      <c r="BR885" s="69"/>
      <c r="BS885" s="69"/>
      <c r="BT885" s="69"/>
      <c r="BU885" s="69"/>
      <c r="BV885" s="69"/>
      <c r="BW885" s="69"/>
      <c r="BX885" s="69"/>
      <c r="BY885" s="69"/>
      <c r="BZ885" s="69"/>
      <c r="CA885" s="69"/>
      <c r="CB885" s="69"/>
      <c r="CC885" s="69"/>
      <c r="CD885" s="69"/>
      <c r="CE885" s="69"/>
      <c r="CF885" s="69"/>
      <c r="CG885" s="69"/>
      <c r="CH885" s="69"/>
      <c r="CI885" s="69"/>
      <c r="CJ885" s="69"/>
      <c r="CK885" s="69"/>
      <c r="CL885" s="69"/>
      <c r="CM885" s="69"/>
      <c r="CN885" s="69"/>
      <c r="CO885" s="69"/>
      <c r="CP885" s="69"/>
      <c r="CQ885" s="69"/>
      <c r="CR885" s="69"/>
      <c r="CS885" s="69"/>
      <c r="CT885" s="69"/>
      <c r="CU885" s="69"/>
      <c r="CV885" s="69"/>
      <c r="CW885" s="69"/>
      <c r="CX885" s="69"/>
      <c r="CY885" s="69"/>
      <c r="CZ885" s="69"/>
      <c r="DA885" s="69"/>
      <c r="DB885" s="69"/>
      <c r="DC885" s="69"/>
      <c r="DD885" s="69"/>
      <c r="DE885" s="69"/>
      <c r="DF885" s="69"/>
      <c r="DG885" s="69"/>
      <c r="DH885" s="69"/>
      <c r="DI885" s="69"/>
      <c r="DJ885" s="69"/>
      <c r="DK885" s="69"/>
      <c r="DL885" s="69"/>
    </row>
    <row r="886" spans="1:116" ht="13" x14ac:dyDescent="0.3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202"/>
      <c r="V886" s="69"/>
      <c r="W886" s="69"/>
      <c r="X886" s="69"/>
      <c r="Y886" s="69"/>
      <c r="Z886" s="69"/>
      <c r="AA886" s="69"/>
      <c r="AB886" s="203"/>
      <c r="AC886" s="69"/>
      <c r="AD886" s="69"/>
      <c r="AE886" s="203"/>
      <c r="AF886" s="69"/>
      <c r="AG886" s="69"/>
      <c r="AH886" s="69"/>
      <c r="AI886" s="69"/>
      <c r="AJ886" s="69"/>
      <c r="AK886" s="69"/>
      <c r="AL886" s="69"/>
      <c r="AM886" s="69"/>
      <c r="AN886" s="69"/>
      <c r="AO886" s="69"/>
      <c r="AP886" s="69"/>
      <c r="AQ886" s="69"/>
      <c r="AR886" s="69"/>
      <c r="AS886" s="69"/>
      <c r="AT886" s="69"/>
      <c r="AU886" s="69"/>
      <c r="AV886" s="69"/>
      <c r="AW886" s="69"/>
      <c r="AX886" s="69"/>
      <c r="AY886" s="69"/>
      <c r="AZ886" s="69"/>
      <c r="BA886" s="69"/>
      <c r="BB886" s="69"/>
      <c r="BC886" s="69"/>
      <c r="BD886" s="69"/>
      <c r="BE886" s="69"/>
      <c r="BF886" s="69"/>
      <c r="BG886" s="69"/>
      <c r="BH886" s="69"/>
      <c r="BI886" s="69"/>
      <c r="BJ886" s="69"/>
      <c r="BK886" s="69"/>
      <c r="BL886" s="69"/>
      <c r="BM886" s="69"/>
      <c r="BN886" s="69"/>
      <c r="BO886" s="69"/>
      <c r="BP886" s="69"/>
      <c r="BQ886" s="69"/>
      <c r="BR886" s="69"/>
      <c r="BS886" s="69"/>
      <c r="BT886" s="69"/>
      <c r="BU886" s="69"/>
      <c r="BV886" s="69"/>
      <c r="BW886" s="69"/>
      <c r="BX886" s="69"/>
      <c r="BY886" s="69"/>
      <c r="BZ886" s="69"/>
      <c r="CA886" s="69"/>
      <c r="CB886" s="69"/>
      <c r="CC886" s="69"/>
      <c r="CD886" s="69"/>
      <c r="CE886" s="69"/>
      <c r="CF886" s="69"/>
      <c r="CG886" s="69"/>
      <c r="CH886" s="69"/>
      <c r="CI886" s="69"/>
      <c r="CJ886" s="69"/>
      <c r="CK886" s="69"/>
      <c r="CL886" s="69"/>
      <c r="CM886" s="69"/>
      <c r="CN886" s="69"/>
      <c r="CO886" s="69"/>
      <c r="CP886" s="69"/>
      <c r="CQ886" s="69"/>
      <c r="CR886" s="69"/>
      <c r="CS886" s="69"/>
      <c r="CT886" s="69"/>
      <c r="CU886" s="69"/>
      <c r="CV886" s="69"/>
      <c r="CW886" s="69"/>
      <c r="CX886" s="69"/>
      <c r="CY886" s="69"/>
      <c r="CZ886" s="69"/>
      <c r="DA886" s="69"/>
      <c r="DB886" s="69"/>
      <c r="DC886" s="69"/>
      <c r="DD886" s="69"/>
      <c r="DE886" s="69"/>
      <c r="DF886" s="69"/>
      <c r="DG886" s="69"/>
      <c r="DH886" s="69"/>
      <c r="DI886" s="69"/>
      <c r="DJ886" s="69"/>
      <c r="DK886" s="69"/>
      <c r="DL886" s="69"/>
    </row>
    <row r="887" spans="1:116" ht="13" x14ac:dyDescent="0.3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202"/>
      <c r="V887" s="69"/>
      <c r="W887" s="69"/>
      <c r="X887" s="69"/>
      <c r="Y887" s="69"/>
      <c r="Z887" s="69"/>
      <c r="AA887" s="69"/>
      <c r="AB887" s="203"/>
      <c r="AC887" s="69"/>
      <c r="AD887" s="69"/>
      <c r="AE887" s="203"/>
      <c r="AF887" s="69"/>
      <c r="AG887" s="69"/>
      <c r="AH887" s="69"/>
      <c r="AI887" s="69"/>
      <c r="AJ887" s="69"/>
      <c r="AK887" s="69"/>
      <c r="AL887" s="69"/>
      <c r="AM887" s="69"/>
      <c r="AN887" s="69"/>
      <c r="AO887" s="69"/>
      <c r="AP887" s="69"/>
      <c r="AQ887" s="69"/>
      <c r="AR887" s="69"/>
      <c r="AS887" s="69"/>
      <c r="AT887" s="69"/>
      <c r="AU887" s="69"/>
      <c r="AV887" s="69"/>
      <c r="AW887" s="69"/>
      <c r="AX887" s="69"/>
      <c r="AY887" s="69"/>
      <c r="AZ887" s="69"/>
      <c r="BA887" s="69"/>
      <c r="BB887" s="69"/>
      <c r="BC887" s="69"/>
      <c r="BD887" s="69"/>
      <c r="BE887" s="69"/>
      <c r="BF887" s="69"/>
      <c r="BG887" s="69"/>
      <c r="BH887" s="69"/>
      <c r="BI887" s="69"/>
      <c r="BJ887" s="69"/>
      <c r="BK887" s="69"/>
      <c r="BL887" s="69"/>
      <c r="BM887" s="69"/>
      <c r="BN887" s="69"/>
      <c r="BO887" s="69"/>
      <c r="BP887" s="69"/>
      <c r="BQ887" s="69"/>
      <c r="BR887" s="69"/>
      <c r="BS887" s="69"/>
      <c r="BT887" s="69"/>
      <c r="BU887" s="69"/>
      <c r="BV887" s="69"/>
      <c r="BW887" s="69"/>
      <c r="BX887" s="69"/>
      <c r="BY887" s="69"/>
      <c r="BZ887" s="69"/>
      <c r="CA887" s="69"/>
      <c r="CB887" s="69"/>
      <c r="CC887" s="69"/>
      <c r="CD887" s="69"/>
      <c r="CE887" s="69"/>
      <c r="CF887" s="69"/>
      <c r="CG887" s="69"/>
      <c r="CH887" s="69"/>
      <c r="CI887" s="69"/>
      <c r="CJ887" s="69"/>
      <c r="CK887" s="69"/>
      <c r="CL887" s="69"/>
      <c r="CM887" s="69"/>
      <c r="CN887" s="69"/>
      <c r="CO887" s="69"/>
      <c r="CP887" s="69"/>
      <c r="CQ887" s="69"/>
      <c r="CR887" s="69"/>
      <c r="CS887" s="69"/>
      <c r="CT887" s="69"/>
      <c r="CU887" s="69"/>
      <c r="CV887" s="69"/>
      <c r="CW887" s="69"/>
      <c r="CX887" s="69"/>
      <c r="CY887" s="69"/>
      <c r="CZ887" s="69"/>
      <c r="DA887" s="69"/>
      <c r="DB887" s="69"/>
      <c r="DC887" s="69"/>
      <c r="DD887" s="69"/>
      <c r="DE887" s="69"/>
      <c r="DF887" s="69"/>
      <c r="DG887" s="69"/>
      <c r="DH887" s="69"/>
      <c r="DI887" s="69"/>
      <c r="DJ887" s="69"/>
      <c r="DK887" s="69"/>
      <c r="DL887" s="69"/>
    </row>
    <row r="888" spans="1:116" ht="13" x14ac:dyDescent="0.3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202"/>
      <c r="V888" s="69"/>
      <c r="W888" s="69"/>
      <c r="X888" s="69"/>
      <c r="Y888" s="69"/>
      <c r="Z888" s="69"/>
      <c r="AA888" s="69"/>
      <c r="AB888" s="203"/>
      <c r="AC888" s="69"/>
      <c r="AD888" s="69"/>
      <c r="AE888" s="203"/>
      <c r="AF888" s="69"/>
      <c r="AG888" s="69"/>
      <c r="AH888" s="69"/>
      <c r="AI888" s="69"/>
      <c r="AJ888" s="69"/>
      <c r="AK888" s="69"/>
      <c r="AL888" s="69"/>
      <c r="AM888" s="69"/>
      <c r="AN888" s="69"/>
      <c r="AO888" s="69"/>
      <c r="AP888" s="69"/>
      <c r="AQ888" s="69"/>
      <c r="AR888" s="69"/>
      <c r="AS888" s="69"/>
      <c r="AT888" s="69"/>
      <c r="AU888" s="69"/>
      <c r="AV888" s="69"/>
      <c r="AW888" s="69"/>
      <c r="AX888" s="69"/>
      <c r="AY888" s="69"/>
      <c r="AZ888" s="69"/>
      <c r="BA888" s="69"/>
      <c r="BB888" s="69"/>
      <c r="BC888" s="69"/>
      <c r="BD888" s="69"/>
      <c r="BE888" s="69"/>
      <c r="BF888" s="69"/>
      <c r="BG888" s="69"/>
      <c r="BH888" s="69"/>
      <c r="BI888" s="69"/>
      <c r="BJ888" s="69"/>
      <c r="BK888" s="69"/>
      <c r="BL888" s="69"/>
      <c r="BM888" s="69"/>
      <c r="BN888" s="69"/>
      <c r="BO888" s="69"/>
      <c r="BP888" s="69"/>
      <c r="BQ888" s="69"/>
      <c r="BR888" s="69"/>
      <c r="BS888" s="69"/>
      <c r="BT888" s="69"/>
      <c r="BU888" s="69"/>
      <c r="BV888" s="69"/>
      <c r="BW888" s="69"/>
      <c r="BX888" s="69"/>
      <c r="BY888" s="69"/>
      <c r="BZ888" s="69"/>
      <c r="CA888" s="69"/>
      <c r="CB888" s="69"/>
      <c r="CC888" s="69"/>
      <c r="CD888" s="69"/>
      <c r="CE888" s="69"/>
      <c r="CF888" s="69"/>
      <c r="CG888" s="69"/>
      <c r="CH888" s="69"/>
      <c r="CI888" s="69"/>
      <c r="CJ888" s="69"/>
      <c r="CK888" s="69"/>
      <c r="CL888" s="69"/>
      <c r="CM888" s="69"/>
      <c r="CN888" s="69"/>
      <c r="CO888" s="69"/>
      <c r="CP888" s="69"/>
      <c r="CQ888" s="69"/>
      <c r="CR888" s="69"/>
      <c r="CS888" s="69"/>
      <c r="CT888" s="69"/>
      <c r="CU888" s="69"/>
      <c r="CV888" s="69"/>
      <c r="CW888" s="69"/>
      <c r="CX888" s="69"/>
      <c r="CY888" s="69"/>
      <c r="CZ888" s="69"/>
      <c r="DA888" s="69"/>
      <c r="DB888" s="69"/>
      <c r="DC888" s="69"/>
      <c r="DD888" s="69"/>
      <c r="DE888" s="69"/>
      <c r="DF888" s="69"/>
      <c r="DG888" s="69"/>
      <c r="DH888" s="69"/>
      <c r="DI888" s="69"/>
      <c r="DJ888" s="69"/>
      <c r="DK888" s="69"/>
      <c r="DL888" s="69"/>
    </row>
    <row r="889" spans="1:116" ht="13" x14ac:dyDescent="0.3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202"/>
      <c r="V889" s="69"/>
      <c r="W889" s="69"/>
      <c r="X889" s="69"/>
      <c r="Y889" s="69"/>
      <c r="Z889" s="69"/>
      <c r="AA889" s="69"/>
      <c r="AB889" s="203"/>
      <c r="AC889" s="69"/>
      <c r="AD889" s="69"/>
      <c r="AE889" s="203"/>
      <c r="AF889" s="69"/>
      <c r="AG889" s="69"/>
      <c r="AH889" s="69"/>
      <c r="AI889" s="69"/>
      <c r="AJ889" s="69"/>
      <c r="AK889" s="69"/>
      <c r="AL889" s="69"/>
      <c r="AM889" s="69"/>
      <c r="AN889" s="69"/>
      <c r="AO889" s="69"/>
      <c r="AP889" s="69"/>
      <c r="AQ889" s="69"/>
      <c r="AR889" s="69"/>
      <c r="AS889" s="69"/>
      <c r="AT889" s="69"/>
      <c r="AU889" s="69"/>
      <c r="AV889" s="69"/>
      <c r="AW889" s="69"/>
      <c r="AX889" s="69"/>
      <c r="AY889" s="69"/>
      <c r="AZ889" s="69"/>
      <c r="BA889" s="69"/>
      <c r="BB889" s="69"/>
      <c r="BC889" s="69"/>
      <c r="BD889" s="69"/>
      <c r="BE889" s="69"/>
      <c r="BF889" s="69"/>
      <c r="BG889" s="69"/>
      <c r="BH889" s="69"/>
      <c r="BI889" s="69"/>
      <c r="BJ889" s="69"/>
      <c r="BK889" s="69"/>
      <c r="BL889" s="69"/>
      <c r="BM889" s="69"/>
      <c r="BN889" s="69"/>
      <c r="BO889" s="69"/>
      <c r="BP889" s="69"/>
      <c r="BQ889" s="69"/>
      <c r="BR889" s="69"/>
      <c r="BS889" s="69"/>
      <c r="BT889" s="69"/>
      <c r="BU889" s="69"/>
      <c r="BV889" s="69"/>
      <c r="BW889" s="69"/>
      <c r="BX889" s="69"/>
      <c r="BY889" s="69"/>
      <c r="BZ889" s="69"/>
      <c r="CA889" s="69"/>
      <c r="CB889" s="69"/>
      <c r="CC889" s="69"/>
      <c r="CD889" s="69"/>
      <c r="CE889" s="69"/>
      <c r="CF889" s="69"/>
      <c r="CG889" s="69"/>
      <c r="CH889" s="69"/>
      <c r="CI889" s="69"/>
      <c r="CJ889" s="69"/>
      <c r="CK889" s="69"/>
      <c r="CL889" s="69"/>
      <c r="CM889" s="69"/>
      <c r="CN889" s="69"/>
      <c r="CO889" s="69"/>
      <c r="CP889" s="69"/>
      <c r="CQ889" s="69"/>
      <c r="CR889" s="69"/>
      <c r="CS889" s="69"/>
      <c r="CT889" s="69"/>
      <c r="CU889" s="69"/>
      <c r="CV889" s="69"/>
      <c r="CW889" s="69"/>
      <c r="CX889" s="69"/>
      <c r="CY889" s="69"/>
      <c r="CZ889" s="69"/>
      <c r="DA889" s="69"/>
      <c r="DB889" s="69"/>
      <c r="DC889" s="69"/>
      <c r="DD889" s="69"/>
      <c r="DE889" s="69"/>
      <c r="DF889" s="69"/>
      <c r="DG889" s="69"/>
      <c r="DH889" s="69"/>
      <c r="DI889" s="69"/>
      <c r="DJ889" s="69"/>
      <c r="DK889" s="69"/>
      <c r="DL889" s="69"/>
    </row>
    <row r="890" spans="1:116" ht="13" x14ac:dyDescent="0.3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202"/>
      <c r="V890" s="69"/>
      <c r="W890" s="69"/>
      <c r="X890" s="69"/>
      <c r="Y890" s="69"/>
      <c r="Z890" s="69"/>
      <c r="AA890" s="69"/>
      <c r="AB890" s="203"/>
      <c r="AC890" s="69"/>
      <c r="AD890" s="69"/>
      <c r="AE890" s="203"/>
      <c r="AF890" s="69"/>
      <c r="AG890" s="69"/>
      <c r="AH890" s="69"/>
      <c r="AI890" s="69"/>
      <c r="AJ890" s="69"/>
      <c r="AK890" s="69"/>
      <c r="AL890" s="69"/>
      <c r="AM890" s="69"/>
      <c r="AN890" s="69"/>
      <c r="AO890" s="69"/>
      <c r="AP890" s="69"/>
      <c r="AQ890" s="69"/>
      <c r="AR890" s="69"/>
      <c r="AS890" s="69"/>
      <c r="AT890" s="69"/>
      <c r="AU890" s="69"/>
      <c r="AV890" s="69"/>
      <c r="AW890" s="69"/>
      <c r="AX890" s="69"/>
      <c r="AY890" s="69"/>
      <c r="AZ890" s="69"/>
      <c r="BA890" s="69"/>
      <c r="BB890" s="69"/>
      <c r="BC890" s="69"/>
      <c r="BD890" s="69"/>
      <c r="BE890" s="69"/>
      <c r="BF890" s="69"/>
      <c r="BG890" s="69"/>
      <c r="BH890" s="69"/>
      <c r="BI890" s="69"/>
      <c r="BJ890" s="69"/>
      <c r="BK890" s="69"/>
      <c r="BL890" s="69"/>
      <c r="BM890" s="69"/>
      <c r="BN890" s="69"/>
      <c r="BO890" s="69"/>
      <c r="BP890" s="69"/>
      <c r="BQ890" s="69"/>
      <c r="BR890" s="69"/>
      <c r="BS890" s="69"/>
      <c r="BT890" s="69"/>
      <c r="BU890" s="69"/>
      <c r="BV890" s="69"/>
      <c r="BW890" s="69"/>
      <c r="BX890" s="69"/>
      <c r="BY890" s="69"/>
      <c r="BZ890" s="69"/>
      <c r="CA890" s="69"/>
      <c r="CB890" s="69"/>
      <c r="CC890" s="69"/>
      <c r="CD890" s="69"/>
      <c r="CE890" s="69"/>
      <c r="CF890" s="69"/>
      <c r="CG890" s="69"/>
      <c r="CH890" s="69"/>
      <c r="CI890" s="69"/>
      <c r="CJ890" s="69"/>
      <c r="CK890" s="69"/>
      <c r="CL890" s="69"/>
      <c r="CM890" s="69"/>
      <c r="CN890" s="69"/>
      <c r="CO890" s="69"/>
      <c r="CP890" s="69"/>
      <c r="CQ890" s="69"/>
      <c r="CR890" s="69"/>
      <c r="CS890" s="69"/>
      <c r="CT890" s="69"/>
      <c r="CU890" s="69"/>
      <c r="CV890" s="69"/>
      <c r="CW890" s="69"/>
      <c r="CX890" s="69"/>
      <c r="CY890" s="69"/>
      <c r="CZ890" s="69"/>
      <c r="DA890" s="69"/>
      <c r="DB890" s="69"/>
      <c r="DC890" s="69"/>
      <c r="DD890" s="69"/>
      <c r="DE890" s="69"/>
      <c r="DF890" s="69"/>
      <c r="DG890" s="69"/>
      <c r="DH890" s="69"/>
      <c r="DI890" s="69"/>
      <c r="DJ890" s="69"/>
      <c r="DK890" s="69"/>
      <c r="DL890" s="69"/>
    </row>
    <row r="891" spans="1:116" ht="13" x14ac:dyDescent="0.3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202"/>
      <c r="V891" s="69"/>
      <c r="W891" s="69"/>
      <c r="X891" s="69"/>
      <c r="Y891" s="69"/>
      <c r="Z891" s="69"/>
      <c r="AA891" s="69"/>
      <c r="AB891" s="203"/>
      <c r="AC891" s="69"/>
      <c r="AD891" s="69"/>
      <c r="AE891" s="203"/>
      <c r="AF891" s="69"/>
      <c r="AG891" s="69"/>
      <c r="AH891" s="69"/>
      <c r="AI891" s="69"/>
      <c r="AJ891" s="69"/>
      <c r="AK891" s="69"/>
      <c r="AL891" s="69"/>
      <c r="AM891" s="69"/>
      <c r="AN891" s="69"/>
      <c r="AO891" s="69"/>
      <c r="AP891" s="69"/>
      <c r="AQ891" s="69"/>
      <c r="AR891" s="69"/>
      <c r="AS891" s="69"/>
      <c r="AT891" s="69"/>
      <c r="AU891" s="69"/>
      <c r="AV891" s="69"/>
      <c r="AW891" s="69"/>
      <c r="AX891" s="69"/>
      <c r="AY891" s="69"/>
      <c r="AZ891" s="69"/>
      <c r="BA891" s="69"/>
      <c r="BB891" s="69"/>
      <c r="BC891" s="69"/>
      <c r="BD891" s="69"/>
      <c r="BE891" s="69"/>
      <c r="BF891" s="69"/>
      <c r="BG891" s="69"/>
      <c r="BH891" s="69"/>
      <c r="BI891" s="69"/>
      <c r="BJ891" s="69"/>
      <c r="BK891" s="69"/>
      <c r="BL891" s="69"/>
      <c r="BM891" s="69"/>
      <c r="BN891" s="69"/>
      <c r="BO891" s="69"/>
      <c r="BP891" s="69"/>
      <c r="BQ891" s="69"/>
      <c r="BR891" s="69"/>
      <c r="BS891" s="69"/>
      <c r="BT891" s="69"/>
      <c r="BU891" s="69"/>
      <c r="BV891" s="69"/>
      <c r="BW891" s="69"/>
      <c r="BX891" s="69"/>
      <c r="BY891" s="69"/>
      <c r="BZ891" s="69"/>
      <c r="CA891" s="69"/>
      <c r="CB891" s="69"/>
      <c r="CC891" s="69"/>
      <c r="CD891" s="69"/>
      <c r="CE891" s="69"/>
      <c r="CF891" s="69"/>
      <c r="CG891" s="69"/>
      <c r="CH891" s="69"/>
      <c r="CI891" s="69"/>
      <c r="CJ891" s="69"/>
      <c r="CK891" s="69"/>
      <c r="CL891" s="69"/>
      <c r="CM891" s="69"/>
      <c r="CN891" s="69"/>
      <c r="CO891" s="69"/>
      <c r="CP891" s="69"/>
      <c r="CQ891" s="69"/>
      <c r="CR891" s="69"/>
      <c r="CS891" s="69"/>
      <c r="CT891" s="69"/>
      <c r="CU891" s="69"/>
      <c r="CV891" s="69"/>
      <c r="CW891" s="69"/>
      <c r="CX891" s="69"/>
      <c r="CY891" s="69"/>
      <c r="CZ891" s="69"/>
      <c r="DA891" s="69"/>
      <c r="DB891" s="69"/>
      <c r="DC891" s="69"/>
      <c r="DD891" s="69"/>
      <c r="DE891" s="69"/>
      <c r="DF891" s="69"/>
      <c r="DG891" s="69"/>
      <c r="DH891" s="69"/>
      <c r="DI891" s="69"/>
      <c r="DJ891" s="69"/>
      <c r="DK891" s="69"/>
      <c r="DL891" s="69"/>
    </row>
    <row r="892" spans="1:116" ht="13" x14ac:dyDescent="0.3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202"/>
      <c r="V892" s="69"/>
      <c r="W892" s="69"/>
      <c r="X892" s="69"/>
      <c r="Y892" s="69"/>
      <c r="Z892" s="69"/>
      <c r="AA892" s="69"/>
      <c r="AB892" s="203"/>
      <c r="AC892" s="69"/>
      <c r="AD892" s="69"/>
      <c r="AE892" s="203"/>
      <c r="AF892" s="69"/>
      <c r="AG892" s="69"/>
      <c r="AH892" s="69"/>
      <c r="AI892" s="69"/>
      <c r="AJ892" s="69"/>
      <c r="AK892" s="69"/>
      <c r="AL892" s="69"/>
      <c r="AM892" s="69"/>
      <c r="AN892" s="69"/>
      <c r="AO892" s="69"/>
      <c r="AP892" s="69"/>
      <c r="AQ892" s="69"/>
      <c r="AR892" s="69"/>
      <c r="AS892" s="69"/>
      <c r="AT892" s="69"/>
      <c r="AU892" s="69"/>
      <c r="AV892" s="69"/>
      <c r="AW892" s="69"/>
      <c r="AX892" s="69"/>
      <c r="AY892" s="69"/>
      <c r="AZ892" s="69"/>
      <c r="BA892" s="69"/>
      <c r="BB892" s="69"/>
      <c r="BC892" s="69"/>
      <c r="BD892" s="69"/>
      <c r="BE892" s="69"/>
      <c r="BF892" s="69"/>
      <c r="BG892" s="69"/>
      <c r="BH892" s="69"/>
      <c r="BI892" s="69"/>
      <c r="BJ892" s="69"/>
      <c r="BK892" s="69"/>
      <c r="BL892" s="69"/>
      <c r="BM892" s="69"/>
      <c r="BN892" s="69"/>
      <c r="BO892" s="69"/>
      <c r="BP892" s="69"/>
      <c r="BQ892" s="69"/>
      <c r="BR892" s="69"/>
      <c r="BS892" s="69"/>
      <c r="BT892" s="69"/>
      <c r="BU892" s="69"/>
      <c r="BV892" s="69"/>
      <c r="BW892" s="69"/>
      <c r="BX892" s="69"/>
      <c r="BY892" s="69"/>
      <c r="BZ892" s="69"/>
      <c r="CA892" s="69"/>
      <c r="CB892" s="69"/>
      <c r="CC892" s="69"/>
      <c r="CD892" s="69"/>
      <c r="CE892" s="69"/>
      <c r="CF892" s="69"/>
      <c r="CG892" s="69"/>
      <c r="CH892" s="69"/>
      <c r="CI892" s="69"/>
      <c r="CJ892" s="69"/>
      <c r="CK892" s="69"/>
      <c r="CL892" s="69"/>
      <c r="CM892" s="69"/>
      <c r="CN892" s="69"/>
      <c r="CO892" s="69"/>
      <c r="CP892" s="69"/>
      <c r="CQ892" s="69"/>
      <c r="CR892" s="69"/>
      <c r="CS892" s="69"/>
      <c r="CT892" s="69"/>
      <c r="CU892" s="69"/>
      <c r="CV892" s="69"/>
      <c r="CW892" s="69"/>
      <c r="CX892" s="69"/>
      <c r="CY892" s="69"/>
      <c r="CZ892" s="69"/>
      <c r="DA892" s="69"/>
      <c r="DB892" s="69"/>
      <c r="DC892" s="69"/>
      <c r="DD892" s="69"/>
      <c r="DE892" s="69"/>
      <c r="DF892" s="69"/>
      <c r="DG892" s="69"/>
      <c r="DH892" s="69"/>
      <c r="DI892" s="69"/>
      <c r="DJ892" s="69"/>
      <c r="DK892" s="69"/>
      <c r="DL892" s="69"/>
    </row>
    <row r="893" spans="1:116" ht="13" x14ac:dyDescent="0.3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202"/>
      <c r="V893" s="69"/>
      <c r="W893" s="69"/>
      <c r="X893" s="69"/>
      <c r="Y893" s="69"/>
      <c r="Z893" s="69"/>
      <c r="AA893" s="69"/>
      <c r="AB893" s="203"/>
      <c r="AC893" s="69"/>
      <c r="AD893" s="69"/>
      <c r="AE893" s="203"/>
      <c r="AF893" s="69"/>
      <c r="AG893" s="69"/>
      <c r="AH893" s="69"/>
      <c r="AI893" s="69"/>
      <c r="AJ893" s="69"/>
      <c r="AK893" s="69"/>
      <c r="AL893" s="69"/>
      <c r="AM893" s="69"/>
      <c r="AN893" s="69"/>
      <c r="AO893" s="69"/>
      <c r="AP893" s="69"/>
      <c r="AQ893" s="69"/>
      <c r="AR893" s="69"/>
      <c r="AS893" s="69"/>
      <c r="AT893" s="69"/>
      <c r="AU893" s="69"/>
      <c r="AV893" s="69"/>
      <c r="AW893" s="69"/>
      <c r="AX893" s="69"/>
      <c r="AY893" s="69"/>
      <c r="AZ893" s="69"/>
      <c r="BA893" s="69"/>
      <c r="BB893" s="69"/>
      <c r="BC893" s="69"/>
      <c r="BD893" s="69"/>
      <c r="BE893" s="69"/>
      <c r="BF893" s="69"/>
      <c r="BG893" s="69"/>
      <c r="BH893" s="69"/>
      <c r="BI893" s="69"/>
      <c r="BJ893" s="69"/>
      <c r="BK893" s="69"/>
      <c r="BL893" s="69"/>
      <c r="BM893" s="69"/>
      <c r="BN893" s="69"/>
      <c r="BO893" s="69"/>
      <c r="BP893" s="69"/>
      <c r="BQ893" s="69"/>
      <c r="BR893" s="69"/>
      <c r="BS893" s="69"/>
      <c r="BT893" s="69"/>
      <c r="BU893" s="69"/>
      <c r="BV893" s="69"/>
      <c r="BW893" s="69"/>
      <c r="BX893" s="69"/>
      <c r="BY893" s="69"/>
      <c r="BZ893" s="69"/>
      <c r="CA893" s="69"/>
      <c r="CB893" s="69"/>
      <c r="CC893" s="69"/>
      <c r="CD893" s="69"/>
      <c r="CE893" s="69"/>
      <c r="CF893" s="69"/>
      <c r="CG893" s="69"/>
      <c r="CH893" s="69"/>
      <c r="CI893" s="69"/>
      <c r="CJ893" s="69"/>
      <c r="CK893" s="69"/>
      <c r="CL893" s="69"/>
      <c r="CM893" s="69"/>
      <c r="CN893" s="69"/>
      <c r="CO893" s="69"/>
      <c r="CP893" s="69"/>
      <c r="CQ893" s="69"/>
      <c r="CR893" s="69"/>
      <c r="CS893" s="69"/>
      <c r="CT893" s="69"/>
      <c r="CU893" s="69"/>
      <c r="CV893" s="69"/>
      <c r="CW893" s="69"/>
      <c r="CX893" s="69"/>
      <c r="CY893" s="69"/>
      <c r="CZ893" s="69"/>
      <c r="DA893" s="69"/>
      <c r="DB893" s="69"/>
      <c r="DC893" s="69"/>
      <c r="DD893" s="69"/>
      <c r="DE893" s="69"/>
      <c r="DF893" s="69"/>
      <c r="DG893" s="69"/>
      <c r="DH893" s="69"/>
      <c r="DI893" s="69"/>
      <c r="DJ893" s="69"/>
      <c r="DK893" s="69"/>
      <c r="DL893" s="69"/>
    </row>
    <row r="894" spans="1:116" ht="13" x14ac:dyDescent="0.3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202"/>
      <c r="V894" s="69"/>
      <c r="W894" s="69"/>
      <c r="X894" s="69"/>
      <c r="Y894" s="69"/>
      <c r="Z894" s="69"/>
      <c r="AA894" s="69"/>
      <c r="AB894" s="203"/>
      <c r="AC894" s="69"/>
      <c r="AD894" s="69"/>
      <c r="AE894" s="203"/>
      <c r="AF894" s="69"/>
      <c r="AG894" s="69"/>
      <c r="AH894" s="69"/>
      <c r="AI894" s="69"/>
      <c r="AJ894" s="69"/>
      <c r="AK894" s="69"/>
      <c r="AL894" s="69"/>
      <c r="AM894" s="69"/>
      <c r="AN894" s="69"/>
      <c r="AO894" s="69"/>
      <c r="AP894" s="69"/>
      <c r="AQ894" s="69"/>
      <c r="AR894" s="69"/>
      <c r="AS894" s="69"/>
      <c r="AT894" s="69"/>
      <c r="AU894" s="69"/>
      <c r="AV894" s="69"/>
      <c r="AW894" s="69"/>
      <c r="AX894" s="69"/>
      <c r="AY894" s="69"/>
      <c r="AZ894" s="69"/>
      <c r="BA894" s="69"/>
      <c r="BB894" s="69"/>
      <c r="BC894" s="69"/>
      <c r="BD894" s="69"/>
      <c r="BE894" s="69"/>
      <c r="BF894" s="69"/>
      <c r="BG894" s="69"/>
      <c r="BH894" s="69"/>
      <c r="BI894" s="69"/>
      <c r="BJ894" s="69"/>
      <c r="BK894" s="69"/>
      <c r="BL894" s="69"/>
      <c r="BM894" s="69"/>
      <c r="BN894" s="69"/>
      <c r="BO894" s="69"/>
      <c r="BP894" s="69"/>
      <c r="BQ894" s="69"/>
      <c r="BR894" s="69"/>
      <c r="BS894" s="69"/>
      <c r="BT894" s="69"/>
      <c r="BU894" s="69"/>
      <c r="BV894" s="69"/>
      <c r="BW894" s="69"/>
      <c r="BX894" s="69"/>
      <c r="BY894" s="69"/>
      <c r="BZ894" s="69"/>
      <c r="CA894" s="69"/>
      <c r="CB894" s="69"/>
      <c r="CC894" s="69"/>
      <c r="CD894" s="69"/>
      <c r="CE894" s="69"/>
      <c r="CF894" s="69"/>
      <c r="CG894" s="69"/>
      <c r="CH894" s="69"/>
      <c r="CI894" s="69"/>
      <c r="CJ894" s="69"/>
      <c r="CK894" s="69"/>
      <c r="CL894" s="69"/>
      <c r="CM894" s="69"/>
      <c r="CN894" s="69"/>
      <c r="CO894" s="69"/>
      <c r="CP894" s="69"/>
      <c r="CQ894" s="69"/>
      <c r="CR894" s="69"/>
      <c r="CS894" s="69"/>
      <c r="CT894" s="69"/>
      <c r="CU894" s="69"/>
      <c r="CV894" s="69"/>
      <c r="CW894" s="69"/>
      <c r="CX894" s="69"/>
      <c r="CY894" s="69"/>
      <c r="CZ894" s="69"/>
      <c r="DA894" s="69"/>
      <c r="DB894" s="69"/>
      <c r="DC894" s="69"/>
      <c r="DD894" s="69"/>
      <c r="DE894" s="69"/>
      <c r="DF894" s="69"/>
      <c r="DG894" s="69"/>
      <c r="DH894" s="69"/>
      <c r="DI894" s="69"/>
      <c r="DJ894" s="69"/>
      <c r="DK894" s="69"/>
      <c r="DL894" s="69"/>
    </row>
    <row r="895" spans="1:116" ht="13" x14ac:dyDescent="0.3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202"/>
      <c r="V895" s="69"/>
      <c r="W895" s="69"/>
      <c r="X895" s="69"/>
      <c r="Y895" s="69"/>
      <c r="Z895" s="69"/>
      <c r="AA895" s="69"/>
      <c r="AB895" s="203"/>
      <c r="AC895" s="69"/>
      <c r="AD895" s="69"/>
      <c r="AE895" s="203"/>
      <c r="AF895" s="69"/>
      <c r="AG895" s="69"/>
      <c r="AH895" s="69"/>
      <c r="AI895" s="69"/>
      <c r="AJ895" s="69"/>
      <c r="AK895" s="69"/>
      <c r="AL895" s="69"/>
      <c r="AM895" s="69"/>
      <c r="AN895" s="69"/>
      <c r="AO895" s="69"/>
      <c r="AP895" s="69"/>
      <c r="AQ895" s="69"/>
      <c r="AR895" s="69"/>
      <c r="AS895" s="69"/>
      <c r="AT895" s="69"/>
      <c r="AU895" s="69"/>
      <c r="AV895" s="69"/>
      <c r="AW895" s="69"/>
      <c r="AX895" s="69"/>
      <c r="AY895" s="69"/>
      <c r="AZ895" s="69"/>
      <c r="BA895" s="69"/>
      <c r="BB895" s="69"/>
      <c r="BC895" s="69"/>
      <c r="BD895" s="69"/>
      <c r="BE895" s="69"/>
      <c r="BF895" s="69"/>
      <c r="BG895" s="69"/>
      <c r="BH895" s="69"/>
      <c r="BI895" s="69"/>
      <c r="BJ895" s="69"/>
      <c r="BK895" s="69"/>
      <c r="BL895" s="69"/>
      <c r="BM895" s="69"/>
      <c r="BN895" s="69"/>
      <c r="BO895" s="69"/>
      <c r="BP895" s="69"/>
      <c r="BQ895" s="69"/>
      <c r="BR895" s="69"/>
      <c r="BS895" s="69"/>
      <c r="BT895" s="69"/>
      <c r="BU895" s="69"/>
      <c r="BV895" s="69"/>
      <c r="BW895" s="69"/>
      <c r="BX895" s="69"/>
      <c r="BY895" s="69"/>
      <c r="BZ895" s="69"/>
      <c r="CA895" s="69"/>
      <c r="CB895" s="69"/>
      <c r="CC895" s="69"/>
      <c r="CD895" s="69"/>
      <c r="CE895" s="69"/>
      <c r="CF895" s="69"/>
      <c r="CG895" s="69"/>
      <c r="CH895" s="69"/>
      <c r="CI895" s="69"/>
      <c r="CJ895" s="69"/>
      <c r="CK895" s="69"/>
      <c r="CL895" s="69"/>
      <c r="CM895" s="69"/>
      <c r="CN895" s="69"/>
      <c r="CO895" s="69"/>
      <c r="CP895" s="69"/>
      <c r="CQ895" s="69"/>
      <c r="CR895" s="69"/>
      <c r="CS895" s="69"/>
      <c r="CT895" s="69"/>
      <c r="CU895" s="69"/>
      <c r="CV895" s="69"/>
      <c r="CW895" s="69"/>
      <c r="CX895" s="69"/>
      <c r="CY895" s="69"/>
      <c r="CZ895" s="69"/>
      <c r="DA895" s="69"/>
      <c r="DB895" s="69"/>
      <c r="DC895" s="69"/>
      <c r="DD895" s="69"/>
      <c r="DE895" s="69"/>
      <c r="DF895" s="69"/>
      <c r="DG895" s="69"/>
      <c r="DH895" s="69"/>
      <c r="DI895" s="69"/>
      <c r="DJ895" s="69"/>
      <c r="DK895" s="69"/>
      <c r="DL895" s="69"/>
    </row>
    <row r="896" spans="1:116" ht="13" x14ac:dyDescent="0.3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202"/>
      <c r="V896" s="69"/>
      <c r="W896" s="69"/>
      <c r="X896" s="69"/>
      <c r="Y896" s="69"/>
      <c r="Z896" s="69"/>
      <c r="AA896" s="69"/>
      <c r="AB896" s="203"/>
      <c r="AC896" s="69"/>
      <c r="AD896" s="69"/>
      <c r="AE896" s="203"/>
      <c r="AF896" s="69"/>
      <c r="AG896" s="69"/>
      <c r="AH896" s="69"/>
      <c r="AI896" s="69"/>
      <c r="AJ896" s="69"/>
      <c r="AK896" s="69"/>
      <c r="AL896" s="69"/>
      <c r="AM896" s="69"/>
      <c r="AN896" s="69"/>
      <c r="AO896" s="69"/>
      <c r="AP896" s="69"/>
      <c r="AQ896" s="69"/>
      <c r="AR896" s="69"/>
      <c r="AS896" s="69"/>
      <c r="AT896" s="69"/>
      <c r="AU896" s="69"/>
      <c r="AV896" s="69"/>
      <c r="AW896" s="69"/>
      <c r="AX896" s="69"/>
      <c r="AY896" s="69"/>
      <c r="AZ896" s="69"/>
      <c r="BA896" s="69"/>
      <c r="BB896" s="69"/>
      <c r="BC896" s="69"/>
      <c r="BD896" s="69"/>
      <c r="BE896" s="69"/>
      <c r="BF896" s="69"/>
      <c r="BG896" s="69"/>
      <c r="BH896" s="69"/>
      <c r="BI896" s="69"/>
      <c r="BJ896" s="69"/>
      <c r="BK896" s="69"/>
      <c r="BL896" s="69"/>
      <c r="BM896" s="69"/>
      <c r="BN896" s="69"/>
      <c r="BO896" s="69"/>
      <c r="BP896" s="69"/>
      <c r="BQ896" s="69"/>
      <c r="BR896" s="69"/>
      <c r="BS896" s="69"/>
      <c r="BT896" s="69"/>
      <c r="BU896" s="69"/>
      <c r="BV896" s="69"/>
      <c r="BW896" s="69"/>
      <c r="BX896" s="69"/>
      <c r="BY896" s="69"/>
      <c r="BZ896" s="69"/>
      <c r="CA896" s="69"/>
      <c r="CB896" s="69"/>
      <c r="CC896" s="69"/>
      <c r="CD896" s="69"/>
      <c r="CE896" s="69"/>
      <c r="CF896" s="69"/>
      <c r="CG896" s="69"/>
      <c r="CH896" s="69"/>
      <c r="CI896" s="69"/>
      <c r="CJ896" s="69"/>
      <c r="CK896" s="69"/>
      <c r="CL896" s="69"/>
      <c r="CM896" s="69"/>
      <c r="CN896" s="69"/>
      <c r="CO896" s="69"/>
      <c r="CP896" s="69"/>
      <c r="CQ896" s="69"/>
      <c r="CR896" s="69"/>
      <c r="CS896" s="69"/>
      <c r="CT896" s="69"/>
      <c r="CU896" s="69"/>
      <c r="CV896" s="69"/>
      <c r="CW896" s="69"/>
      <c r="CX896" s="69"/>
      <c r="CY896" s="69"/>
      <c r="CZ896" s="69"/>
      <c r="DA896" s="69"/>
      <c r="DB896" s="69"/>
      <c r="DC896" s="69"/>
      <c r="DD896" s="69"/>
      <c r="DE896" s="69"/>
      <c r="DF896" s="69"/>
      <c r="DG896" s="69"/>
      <c r="DH896" s="69"/>
      <c r="DI896" s="69"/>
      <c r="DJ896" s="69"/>
      <c r="DK896" s="69"/>
      <c r="DL896" s="69"/>
    </row>
    <row r="897" spans="1:116" ht="13" x14ac:dyDescent="0.3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202"/>
      <c r="V897" s="69"/>
      <c r="W897" s="69"/>
      <c r="X897" s="69"/>
      <c r="Y897" s="69"/>
      <c r="Z897" s="69"/>
      <c r="AA897" s="69"/>
      <c r="AB897" s="203"/>
      <c r="AC897" s="69"/>
      <c r="AD897" s="69"/>
      <c r="AE897" s="203"/>
      <c r="AF897" s="69"/>
      <c r="AG897" s="69"/>
      <c r="AH897" s="69"/>
      <c r="AI897" s="69"/>
      <c r="AJ897" s="69"/>
      <c r="AK897" s="69"/>
      <c r="AL897" s="69"/>
      <c r="AM897" s="69"/>
      <c r="AN897" s="69"/>
      <c r="AO897" s="69"/>
      <c r="AP897" s="69"/>
      <c r="AQ897" s="69"/>
      <c r="AR897" s="69"/>
      <c r="AS897" s="69"/>
      <c r="AT897" s="69"/>
      <c r="AU897" s="69"/>
      <c r="AV897" s="69"/>
      <c r="AW897" s="69"/>
      <c r="AX897" s="69"/>
      <c r="AY897" s="69"/>
      <c r="AZ897" s="69"/>
      <c r="BA897" s="69"/>
      <c r="BB897" s="69"/>
      <c r="BC897" s="69"/>
      <c r="BD897" s="69"/>
      <c r="BE897" s="69"/>
      <c r="BF897" s="69"/>
      <c r="BG897" s="69"/>
      <c r="BH897" s="69"/>
      <c r="BI897" s="69"/>
      <c r="BJ897" s="69"/>
      <c r="BK897" s="69"/>
      <c r="BL897" s="69"/>
      <c r="BM897" s="69"/>
      <c r="BN897" s="69"/>
      <c r="BO897" s="69"/>
      <c r="BP897" s="69"/>
      <c r="BQ897" s="69"/>
      <c r="BR897" s="69"/>
      <c r="BS897" s="69"/>
      <c r="BT897" s="69"/>
      <c r="BU897" s="69"/>
      <c r="BV897" s="69"/>
      <c r="BW897" s="69"/>
      <c r="BX897" s="69"/>
      <c r="BY897" s="69"/>
      <c r="BZ897" s="69"/>
      <c r="CA897" s="69"/>
      <c r="CB897" s="69"/>
      <c r="CC897" s="69"/>
      <c r="CD897" s="69"/>
      <c r="CE897" s="69"/>
      <c r="CF897" s="69"/>
      <c r="CG897" s="69"/>
      <c r="CH897" s="69"/>
      <c r="CI897" s="69"/>
      <c r="CJ897" s="69"/>
      <c r="CK897" s="69"/>
      <c r="CL897" s="69"/>
      <c r="CM897" s="69"/>
      <c r="CN897" s="69"/>
      <c r="CO897" s="69"/>
      <c r="CP897" s="69"/>
      <c r="CQ897" s="69"/>
      <c r="CR897" s="69"/>
      <c r="CS897" s="69"/>
      <c r="CT897" s="69"/>
      <c r="CU897" s="69"/>
      <c r="CV897" s="69"/>
      <c r="CW897" s="69"/>
      <c r="CX897" s="69"/>
      <c r="CY897" s="69"/>
      <c r="CZ897" s="69"/>
      <c r="DA897" s="69"/>
      <c r="DB897" s="69"/>
      <c r="DC897" s="69"/>
      <c r="DD897" s="69"/>
      <c r="DE897" s="69"/>
      <c r="DF897" s="69"/>
      <c r="DG897" s="69"/>
      <c r="DH897" s="69"/>
      <c r="DI897" s="69"/>
      <c r="DJ897" s="69"/>
      <c r="DK897" s="69"/>
      <c r="DL897" s="69"/>
    </row>
    <row r="898" spans="1:116" ht="13" x14ac:dyDescent="0.3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202"/>
      <c r="V898" s="69"/>
      <c r="W898" s="69"/>
      <c r="X898" s="69"/>
      <c r="Y898" s="69"/>
      <c r="Z898" s="69"/>
      <c r="AA898" s="69"/>
      <c r="AB898" s="203"/>
      <c r="AC898" s="69"/>
      <c r="AD898" s="69"/>
      <c r="AE898" s="203"/>
      <c r="AF898" s="69"/>
      <c r="AG898" s="69"/>
      <c r="AH898" s="69"/>
      <c r="AI898" s="69"/>
      <c r="AJ898" s="69"/>
      <c r="AK898" s="69"/>
      <c r="AL898" s="69"/>
      <c r="AM898" s="69"/>
      <c r="AN898" s="69"/>
      <c r="AO898" s="69"/>
      <c r="AP898" s="69"/>
      <c r="AQ898" s="69"/>
      <c r="AR898" s="69"/>
      <c r="AS898" s="69"/>
      <c r="AT898" s="69"/>
      <c r="AU898" s="69"/>
      <c r="AV898" s="69"/>
      <c r="AW898" s="69"/>
      <c r="AX898" s="69"/>
      <c r="AY898" s="69"/>
      <c r="AZ898" s="69"/>
      <c r="BA898" s="69"/>
      <c r="BB898" s="69"/>
      <c r="BC898" s="69"/>
      <c r="BD898" s="69"/>
      <c r="BE898" s="69"/>
      <c r="BF898" s="69"/>
      <c r="BG898" s="69"/>
      <c r="BH898" s="69"/>
      <c r="BI898" s="69"/>
      <c r="BJ898" s="69"/>
      <c r="BK898" s="69"/>
      <c r="BL898" s="69"/>
      <c r="BM898" s="69"/>
      <c r="BN898" s="69"/>
      <c r="BO898" s="69"/>
      <c r="BP898" s="69"/>
      <c r="BQ898" s="69"/>
      <c r="BR898" s="69"/>
      <c r="BS898" s="69"/>
      <c r="BT898" s="69"/>
      <c r="BU898" s="69"/>
      <c r="BV898" s="69"/>
      <c r="BW898" s="69"/>
      <c r="BX898" s="69"/>
      <c r="BY898" s="69"/>
      <c r="BZ898" s="69"/>
      <c r="CA898" s="69"/>
      <c r="CB898" s="69"/>
      <c r="CC898" s="69"/>
      <c r="CD898" s="69"/>
      <c r="CE898" s="69"/>
      <c r="CF898" s="69"/>
      <c r="CG898" s="69"/>
      <c r="CH898" s="69"/>
      <c r="CI898" s="69"/>
      <c r="CJ898" s="69"/>
      <c r="CK898" s="69"/>
      <c r="CL898" s="69"/>
      <c r="CM898" s="69"/>
      <c r="CN898" s="69"/>
      <c r="CO898" s="69"/>
      <c r="CP898" s="69"/>
      <c r="CQ898" s="69"/>
      <c r="CR898" s="69"/>
      <c r="CS898" s="69"/>
      <c r="CT898" s="69"/>
      <c r="CU898" s="69"/>
      <c r="CV898" s="69"/>
      <c r="CW898" s="69"/>
      <c r="CX898" s="69"/>
      <c r="CY898" s="69"/>
      <c r="CZ898" s="69"/>
      <c r="DA898" s="69"/>
      <c r="DB898" s="69"/>
      <c r="DC898" s="69"/>
      <c r="DD898" s="69"/>
      <c r="DE898" s="69"/>
      <c r="DF898" s="69"/>
      <c r="DG898" s="69"/>
      <c r="DH898" s="69"/>
      <c r="DI898" s="69"/>
      <c r="DJ898" s="69"/>
      <c r="DK898" s="69"/>
      <c r="DL898" s="69"/>
    </row>
    <row r="899" spans="1:116" ht="13" x14ac:dyDescent="0.3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202"/>
      <c r="V899" s="69"/>
      <c r="W899" s="69"/>
      <c r="X899" s="69"/>
      <c r="Y899" s="69"/>
      <c r="Z899" s="69"/>
      <c r="AA899" s="69"/>
      <c r="AB899" s="203"/>
      <c r="AC899" s="69"/>
      <c r="AD899" s="69"/>
      <c r="AE899" s="203"/>
      <c r="AF899" s="69"/>
      <c r="AG899" s="69"/>
      <c r="AH899" s="69"/>
      <c r="AI899" s="69"/>
      <c r="AJ899" s="69"/>
      <c r="AK899" s="69"/>
      <c r="AL899" s="69"/>
      <c r="AM899" s="69"/>
      <c r="AN899" s="69"/>
      <c r="AO899" s="69"/>
      <c r="AP899" s="69"/>
      <c r="AQ899" s="69"/>
      <c r="AR899" s="69"/>
      <c r="AS899" s="69"/>
      <c r="AT899" s="69"/>
      <c r="AU899" s="69"/>
      <c r="AV899" s="69"/>
      <c r="AW899" s="69"/>
      <c r="AX899" s="69"/>
      <c r="AY899" s="69"/>
      <c r="AZ899" s="69"/>
      <c r="BA899" s="69"/>
      <c r="BB899" s="69"/>
      <c r="BC899" s="69"/>
      <c r="BD899" s="69"/>
      <c r="BE899" s="69"/>
      <c r="BF899" s="69"/>
      <c r="BG899" s="69"/>
      <c r="BH899" s="69"/>
      <c r="BI899" s="69"/>
      <c r="BJ899" s="69"/>
      <c r="BK899" s="69"/>
      <c r="BL899" s="69"/>
      <c r="BM899" s="69"/>
      <c r="BN899" s="69"/>
      <c r="BO899" s="69"/>
      <c r="BP899" s="69"/>
      <c r="BQ899" s="69"/>
      <c r="BR899" s="69"/>
      <c r="BS899" s="69"/>
      <c r="BT899" s="69"/>
      <c r="BU899" s="69"/>
      <c r="BV899" s="69"/>
      <c r="BW899" s="69"/>
      <c r="BX899" s="69"/>
      <c r="BY899" s="69"/>
      <c r="BZ899" s="69"/>
      <c r="CA899" s="69"/>
      <c r="CB899" s="69"/>
      <c r="CC899" s="69"/>
      <c r="CD899" s="69"/>
      <c r="CE899" s="69"/>
      <c r="CF899" s="69"/>
      <c r="CG899" s="69"/>
      <c r="CH899" s="69"/>
      <c r="CI899" s="69"/>
      <c r="CJ899" s="69"/>
      <c r="CK899" s="69"/>
      <c r="CL899" s="69"/>
      <c r="CM899" s="69"/>
      <c r="CN899" s="69"/>
      <c r="CO899" s="69"/>
      <c r="CP899" s="69"/>
      <c r="CQ899" s="69"/>
      <c r="CR899" s="69"/>
      <c r="CS899" s="69"/>
      <c r="CT899" s="69"/>
      <c r="CU899" s="69"/>
      <c r="CV899" s="69"/>
      <c r="CW899" s="69"/>
      <c r="CX899" s="69"/>
      <c r="CY899" s="69"/>
      <c r="CZ899" s="69"/>
      <c r="DA899" s="69"/>
      <c r="DB899" s="69"/>
      <c r="DC899" s="69"/>
      <c r="DD899" s="69"/>
      <c r="DE899" s="69"/>
      <c r="DF899" s="69"/>
      <c r="DG899" s="69"/>
      <c r="DH899" s="69"/>
      <c r="DI899" s="69"/>
      <c r="DJ899" s="69"/>
      <c r="DK899" s="69"/>
      <c r="DL899" s="69"/>
    </row>
    <row r="900" spans="1:116" ht="13" x14ac:dyDescent="0.3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202"/>
      <c r="V900" s="69"/>
      <c r="W900" s="69"/>
      <c r="X900" s="69"/>
      <c r="Y900" s="69"/>
      <c r="Z900" s="69"/>
      <c r="AA900" s="69"/>
      <c r="AB900" s="203"/>
      <c r="AC900" s="69"/>
      <c r="AD900" s="69"/>
      <c r="AE900" s="203"/>
      <c r="AF900" s="69"/>
      <c r="AG900" s="69"/>
      <c r="AH900" s="69"/>
      <c r="AI900" s="69"/>
      <c r="AJ900" s="69"/>
      <c r="AK900" s="69"/>
      <c r="AL900" s="69"/>
      <c r="AM900" s="69"/>
      <c r="AN900" s="69"/>
      <c r="AO900" s="69"/>
      <c r="AP900" s="69"/>
      <c r="AQ900" s="69"/>
      <c r="AR900" s="69"/>
      <c r="AS900" s="69"/>
      <c r="AT900" s="69"/>
      <c r="AU900" s="69"/>
      <c r="AV900" s="69"/>
      <c r="AW900" s="69"/>
      <c r="AX900" s="69"/>
      <c r="AY900" s="69"/>
      <c r="AZ900" s="69"/>
      <c r="BA900" s="69"/>
      <c r="BB900" s="69"/>
      <c r="BC900" s="69"/>
      <c r="BD900" s="69"/>
      <c r="BE900" s="69"/>
      <c r="BF900" s="69"/>
      <c r="BG900" s="69"/>
      <c r="BH900" s="69"/>
      <c r="BI900" s="69"/>
      <c r="BJ900" s="69"/>
      <c r="BK900" s="69"/>
      <c r="BL900" s="69"/>
      <c r="BM900" s="69"/>
      <c r="BN900" s="69"/>
      <c r="BO900" s="69"/>
      <c r="BP900" s="69"/>
      <c r="BQ900" s="69"/>
      <c r="BR900" s="69"/>
      <c r="BS900" s="69"/>
      <c r="BT900" s="69"/>
      <c r="BU900" s="69"/>
      <c r="BV900" s="69"/>
      <c r="BW900" s="69"/>
      <c r="BX900" s="69"/>
      <c r="BY900" s="69"/>
      <c r="BZ900" s="69"/>
      <c r="CA900" s="69"/>
      <c r="CB900" s="69"/>
      <c r="CC900" s="69"/>
      <c r="CD900" s="69"/>
      <c r="CE900" s="69"/>
      <c r="CF900" s="69"/>
      <c r="CG900" s="69"/>
      <c r="CH900" s="69"/>
      <c r="CI900" s="69"/>
      <c r="CJ900" s="69"/>
      <c r="CK900" s="69"/>
      <c r="CL900" s="69"/>
      <c r="CM900" s="69"/>
      <c r="CN900" s="69"/>
      <c r="CO900" s="69"/>
      <c r="CP900" s="69"/>
      <c r="CQ900" s="69"/>
      <c r="CR900" s="69"/>
      <c r="CS900" s="69"/>
      <c r="CT900" s="69"/>
      <c r="CU900" s="69"/>
      <c r="CV900" s="69"/>
      <c r="CW900" s="69"/>
      <c r="CX900" s="69"/>
      <c r="CY900" s="69"/>
      <c r="CZ900" s="69"/>
      <c r="DA900" s="69"/>
      <c r="DB900" s="69"/>
      <c r="DC900" s="69"/>
      <c r="DD900" s="69"/>
      <c r="DE900" s="69"/>
      <c r="DF900" s="69"/>
      <c r="DG900" s="69"/>
      <c r="DH900" s="69"/>
      <c r="DI900" s="69"/>
      <c r="DJ900" s="69"/>
      <c r="DK900" s="69"/>
      <c r="DL900" s="69"/>
    </row>
    <row r="901" spans="1:116" ht="13" x14ac:dyDescent="0.3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202"/>
      <c r="V901" s="69"/>
      <c r="W901" s="69"/>
      <c r="X901" s="69"/>
      <c r="Y901" s="69"/>
      <c r="Z901" s="69"/>
      <c r="AA901" s="69"/>
      <c r="AB901" s="203"/>
      <c r="AC901" s="69"/>
      <c r="AD901" s="69"/>
      <c r="AE901" s="203"/>
      <c r="AF901" s="69"/>
      <c r="AG901" s="69"/>
      <c r="AH901" s="69"/>
      <c r="AI901" s="69"/>
      <c r="AJ901" s="69"/>
      <c r="AK901" s="69"/>
      <c r="AL901" s="69"/>
      <c r="AM901" s="69"/>
      <c r="AN901" s="69"/>
      <c r="AO901" s="69"/>
      <c r="AP901" s="69"/>
      <c r="AQ901" s="69"/>
      <c r="AR901" s="69"/>
      <c r="AS901" s="69"/>
      <c r="AT901" s="69"/>
      <c r="AU901" s="69"/>
      <c r="AV901" s="69"/>
      <c r="AW901" s="69"/>
      <c r="AX901" s="69"/>
      <c r="AY901" s="69"/>
      <c r="AZ901" s="69"/>
      <c r="BA901" s="69"/>
      <c r="BB901" s="69"/>
      <c r="BC901" s="69"/>
      <c r="BD901" s="69"/>
      <c r="BE901" s="69"/>
      <c r="BF901" s="69"/>
      <c r="BG901" s="69"/>
      <c r="BH901" s="69"/>
      <c r="BI901" s="69"/>
      <c r="BJ901" s="69"/>
      <c r="BK901" s="69"/>
      <c r="BL901" s="69"/>
      <c r="BM901" s="69"/>
      <c r="BN901" s="69"/>
      <c r="BO901" s="69"/>
      <c r="BP901" s="69"/>
      <c r="BQ901" s="69"/>
      <c r="BR901" s="69"/>
      <c r="BS901" s="69"/>
      <c r="BT901" s="69"/>
      <c r="BU901" s="69"/>
      <c r="BV901" s="69"/>
      <c r="BW901" s="69"/>
      <c r="BX901" s="69"/>
      <c r="BY901" s="69"/>
      <c r="BZ901" s="69"/>
      <c r="CA901" s="69"/>
      <c r="CB901" s="69"/>
      <c r="CC901" s="69"/>
      <c r="CD901" s="69"/>
      <c r="CE901" s="69"/>
      <c r="CF901" s="69"/>
      <c r="CG901" s="69"/>
      <c r="CH901" s="69"/>
      <c r="CI901" s="69"/>
      <c r="CJ901" s="69"/>
      <c r="CK901" s="69"/>
      <c r="CL901" s="69"/>
      <c r="CM901" s="69"/>
      <c r="CN901" s="69"/>
      <c r="CO901" s="69"/>
      <c r="CP901" s="69"/>
      <c r="CQ901" s="69"/>
      <c r="CR901" s="69"/>
      <c r="CS901" s="69"/>
      <c r="CT901" s="69"/>
      <c r="CU901" s="69"/>
      <c r="CV901" s="69"/>
      <c r="CW901" s="69"/>
      <c r="CX901" s="69"/>
      <c r="CY901" s="69"/>
      <c r="CZ901" s="69"/>
      <c r="DA901" s="69"/>
      <c r="DB901" s="69"/>
      <c r="DC901" s="69"/>
      <c r="DD901" s="69"/>
      <c r="DE901" s="69"/>
      <c r="DF901" s="69"/>
      <c r="DG901" s="69"/>
      <c r="DH901" s="69"/>
      <c r="DI901" s="69"/>
      <c r="DJ901" s="69"/>
      <c r="DK901" s="69"/>
      <c r="DL901" s="69"/>
    </row>
    <row r="902" spans="1:116" ht="13" x14ac:dyDescent="0.3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202"/>
      <c r="V902" s="69"/>
      <c r="W902" s="69"/>
      <c r="X902" s="69"/>
      <c r="Y902" s="69"/>
      <c r="Z902" s="69"/>
      <c r="AA902" s="69"/>
      <c r="AB902" s="203"/>
      <c r="AC902" s="69"/>
      <c r="AD902" s="69"/>
      <c r="AE902" s="203"/>
      <c r="AF902" s="69"/>
      <c r="AG902" s="69"/>
      <c r="AH902" s="69"/>
      <c r="AI902" s="69"/>
      <c r="AJ902" s="69"/>
      <c r="AK902" s="69"/>
      <c r="AL902" s="69"/>
      <c r="AM902" s="69"/>
      <c r="AN902" s="69"/>
      <c r="AO902" s="69"/>
      <c r="AP902" s="69"/>
      <c r="AQ902" s="69"/>
      <c r="AR902" s="69"/>
      <c r="AS902" s="69"/>
      <c r="AT902" s="69"/>
      <c r="AU902" s="69"/>
      <c r="AV902" s="69"/>
      <c r="AW902" s="69"/>
      <c r="AX902" s="69"/>
      <c r="AY902" s="69"/>
      <c r="AZ902" s="69"/>
      <c r="BA902" s="69"/>
      <c r="BB902" s="69"/>
      <c r="BC902" s="69"/>
      <c r="BD902" s="69"/>
      <c r="BE902" s="69"/>
      <c r="BF902" s="69"/>
      <c r="BG902" s="69"/>
      <c r="BH902" s="69"/>
      <c r="BI902" s="69"/>
      <c r="BJ902" s="69"/>
      <c r="BK902" s="69"/>
      <c r="BL902" s="69"/>
      <c r="BM902" s="69"/>
      <c r="BN902" s="69"/>
      <c r="BO902" s="69"/>
      <c r="BP902" s="69"/>
      <c r="BQ902" s="69"/>
      <c r="BR902" s="69"/>
      <c r="BS902" s="69"/>
      <c r="BT902" s="69"/>
      <c r="BU902" s="69"/>
      <c r="BV902" s="69"/>
      <c r="BW902" s="69"/>
      <c r="BX902" s="69"/>
      <c r="BY902" s="69"/>
      <c r="BZ902" s="69"/>
      <c r="CA902" s="69"/>
      <c r="CB902" s="69"/>
      <c r="CC902" s="69"/>
      <c r="CD902" s="69"/>
      <c r="CE902" s="69"/>
      <c r="CF902" s="69"/>
      <c r="CG902" s="69"/>
      <c r="CH902" s="69"/>
      <c r="CI902" s="69"/>
      <c r="CJ902" s="69"/>
      <c r="CK902" s="69"/>
      <c r="CL902" s="69"/>
      <c r="CM902" s="69"/>
      <c r="CN902" s="69"/>
      <c r="CO902" s="69"/>
      <c r="CP902" s="69"/>
      <c r="CQ902" s="69"/>
      <c r="CR902" s="69"/>
      <c r="CS902" s="69"/>
      <c r="CT902" s="69"/>
      <c r="CU902" s="69"/>
      <c r="CV902" s="69"/>
      <c r="CW902" s="69"/>
      <c r="CX902" s="69"/>
      <c r="CY902" s="69"/>
      <c r="CZ902" s="69"/>
      <c r="DA902" s="69"/>
      <c r="DB902" s="69"/>
      <c r="DC902" s="69"/>
      <c r="DD902" s="69"/>
      <c r="DE902" s="69"/>
      <c r="DF902" s="69"/>
      <c r="DG902" s="69"/>
      <c r="DH902" s="69"/>
      <c r="DI902" s="69"/>
      <c r="DJ902" s="69"/>
      <c r="DK902" s="69"/>
      <c r="DL902" s="69"/>
    </row>
    <row r="903" spans="1:116" ht="13" x14ac:dyDescent="0.3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202"/>
      <c r="V903" s="69"/>
      <c r="W903" s="69"/>
      <c r="X903" s="69"/>
      <c r="Y903" s="69"/>
      <c r="Z903" s="69"/>
      <c r="AA903" s="69"/>
      <c r="AB903" s="203"/>
      <c r="AC903" s="69"/>
      <c r="AD903" s="69"/>
      <c r="AE903" s="203"/>
      <c r="AF903" s="69"/>
      <c r="AG903" s="69"/>
      <c r="AH903" s="69"/>
      <c r="AI903" s="69"/>
      <c r="AJ903" s="69"/>
      <c r="AK903" s="69"/>
      <c r="AL903" s="69"/>
      <c r="AM903" s="69"/>
      <c r="AN903" s="69"/>
      <c r="AO903" s="69"/>
      <c r="AP903" s="69"/>
      <c r="AQ903" s="69"/>
      <c r="AR903" s="69"/>
      <c r="AS903" s="69"/>
      <c r="AT903" s="69"/>
      <c r="AU903" s="69"/>
      <c r="AV903" s="69"/>
      <c r="AW903" s="69"/>
      <c r="AX903" s="69"/>
      <c r="AY903" s="69"/>
      <c r="AZ903" s="69"/>
      <c r="BA903" s="69"/>
      <c r="BB903" s="69"/>
      <c r="BC903" s="69"/>
      <c r="BD903" s="69"/>
      <c r="BE903" s="69"/>
      <c r="BF903" s="69"/>
      <c r="BG903" s="69"/>
      <c r="BH903" s="69"/>
      <c r="BI903" s="69"/>
      <c r="BJ903" s="69"/>
      <c r="BK903" s="69"/>
      <c r="BL903" s="69"/>
      <c r="BM903" s="69"/>
      <c r="BN903" s="69"/>
      <c r="BO903" s="69"/>
      <c r="BP903" s="69"/>
      <c r="BQ903" s="69"/>
      <c r="BR903" s="69"/>
      <c r="BS903" s="69"/>
      <c r="BT903" s="69"/>
      <c r="BU903" s="69"/>
      <c r="BV903" s="69"/>
      <c r="BW903" s="69"/>
      <c r="BX903" s="69"/>
      <c r="BY903" s="69"/>
      <c r="BZ903" s="69"/>
      <c r="CA903" s="69"/>
      <c r="CB903" s="69"/>
      <c r="CC903" s="69"/>
      <c r="CD903" s="69"/>
      <c r="CE903" s="69"/>
      <c r="CF903" s="69"/>
      <c r="CG903" s="69"/>
      <c r="CH903" s="69"/>
      <c r="CI903" s="69"/>
      <c r="CJ903" s="69"/>
      <c r="CK903" s="69"/>
      <c r="CL903" s="69"/>
      <c r="CM903" s="69"/>
      <c r="CN903" s="69"/>
      <c r="CO903" s="69"/>
      <c r="CP903" s="69"/>
      <c r="CQ903" s="69"/>
      <c r="CR903" s="69"/>
      <c r="CS903" s="69"/>
      <c r="CT903" s="69"/>
      <c r="CU903" s="69"/>
      <c r="CV903" s="69"/>
      <c r="CW903" s="69"/>
      <c r="CX903" s="69"/>
      <c r="CY903" s="69"/>
      <c r="CZ903" s="69"/>
      <c r="DA903" s="69"/>
      <c r="DB903" s="69"/>
      <c r="DC903" s="69"/>
      <c r="DD903" s="69"/>
      <c r="DE903" s="69"/>
      <c r="DF903" s="69"/>
      <c r="DG903" s="69"/>
      <c r="DH903" s="69"/>
      <c r="DI903" s="69"/>
      <c r="DJ903" s="69"/>
      <c r="DK903" s="69"/>
      <c r="DL903" s="69"/>
    </row>
    <row r="904" spans="1:116" ht="13" x14ac:dyDescent="0.3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202"/>
      <c r="V904" s="69"/>
      <c r="W904" s="69"/>
      <c r="X904" s="69"/>
      <c r="Y904" s="69"/>
      <c r="Z904" s="69"/>
      <c r="AA904" s="69"/>
      <c r="AB904" s="203"/>
      <c r="AC904" s="69"/>
      <c r="AD904" s="69"/>
      <c r="AE904" s="203"/>
      <c r="AF904" s="69"/>
      <c r="AG904" s="69"/>
      <c r="AH904" s="69"/>
      <c r="AI904" s="69"/>
      <c r="AJ904" s="69"/>
      <c r="AK904" s="69"/>
      <c r="AL904" s="69"/>
      <c r="AM904" s="69"/>
      <c r="AN904" s="69"/>
      <c r="AO904" s="69"/>
      <c r="AP904" s="69"/>
      <c r="AQ904" s="69"/>
      <c r="AR904" s="69"/>
      <c r="AS904" s="69"/>
      <c r="AT904" s="69"/>
      <c r="AU904" s="69"/>
      <c r="AV904" s="69"/>
      <c r="AW904" s="69"/>
      <c r="AX904" s="69"/>
      <c r="AY904" s="69"/>
      <c r="AZ904" s="69"/>
      <c r="BA904" s="69"/>
      <c r="BB904" s="69"/>
      <c r="BC904" s="69"/>
      <c r="BD904" s="69"/>
      <c r="BE904" s="69"/>
      <c r="BF904" s="69"/>
      <c r="BG904" s="69"/>
      <c r="BH904" s="69"/>
      <c r="BI904" s="69"/>
      <c r="BJ904" s="69"/>
      <c r="BK904" s="69"/>
      <c r="BL904" s="69"/>
      <c r="BM904" s="69"/>
      <c r="BN904" s="69"/>
      <c r="BO904" s="69"/>
      <c r="BP904" s="69"/>
      <c r="BQ904" s="69"/>
      <c r="BR904" s="69"/>
      <c r="BS904" s="69"/>
      <c r="BT904" s="69"/>
      <c r="BU904" s="69"/>
      <c r="BV904" s="69"/>
      <c r="BW904" s="69"/>
      <c r="BX904" s="69"/>
      <c r="BY904" s="69"/>
      <c r="BZ904" s="69"/>
      <c r="CA904" s="69"/>
      <c r="CB904" s="69"/>
      <c r="CC904" s="69"/>
      <c r="CD904" s="69"/>
      <c r="CE904" s="69"/>
      <c r="CF904" s="69"/>
      <c r="CG904" s="69"/>
      <c r="CH904" s="69"/>
      <c r="CI904" s="69"/>
      <c r="CJ904" s="69"/>
      <c r="CK904" s="69"/>
      <c r="CL904" s="69"/>
      <c r="CM904" s="69"/>
      <c r="CN904" s="69"/>
      <c r="CO904" s="69"/>
      <c r="CP904" s="69"/>
      <c r="CQ904" s="69"/>
      <c r="CR904" s="69"/>
      <c r="CS904" s="69"/>
      <c r="CT904" s="69"/>
      <c r="CU904" s="69"/>
      <c r="CV904" s="69"/>
      <c r="CW904" s="69"/>
      <c r="CX904" s="69"/>
      <c r="CY904" s="69"/>
      <c r="CZ904" s="69"/>
      <c r="DA904" s="69"/>
      <c r="DB904" s="69"/>
      <c r="DC904" s="69"/>
      <c r="DD904" s="69"/>
      <c r="DE904" s="69"/>
      <c r="DF904" s="69"/>
      <c r="DG904" s="69"/>
      <c r="DH904" s="69"/>
      <c r="DI904" s="69"/>
      <c r="DJ904" s="69"/>
      <c r="DK904" s="69"/>
      <c r="DL904" s="69"/>
    </row>
    <row r="905" spans="1:116" ht="13" x14ac:dyDescent="0.3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202"/>
      <c r="V905" s="69"/>
      <c r="W905" s="69"/>
      <c r="X905" s="69"/>
      <c r="Y905" s="69"/>
      <c r="Z905" s="69"/>
      <c r="AA905" s="69"/>
      <c r="AB905" s="203"/>
      <c r="AC905" s="69"/>
      <c r="AD905" s="69"/>
      <c r="AE905" s="203"/>
      <c r="AF905" s="69"/>
      <c r="AG905" s="69"/>
      <c r="AH905" s="69"/>
      <c r="AI905" s="69"/>
      <c r="AJ905" s="69"/>
      <c r="AK905" s="69"/>
      <c r="AL905" s="69"/>
      <c r="AM905" s="69"/>
      <c r="AN905" s="69"/>
      <c r="AO905" s="69"/>
      <c r="AP905" s="69"/>
      <c r="AQ905" s="69"/>
      <c r="AR905" s="69"/>
      <c r="AS905" s="69"/>
      <c r="AT905" s="69"/>
      <c r="AU905" s="69"/>
      <c r="AV905" s="69"/>
      <c r="AW905" s="69"/>
      <c r="AX905" s="69"/>
      <c r="AY905" s="69"/>
      <c r="AZ905" s="69"/>
      <c r="BA905" s="69"/>
      <c r="BB905" s="69"/>
      <c r="BC905" s="69"/>
      <c r="BD905" s="69"/>
      <c r="BE905" s="69"/>
      <c r="BF905" s="69"/>
      <c r="BG905" s="69"/>
      <c r="BH905" s="69"/>
      <c r="BI905" s="69"/>
      <c r="BJ905" s="69"/>
      <c r="BK905" s="69"/>
      <c r="BL905" s="69"/>
      <c r="BM905" s="69"/>
      <c r="BN905" s="69"/>
      <c r="BO905" s="69"/>
      <c r="BP905" s="69"/>
      <c r="BQ905" s="69"/>
      <c r="BR905" s="69"/>
      <c r="BS905" s="69"/>
      <c r="BT905" s="69"/>
      <c r="BU905" s="69"/>
      <c r="BV905" s="69"/>
      <c r="BW905" s="69"/>
      <c r="BX905" s="69"/>
      <c r="BY905" s="69"/>
      <c r="BZ905" s="69"/>
      <c r="CA905" s="69"/>
      <c r="CB905" s="69"/>
      <c r="CC905" s="69"/>
      <c r="CD905" s="69"/>
      <c r="CE905" s="69"/>
      <c r="CF905" s="69"/>
      <c r="CG905" s="69"/>
      <c r="CH905" s="69"/>
      <c r="CI905" s="69"/>
      <c r="CJ905" s="69"/>
      <c r="CK905" s="69"/>
      <c r="CL905" s="69"/>
      <c r="CM905" s="69"/>
      <c r="CN905" s="69"/>
      <c r="CO905" s="69"/>
      <c r="CP905" s="69"/>
      <c r="CQ905" s="69"/>
      <c r="CR905" s="69"/>
      <c r="CS905" s="69"/>
      <c r="CT905" s="69"/>
      <c r="CU905" s="69"/>
      <c r="CV905" s="69"/>
      <c r="CW905" s="69"/>
      <c r="CX905" s="69"/>
      <c r="CY905" s="69"/>
      <c r="CZ905" s="69"/>
      <c r="DA905" s="69"/>
      <c r="DB905" s="69"/>
      <c r="DC905" s="69"/>
      <c r="DD905" s="69"/>
      <c r="DE905" s="69"/>
      <c r="DF905" s="69"/>
      <c r="DG905" s="69"/>
      <c r="DH905" s="69"/>
      <c r="DI905" s="69"/>
      <c r="DJ905" s="69"/>
      <c r="DK905" s="69"/>
      <c r="DL905" s="69"/>
    </row>
    <row r="906" spans="1:116" ht="13" x14ac:dyDescent="0.3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202"/>
      <c r="V906" s="69"/>
      <c r="W906" s="69"/>
      <c r="X906" s="69"/>
      <c r="Y906" s="69"/>
      <c r="Z906" s="69"/>
      <c r="AA906" s="69"/>
      <c r="AB906" s="203"/>
      <c r="AC906" s="69"/>
      <c r="AD906" s="69"/>
      <c r="AE906" s="203"/>
      <c r="AF906" s="69"/>
      <c r="AG906" s="69"/>
      <c r="AH906" s="69"/>
      <c r="AI906" s="69"/>
      <c r="AJ906" s="69"/>
      <c r="AK906" s="69"/>
      <c r="AL906" s="69"/>
      <c r="AM906" s="69"/>
      <c r="AN906" s="69"/>
      <c r="AO906" s="69"/>
      <c r="AP906" s="69"/>
      <c r="AQ906" s="69"/>
      <c r="AR906" s="69"/>
      <c r="AS906" s="69"/>
      <c r="AT906" s="69"/>
      <c r="AU906" s="69"/>
      <c r="AV906" s="69"/>
      <c r="AW906" s="69"/>
      <c r="AX906" s="69"/>
      <c r="AY906" s="69"/>
      <c r="AZ906" s="69"/>
      <c r="BA906" s="69"/>
      <c r="BB906" s="69"/>
      <c r="BC906" s="69"/>
      <c r="BD906" s="69"/>
      <c r="BE906" s="69"/>
      <c r="BF906" s="69"/>
      <c r="BG906" s="69"/>
      <c r="BH906" s="69"/>
      <c r="BI906" s="69"/>
      <c r="BJ906" s="69"/>
      <c r="BK906" s="69"/>
      <c r="BL906" s="69"/>
      <c r="BM906" s="69"/>
      <c r="BN906" s="69"/>
      <c r="BO906" s="69"/>
      <c r="BP906" s="69"/>
      <c r="BQ906" s="69"/>
      <c r="BR906" s="69"/>
      <c r="BS906" s="69"/>
      <c r="BT906" s="69"/>
      <c r="BU906" s="69"/>
      <c r="BV906" s="69"/>
      <c r="BW906" s="69"/>
      <c r="BX906" s="69"/>
      <c r="BY906" s="69"/>
      <c r="BZ906" s="69"/>
      <c r="CA906" s="69"/>
      <c r="CB906" s="69"/>
      <c r="CC906" s="69"/>
      <c r="CD906" s="69"/>
      <c r="CE906" s="69"/>
      <c r="CF906" s="69"/>
      <c r="CG906" s="69"/>
      <c r="CH906" s="69"/>
      <c r="CI906" s="69"/>
      <c r="CJ906" s="69"/>
      <c r="CK906" s="69"/>
      <c r="CL906" s="69"/>
      <c r="CM906" s="69"/>
      <c r="CN906" s="69"/>
      <c r="CO906" s="69"/>
      <c r="CP906" s="69"/>
      <c r="CQ906" s="69"/>
      <c r="CR906" s="69"/>
      <c r="CS906" s="69"/>
      <c r="CT906" s="69"/>
      <c r="CU906" s="69"/>
      <c r="CV906" s="69"/>
      <c r="CW906" s="69"/>
      <c r="CX906" s="69"/>
      <c r="CY906" s="69"/>
      <c r="CZ906" s="69"/>
      <c r="DA906" s="69"/>
      <c r="DB906" s="69"/>
      <c r="DC906" s="69"/>
      <c r="DD906" s="69"/>
      <c r="DE906" s="69"/>
      <c r="DF906" s="69"/>
      <c r="DG906" s="69"/>
      <c r="DH906" s="69"/>
      <c r="DI906" s="69"/>
      <c r="DJ906" s="69"/>
      <c r="DK906" s="69"/>
      <c r="DL906" s="69"/>
    </row>
    <row r="907" spans="1:116" ht="13" x14ac:dyDescent="0.3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202"/>
      <c r="V907" s="69"/>
      <c r="W907" s="69"/>
      <c r="X907" s="69"/>
      <c r="Y907" s="69"/>
      <c r="Z907" s="69"/>
      <c r="AA907" s="69"/>
      <c r="AB907" s="203"/>
      <c r="AC907" s="69"/>
      <c r="AD907" s="69"/>
      <c r="AE907" s="203"/>
      <c r="AF907" s="69"/>
      <c r="AG907" s="69"/>
      <c r="AH907" s="69"/>
      <c r="AI907" s="69"/>
      <c r="AJ907" s="69"/>
      <c r="AK907" s="69"/>
      <c r="AL907" s="69"/>
      <c r="AM907" s="69"/>
      <c r="AN907" s="69"/>
      <c r="AO907" s="69"/>
      <c r="AP907" s="69"/>
      <c r="AQ907" s="69"/>
      <c r="AR907" s="69"/>
      <c r="AS907" s="69"/>
      <c r="AT907" s="69"/>
      <c r="AU907" s="69"/>
      <c r="AV907" s="69"/>
      <c r="AW907" s="69"/>
      <c r="AX907" s="69"/>
      <c r="AY907" s="69"/>
      <c r="AZ907" s="69"/>
      <c r="BA907" s="69"/>
      <c r="BB907" s="69"/>
      <c r="BC907" s="69"/>
      <c r="BD907" s="69"/>
      <c r="BE907" s="69"/>
      <c r="BF907" s="69"/>
      <c r="BG907" s="69"/>
      <c r="BH907" s="69"/>
      <c r="BI907" s="69"/>
      <c r="BJ907" s="69"/>
      <c r="BK907" s="69"/>
      <c r="BL907" s="69"/>
      <c r="BM907" s="69"/>
      <c r="BN907" s="69"/>
      <c r="BO907" s="69"/>
      <c r="BP907" s="69"/>
      <c r="BQ907" s="69"/>
      <c r="BR907" s="69"/>
      <c r="BS907" s="69"/>
      <c r="BT907" s="69"/>
      <c r="BU907" s="69"/>
      <c r="BV907" s="69"/>
      <c r="BW907" s="69"/>
      <c r="BX907" s="69"/>
      <c r="BY907" s="69"/>
      <c r="BZ907" s="69"/>
      <c r="CA907" s="69"/>
      <c r="CB907" s="69"/>
      <c r="CC907" s="69"/>
      <c r="CD907" s="69"/>
      <c r="CE907" s="69"/>
      <c r="CF907" s="69"/>
      <c r="CG907" s="69"/>
      <c r="CH907" s="69"/>
      <c r="CI907" s="69"/>
      <c r="CJ907" s="69"/>
      <c r="CK907" s="69"/>
      <c r="CL907" s="69"/>
      <c r="CM907" s="69"/>
      <c r="CN907" s="69"/>
      <c r="CO907" s="69"/>
      <c r="CP907" s="69"/>
      <c r="CQ907" s="69"/>
      <c r="CR907" s="69"/>
      <c r="CS907" s="69"/>
      <c r="CT907" s="69"/>
      <c r="CU907" s="69"/>
      <c r="CV907" s="69"/>
      <c r="CW907" s="69"/>
      <c r="CX907" s="69"/>
      <c r="CY907" s="69"/>
      <c r="CZ907" s="69"/>
      <c r="DA907" s="69"/>
      <c r="DB907" s="69"/>
      <c r="DC907" s="69"/>
      <c r="DD907" s="69"/>
      <c r="DE907" s="69"/>
      <c r="DF907" s="69"/>
      <c r="DG907" s="69"/>
      <c r="DH907" s="69"/>
      <c r="DI907" s="69"/>
      <c r="DJ907" s="69"/>
      <c r="DK907" s="69"/>
      <c r="DL907" s="69"/>
    </row>
    <row r="908" spans="1:116" ht="13" x14ac:dyDescent="0.3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202"/>
      <c r="V908" s="69"/>
      <c r="W908" s="69"/>
      <c r="X908" s="69"/>
      <c r="Y908" s="69"/>
      <c r="Z908" s="69"/>
      <c r="AA908" s="69"/>
      <c r="AB908" s="203"/>
      <c r="AC908" s="69"/>
      <c r="AD908" s="69"/>
      <c r="AE908" s="203"/>
      <c r="AF908" s="69"/>
      <c r="AG908" s="69"/>
      <c r="AH908" s="69"/>
      <c r="AI908" s="69"/>
      <c r="AJ908" s="69"/>
      <c r="AK908" s="69"/>
      <c r="AL908" s="69"/>
      <c r="AM908" s="69"/>
      <c r="AN908" s="69"/>
      <c r="AO908" s="69"/>
      <c r="AP908" s="69"/>
      <c r="AQ908" s="69"/>
      <c r="AR908" s="69"/>
      <c r="AS908" s="69"/>
      <c r="AT908" s="69"/>
      <c r="AU908" s="69"/>
      <c r="AV908" s="69"/>
      <c r="AW908" s="69"/>
      <c r="AX908" s="69"/>
      <c r="AY908" s="69"/>
      <c r="AZ908" s="69"/>
      <c r="BA908" s="69"/>
      <c r="BB908" s="69"/>
      <c r="BC908" s="69"/>
      <c r="BD908" s="69"/>
      <c r="BE908" s="69"/>
      <c r="BF908" s="69"/>
      <c r="BG908" s="69"/>
      <c r="BH908" s="69"/>
      <c r="BI908" s="69"/>
      <c r="BJ908" s="69"/>
      <c r="BK908" s="69"/>
      <c r="BL908" s="69"/>
      <c r="BM908" s="69"/>
      <c r="BN908" s="69"/>
      <c r="BO908" s="69"/>
      <c r="BP908" s="69"/>
      <c r="BQ908" s="69"/>
      <c r="BR908" s="69"/>
      <c r="BS908" s="69"/>
      <c r="BT908" s="69"/>
      <c r="BU908" s="69"/>
      <c r="BV908" s="69"/>
      <c r="BW908" s="69"/>
      <c r="BX908" s="69"/>
      <c r="BY908" s="69"/>
      <c r="BZ908" s="69"/>
      <c r="CA908" s="69"/>
      <c r="CB908" s="69"/>
      <c r="CC908" s="69"/>
      <c r="CD908" s="69"/>
      <c r="CE908" s="69"/>
      <c r="CF908" s="69"/>
      <c r="CG908" s="69"/>
      <c r="CH908" s="69"/>
      <c r="CI908" s="69"/>
      <c r="CJ908" s="69"/>
      <c r="CK908" s="69"/>
      <c r="CL908" s="69"/>
      <c r="CM908" s="69"/>
      <c r="CN908" s="69"/>
      <c r="CO908" s="69"/>
      <c r="CP908" s="69"/>
      <c r="CQ908" s="69"/>
      <c r="CR908" s="69"/>
      <c r="CS908" s="69"/>
      <c r="CT908" s="69"/>
      <c r="CU908" s="69"/>
      <c r="CV908" s="69"/>
      <c r="CW908" s="69"/>
      <c r="CX908" s="69"/>
      <c r="CY908" s="69"/>
      <c r="CZ908" s="69"/>
      <c r="DA908" s="69"/>
      <c r="DB908" s="69"/>
      <c r="DC908" s="69"/>
      <c r="DD908" s="69"/>
      <c r="DE908" s="69"/>
      <c r="DF908" s="69"/>
      <c r="DG908" s="69"/>
      <c r="DH908" s="69"/>
      <c r="DI908" s="69"/>
      <c r="DJ908" s="69"/>
      <c r="DK908" s="69"/>
      <c r="DL908" s="69"/>
    </row>
    <row r="909" spans="1:116" ht="13" x14ac:dyDescent="0.3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202"/>
      <c r="V909" s="69"/>
      <c r="W909" s="69"/>
      <c r="X909" s="69"/>
      <c r="Y909" s="69"/>
      <c r="Z909" s="69"/>
      <c r="AA909" s="69"/>
      <c r="AB909" s="203"/>
      <c r="AC909" s="69"/>
      <c r="AD909" s="69"/>
      <c r="AE909" s="203"/>
      <c r="AF909" s="69"/>
      <c r="AG909" s="69"/>
      <c r="AH909" s="69"/>
      <c r="AI909" s="69"/>
      <c r="AJ909" s="69"/>
      <c r="AK909" s="69"/>
      <c r="AL909" s="69"/>
      <c r="AM909" s="69"/>
      <c r="AN909" s="69"/>
      <c r="AO909" s="69"/>
      <c r="AP909" s="69"/>
      <c r="AQ909" s="69"/>
      <c r="AR909" s="69"/>
      <c r="AS909" s="69"/>
      <c r="AT909" s="69"/>
      <c r="AU909" s="69"/>
      <c r="AV909" s="69"/>
      <c r="AW909" s="69"/>
      <c r="AX909" s="69"/>
      <c r="AY909" s="69"/>
      <c r="AZ909" s="69"/>
      <c r="BA909" s="69"/>
      <c r="BB909" s="69"/>
      <c r="BC909" s="69"/>
      <c r="BD909" s="69"/>
      <c r="BE909" s="69"/>
      <c r="BF909" s="69"/>
      <c r="BG909" s="69"/>
      <c r="BH909" s="69"/>
      <c r="BI909" s="69"/>
      <c r="BJ909" s="69"/>
      <c r="BK909" s="69"/>
      <c r="BL909" s="69"/>
      <c r="BM909" s="69"/>
      <c r="BN909" s="69"/>
      <c r="BO909" s="69"/>
      <c r="BP909" s="69"/>
      <c r="BQ909" s="69"/>
      <c r="BR909" s="69"/>
      <c r="BS909" s="69"/>
      <c r="BT909" s="69"/>
      <c r="BU909" s="69"/>
      <c r="BV909" s="69"/>
      <c r="BW909" s="69"/>
      <c r="BX909" s="69"/>
      <c r="BY909" s="69"/>
      <c r="BZ909" s="69"/>
      <c r="CA909" s="69"/>
      <c r="CB909" s="69"/>
      <c r="CC909" s="69"/>
      <c r="CD909" s="69"/>
      <c r="CE909" s="69"/>
      <c r="CF909" s="69"/>
      <c r="CG909" s="69"/>
      <c r="CH909" s="69"/>
      <c r="CI909" s="69"/>
      <c r="CJ909" s="69"/>
      <c r="CK909" s="69"/>
      <c r="CL909" s="69"/>
      <c r="CM909" s="69"/>
      <c r="CN909" s="69"/>
      <c r="CO909" s="69"/>
      <c r="CP909" s="69"/>
      <c r="CQ909" s="69"/>
      <c r="CR909" s="69"/>
      <c r="CS909" s="69"/>
      <c r="CT909" s="69"/>
      <c r="CU909" s="69"/>
      <c r="CV909" s="69"/>
      <c r="CW909" s="69"/>
      <c r="CX909" s="69"/>
      <c r="CY909" s="69"/>
      <c r="CZ909" s="69"/>
      <c r="DA909" s="69"/>
      <c r="DB909" s="69"/>
      <c r="DC909" s="69"/>
      <c r="DD909" s="69"/>
      <c r="DE909" s="69"/>
      <c r="DF909" s="69"/>
      <c r="DG909" s="69"/>
      <c r="DH909" s="69"/>
      <c r="DI909" s="69"/>
      <c r="DJ909" s="69"/>
      <c r="DK909" s="69"/>
      <c r="DL909" s="69"/>
    </row>
  </sheetData>
  <customSheetViews>
    <customSheetView guid="{0C626147-B584-405E-8B62-063628F20D91}" filter="1" showAutoFilter="1">
      <pageMargins left="0.7" right="0.7" top="0.75" bottom="0.75" header="0.3" footer="0.3"/>
      <autoFilter ref="A2:T46" xr:uid="{040A713F-4446-492A-AD4F-C9BFF7DC3FE2}">
        <sortState xmlns:xlrd2="http://schemas.microsoft.com/office/spreadsheetml/2017/richdata2" ref="A2:T46">
          <sortCondition ref="B2:B46"/>
          <sortCondition ref="C2:C46"/>
        </sortState>
      </autoFilter>
    </customSheetView>
    <customSheetView guid="{0188C7FA-630B-4202-9327-98C030FB5DD7}" filter="1" showAutoFilter="1">
      <pageMargins left="0.7" right="0.7" top="0.75" bottom="0.75" header="0.3" footer="0.3"/>
      <autoFilter ref="J12" xr:uid="{B5E0D921-5A1A-4E9B-AD8F-F1D2A04E325F}"/>
    </customSheetView>
    <customSheetView guid="{CCDAAEC9-5E52-41C0-BA93-8179434B2BF0}" filter="1" showAutoFilter="1">
      <pageMargins left="0.7" right="0.7" top="0.75" bottom="0.75" header="0.3" footer="0.3"/>
      <autoFilter ref="J12" xr:uid="{0CC06E4F-E886-43E1-8875-9BC246B1B582}"/>
    </customSheetView>
    <customSheetView guid="{3D4C743E-364D-4013-81A5-DD1AE98A05CF}" filter="1" showAutoFilter="1">
      <pageMargins left="0.7" right="0.7" top="0.75" bottom="0.75" header="0.3" footer="0.3"/>
      <autoFilter ref="J12" xr:uid="{BA11F06A-8A58-4655-AE42-A0923D8693CF}"/>
    </customSheetView>
    <customSheetView guid="{E34C1E98-BF8F-48F0-8592-B0F842BF3F1B}" filter="1" showAutoFilter="1">
      <pageMargins left="0.7" right="0.7" top="0.75" bottom="0.75" header="0.3" footer="0.3"/>
      <autoFilter ref="J12" xr:uid="{59E03605-E556-4306-941F-C0F695AFAA88}"/>
    </customSheetView>
    <customSheetView guid="{F266F009-6E59-4F00-8FD6-E5509E5EF82C}" filter="1" showAutoFilter="1">
      <pageMargins left="0.7" right="0.7" top="0.75" bottom="0.75" header="0.3" footer="0.3"/>
      <autoFilter ref="J12" xr:uid="{70B0811F-C759-49EE-8EE0-E828264AF11D}"/>
    </customSheetView>
    <customSheetView guid="{4AA298B7-3454-4A80-8CC0-5C3E7639506A}" filter="1" showAutoFilter="1">
      <pageMargins left="0.7" right="0.7" top="0.75" bottom="0.75" header="0.3" footer="0.3"/>
      <autoFilter ref="A1:AO46" xr:uid="{2FCA9EF8-B8CF-425F-A96D-EFDA3960DB0D}">
        <filterColumn colId="2">
          <filters>
            <filter val="Kepulauan Seribu"/>
          </filters>
        </filterColumn>
      </autoFilter>
    </customSheetView>
    <customSheetView guid="{9BA0A42B-29A5-4E66-AD0C-2D4200B2A11F}" filter="1" showAutoFilter="1">
      <pageMargins left="0.7" right="0.7" top="0.75" bottom="0.75" header="0.3" footer="0.3"/>
      <autoFilter ref="A1:AO46" xr:uid="{E08AB081-7469-420E-9639-B13729B9E4FB}"/>
    </customSheetView>
    <customSheetView guid="{A112F862-CC11-48FB-9D5D-3FE00F420529}" filter="1" showAutoFilter="1">
      <pageMargins left="0.7" right="0.7" top="0.75" bottom="0.75" header="0.3" footer="0.3"/>
      <autoFilter ref="BP12" xr:uid="{978C013B-BC92-4CB4-8BD4-966EF6FB7FF9}"/>
    </customSheetView>
    <customSheetView guid="{6C32A1BB-D02B-49D1-AF75-2CC5D563B8BB}" filter="1" showAutoFilter="1">
      <pageMargins left="0.7" right="0.7" top="0.75" bottom="0.75" header="0.3" footer="0.3"/>
      <autoFilter ref="BP12" xr:uid="{495647D5-1121-4EB7-B6D3-36F7AF5022E2}"/>
    </customSheetView>
    <customSheetView guid="{2619FBBE-D70C-44F0-921E-381CF3AE3296}" filter="1" showAutoFilter="1">
      <pageMargins left="0.7" right="0.7" top="0.75" bottom="0.75" header="0.3" footer="0.3"/>
      <autoFilter ref="BP12" xr:uid="{E2F271A1-08D0-4BCA-BF8B-4010DAD35CC3}"/>
    </customSheetView>
    <customSheetView guid="{3B2C3F85-422F-4D00-883F-CC5481DC1A44}" filter="1" showAutoFilter="1">
      <pageMargins left="0.7" right="0.7" top="0.75" bottom="0.75" header="0.3" footer="0.3"/>
      <autoFilter ref="BP12" xr:uid="{4432EF39-0CD4-4D6E-AAC6-B4AFC15809CE}"/>
    </customSheetView>
    <customSheetView guid="{97A8FD5F-2D8D-4865-8972-7947B45CFEE6}" filter="1" showAutoFilter="1">
      <pageMargins left="0.7" right="0.7" top="0.75" bottom="0.75" header="0.3" footer="0.3"/>
      <autoFilter ref="BP12" xr:uid="{7B6D022B-EAAB-4822-A6D8-EF93602FFDF1}"/>
    </customSheetView>
    <customSheetView guid="{C6DA3175-0D08-411B-BF29-FECDC6B6BD3D}" filter="1" showAutoFilter="1">
      <pageMargins left="0.7" right="0.7" top="0.75" bottom="0.75" header="0.3" footer="0.3"/>
      <autoFilter ref="BP12" xr:uid="{0CE38AAF-16F1-40B0-9C8D-781EC1D6FF6C}"/>
    </customSheetView>
    <customSheetView guid="{9C48381A-CEEE-4CBF-8C41-8A3F70C254AB}" filter="1" showAutoFilter="1">
      <pageMargins left="0.7" right="0.7" top="0.75" bottom="0.75" header="0.3" footer="0.3"/>
      <autoFilter ref="BP12" xr:uid="{18652D19-DCCC-4472-A725-1C8D37E45C26}"/>
    </customSheetView>
    <customSheetView guid="{8506F3B5-894D-41C8-BAF2-5ADFC12BCB8E}" filter="1" showAutoFilter="1">
      <pageMargins left="0.7" right="0.7" top="0.75" bottom="0.75" header="0.3" footer="0.3"/>
      <autoFilter ref="A1:BD46" xr:uid="{9BBB59D8-8EA0-46DB-B759-875D6C45AF98}"/>
    </customSheetView>
    <customSheetView guid="{7252AE9A-53FC-424A-B12E-9945E1506D1F}" filter="1" showAutoFilter="1">
      <pageMargins left="0.7" right="0.7" top="0.75" bottom="0.75" header="0.3" footer="0.3"/>
      <autoFilter ref="A1:BD46" xr:uid="{677AE31B-F83C-45F8-96A3-20F34E025E20}"/>
    </customSheetView>
    <customSheetView guid="{8206B31A-669B-40AF-8BD9-97293907CE54}" filter="1" showAutoFilter="1">
      <pageMargins left="0.7" right="0.7" top="0.75" bottom="0.75" header="0.3" footer="0.3"/>
      <autoFilter ref="AU3:AU46" xr:uid="{431EBAA0-0E25-4E3C-AC59-05DFBDDA4FB7}"/>
    </customSheetView>
    <customSheetView guid="{21F8734D-F373-4610-B76E-38BA8B9164EF}" filter="1" showAutoFilter="1">
      <pageMargins left="0.7" right="0.7" top="0.75" bottom="0.75" header="0.3" footer="0.3"/>
      <autoFilter ref="AU3:AU46" xr:uid="{68BF5C24-7DE0-4B74-99F3-4BF9E1BEB16A}"/>
    </customSheetView>
    <customSheetView guid="{E3EA2A34-C7C0-421F-AD88-9822E0769090}" filter="1" showAutoFilter="1">
      <pageMargins left="0.7" right="0.7" top="0.75" bottom="0.75" header="0.3" footer="0.3"/>
      <autoFilter ref="AU3:AU46" xr:uid="{F56D355E-3804-42DD-BB65-9AC148A016CB}"/>
    </customSheetView>
    <customSheetView guid="{FC248515-DDC5-484D-86B0-261FEE361B86}" filter="1" showAutoFilter="1">
      <pageMargins left="0.7" right="0.7" top="0.75" bottom="0.75" header="0.3" footer="0.3"/>
      <autoFilter ref="C1:C909" xr:uid="{234778C2-D1EA-4AC7-B6D9-A0DF28416B02}"/>
    </customSheetView>
    <customSheetView guid="{62F3DB7F-3DDA-49FB-8E3C-9395EA200E9B}" filter="1" showAutoFilter="1">
      <pageMargins left="0.7" right="0.7" top="0.75" bottom="0.75" header="0.3" footer="0.3"/>
      <autoFilter ref="A2:AO46" xr:uid="{CFB6922E-C557-4501-AEAC-B3AAD218A0C3}">
        <filterColumn colId="2">
          <filters>
            <filter val="Kepulauan Seribu"/>
          </filters>
        </filterColumn>
        <sortState xmlns:xlrd2="http://schemas.microsoft.com/office/spreadsheetml/2017/richdata2" ref="A2:AO46">
          <sortCondition ref="B2:B46"/>
        </sortState>
      </autoFilter>
    </customSheetView>
    <customSheetView guid="{3F3717AC-4FBF-4503-A10F-C6C7B44BBDE8}" filter="1" showAutoFilter="1">
      <pageMargins left="0.7" right="0.7" top="0.75" bottom="0.75" header="0.3" footer="0.3"/>
      <autoFilter ref="A1:Z46" xr:uid="{D8D5B9ED-68E1-446F-A60E-425E0741B6CC}"/>
    </customSheetView>
    <customSheetView guid="{A5940F59-1F0B-4798-A441-6FE08BA5878F}" filter="1" showAutoFilter="1">
      <pageMargins left="0.7" right="0.7" top="0.75" bottom="0.75" header="0.3" footer="0.3"/>
      <autoFilter ref="A1:Z46" xr:uid="{170A933E-F64E-4AB1-B5C6-6BC324B84A7A}"/>
    </customSheetView>
    <customSheetView guid="{3F0289A1-7A10-4C39-9904-EB46E7F052D3}" filter="1" showAutoFilter="1">
      <pageMargins left="0.7" right="0.7" top="0.75" bottom="0.75" header="0.3" footer="0.3"/>
      <autoFilter ref="O3:O46" xr:uid="{E1E7A790-A503-46D6-9789-1696B81FDEFF}"/>
    </customSheetView>
    <customSheetView guid="{F87CDE8B-AF4A-4B91-9B5C-89993FC9E2EE}" filter="1" showAutoFilter="1">
      <pageMargins left="0.7" right="0.7" top="0.75" bottom="0.75" header="0.3" footer="0.3"/>
      <autoFilter ref="O3:O46" xr:uid="{B76D8E2C-C03F-4364-A549-637B0E6C725C}"/>
    </customSheetView>
    <customSheetView guid="{C7F658C4-A04E-4346-B9FE-A7FC1CCBCF37}" filter="1" showAutoFilter="1">
      <pageMargins left="0.7" right="0.7" top="0.75" bottom="0.75" header="0.3" footer="0.3"/>
      <autoFilter ref="A1:BJ46" xr:uid="{FF16467A-7AE4-47DC-BD44-D08D41D0B21F}"/>
    </customSheetView>
    <customSheetView guid="{0B3C611D-C8ED-4390-A159-FED589EABE22}" filter="1" showAutoFilter="1">
      <pageMargins left="0.7" right="0.7" top="0.75" bottom="0.75" header="0.3" footer="0.3"/>
      <autoFilter ref="A1:BJ46" xr:uid="{4F06FEBC-9E50-4C61-A53D-BF677DFC27AB}"/>
    </customSheetView>
    <customSheetView guid="{3872812F-42F8-43C7-918C-030D8E15D0A3}" filter="1" showAutoFilter="1">
      <pageMargins left="0.7" right="0.7" top="0.75" bottom="0.75" header="0.3" footer="0.3"/>
      <autoFilter ref="BB3:BB46" xr:uid="{65256725-F1C8-441C-8764-75AD4CE7670E}"/>
    </customSheetView>
    <customSheetView guid="{4C0A6829-C4B3-41FE-86B2-DAE77D13A002}" filter="1" showAutoFilter="1">
      <pageMargins left="0.7" right="0.7" top="0.75" bottom="0.75" header="0.3" footer="0.3"/>
      <autoFilter ref="BB3:BB46" xr:uid="{70FAD4A6-3B2E-4AA9-8636-A4F5481041B3}"/>
    </customSheetView>
    <customSheetView guid="{135565BF-01B7-46BC-978A-6E8DE491CEBB}" filter="1" showAutoFilter="1">
      <pageMargins left="0.7" right="0.7" top="0.75" bottom="0.75" header="0.3" footer="0.3"/>
      <autoFilter ref="A1:BP46" xr:uid="{18B9C17B-FD0D-44D7-A5C0-878F7066B79A}"/>
    </customSheetView>
    <customSheetView guid="{6796EAF1-782C-4D2E-AC42-52FD14B493A5}" filter="1" showAutoFilter="1">
      <pageMargins left="0.7" right="0.7" top="0.75" bottom="0.75" header="0.3" footer="0.3"/>
      <autoFilter ref="BT3:BT46" xr:uid="{CDBFF3FF-86C3-46D3-ABC3-755325F260CB}"/>
    </customSheetView>
    <customSheetView guid="{57A171F3-22B9-4996-8C6D-D7F0838F449C}" filter="1" showAutoFilter="1">
      <pageMargins left="0.7" right="0.7" top="0.75" bottom="0.75" header="0.3" footer="0.3"/>
      <autoFilter ref="A1:BS46" xr:uid="{18B7E0E3-C464-4316-BF20-BB1E2649CE1A}"/>
    </customSheetView>
    <customSheetView guid="{FBC2F625-1544-488C-9B13-C5EF29B7918B}" filter="1" showAutoFilter="1">
      <pageMargins left="0.7" right="0.7" top="0.75" bottom="0.75" header="0.3" footer="0.3"/>
      <autoFilter ref="A1:BS46" xr:uid="{926C9B23-5351-439F-9FD1-FD47CC6790F3}"/>
    </customSheetView>
    <customSheetView guid="{D3B11E4F-CD4C-4C5F-9622-F224E0435E17}" filter="1" showAutoFilter="1">
      <pageMargins left="0.7" right="0.7" top="0.75" bottom="0.75" header="0.3" footer="0.3"/>
      <autoFilter ref="A1:BV46" xr:uid="{1F4D4604-A134-445A-AFD6-6A56345484D4}"/>
    </customSheetView>
    <customSheetView guid="{1EFDBA91-BDB7-407E-983A-A3A020F6E5CE}" filter="1" showAutoFilter="1">
      <pageMargins left="0.7" right="0.7" top="0.75" bottom="0.75" header="0.3" footer="0.3"/>
      <autoFilter ref="A1:BV46" xr:uid="{807B8EC7-C098-4AFB-BC75-AC662C587891}"/>
    </customSheetView>
    <customSheetView guid="{801D144F-91BF-44A1-B2B8-C39BFF21C4CC}" filter="1" showAutoFilter="1">
      <pageMargins left="0.7" right="0.7" top="0.75" bottom="0.75" header="0.3" footer="0.3"/>
      <autoFilter ref="A1:BV46" xr:uid="{8323DC92-1BB7-4C6C-9478-1B250C7EC445}"/>
    </customSheetView>
    <customSheetView guid="{2AC4F97A-AAC4-4D59-8E9E-0F82BB132218}" filter="1" showAutoFilter="1">
      <pageMargins left="0.7" right="0.7" top="0.75" bottom="0.75" header="0.3" footer="0.3"/>
      <autoFilter ref="A1:DC46" xr:uid="{B1E37C5C-9449-43CA-9047-B67A1C31FEEA}"/>
    </customSheetView>
    <customSheetView guid="{CEB85751-9D48-4051-972D-458DDE2B0EB2}" filter="1" showAutoFilter="1">
      <pageMargins left="0.7" right="0.7" top="0.75" bottom="0.75" header="0.3" footer="0.3"/>
      <autoFilter ref="A1:AF46" xr:uid="{FE158C1F-5788-4C0B-9C97-C2C8A4B3EC37}"/>
    </customSheetView>
    <customSheetView guid="{99BDB61B-514D-4468-A8E6-F3C813BF50C3}" filter="1" showAutoFilter="1">
      <pageMargins left="0.7" right="0.7" top="0.75" bottom="0.75" header="0.3" footer="0.3"/>
      <autoFilter ref="A1:CW46" xr:uid="{D44F5813-C78A-46C5-B358-7185EB7E004F}"/>
    </customSheetView>
    <customSheetView guid="{E879D1B0-9442-469D-9A75-67C3BCECFC40}" filter="1" showAutoFilter="1">
      <pageMargins left="0.7" right="0.7" top="0.75" bottom="0.75" header="0.3" footer="0.3"/>
      <autoFilter ref="A1:DF46" xr:uid="{DB131C2B-C0AD-4B97-B960-F19F6F6924B1}"/>
    </customSheetView>
    <customSheetView guid="{67ABAE90-F161-4028-AF39-29FA8AE538E5}" filter="1" showAutoFilter="1">
      <pageMargins left="0.7" right="0.7" top="0.75" bottom="0.75" header="0.3" footer="0.3"/>
      <autoFilter ref="J5" xr:uid="{4ED2646F-6028-49AD-93B6-6956CE2E9D8D}"/>
    </customSheetView>
    <customSheetView guid="{F1EEAED2-AAFE-4B19-923C-1B30AE00A06B}" filter="1" showAutoFilter="1">
      <pageMargins left="0.7" right="0.7" top="0.75" bottom="0.75" header="0.3" footer="0.3"/>
      <autoFilter ref="BO11" xr:uid="{54E583F4-E9CE-4756-A793-41CF6B2A850D}"/>
    </customSheetView>
    <customSheetView guid="{CC17480C-F1E6-4844-B715-8AEFD61FE101}" filter="1" showAutoFilter="1">
      <pageMargins left="0.7" right="0.7" top="0.75" bottom="0.75" header="0.3" footer="0.3"/>
      <autoFilter ref="BO11" xr:uid="{89C7BF06-B14C-4167-87EF-051251280350}"/>
    </customSheetView>
    <customSheetView guid="{A825F63B-1AF7-45D0-B651-ABFF1ED12347}" filter="1" showAutoFilter="1">
      <pageMargins left="0.7" right="0.7" top="0.75" bottom="0.75" header="0.3" footer="0.3"/>
      <autoFilter ref="BO11" xr:uid="{B0CEC579-91FF-49A7-B9C3-5922A8BDE9E9}"/>
    </customSheetView>
    <customSheetView guid="{8E76A816-8A70-4D5F-82BB-3CACC96F8E9D}" filter="1" showAutoFilter="1">
      <pageMargins left="0.7" right="0.7" top="0.75" bottom="0.75" header="0.3" footer="0.3"/>
      <autoFilter ref="BO11" xr:uid="{915D10F7-CBBB-4E1F-9B09-FAF7336C9F62}"/>
    </customSheetView>
    <customSheetView guid="{78C94DBE-A5F5-4A3A-AE00-0175A64ABF23}" filter="1" showAutoFilter="1">
      <pageMargins left="0.7" right="0.7" top="0.75" bottom="0.75" header="0.3" footer="0.3"/>
      <autoFilter ref="BO11" xr:uid="{941E5F2E-7F3D-42D5-A205-1907F7CA46B0}"/>
    </customSheetView>
    <customSheetView guid="{CFF1A436-1D7E-47C3-B2E2-D7879188D137}" filter="1" showAutoFilter="1">
      <pageMargins left="0.7" right="0.7" top="0.75" bottom="0.75" header="0.3" footer="0.3"/>
      <autoFilter ref="K19" xr:uid="{DC67F01A-52BD-44E7-B30E-60EF087EFF02}"/>
    </customSheetView>
    <customSheetView guid="{CA4DFDE8-F1A2-46F5-B8AD-4C366A20E25B}" filter="1" showAutoFilter="1">
      <pageMargins left="0.7" right="0.7" top="0.75" bottom="0.75" header="0.3" footer="0.3"/>
      <autoFilter ref="K19" xr:uid="{CE6B1DFE-56FB-4FF6-AD27-EEB8D2D4F0BA}"/>
    </customSheetView>
    <customSheetView guid="{3F5B5BB7-8233-43FB-A0CD-8EADF2E7BDB4}" filter="1" showAutoFilter="1">
      <pageMargins left="0.7" right="0.7" top="0.75" bottom="0.75" header="0.3" footer="0.3"/>
      <autoFilter ref="A1:CK46" xr:uid="{47ABA79F-BD00-4830-A647-59627A5D0D01}"/>
    </customSheetView>
    <customSheetView guid="{3B2B727D-6CE4-48E5-95D9-95DD0E9FF48A}" filter="1" showAutoFilter="1">
      <pageMargins left="0.7" right="0.7" top="0.75" bottom="0.75" header="0.3" footer="0.3"/>
      <autoFilter ref="A1:CK46" xr:uid="{6DEDB08C-5850-4440-9D91-F8CAB0353841}"/>
    </customSheetView>
    <customSheetView guid="{15C37883-3B02-4AB3-9614-451EF5B6B3D4}" filter="1" showAutoFilter="1">
      <pageMargins left="0.7" right="0.7" top="0.75" bottom="0.75" header="0.3" footer="0.3"/>
      <autoFilter ref="A1:BY46" xr:uid="{B323F7A0-D964-4795-A9C6-A54BF58B5D1B}"/>
    </customSheetView>
    <customSheetView guid="{102BE67D-35FF-46C7-AC69-1BF956126564}" filter="1" showAutoFilter="1">
      <pageMargins left="0.7" right="0.7" top="0.75" bottom="0.75" header="0.3" footer="0.3"/>
      <autoFilter ref="A1:BY46" xr:uid="{49113E00-E0DB-4EAD-B647-3463D0EA1A79}"/>
    </customSheetView>
    <customSheetView guid="{9A681C69-B1FB-4F69-85B0-C95357E2691C}" filter="1" showAutoFilter="1">
      <pageMargins left="0.7" right="0.7" top="0.75" bottom="0.75" header="0.3" footer="0.3"/>
      <autoFilter ref="A1:BY46" xr:uid="{7CF4D8E3-E411-4AF9-BFD3-14D07585D526}"/>
    </customSheetView>
    <customSheetView guid="{5F4390A4-7991-4792-8998-3D689E63ED32}" filter="1" showAutoFilter="1">
      <pageMargins left="0.7" right="0.7" top="0.75" bottom="0.75" header="0.3" footer="0.3"/>
      <autoFilter ref="A1:BY46" xr:uid="{97AC24D9-401A-4C47-84BD-1CC86D8773B6}"/>
    </customSheetView>
    <customSheetView guid="{B7BCE191-AB07-4A78-B7DB-539466BF0EDF}" filter="1" showAutoFilter="1">
      <pageMargins left="0.7" right="0.7" top="0.75" bottom="0.75" header="0.3" footer="0.3"/>
      <autoFilter ref="J10" xr:uid="{5C8B483B-2707-44DF-B824-5348D3483AB5}"/>
    </customSheetView>
    <customSheetView guid="{A393A34D-6B58-460B-B58C-C63B0757657C}" filter="1" showAutoFilter="1">
      <pageMargins left="0.7" right="0.7" top="0.75" bottom="0.75" header="0.3" footer="0.3"/>
      <autoFilter ref="A1:AI46" xr:uid="{038DB275-A1D5-40BD-B3CB-7D7541890356}"/>
    </customSheetView>
    <customSheetView guid="{0506C9EF-F972-40D7-8BEA-76E654FC2070}" filter="1" showAutoFilter="1">
      <pageMargins left="0.7" right="0.7" top="0.75" bottom="0.75" header="0.3" footer="0.3"/>
      <autoFilter ref="A1:AI46" xr:uid="{2D4C7CE3-79DF-45D6-99AD-F84F70C332D9}">
        <filterColumn colId="2">
          <filters>
            <filter val="Kepulauan Seribu"/>
          </filters>
        </filterColumn>
      </autoFilter>
    </customSheetView>
    <customSheetView guid="{AFA30EC9-07E7-4593-BEE0-B32D09FBB0EC}" filter="1" showAutoFilter="1">
      <pageMargins left="0.7" right="0.7" top="0.75" bottom="0.75" header="0.3" footer="0.3"/>
      <autoFilter ref="A1:CE46" xr:uid="{FC5A1965-9D51-4BA9-9513-752B50D5CED5}"/>
    </customSheetView>
    <customSheetView guid="{F4AE4F6B-42BC-4140-864D-5F5FCB0663C2}" filter="1" showAutoFilter="1">
      <pageMargins left="0.7" right="0.7" top="0.75" bottom="0.75" header="0.3" footer="0.3"/>
      <autoFilter ref="A1:CE46" xr:uid="{517B58E2-9151-42B2-A5BA-90080BBA3A14}"/>
    </customSheetView>
    <customSheetView guid="{8E1D468E-E40C-4C89-B404-71DF90B6550A}" filter="1" showAutoFilter="1">
      <pageMargins left="0.7" right="0.7" top="0.75" bottom="0.75" header="0.3" footer="0.3"/>
      <autoFilter ref="C1:W46" xr:uid="{98A7501C-4C63-4A58-84B2-1FC279DA14A0}"/>
    </customSheetView>
    <customSheetView guid="{CF865A52-EA58-43D7-ACC8-985931722A21}" filter="1" showAutoFilter="1">
      <pageMargins left="0.7" right="0.7" top="0.75" bottom="0.75" header="0.3" footer="0.3"/>
      <autoFilter ref="A1:CQ46" xr:uid="{389214CB-10D0-477E-AD70-2C5CCAF45B0F}"/>
    </customSheetView>
    <customSheetView guid="{E9CCC74A-931B-494E-A521-906DDBDAAE84}" filter="1" showAutoFilter="1">
      <pageMargins left="0.7" right="0.7" top="0.75" bottom="0.75" header="0.3" footer="0.3"/>
      <autoFilter ref="A1:BM46" xr:uid="{7857FE3A-A83C-4E7D-9578-290B72F7CC2A}"/>
    </customSheetView>
    <customSheetView guid="{9E6320E4-A46A-4891-9D59-6EB8C0C19AD7}" filter="1" showAutoFilter="1">
      <pageMargins left="0.7" right="0.7" top="0.75" bottom="0.75" header="0.3" footer="0.3"/>
      <autoFilter ref="A1:AX46" xr:uid="{D88476C3-949F-4735-8A5A-7553F3F1A210}">
        <filterColumn colId="2">
          <filters>
            <filter val="Kepulauan Seribu"/>
          </filters>
        </filterColumn>
      </autoFilter>
    </customSheetView>
    <customSheetView guid="{A96479AC-B304-4C2D-9668-0686D039C0E8}" filter="1" showAutoFilter="1">
      <pageMargins left="0.7" right="0.7" top="0.75" bottom="0.75" header="0.3" footer="0.3"/>
      <autoFilter ref="A1:AX46" xr:uid="{AFC077C3-71B0-42E8-BDC8-7487FB36B063}"/>
    </customSheetView>
    <customSheetView guid="{FEEF08F3-8B0B-477E-8DF7-464878AC0AEE}" filter="1" showAutoFilter="1">
      <pageMargins left="0.7" right="0.7" top="0.75" bottom="0.75" header="0.3" footer="0.3"/>
      <autoFilter ref="A1:AX46" xr:uid="{0243F37C-E51B-4BE8-AD95-04644F26CEB6}">
        <filterColumn colId="2">
          <filters>
            <filter val="Jakarta Barat"/>
          </filters>
        </filterColumn>
      </autoFilter>
    </customSheetView>
    <customSheetView guid="{C5E833E1-09AD-42F6-9CF3-66673C28DF28}" filter="1" showAutoFilter="1">
      <pageMargins left="0.7" right="0.7" top="0.75" bottom="0.75" header="0.3" footer="0.3"/>
      <autoFilter ref="A1:AX46" xr:uid="{04F491CF-6948-444B-BF3F-142318812DBC}">
        <filterColumn colId="2">
          <filters>
            <filter val="Kepulauan Seribu"/>
          </filters>
        </filterColumn>
      </autoFilter>
    </customSheetView>
    <customSheetView guid="{976F67B2-DEBA-4BE6-A2DA-343B90515F99}" filter="1" showAutoFilter="1">
      <pageMargins left="0.7" right="0.7" top="0.75" bottom="0.75" header="0.3" footer="0.3"/>
      <autoFilter ref="A1:CB46" xr:uid="{601C8347-02B4-4556-8F1E-810B1294C2F2}"/>
    </customSheetView>
    <customSheetView guid="{EEFB568C-53CA-404B-AE5E-7256446CA9AA}" filter="1" showAutoFilter="1">
      <pageMargins left="0.7" right="0.7" top="0.75" bottom="0.75" header="0.3" footer="0.3"/>
      <autoFilter ref="AV12" xr:uid="{188E6815-17FC-4CD4-B775-D27AE4BD1013}"/>
    </customSheetView>
    <customSheetView guid="{AD4E29B1-2820-4B72-91EF-F6A9747277E2}" filter="1" showAutoFilter="1">
      <pageMargins left="0.7" right="0.7" top="0.75" bottom="0.75" header="0.3" footer="0.3"/>
      <autoFilter ref="A1:CT46" xr:uid="{785A5C17-609B-4351-BEBA-E3745BC8F14B}"/>
    </customSheetView>
    <customSheetView guid="{5B544D45-8C00-492E-AEB5-536B070AE5DC}" filter="1" showAutoFilter="1">
      <pageMargins left="0.7" right="0.7" top="0.75" bottom="0.75" header="0.3" footer="0.3"/>
      <autoFilter ref="A1:CN46" xr:uid="{230D0076-0747-4452-9528-2B2529508201}"/>
    </customSheetView>
    <customSheetView guid="{C8CF70B6-B0EA-4C11-8066-E0A85CD8EFD0}" filter="1" showAutoFilter="1">
      <pageMargins left="0.7" right="0.7" top="0.75" bottom="0.75" header="0.3" footer="0.3"/>
      <autoFilter ref="A1:CH46" xr:uid="{3BA5D020-9BB6-435E-AFBC-CDC0BA999193}"/>
    </customSheetView>
    <customSheetView guid="{B1B549FC-25B9-42EC-B22F-9E03EA833CCC}" filter="1" showAutoFilter="1">
      <pageMargins left="0.7" right="0.7" top="0.75" bottom="0.75" header="0.3" footer="0.3"/>
      <autoFilter ref="A1:CH46" xr:uid="{43803526-AC24-4116-B236-C13B0A05168A}"/>
    </customSheetView>
    <customSheetView guid="{C07145BD-67E6-472B-AD07-A2390BB15C00}" filter="1" showAutoFilter="1">
      <pageMargins left="0.7" right="0.7" top="0.75" bottom="0.75" header="0.3" footer="0.3"/>
      <autoFilter ref="A2:AJ46" xr:uid="{0E89D1DE-FE07-40E9-8FA8-592F8BF1367A}">
        <sortState xmlns:xlrd2="http://schemas.microsoft.com/office/spreadsheetml/2017/richdata2" ref="A2:AJ46">
          <sortCondition ref="B2:B46"/>
        </sortState>
      </autoFilter>
    </customSheetView>
    <customSheetView guid="{89E19BCA-529A-4195-9D0C-A409C148828E}" filter="1" showAutoFilter="1">
      <pageMargins left="0.7" right="0.7" top="0.75" bottom="0.75" header="0.3" footer="0.3"/>
      <autoFilter ref="A1:CZ46" xr:uid="{2291F5E0-28AF-4C0B-A9AE-92322444E28B}"/>
    </customSheetView>
  </customSheetViews>
  <mergeCells count="35">
    <mergeCell ref="CX1:CZ1"/>
    <mergeCell ref="DA1:DC1"/>
    <mergeCell ref="DD1:DF1"/>
    <mergeCell ref="BQ1:BS1"/>
    <mergeCell ref="BT1:BV1"/>
    <mergeCell ref="BW1:BY1"/>
    <mergeCell ref="BZ1:CB1"/>
    <mergeCell ref="CC1:CE1"/>
    <mergeCell ref="CF1:CH1"/>
    <mergeCell ref="CI1:CK1"/>
    <mergeCell ref="BN1:BP1"/>
    <mergeCell ref="CL1:CN1"/>
    <mergeCell ref="CO1:CQ1"/>
    <mergeCell ref="CR1:CT1"/>
    <mergeCell ref="CU1:CW1"/>
    <mergeCell ref="AY1:BA1"/>
    <mergeCell ref="BB1:BD1"/>
    <mergeCell ref="BE1:BG1"/>
    <mergeCell ref="BH1:BJ1"/>
    <mergeCell ref="BK1:BM1"/>
    <mergeCell ref="AJ1:AL1"/>
    <mergeCell ref="AM1:AO1"/>
    <mergeCell ref="AP1:AR1"/>
    <mergeCell ref="AS1:AU1"/>
    <mergeCell ref="AV1:AX1"/>
    <mergeCell ref="U1:W1"/>
    <mergeCell ref="X1:Z1"/>
    <mergeCell ref="AA1:AC1"/>
    <mergeCell ref="AD1:AF1"/>
    <mergeCell ref="AG1:AI1"/>
    <mergeCell ref="F1:H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2" max="2" width="20.08984375" customWidth="1"/>
    <col min="3" max="3" width="21" customWidth="1"/>
  </cols>
  <sheetData>
    <row r="1" spans="1:26" x14ac:dyDescent="0.3">
      <c r="A1" s="204" t="s">
        <v>0</v>
      </c>
      <c r="B1" s="204" t="s">
        <v>515</v>
      </c>
      <c r="C1" s="204" t="s">
        <v>517</v>
      </c>
      <c r="D1" s="204"/>
      <c r="E1" s="205" t="s">
        <v>516</v>
      </c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</row>
    <row r="2" spans="1:26" ht="15.75" customHeight="1" x14ac:dyDescent="0.25">
      <c r="A2" s="207">
        <v>44358</v>
      </c>
      <c r="B2" s="208">
        <f>SUM('Vaksinasi Wilayah'!F$3:F$46)</f>
        <v>2819926</v>
      </c>
      <c r="C2" s="208">
        <f>SUM('Vaksinasi Wilayah'!H2:H45)</f>
        <v>1852994</v>
      </c>
      <c r="D2" s="209">
        <f t="shared" ref="D2:D36" si="0">1+3*(ROW(B2)-2)</f>
        <v>1</v>
      </c>
      <c r="E2" s="210" t="s">
        <v>569</v>
      </c>
    </row>
    <row r="3" spans="1:26" ht="15.75" customHeight="1" x14ac:dyDescent="0.25">
      <c r="A3" s="141">
        <v>44359</v>
      </c>
      <c r="B3" s="208">
        <f>SUM('Vaksinasi Wilayah'!I$3:I$46)</f>
        <v>19281</v>
      </c>
      <c r="C3" s="208">
        <f>SUM('Vaksinasi Wilayah'!K3:K46)</f>
        <v>1173</v>
      </c>
      <c r="D3" s="209">
        <f t="shared" si="0"/>
        <v>4</v>
      </c>
    </row>
    <row r="4" spans="1:26" ht="15.75" customHeight="1" x14ac:dyDescent="0.25">
      <c r="A4" s="141">
        <v>44360</v>
      </c>
      <c r="B4" s="208">
        <f>SUM('Vaksinasi Wilayah'!L$3:L$46)</f>
        <v>198</v>
      </c>
      <c r="C4" s="208">
        <f>SUM('Vaksinasi Wilayah'!N3:N46)</f>
        <v>29</v>
      </c>
      <c r="D4" s="209">
        <f t="shared" si="0"/>
        <v>7</v>
      </c>
    </row>
    <row r="5" spans="1:26" ht="15.75" customHeight="1" x14ac:dyDescent="0.25">
      <c r="A5" s="141">
        <v>44361</v>
      </c>
      <c r="B5" s="208">
        <f>SUM('Vaksinasi Wilayah'!O$3:O$46)</f>
        <v>79491</v>
      </c>
      <c r="C5" s="208">
        <f>SUM('Vaksinasi Wilayah'!Q$3:Q$46)</f>
        <v>3691</v>
      </c>
      <c r="D5" s="209">
        <f t="shared" si="0"/>
        <v>10</v>
      </c>
    </row>
    <row r="6" spans="1:26" ht="15.75" customHeight="1" x14ac:dyDescent="0.25">
      <c r="A6" s="141">
        <v>44362</v>
      </c>
      <c r="B6" s="208">
        <f>SUM('Vaksinasi Wilayah'!R$3:R$46)</f>
        <v>81545</v>
      </c>
      <c r="C6" s="208">
        <f>SUM('Vaksinasi Wilayah'!T$3:T$46)</f>
        <v>3385</v>
      </c>
      <c r="D6" s="209">
        <f t="shared" si="0"/>
        <v>13</v>
      </c>
    </row>
    <row r="7" spans="1:26" ht="15.75" customHeight="1" x14ac:dyDescent="0.25">
      <c r="A7" s="141">
        <v>44363</v>
      </c>
      <c r="B7" s="208">
        <f>SUM('Vaksinasi Wilayah'!U$3:U$46)</f>
        <v>92210</v>
      </c>
      <c r="C7" s="208">
        <f>SUM('Vaksinasi Wilayah'!W$3:W$46)</f>
        <v>3436</v>
      </c>
      <c r="D7" s="209">
        <f t="shared" si="0"/>
        <v>16</v>
      </c>
    </row>
    <row r="8" spans="1:26" ht="15.75" customHeight="1" x14ac:dyDescent="0.25">
      <c r="A8" s="141">
        <v>44364</v>
      </c>
      <c r="B8" s="208">
        <f>SUM('Vaksinasi Wilayah'!X$3:X$46)</f>
        <v>93650</v>
      </c>
      <c r="C8" s="208">
        <f>SUM('Vaksinasi Wilayah'!Z$3:Z$46)</f>
        <v>3636</v>
      </c>
      <c r="D8" s="209">
        <f t="shared" si="0"/>
        <v>19</v>
      </c>
    </row>
    <row r="9" spans="1:26" ht="15.75" customHeight="1" x14ac:dyDescent="0.25">
      <c r="A9" s="141">
        <v>44365</v>
      </c>
      <c r="B9" s="208">
        <f>SUM('Vaksinasi Wilayah'!AA$3:AA$46)</f>
        <v>110177</v>
      </c>
      <c r="C9" s="208">
        <f>SUM('Vaksinasi Wilayah'!AC$3:AC$46)</f>
        <v>3178</v>
      </c>
      <c r="D9" s="209">
        <f t="shared" si="0"/>
        <v>22</v>
      </c>
    </row>
    <row r="10" spans="1:26" ht="15.75" customHeight="1" x14ac:dyDescent="0.25">
      <c r="A10" s="141">
        <v>44366</v>
      </c>
      <c r="B10" s="208">
        <f>SUM('Vaksinasi Wilayah'!AD$3:AD$46)</f>
        <v>40149</v>
      </c>
      <c r="C10" s="208">
        <f>SUM('Vaksinasi Wilayah'!AF$3:AF$46)</f>
        <v>322</v>
      </c>
      <c r="D10" s="209">
        <f t="shared" si="0"/>
        <v>25</v>
      </c>
    </row>
    <row r="11" spans="1:26" ht="15.75" customHeight="1" x14ac:dyDescent="0.25">
      <c r="A11" s="141">
        <v>44367</v>
      </c>
      <c r="B11" s="208">
        <f>SUM('Vaksinasi Wilayah'!AG$3:AG$46)</f>
        <v>14701</v>
      </c>
      <c r="C11" s="208">
        <f>SUM('Vaksinasi Wilayah'!AI$3:AI$46)</f>
        <v>90</v>
      </c>
      <c r="D11" s="209">
        <f t="shared" si="0"/>
        <v>28</v>
      </c>
    </row>
    <row r="12" spans="1:26" ht="15.75" customHeight="1" x14ac:dyDescent="0.25">
      <c r="A12" s="141">
        <v>44368</v>
      </c>
      <c r="B12" s="208">
        <f>SUM('Vaksinasi Wilayah'!AJ$3:AJ$46)</f>
        <v>109783</v>
      </c>
      <c r="C12" s="208">
        <f>SUM('Vaksinasi Wilayah'!AL$3:AL$46)</f>
        <v>2063</v>
      </c>
      <c r="D12" s="209">
        <f t="shared" si="0"/>
        <v>31</v>
      </c>
    </row>
    <row r="13" spans="1:26" ht="15.75" customHeight="1" x14ac:dyDescent="0.25">
      <c r="A13" s="141">
        <v>44369</v>
      </c>
      <c r="B13" s="208">
        <f>SUM('Vaksinasi Wilayah'!AM$3:AM$46)</f>
        <v>75171</v>
      </c>
      <c r="C13" s="209">
        <f>SUM('Vaksinasi Wilayah'!AO$3:AO$46)</f>
        <v>2440</v>
      </c>
      <c r="D13" s="209">
        <f t="shared" si="0"/>
        <v>34</v>
      </c>
    </row>
    <row r="14" spans="1:26" ht="15.75" customHeight="1" x14ac:dyDescent="0.25">
      <c r="A14" s="141">
        <v>44370</v>
      </c>
      <c r="B14" s="208">
        <f>SUM('Vaksinasi Wilayah'!AP$3:AP$46)</f>
        <v>156482</v>
      </c>
      <c r="C14" s="208">
        <f>SUM('Vaksinasi Wilayah'!AR$3:AR$46)</f>
        <v>2468</v>
      </c>
      <c r="D14" s="209">
        <f t="shared" si="0"/>
        <v>37</v>
      </c>
    </row>
    <row r="15" spans="1:26" ht="15.75" customHeight="1" x14ac:dyDescent="0.25">
      <c r="A15" s="141">
        <v>44371</v>
      </c>
      <c r="B15" s="209">
        <f>SUM('Vaksinasi Wilayah'!AS$3:AS$46)</f>
        <v>126843</v>
      </c>
      <c r="C15" s="208">
        <f>SUM('Vaksinasi Wilayah'!AU$3:AU$46)</f>
        <v>2455</v>
      </c>
      <c r="D15" s="209">
        <f t="shared" si="0"/>
        <v>40</v>
      </c>
    </row>
    <row r="16" spans="1:26" ht="15.75" customHeight="1" x14ac:dyDescent="0.25">
      <c r="A16" s="141">
        <v>44372</v>
      </c>
      <c r="B16" s="209">
        <f>SUM('Vaksinasi Wilayah'!AV$3:AV$46)</f>
        <v>129228</v>
      </c>
      <c r="C16" s="208">
        <f>SUM('Vaksinasi Wilayah'!AX$3:AX$46)</f>
        <v>2264</v>
      </c>
      <c r="D16" s="209">
        <f t="shared" si="0"/>
        <v>43</v>
      </c>
    </row>
    <row r="17" spans="1:4" ht="15.75" customHeight="1" x14ac:dyDescent="0.25">
      <c r="A17" s="141">
        <v>44373</v>
      </c>
      <c r="B17" s="209">
        <f>SUM('Vaksinasi Wilayah'!AY$3:AY$46)</f>
        <v>56926</v>
      </c>
      <c r="C17" s="208">
        <f>SUM('Vaksinasi Wilayah'!BA$3:BA$46)</f>
        <v>742</v>
      </c>
      <c r="D17" s="209">
        <f t="shared" si="0"/>
        <v>46</v>
      </c>
    </row>
    <row r="18" spans="1:4" ht="15.75" customHeight="1" x14ac:dyDescent="0.25">
      <c r="A18" s="141">
        <v>44374</v>
      </c>
      <c r="B18" s="209">
        <f>SUM('Vaksinasi Wilayah'!BB$3:BB$46)</f>
        <v>20517</v>
      </c>
      <c r="C18" s="208">
        <f>SUM('Vaksinasi Wilayah'!BD$3:BD$46)</f>
        <v>88</v>
      </c>
      <c r="D18" s="209">
        <f t="shared" si="0"/>
        <v>49</v>
      </c>
    </row>
    <row r="19" spans="1:4" ht="15.75" customHeight="1" x14ac:dyDescent="0.25">
      <c r="A19" s="141">
        <v>44375</v>
      </c>
      <c r="B19" s="209">
        <f>SUM('Vaksinasi Wilayah'!BE$3:BE$46)</f>
        <v>121706</v>
      </c>
      <c r="C19" s="208">
        <f>SUM('Vaksinasi Wilayah'!BG$3:BG$46)</f>
        <v>2973</v>
      </c>
      <c r="D19" s="209">
        <f t="shared" si="0"/>
        <v>52</v>
      </c>
    </row>
    <row r="20" spans="1:4" ht="15.75" customHeight="1" x14ac:dyDescent="0.25">
      <c r="A20" s="141">
        <v>44376</v>
      </c>
      <c r="B20" s="209">
        <f>SUM('Vaksinasi Wilayah'!BH$3:BH$46)</f>
        <v>129802</v>
      </c>
      <c r="C20" s="208">
        <f>SUM('Vaksinasi Wilayah'!BJ$3:BJ$46)</f>
        <v>1236</v>
      </c>
      <c r="D20" s="209">
        <f t="shared" si="0"/>
        <v>55</v>
      </c>
    </row>
    <row r="21" spans="1:4" ht="15.75" customHeight="1" x14ac:dyDescent="0.25">
      <c r="A21" s="141">
        <v>44377</v>
      </c>
      <c r="B21" s="209">
        <f>SUM('Vaksinasi Wilayah'!BK$3:BK$46)</f>
        <v>128620</v>
      </c>
      <c r="C21" s="208">
        <f>SUM('Vaksinasi Wilayah'!BM$3:BM$46)</f>
        <v>2064</v>
      </c>
      <c r="D21" s="209">
        <f t="shared" si="0"/>
        <v>58</v>
      </c>
    </row>
    <row r="22" spans="1:4" ht="15.75" customHeight="1" x14ac:dyDescent="0.25">
      <c r="A22" s="141">
        <v>44378</v>
      </c>
      <c r="B22" s="209">
        <f>SUM('Vaksinasi Wilayah'!BN$3:BN$46)</f>
        <v>102322</v>
      </c>
      <c r="C22" s="208">
        <f>SUM('Vaksinasi Wilayah'!BP$3:BP$46)</f>
        <v>1942</v>
      </c>
      <c r="D22" s="209">
        <f t="shared" si="0"/>
        <v>61</v>
      </c>
    </row>
    <row r="23" spans="1:4" ht="14.5" x14ac:dyDescent="0.25">
      <c r="A23" s="141">
        <v>44379</v>
      </c>
      <c r="B23" s="209">
        <f>SUM('Vaksinasi Wilayah'!BQ$3:BQ$46)</f>
        <v>74157</v>
      </c>
      <c r="C23" s="208">
        <f>SUM('Vaksinasi Wilayah'!BS$3:BS$46)</f>
        <v>1239</v>
      </c>
      <c r="D23" s="209">
        <f t="shared" si="0"/>
        <v>64</v>
      </c>
    </row>
    <row r="24" spans="1:4" ht="14.5" x14ac:dyDescent="0.25">
      <c r="A24" s="141">
        <v>44380</v>
      </c>
      <c r="B24" s="209">
        <f>SUM('Vaksinasi Wilayah'!BT$3:BT$46)</f>
        <v>121176</v>
      </c>
      <c r="C24" s="211">
        <f>SUM('Vaksinasi Wilayah'!BV$3:BV$46)</f>
        <v>1898.0229999999999</v>
      </c>
      <c r="D24" s="209">
        <f t="shared" si="0"/>
        <v>67</v>
      </c>
    </row>
    <row r="25" spans="1:4" ht="14.5" x14ac:dyDescent="0.25">
      <c r="A25" s="141">
        <v>44381</v>
      </c>
      <c r="B25" s="209">
        <f>SUM('Vaksinasi Wilayah'!BW$3:BW$46)</f>
        <v>24669</v>
      </c>
      <c r="C25" s="208">
        <f>SUM('Vaksinasi Wilayah'!BY$3:BY$46)</f>
        <v>135</v>
      </c>
      <c r="D25" s="209">
        <f t="shared" si="0"/>
        <v>70</v>
      </c>
    </row>
    <row r="26" spans="1:4" ht="14.5" x14ac:dyDescent="0.25">
      <c r="A26" s="141">
        <v>44382</v>
      </c>
      <c r="B26" s="209">
        <f>SUM('Vaksinasi Wilayah'!BZ$3:BZ$46)</f>
        <v>80282</v>
      </c>
      <c r="C26" s="208">
        <f>SUM('Vaksinasi Wilayah'!CB$3:CB$46)</f>
        <v>122510</v>
      </c>
      <c r="D26" s="209">
        <f t="shared" si="0"/>
        <v>73</v>
      </c>
    </row>
    <row r="27" spans="1:4" ht="14.5" x14ac:dyDescent="0.25">
      <c r="A27" s="141">
        <v>44383</v>
      </c>
      <c r="B27" s="209">
        <f>SUM('Vaksinasi Wilayah'!CC$3:CC$46)</f>
        <v>160288</v>
      </c>
      <c r="C27" s="208">
        <f>SUM('Vaksinasi Wilayah'!CE$3:CE$46)</f>
        <v>3608</v>
      </c>
      <c r="D27" s="209">
        <f t="shared" si="0"/>
        <v>76</v>
      </c>
    </row>
    <row r="28" spans="1:4" ht="14.5" x14ac:dyDescent="0.25">
      <c r="A28" s="141">
        <v>44384</v>
      </c>
      <c r="B28" s="209">
        <f>SUM('Vaksinasi Wilayah'!CF$3:CF$46)</f>
        <v>87866</v>
      </c>
      <c r="C28" s="208">
        <f>SUM('Vaksinasi Wilayah'!CH$3:CH$46)</f>
        <v>1423</v>
      </c>
      <c r="D28" s="209">
        <f t="shared" si="0"/>
        <v>79</v>
      </c>
    </row>
    <row r="29" spans="1:4" ht="14.5" x14ac:dyDescent="0.25">
      <c r="A29" s="141">
        <v>44385</v>
      </c>
      <c r="B29" s="208">
        <v>121040</v>
      </c>
      <c r="C29" s="208">
        <v>3796</v>
      </c>
      <c r="D29" s="209">
        <f t="shared" si="0"/>
        <v>82</v>
      </c>
    </row>
    <row r="30" spans="1:4" ht="14.5" x14ac:dyDescent="0.25">
      <c r="A30" s="141">
        <v>44386</v>
      </c>
      <c r="B30" s="208">
        <v>50257</v>
      </c>
      <c r="C30" s="208">
        <v>1124</v>
      </c>
      <c r="D30" s="209">
        <f t="shared" si="0"/>
        <v>85</v>
      </c>
    </row>
    <row r="31" spans="1:4" ht="14.5" x14ac:dyDescent="0.25">
      <c r="A31" s="141">
        <v>44387</v>
      </c>
      <c r="B31" s="208">
        <v>14810</v>
      </c>
      <c r="C31" s="208">
        <v>435</v>
      </c>
      <c r="D31" s="209">
        <f t="shared" si="0"/>
        <v>88</v>
      </c>
    </row>
    <row r="32" spans="1:4" ht="14.5" x14ac:dyDescent="0.25">
      <c r="A32" s="141">
        <v>44388</v>
      </c>
      <c r="B32" s="208">
        <v>23927</v>
      </c>
      <c r="C32" s="208">
        <v>199</v>
      </c>
      <c r="D32" s="209">
        <f t="shared" si="0"/>
        <v>91</v>
      </c>
    </row>
    <row r="33" spans="1:4" ht="14.5" x14ac:dyDescent="0.25">
      <c r="A33" s="141">
        <v>44389</v>
      </c>
      <c r="B33" s="209">
        <f>SUM('Vaksinasi Wilayah'!CU$3:CU$46)</f>
        <v>61797</v>
      </c>
      <c r="C33" s="208">
        <f>SUM('Vaksinasi Wilayah'!CW$3:CW$46)</f>
        <v>868</v>
      </c>
      <c r="D33" s="209">
        <f t="shared" si="0"/>
        <v>94</v>
      </c>
    </row>
    <row r="34" spans="1:4" ht="14.5" x14ac:dyDescent="0.25">
      <c r="A34" s="141">
        <v>44390</v>
      </c>
      <c r="B34" s="209">
        <f>SUM('Vaksinasi Wilayah'!CX$3:CX$46)</f>
        <v>293767</v>
      </c>
      <c r="C34" s="208">
        <f>SUM('Vaksinasi Wilayah'!CZ$3:CZ$46)</f>
        <v>9324</v>
      </c>
      <c r="D34" s="209">
        <f t="shared" si="0"/>
        <v>97</v>
      </c>
    </row>
    <row r="35" spans="1:4" ht="14.5" x14ac:dyDescent="0.25">
      <c r="A35" s="141">
        <v>44391</v>
      </c>
      <c r="B35" s="209">
        <f>SUM('Vaksinasi Wilayah'!DA$3:DA$46)</f>
        <v>110759</v>
      </c>
      <c r="C35" s="208">
        <f>SUM('Vaksinasi Wilayah'!DC$3:DC$46)</f>
        <v>3474</v>
      </c>
      <c r="D35" s="209">
        <f t="shared" si="0"/>
        <v>100</v>
      </c>
    </row>
    <row r="36" spans="1:4" ht="14.5" x14ac:dyDescent="0.25">
      <c r="A36" s="141">
        <v>44392</v>
      </c>
      <c r="B36" s="209">
        <f>SUM('Vaksinasi Wilayah'!DD$3:DD$46)</f>
        <v>125316</v>
      </c>
      <c r="C36" s="208">
        <f>SUM('Vaksinasi Wilayah'!DF$3:DF$46)</f>
        <v>3168</v>
      </c>
      <c r="D36" s="209">
        <f t="shared" si="0"/>
        <v>103</v>
      </c>
    </row>
    <row r="37" spans="1:4" ht="12.5" x14ac:dyDescent="0.25">
      <c r="A37" s="212"/>
      <c r="B37" s="212"/>
      <c r="C37" s="212"/>
    </row>
    <row r="38" spans="1:4" ht="12.5" x14ac:dyDescent="0.25">
      <c r="B38" s="212"/>
      <c r="C38" s="212"/>
      <c r="D38" s="212"/>
    </row>
    <row r="39" spans="1:4" ht="12.5" x14ac:dyDescent="0.25">
      <c r="B39" s="212"/>
      <c r="C39" s="212"/>
      <c r="D39" s="212"/>
    </row>
    <row r="40" spans="1:4" ht="12.5" x14ac:dyDescent="0.25">
      <c r="B40" s="212"/>
      <c r="C40" s="212"/>
      <c r="D40" s="212"/>
    </row>
    <row r="41" spans="1:4" ht="12.5" x14ac:dyDescent="0.25">
      <c r="B41" s="212"/>
      <c r="C41" s="212"/>
      <c r="D41" s="212"/>
    </row>
    <row r="42" spans="1:4" ht="12.5" x14ac:dyDescent="0.25">
      <c r="B42" s="212"/>
      <c r="C42" s="212"/>
      <c r="D42" s="212"/>
    </row>
    <row r="43" spans="1:4" ht="12.5" x14ac:dyDescent="0.25">
      <c r="B43" s="212"/>
      <c r="C43" s="212"/>
      <c r="D43" s="212"/>
    </row>
    <row r="44" spans="1:4" ht="12.5" x14ac:dyDescent="0.25">
      <c r="B44" s="212"/>
      <c r="C44" s="212"/>
      <c r="D44" s="212"/>
    </row>
    <row r="45" spans="1:4" ht="12.5" x14ac:dyDescent="0.25">
      <c r="B45" s="212"/>
      <c r="C45" s="212"/>
      <c r="D45" s="212"/>
    </row>
    <row r="46" spans="1:4" ht="12.5" x14ac:dyDescent="0.25">
      <c r="B46" s="212"/>
      <c r="C46" s="212"/>
      <c r="D46" s="212"/>
    </row>
    <row r="47" spans="1:4" ht="12.5" x14ac:dyDescent="0.25">
      <c r="B47" s="212"/>
      <c r="C47" s="212"/>
      <c r="D47" s="212"/>
    </row>
    <row r="48" spans="1:4" ht="12.5" x14ac:dyDescent="0.25">
      <c r="B48" s="212"/>
      <c r="C48" s="212"/>
      <c r="D48" s="212"/>
    </row>
    <row r="49" spans="2:4" ht="12.5" x14ac:dyDescent="0.25">
      <c r="B49" s="212"/>
      <c r="C49" s="212"/>
      <c r="D49" s="212"/>
    </row>
    <row r="50" spans="2:4" ht="12.5" x14ac:dyDescent="0.25">
      <c r="B50" s="212"/>
      <c r="C50" s="212"/>
      <c r="D50" s="212"/>
    </row>
    <row r="51" spans="2:4" ht="12.5" x14ac:dyDescent="0.25">
      <c r="B51" s="212"/>
      <c r="C51" s="212"/>
      <c r="D51" s="212"/>
    </row>
    <row r="52" spans="2:4" ht="12.5" x14ac:dyDescent="0.25">
      <c r="B52" s="212"/>
      <c r="C52" s="212"/>
      <c r="D52" s="212"/>
    </row>
    <row r="53" spans="2:4" ht="12.5" x14ac:dyDescent="0.25">
      <c r="B53" s="212"/>
      <c r="C53" s="212"/>
      <c r="D53" s="212"/>
    </row>
    <row r="54" spans="2:4" ht="12.5" x14ac:dyDescent="0.25">
      <c r="B54" s="212"/>
      <c r="C54" s="212"/>
      <c r="D54" s="212"/>
    </row>
    <row r="55" spans="2:4" ht="12.5" x14ac:dyDescent="0.25">
      <c r="B55" s="212"/>
      <c r="C55" s="212"/>
      <c r="D55" s="212"/>
    </row>
    <row r="56" spans="2:4" ht="12.5" x14ac:dyDescent="0.25">
      <c r="B56" s="212"/>
      <c r="C56" s="212"/>
      <c r="D56" s="212"/>
    </row>
    <row r="57" spans="2:4" ht="12.5" x14ac:dyDescent="0.25">
      <c r="B57" s="212"/>
      <c r="C57" s="212"/>
      <c r="D57" s="212"/>
    </row>
    <row r="58" spans="2:4" ht="12.5" x14ac:dyDescent="0.25">
      <c r="B58" s="212"/>
      <c r="C58" s="212"/>
      <c r="D58" s="212"/>
    </row>
    <row r="59" spans="2:4" ht="12.5" x14ac:dyDescent="0.25">
      <c r="B59" s="212"/>
      <c r="C59" s="212"/>
      <c r="D59" s="212"/>
    </row>
    <row r="60" spans="2:4" ht="12.5" x14ac:dyDescent="0.25">
      <c r="B60" s="212"/>
      <c r="C60" s="212"/>
      <c r="D60" s="212"/>
    </row>
    <row r="61" spans="2:4" ht="12.5" x14ac:dyDescent="0.25">
      <c r="B61" s="212"/>
      <c r="C61" s="212"/>
      <c r="D61" s="212"/>
    </row>
    <row r="62" spans="2:4" ht="12.5" x14ac:dyDescent="0.25">
      <c r="B62" s="212"/>
      <c r="C62" s="212"/>
      <c r="D62" s="212"/>
    </row>
    <row r="63" spans="2:4" ht="12.5" x14ac:dyDescent="0.25">
      <c r="B63" s="212"/>
      <c r="C63" s="212"/>
      <c r="D63" s="212"/>
    </row>
    <row r="64" spans="2:4" ht="12.5" x14ac:dyDescent="0.25">
      <c r="B64" s="212"/>
      <c r="C64" s="212"/>
      <c r="D64" s="212"/>
    </row>
    <row r="65" spans="2:4" ht="12.5" x14ac:dyDescent="0.25">
      <c r="B65" s="212"/>
      <c r="C65" s="212"/>
      <c r="D65" s="212"/>
    </row>
    <row r="66" spans="2:4" ht="12.5" x14ac:dyDescent="0.25">
      <c r="B66" s="212"/>
      <c r="C66" s="212"/>
      <c r="D66" s="212"/>
    </row>
    <row r="67" spans="2:4" ht="12.5" x14ac:dyDescent="0.25">
      <c r="B67" s="212"/>
      <c r="C67" s="212"/>
      <c r="D67" s="212"/>
    </row>
    <row r="68" spans="2:4" ht="12.5" x14ac:dyDescent="0.25">
      <c r="B68" s="212"/>
      <c r="C68" s="212"/>
      <c r="D68" s="212"/>
    </row>
    <row r="69" spans="2:4" ht="12.5" x14ac:dyDescent="0.25">
      <c r="B69" s="212"/>
      <c r="C69" s="212"/>
      <c r="D69" s="212"/>
    </row>
    <row r="70" spans="2:4" ht="12.5" x14ac:dyDescent="0.25">
      <c r="B70" s="212"/>
      <c r="C70" s="212"/>
      <c r="D70" s="212"/>
    </row>
    <row r="71" spans="2:4" ht="12.5" x14ac:dyDescent="0.25">
      <c r="B71" s="212"/>
      <c r="C71" s="212"/>
      <c r="D71" s="212"/>
    </row>
    <row r="72" spans="2:4" ht="12.5" x14ac:dyDescent="0.25">
      <c r="B72" s="212"/>
      <c r="C72" s="212"/>
      <c r="D72" s="212"/>
    </row>
    <row r="73" spans="2:4" ht="12.5" x14ac:dyDescent="0.25">
      <c r="B73" s="212"/>
      <c r="C73" s="212"/>
      <c r="D73" s="212"/>
    </row>
    <row r="74" spans="2:4" ht="12.5" x14ac:dyDescent="0.25">
      <c r="B74" s="212"/>
      <c r="C74" s="212"/>
      <c r="D74" s="212"/>
    </row>
    <row r="75" spans="2:4" ht="12.5" x14ac:dyDescent="0.25">
      <c r="B75" s="212"/>
      <c r="C75" s="212"/>
      <c r="D75" s="212"/>
    </row>
    <row r="76" spans="2:4" ht="12.5" x14ac:dyDescent="0.25">
      <c r="B76" s="212"/>
      <c r="C76" s="212"/>
      <c r="D76" s="212"/>
    </row>
    <row r="77" spans="2:4" ht="12.5" x14ac:dyDescent="0.25">
      <c r="B77" s="212"/>
      <c r="C77" s="212"/>
      <c r="D77" s="212"/>
    </row>
    <row r="78" spans="2:4" ht="12.5" x14ac:dyDescent="0.25">
      <c r="B78" s="212"/>
      <c r="C78" s="212"/>
      <c r="D78" s="212"/>
    </row>
    <row r="79" spans="2:4" ht="12.5" x14ac:dyDescent="0.25">
      <c r="B79" s="212"/>
      <c r="C79" s="212"/>
      <c r="D79" s="212"/>
    </row>
    <row r="80" spans="2:4" ht="12.5" x14ac:dyDescent="0.25">
      <c r="B80" s="212"/>
      <c r="C80" s="212"/>
      <c r="D80" s="212"/>
    </row>
    <row r="81" spans="2:4" ht="12.5" x14ac:dyDescent="0.25">
      <c r="B81" s="212"/>
      <c r="C81" s="212"/>
      <c r="D81" s="212"/>
    </row>
    <row r="82" spans="2:4" ht="12.5" x14ac:dyDescent="0.25">
      <c r="B82" s="212"/>
      <c r="C82" s="212"/>
      <c r="D82" s="212"/>
    </row>
    <row r="83" spans="2:4" ht="12.5" x14ac:dyDescent="0.25">
      <c r="B83" s="212"/>
      <c r="C83" s="212"/>
      <c r="D83" s="212"/>
    </row>
    <row r="84" spans="2:4" ht="12.5" x14ac:dyDescent="0.25">
      <c r="B84" s="212"/>
      <c r="C84" s="212"/>
      <c r="D84" s="212"/>
    </row>
    <row r="85" spans="2:4" ht="12.5" x14ac:dyDescent="0.25">
      <c r="B85" s="212"/>
      <c r="C85" s="212"/>
      <c r="D85" s="212"/>
    </row>
    <row r="86" spans="2:4" ht="12.5" x14ac:dyDescent="0.25">
      <c r="B86" s="212"/>
      <c r="C86" s="212"/>
      <c r="D86" s="212"/>
    </row>
    <row r="87" spans="2:4" ht="12.5" x14ac:dyDescent="0.25">
      <c r="B87" s="212"/>
      <c r="C87" s="212"/>
      <c r="D87" s="212"/>
    </row>
    <row r="88" spans="2:4" ht="12.5" x14ac:dyDescent="0.25">
      <c r="B88" s="212"/>
      <c r="C88" s="212"/>
      <c r="D88" s="212"/>
    </row>
    <row r="89" spans="2:4" ht="12.5" x14ac:dyDescent="0.25">
      <c r="B89" s="212"/>
      <c r="C89" s="212"/>
      <c r="D89" s="212"/>
    </row>
    <row r="90" spans="2:4" ht="12.5" x14ac:dyDescent="0.25">
      <c r="B90" s="212"/>
      <c r="C90" s="212"/>
      <c r="D90" s="212"/>
    </row>
    <row r="91" spans="2:4" ht="12.5" x14ac:dyDescent="0.25">
      <c r="B91" s="212"/>
      <c r="C91" s="212"/>
      <c r="D91" s="212"/>
    </row>
    <row r="92" spans="2:4" ht="12.5" x14ac:dyDescent="0.25">
      <c r="B92" s="212"/>
      <c r="C92" s="212"/>
      <c r="D92" s="212"/>
    </row>
    <row r="93" spans="2:4" ht="12.5" x14ac:dyDescent="0.25">
      <c r="B93" s="212"/>
      <c r="C93" s="212"/>
      <c r="D93" s="212"/>
    </row>
    <row r="94" spans="2:4" ht="12.5" x14ac:dyDescent="0.25">
      <c r="B94" s="212"/>
      <c r="C94" s="212"/>
      <c r="D94" s="212"/>
    </row>
    <row r="95" spans="2:4" ht="12.5" x14ac:dyDescent="0.25">
      <c r="B95" s="212"/>
      <c r="C95" s="212"/>
      <c r="D95" s="212"/>
    </row>
    <row r="96" spans="2:4" ht="12.5" x14ac:dyDescent="0.25">
      <c r="B96" s="212"/>
      <c r="C96" s="212"/>
      <c r="D96" s="212"/>
    </row>
    <row r="97" spans="2:4" ht="12.5" x14ac:dyDescent="0.25">
      <c r="B97" s="212"/>
      <c r="C97" s="212"/>
      <c r="D97" s="212"/>
    </row>
    <row r="98" spans="2:4" ht="12.5" x14ac:dyDescent="0.25">
      <c r="B98" s="212"/>
      <c r="C98" s="212"/>
      <c r="D98" s="212"/>
    </row>
    <row r="99" spans="2:4" ht="12.5" x14ac:dyDescent="0.25">
      <c r="B99" s="212"/>
      <c r="C99" s="212"/>
      <c r="D99" s="212"/>
    </row>
    <row r="100" spans="2:4" ht="12.5" x14ac:dyDescent="0.25">
      <c r="B100" s="212"/>
      <c r="C100" s="212"/>
      <c r="D100" s="212"/>
    </row>
    <row r="101" spans="2:4" ht="12.5" x14ac:dyDescent="0.25">
      <c r="B101" s="212"/>
      <c r="C101" s="212"/>
      <c r="D101" s="212"/>
    </row>
    <row r="102" spans="2:4" ht="12.5" x14ac:dyDescent="0.25">
      <c r="B102" s="212"/>
      <c r="C102" s="212"/>
      <c r="D102" s="212"/>
    </row>
    <row r="103" spans="2:4" ht="12.5" x14ac:dyDescent="0.25">
      <c r="B103" s="212"/>
      <c r="C103" s="212"/>
      <c r="D103" s="212"/>
    </row>
    <row r="104" spans="2:4" ht="12.5" x14ac:dyDescent="0.25">
      <c r="B104" s="212"/>
      <c r="C104" s="212"/>
      <c r="D104" s="212"/>
    </row>
    <row r="105" spans="2:4" ht="12.5" x14ac:dyDescent="0.25">
      <c r="B105" s="212"/>
      <c r="C105" s="212"/>
      <c r="D105" s="212"/>
    </row>
    <row r="106" spans="2:4" ht="12.5" x14ac:dyDescent="0.25">
      <c r="B106" s="212"/>
      <c r="C106" s="212"/>
      <c r="D106" s="212"/>
    </row>
    <row r="107" spans="2:4" ht="12.5" x14ac:dyDescent="0.25">
      <c r="B107" s="212"/>
      <c r="C107" s="212"/>
      <c r="D107" s="212"/>
    </row>
    <row r="108" spans="2:4" ht="12.5" x14ac:dyDescent="0.25">
      <c r="B108" s="212"/>
      <c r="C108" s="212"/>
      <c r="D108" s="212"/>
    </row>
    <row r="109" spans="2:4" ht="12.5" x14ac:dyDescent="0.25">
      <c r="B109" s="212"/>
      <c r="C109" s="212"/>
      <c r="D109" s="212"/>
    </row>
    <row r="110" spans="2:4" ht="12.5" x14ac:dyDescent="0.25">
      <c r="B110" s="212"/>
      <c r="C110" s="212"/>
      <c r="D110" s="212"/>
    </row>
    <row r="111" spans="2:4" ht="12.5" x14ac:dyDescent="0.25">
      <c r="B111" s="212"/>
      <c r="C111" s="212"/>
      <c r="D111" s="212"/>
    </row>
    <row r="112" spans="2:4" ht="12.5" x14ac:dyDescent="0.25">
      <c r="B112" s="212"/>
      <c r="C112" s="212"/>
      <c r="D112" s="212"/>
    </row>
    <row r="113" spans="2:4" ht="12.5" x14ac:dyDescent="0.25">
      <c r="B113" s="212"/>
      <c r="C113" s="212"/>
      <c r="D113" s="212"/>
    </row>
    <row r="114" spans="2:4" ht="12.5" x14ac:dyDescent="0.25">
      <c r="B114" s="212"/>
      <c r="C114" s="212"/>
      <c r="D114" s="212"/>
    </row>
    <row r="115" spans="2:4" ht="12.5" x14ac:dyDescent="0.25">
      <c r="B115" s="212"/>
      <c r="C115" s="212"/>
      <c r="D115" s="212"/>
    </row>
    <row r="116" spans="2:4" ht="12.5" x14ac:dyDescent="0.25">
      <c r="B116" s="212"/>
      <c r="C116" s="212"/>
      <c r="D116" s="212"/>
    </row>
    <row r="117" spans="2:4" ht="12.5" x14ac:dyDescent="0.25">
      <c r="B117" s="212"/>
      <c r="C117" s="212"/>
      <c r="D117" s="212"/>
    </row>
    <row r="118" spans="2:4" ht="12.5" x14ac:dyDescent="0.25">
      <c r="B118" s="212"/>
      <c r="C118" s="212"/>
      <c r="D118" s="212"/>
    </row>
    <row r="119" spans="2:4" ht="12.5" x14ac:dyDescent="0.25">
      <c r="B119" s="212"/>
      <c r="C119" s="212"/>
      <c r="D119" s="212"/>
    </row>
    <row r="120" spans="2:4" ht="12.5" x14ac:dyDescent="0.25">
      <c r="B120" s="212"/>
      <c r="C120" s="212"/>
      <c r="D120" s="212"/>
    </row>
    <row r="121" spans="2:4" ht="12.5" x14ac:dyDescent="0.25">
      <c r="B121" s="212"/>
      <c r="C121" s="212"/>
      <c r="D121" s="212"/>
    </row>
    <row r="122" spans="2:4" ht="12.5" x14ac:dyDescent="0.25">
      <c r="B122" s="212"/>
      <c r="C122" s="212"/>
      <c r="D122" s="212"/>
    </row>
    <row r="123" spans="2:4" ht="12.5" x14ac:dyDescent="0.25">
      <c r="B123" s="212"/>
      <c r="C123" s="212"/>
      <c r="D123" s="212"/>
    </row>
    <row r="124" spans="2:4" ht="12.5" x14ac:dyDescent="0.25">
      <c r="B124" s="212"/>
      <c r="C124" s="212"/>
      <c r="D124" s="212"/>
    </row>
    <row r="125" spans="2:4" ht="12.5" x14ac:dyDescent="0.25">
      <c r="B125" s="212"/>
      <c r="C125" s="212"/>
      <c r="D125" s="212"/>
    </row>
    <row r="126" spans="2:4" ht="12.5" x14ac:dyDescent="0.25">
      <c r="B126" s="212"/>
      <c r="C126" s="212"/>
      <c r="D126" s="212"/>
    </row>
    <row r="127" spans="2:4" ht="12.5" x14ac:dyDescent="0.25">
      <c r="B127" s="212"/>
      <c r="C127" s="212"/>
      <c r="D127" s="212"/>
    </row>
    <row r="128" spans="2:4" ht="12.5" x14ac:dyDescent="0.25">
      <c r="B128" s="212"/>
      <c r="C128" s="212"/>
      <c r="D128" s="212"/>
    </row>
    <row r="129" spans="2:4" ht="12.5" x14ac:dyDescent="0.25">
      <c r="B129" s="212"/>
      <c r="C129" s="212"/>
      <c r="D129" s="212"/>
    </row>
    <row r="130" spans="2:4" ht="12.5" x14ac:dyDescent="0.25">
      <c r="B130" s="212"/>
      <c r="C130" s="212"/>
      <c r="D130" s="212"/>
    </row>
    <row r="131" spans="2:4" ht="12.5" x14ac:dyDescent="0.25">
      <c r="B131" s="212"/>
      <c r="C131" s="212"/>
      <c r="D131" s="212"/>
    </row>
    <row r="132" spans="2:4" ht="12.5" x14ac:dyDescent="0.25">
      <c r="B132" s="212"/>
      <c r="C132" s="212"/>
      <c r="D132" s="212"/>
    </row>
    <row r="133" spans="2:4" ht="12.5" x14ac:dyDescent="0.25">
      <c r="B133" s="212"/>
      <c r="C133" s="212"/>
      <c r="D133" s="212"/>
    </row>
    <row r="134" spans="2:4" ht="12.5" x14ac:dyDescent="0.25">
      <c r="B134" s="212"/>
      <c r="C134" s="212"/>
      <c r="D134" s="212"/>
    </row>
    <row r="135" spans="2:4" ht="12.5" x14ac:dyDescent="0.25">
      <c r="B135" s="212"/>
      <c r="C135" s="212"/>
      <c r="D135" s="212"/>
    </row>
    <row r="136" spans="2:4" ht="12.5" x14ac:dyDescent="0.25">
      <c r="B136" s="212"/>
      <c r="C136" s="212"/>
      <c r="D136" s="212"/>
    </row>
    <row r="137" spans="2:4" ht="12.5" x14ac:dyDescent="0.25">
      <c r="B137" s="212"/>
      <c r="C137" s="212"/>
      <c r="D137" s="212"/>
    </row>
    <row r="138" spans="2:4" ht="12.5" x14ac:dyDescent="0.25">
      <c r="B138" s="212"/>
      <c r="C138" s="212"/>
      <c r="D138" s="212"/>
    </row>
    <row r="139" spans="2:4" ht="12.5" x14ac:dyDescent="0.25">
      <c r="B139" s="212"/>
      <c r="C139" s="212"/>
      <c r="D139" s="212"/>
    </row>
    <row r="140" spans="2:4" ht="12.5" x14ac:dyDescent="0.25">
      <c r="B140" s="212"/>
      <c r="C140" s="212"/>
      <c r="D140" s="212"/>
    </row>
    <row r="141" spans="2:4" ht="12.5" x14ac:dyDescent="0.25">
      <c r="B141" s="212"/>
      <c r="C141" s="212"/>
      <c r="D141" s="212"/>
    </row>
    <row r="142" spans="2:4" ht="12.5" x14ac:dyDescent="0.25">
      <c r="B142" s="212"/>
      <c r="C142" s="212"/>
      <c r="D142" s="212"/>
    </row>
    <row r="143" spans="2:4" ht="12.5" x14ac:dyDescent="0.25">
      <c r="B143" s="212"/>
      <c r="C143" s="212"/>
      <c r="D143" s="212"/>
    </row>
    <row r="144" spans="2:4" ht="12.5" x14ac:dyDescent="0.25">
      <c r="B144" s="212"/>
      <c r="C144" s="212"/>
      <c r="D144" s="212"/>
    </row>
    <row r="145" spans="2:4" ht="12.5" x14ac:dyDescent="0.25">
      <c r="B145" s="212"/>
      <c r="C145" s="212"/>
      <c r="D145" s="212"/>
    </row>
    <row r="146" spans="2:4" ht="12.5" x14ac:dyDescent="0.25">
      <c r="B146" s="212"/>
      <c r="C146" s="212"/>
      <c r="D146" s="212"/>
    </row>
    <row r="147" spans="2:4" ht="12.5" x14ac:dyDescent="0.25">
      <c r="B147" s="212"/>
      <c r="C147" s="212"/>
      <c r="D147" s="212"/>
    </row>
    <row r="148" spans="2:4" ht="12.5" x14ac:dyDescent="0.25">
      <c r="B148" s="212"/>
      <c r="C148" s="212"/>
      <c r="D148" s="212"/>
    </row>
    <row r="149" spans="2:4" ht="12.5" x14ac:dyDescent="0.25">
      <c r="B149" s="212"/>
      <c r="C149" s="212"/>
      <c r="D149" s="212"/>
    </row>
    <row r="150" spans="2:4" ht="12.5" x14ac:dyDescent="0.25">
      <c r="B150" s="212"/>
      <c r="C150" s="212"/>
      <c r="D150" s="212"/>
    </row>
    <row r="151" spans="2:4" ht="12.5" x14ac:dyDescent="0.25">
      <c r="B151" s="212"/>
      <c r="C151" s="212"/>
      <c r="D151" s="212"/>
    </row>
    <row r="152" spans="2:4" ht="12.5" x14ac:dyDescent="0.25">
      <c r="B152" s="212"/>
      <c r="C152" s="212"/>
      <c r="D152" s="212"/>
    </row>
    <row r="153" spans="2:4" ht="12.5" x14ac:dyDescent="0.25">
      <c r="B153" s="212"/>
      <c r="C153" s="212"/>
      <c r="D153" s="212"/>
    </row>
    <row r="154" spans="2:4" ht="12.5" x14ac:dyDescent="0.25">
      <c r="B154" s="212"/>
      <c r="C154" s="212"/>
      <c r="D154" s="212"/>
    </row>
    <row r="155" spans="2:4" ht="12.5" x14ac:dyDescent="0.25">
      <c r="B155" s="212"/>
      <c r="C155" s="212"/>
      <c r="D155" s="212"/>
    </row>
    <row r="156" spans="2:4" ht="12.5" x14ac:dyDescent="0.25">
      <c r="B156" s="212"/>
      <c r="C156" s="212"/>
      <c r="D156" s="212"/>
    </row>
    <row r="157" spans="2:4" ht="12.5" x14ac:dyDescent="0.25">
      <c r="B157" s="212"/>
      <c r="C157" s="212"/>
      <c r="D157" s="212"/>
    </row>
    <row r="158" spans="2:4" ht="12.5" x14ac:dyDescent="0.25">
      <c r="B158" s="212"/>
      <c r="C158" s="212"/>
      <c r="D158" s="212"/>
    </row>
    <row r="159" spans="2:4" ht="12.5" x14ac:dyDescent="0.25">
      <c r="B159" s="212"/>
      <c r="C159" s="212"/>
      <c r="D159" s="212"/>
    </row>
    <row r="160" spans="2:4" ht="12.5" x14ac:dyDescent="0.25">
      <c r="B160" s="212"/>
      <c r="C160" s="212"/>
      <c r="D160" s="212"/>
    </row>
    <row r="161" spans="2:4" ht="12.5" x14ac:dyDescent="0.25">
      <c r="B161" s="212"/>
      <c r="C161" s="212"/>
      <c r="D161" s="212"/>
    </row>
    <row r="162" spans="2:4" ht="12.5" x14ac:dyDescent="0.25">
      <c r="B162" s="212"/>
      <c r="C162" s="212"/>
      <c r="D162" s="212"/>
    </row>
    <row r="163" spans="2:4" ht="12.5" x14ac:dyDescent="0.25">
      <c r="B163" s="212"/>
      <c r="C163" s="212"/>
      <c r="D163" s="212"/>
    </row>
    <row r="164" spans="2:4" ht="12.5" x14ac:dyDescent="0.25">
      <c r="B164" s="212"/>
      <c r="C164" s="212"/>
      <c r="D164" s="212"/>
    </row>
    <row r="165" spans="2:4" ht="12.5" x14ac:dyDescent="0.25">
      <c r="B165" s="212"/>
      <c r="C165" s="212"/>
      <c r="D165" s="212"/>
    </row>
    <row r="166" spans="2:4" ht="12.5" x14ac:dyDescent="0.25">
      <c r="B166" s="212"/>
      <c r="C166" s="212"/>
      <c r="D166" s="212"/>
    </row>
    <row r="167" spans="2:4" ht="12.5" x14ac:dyDescent="0.25">
      <c r="B167" s="212"/>
      <c r="C167" s="212"/>
      <c r="D167" s="212"/>
    </row>
    <row r="168" spans="2:4" ht="12.5" x14ac:dyDescent="0.25">
      <c r="B168" s="212"/>
      <c r="C168" s="212"/>
      <c r="D168" s="212"/>
    </row>
    <row r="169" spans="2:4" ht="12.5" x14ac:dyDescent="0.25">
      <c r="B169" s="212"/>
      <c r="C169" s="212"/>
      <c r="D169" s="212"/>
    </row>
    <row r="170" spans="2:4" ht="12.5" x14ac:dyDescent="0.25">
      <c r="B170" s="212"/>
      <c r="C170" s="212"/>
      <c r="D170" s="212"/>
    </row>
    <row r="171" spans="2:4" ht="12.5" x14ac:dyDescent="0.25">
      <c r="B171" s="212"/>
      <c r="C171" s="212"/>
      <c r="D171" s="212"/>
    </row>
    <row r="172" spans="2:4" ht="12.5" x14ac:dyDescent="0.25">
      <c r="B172" s="212"/>
      <c r="C172" s="212"/>
      <c r="D172" s="212"/>
    </row>
    <row r="173" spans="2:4" ht="12.5" x14ac:dyDescent="0.25">
      <c r="B173" s="212"/>
      <c r="C173" s="212"/>
      <c r="D173" s="212"/>
    </row>
    <row r="174" spans="2:4" ht="12.5" x14ac:dyDescent="0.25">
      <c r="B174" s="212"/>
      <c r="C174" s="212"/>
      <c r="D174" s="212"/>
    </row>
    <row r="175" spans="2:4" ht="12.5" x14ac:dyDescent="0.25">
      <c r="B175" s="212"/>
      <c r="C175" s="212"/>
      <c r="D175" s="212"/>
    </row>
    <row r="176" spans="2:4" ht="12.5" x14ac:dyDescent="0.25">
      <c r="B176" s="212"/>
      <c r="C176" s="212"/>
      <c r="D176" s="212"/>
    </row>
    <row r="177" spans="2:4" ht="12.5" x14ac:dyDescent="0.25">
      <c r="B177" s="212"/>
      <c r="C177" s="212"/>
      <c r="D177" s="212"/>
    </row>
    <row r="178" spans="2:4" ht="12.5" x14ac:dyDescent="0.25">
      <c r="B178" s="212"/>
      <c r="C178" s="212"/>
      <c r="D178" s="212"/>
    </row>
    <row r="179" spans="2:4" ht="12.5" x14ac:dyDescent="0.25">
      <c r="B179" s="212"/>
      <c r="C179" s="212"/>
      <c r="D179" s="212"/>
    </row>
    <row r="180" spans="2:4" ht="12.5" x14ac:dyDescent="0.25">
      <c r="B180" s="212"/>
      <c r="C180" s="212"/>
      <c r="D180" s="212"/>
    </row>
    <row r="181" spans="2:4" ht="12.5" x14ac:dyDescent="0.25">
      <c r="B181" s="212"/>
      <c r="C181" s="212"/>
      <c r="D181" s="212"/>
    </row>
    <row r="182" spans="2:4" ht="12.5" x14ac:dyDescent="0.25">
      <c r="B182" s="212"/>
      <c r="C182" s="212"/>
      <c r="D182" s="212"/>
    </row>
    <row r="183" spans="2:4" ht="12.5" x14ac:dyDescent="0.25">
      <c r="B183" s="212"/>
      <c r="C183" s="212"/>
      <c r="D183" s="212"/>
    </row>
    <row r="184" spans="2:4" ht="12.5" x14ac:dyDescent="0.25">
      <c r="B184" s="212"/>
      <c r="C184" s="212"/>
      <c r="D184" s="212"/>
    </row>
    <row r="185" spans="2:4" ht="12.5" x14ac:dyDescent="0.25">
      <c r="B185" s="212"/>
      <c r="C185" s="212"/>
      <c r="D185" s="212"/>
    </row>
    <row r="186" spans="2:4" ht="12.5" x14ac:dyDescent="0.25">
      <c r="B186" s="212"/>
      <c r="C186" s="212"/>
      <c r="D186" s="212"/>
    </row>
    <row r="187" spans="2:4" ht="12.5" x14ac:dyDescent="0.25">
      <c r="B187" s="212"/>
      <c r="C187" s="212"/>
      <c r="D187" s="212"/>
    </row>
    <row r="188" spans="2:4" ht="12.5" x14ac:dyDescent="0.25">
      <c r="B188" s="212"/>
      <c r="C188" s="212"/>
      <c r="D188" s="212"/>
    </row>
    <row r="189" spans="2:4" ht="12.5" x14ac:dyDescent="0.25">
      <c r="B189" s="212"/>
      <c r="C189" s="212"/>
      <c r="D189" s="212"/>
    </row>
    <row r="190" spans="2:4" ht="12.5" x14ac:dyDescent="0.25">
      <c r="B190" s="212"/>
      <c r="C190" s="212"/>
      <c r="D190" s="212"/>
    </row>
    <row r="191" spans="2:4" ht="12.5" x14ac:dyDescent="0.25">
      <c r="B191" s="212"/>
      <c r="C191" s="212"/>
      <c r="D191" s="212"/>
    </row>
    <row r="192" spans="2:4" ht="12.5" x14ac:dyDescent="0.25">
      <c r="B192" s="212"/>
      <c r="C192" s="212"/>
      <c r="D192" s="212"/>
    </row>
    <row r="193" spans="2:4" ht="12.5" x14ac:dyDescent="0.25">
      <c r="B193" s="212"/>
      <c r="C193" s="212"/>
      <c r="D193" s="212"/>
    </row>
    <row r="194" spans="2:4" ht="12.5" x14ac:dyDescent="0.25">
      <c r="B194" s="212"/>
      <c r="C194" s="212"/>
      <c r="D194" s="212"/>
    </row>
    <row r="195" spans="2:4" ht="12.5" x14ac:dyDescent="0.25">
      <c r="B195" s="212"/>
      <c r="C195" s="212"/>
      <c r="D195" s="212"/>
    </row>
    <row r="196" spans="2:4" ht="12.5" x14ac:dyDescent="0.25">
      <c r="B196" s="212"/>
      <c r="C196" s="212"/>
      <c r="D196" s="212"/>
    </row>
    <row r="197" spans="2:4" ht="12.5" x14ac:dyDescent="0.25">
      <c r="B197" s="212"/>
      <c r="C197" s="212"/>
      <c r="D197" s="212"/>
    </row>
    <row r="198" spans="2:4" ht="12.5" x14ac:dyDescent="0.25">
      <c r="B198" s="212"/>
      <c r="C198" s="212"/>
      <c r="D198" s="212"/>
    </row>
    <row r="199" spans="2:4" ht="12.5" x14ac:dyDescent="0.25">
      <c r="B199" s="212"/>
      <c r="C199" s="212"/>
      <c r="D199" s="212"/>
    </row>
    <row r="200" spans="2:4" ht="12.5" x14ac:dyDescent="0.25">
      <c r="B200" s="212"/>
      <c r="C200" s="212"/>
      <c r="D200" s="212"/>
    </row>
    <row r="201" spans="2:4" ht="12.5" x14ac:dyDescent="0.25">
      <c r="B201" s="212"/>
      <c r="C201" s="212"/>
      <c r="D201" s="212"/>
    </row>
    <row r="202" spans="2:4" ht="12.5" x14ac:dyDescent="0.25">
      <c r="B202" s="212"/>
      <c r="C202" s="212"/>
      <c r="D202" s="212"/>
    </row>
    <row r="203" spans="2:4" ht="12.5" x14ac:dyDescent="0.25">
      <c r="B203" s="212"/>
      <c r="C203" s="212"/>
      <c r="D203" s="212"/>
    </row>
    <row r="204" spans="2:4" ht="12.5" x14ac:dyDescent="0.25">
      <c r="B204" s="212"/>
      <c r="C204" s="212"/>
      <c r="D204" s="212"/>
    </row>
    <row r="205" spans="2:4" ht="12.5" x14ac:dyDescent="0.25">
      <c r="B205" s="212"/>
      <c r="C205" s="212"/>
      <c r="D205" s="212"/>
    </row>
    <row r="206" spans="2:4" ht="12.5" x14ac:dyDescent="0.25">
      <c r="B206" s="212"/>
      <c r="C206" s="212"/>
      <c r="D206" s="212"/>
    </row>
    <row r="207" spans="2:4" ht="12.5" x14ac:dyDescent="0.25">
      <c r="B207" s="212"/>
      <c r="C207" s="212"/>
      <c r="D207" s="212"/>
    </row>
    <row r="208" spans="2:4" ht="12.5" x14ac:dyDescent="0.25">
      <c r="B208" s="212"/>
      <c r="C208" s="212"/>
      <c r="D208" s="212"/>
    </row>
    <row r="209" spans="2:4" ht="12.5" x14ac:dyDescent="0.25">
      <c r="B209" s="212"/>
      <c r="C209" s="212"/>
      <c r="D209" s="212"/>
    </row>
    <row r="210" spans="2:4" ht="12.5" x14ac:dyDescent="0.25">
      <c r="B210" s="212"/>
      <c r="C210" s="212"/>
      <c r="D210" s="212"/>
    </row>
    <row r="211" spans="2:4" ht="12.5" x14ac:dyDescent="0.25">
      <c r="B211" s="212"/>
      <c r="C211" s="212"/>
      <c r="D211" s="212"/>
    </row>
    <row r="212" spans="2:4" ht="12.5" x14ac:dyDescent="0.25">
      <c r="B212" s="212"/>
      <c r="C212" s="212"/>
      <c r="D212" s="212"/>
    </row>
    <row r="213" spans="2:4" ht="12.5" x14ac:dyDescent="0.25">
      <c r="B213" s="212"/>
      <c r="C213" s="212"/>
      <c r="D213" s="212"/>
    </row>
    <row r="214" spans="2:4" ht="12.5" x14ac:dyDescent="0.25">
      <c r="B214" s="212"/>
      <c r="C214" s="212"/>
      <c r="D214" s="212"/>
    </row>
    <row r="215" spans="2:4" ht="12.5" x14ac:dyDescent="0.25">
      <c r="B215" s="212"/>
      <c r="C215" s="212"/>
      <c r="D215" s="212"/>
    </row>
    <row r="216" spans="2:4" ht="12.5" x14ac:dyDescent="0.25">
      <c r="B216" s="212"/>
      <c r="C216" s="212"/>
      <c r="D216" s="212"/>
    </row>
    <row r="217" spans="2:4" ht="12.5" x14ac:dyDescent="0.25">
      <c r="B217" s="212"/>
      <c r="C217" s="212"/>
      <c r="D217" s="212"/>
    </row>
    <row r="218" spans="2:4" ht="12.5" x14ac:dyDescent="0.25">
      <c r="B218" s="212"/>
      <c r="C218" s="212"/>
      <c r="D218" s="212"/>
    </row>
    <row r="219" spans="2:4" ht="12.5" x14ac:dyDescent="0.25">
      <c r="B219" s="212"/>
      <c r="C219" s="212"/>
      <c r="D219" s="212"/>
    </row>
    <row r="220" spans="2:4" ht="12.5" x14ac:dyDescent="0.25">
      <c r="B220" s="212"/>
      <c r="C220" s="212"/>
      <c r="D220" s="212"/>
    </row>
    <row r="221" spans="2:4" ht="12.5" x14ac:dyDescent="0.25">
      <c r="B221" s="212"/>
      <c r="C221" s="212"/>
      <c r="D221" s="212"/>
    </row>
    <row r="222" spans="2:4" ht="12.5" x14ac:dyDescent="0.25">
      <c r="B222" s="212"/>
      <c r="C222" s="212"/>
      <c r="D222" s="212"/>
    </row>
    <row r="223" spans="2:4" ht="12.5" x14ac:dyDescent="0.25">
      <c r="B223" s="212"/>
      <c r="C223" s="212"/>
      <c r="D223" s="212"/>
    </row>
    <row r="224" spans="2:4" ht="12.5" x14ac:dyDescent="0.25">
      <c r="B224" s="212"/>
      <c r="C224" s="212"/>
      <c r="D224" s="212"/>
    </row>
    <row r="225" spans="2:4" ht="12.5" x14ac:dyDescent="0.25">
      <c r="B225" s="212"/>
      <c r="C225" s="212"/>
      <c r="D225" s="212"/>
    </row>
    <row r="226" spans="2:4" ht="12.5" x14ac:dyDescent="0.25">
      <c r="B226" s="212"/>
      <c r="C226" s="212"/>
      <c r="D226" s="212"/>
    </row>
    <row r="227" spans="2:4" ht="12.5" x14ac:dyDescent="0.25">
      <c r="B227" s="212"/>
      <c r="C227" s="212"/>
      <c r="D227" s="212"/>
    </row>
    <row r="228" spans="2:4" ht="12.5" x14ac:dyDescent="0.25">
      <c r="B228" s="212"/>
      <c r="C228" s="212"/>
      <c r="D228" s="212"/>
    </row>
    <row r="229" spans="2:4" ht="12.5" x14ac:dyDescent="0.25">
      <c r="B229" s="212"/>
      <c r="C229" s="212"/>
      <c r="D229" s="212"/>
    </row>
    <row r="230" spans="2:4" ht="12.5" x14ac:dyDescent="0.25">
      <c r="B230" s="212"/>
      <c r="C230" s="212"/>
      <c r="D230" s="212"/>
    </row>
    <row r="231" spans="2:4" ht="12.5" x14ac:dyDescent="0.25">
      <c r="B231" s="212"/>
      <c r="C231" s="212"/>
      <c r="D231" s="212"/>
    </row>
    <row r="232" spans="2:4" ht="12.5" x14ac:dyDescent="0.25">
      <c r="B232" s="212"/>
      <c r="C232" s="212"/>
      <c r="D232" s="212"/>
    </row>
    <row r="233" spans="2:4" ht="12.5" x14ac:dyDescent="0.25">
      <c r="B233" s="212"/>
      <c r="C233" s="212"/>
      <c r="D233" s="212"/>
    </row>
    <row r="234" spans="2:4" ht="12.5" x14ac:dyDescent="0.25">
      <c r="B234" s="212"/>
      <c r="C234" s="212"/>
      <c r="D234" s="212"/>
    </row>
    <row r="235" spans="2:4" ht="12.5" x14ac:dyDescent="0.25">
      <c r="B235" s="212"/>
      <c r="C235" s="212"/>
      <c r="D235" s="212"/>
    </row>
    <row r="236" spans="2:4" ht="12.5" x14ac:dyDescent="0.25">
      <c r="B236" s="212"/>
      <c r="C236" s="212"/>
      <c r="D236" s="212"/>
    </row>
    <row r="237" spans="2:4" ht="12.5" x14ac:dyDescent="0.25">
      <c r="B237" s="212"/>
      <c r="C237" s="212"/>
      <c r="D237" s="212"/>
    </row>
    <row r="238" spans="2:4" ht="12.5" x14ac:dyDescent="0.25">
      <c r="B238" s="212"/>
      <c r="C238" s="212"/>
      <c r="D238" s="212"/>
    </row>
    <row r="239" spans="2:4" ht="12.5" x14ac:dyDescent="0.25">
      <c r="B239" s="212"/>
      <c r="C239" s="212"/>
      <c r="D239" s="212"/>
    </row>
    <row r="240" spans="2:4" ht="12.5" x14ac:dyDescent="0.25">
      <c r="B240" s="212"/>
      <c r="C240" s="212"/>
      <c r="D240" s="212"/>
    </row>
    <row r="241" spans="2:4" ht="12.5" x14ac:dyDescent="0.25">
      <c r="B241" s="212"/>
      <c r="C241" s="212"/>
      <c r="D241" s="212"/>
    </row>
    <row r="242" spans="2:4" ht="12.5" x14ac:dyDescent="0.25">
      <c r="B242" s="212"/>
      <c r="C242" s="212"/>
      <c r="D242" s="212"/>
    </row>
    <row r="243" spans="2:4" ht="12.5" x14ac:dyDescent="0.25">
      <c r="B243" s="212"/>
      <c r="C243" s="212"/>
      <c r="D243" s="212"/>
    </row>
    <row r="244" spans="2:4" ht="12.5" x14ac:dyDescent="0.25">
      <c r="B244" s="212"/>
      <c r="C244" s="212"/>
      <c r="D244" s="212"/>
    </row>
    <row r="245" spans="2:4" ht="12.5" x14ac:dyDescent="0.25">
      <c r="B245" s="212"/>
      <c r="C245" s="212"/>
      <c r="D245" s="212"/>
    </row>
    <row r="246" spans="2:4" ht="12.5" x14ac:dyDescent="0.25">
      <c r="B246" s="212"/>
      <c r="C246" s="212"/>
      <c r="D246" s="212"/>
    </row>
    <row r="247" spans="2:4" ht="12.5" x14ac:dyDescent="0.25">
      <c r="B247" s="212"/>
      <c r="C247" s="212"/>
      <c r="D247" s="212"/>
    </row>
    <row r="248" spans="2:4" ht="12.5" x14ac:dyDescent="0.25">
      <c r="B248" s="212"/>
      <c r="C248" s="212"/>
      <c r="D248" s="212"/>
    </row>
    <row r="249" spans="2:4" ht="12.5" x14ac:dyDescent="0.25">
      <c r="B249" s="212"/>
      <c r="C249" s="212"/>
      <c r="D249" s="212"/>
    </row>
    <row r="250" spans="2:4" ht="12.5" x14ac:dyDescent="0.25">
      <c r="B250" s="212"/>
      <c r="C250" s="212"/>
      <c r="D250" s="212"/>
    </row>
    <row r="251" spans="2:4" ht="12.5" x14ac:dyDescent="0.25">
      <c r="B251" s="212"/>
      <c r="C251" s="212"/>
      <c r="D251" s="212"/>
    </row>
    <row r="252" spans="2:4" ht="12.5" x14ac:dyDescent="0.25">
      <c r="B252" s="212"/>
      <c r="C252" s="212"/>
      <c r="D252" s="212"/>
    </row>
    <row r="253" spans="2:4" ht="12.5" x14ac:dyDescent="0.25">
      <c r="B253" s="212"/>
      <c r="C253" s="212"/>
      <c r="D253" s="212"/>
    </row>
    <row r="254" spans="2:4" ht="12.5" x14ac:dyDescent="0.25">
      <c r="B254" s="212"/>
      <c r="C254" s="212"/>
      <c r="D254" s="212"/>
    </row>
    <row r="255" spans="2:4" ht="12.5" x14ac:dyDescent="0.25">
      <c r="B255" s="212"/>
      <c r="C255" s="212"/>
      <c r="D255" s="212"/>
    </row>
    <row r="256" spans="2:4" ht="12.5" x14ac:dyDescent="0.25">
      <c r="B256" s="212"/>
      <c r="C256" s="212"/>
      <c r="D256" s="212"/>
    </row>
    <row r="257" spans="2:4" ht="12.5" x14ac:dyDescent="0.25">
      <c r="B257" s="212"/>
      <c r="C257" s="212"/>
      <c r="D257" s="212"/>
    </row>
    <row r="258" spans="2:4" ht="12.5" x14ac:dyDescent="0.25">
      <c r="B258" s="212"/>
      <c r="C258" s="212"/>
      <c r="D258" s="212"/>
    </row>
    <row r="259" spans="2:4" ht="12.5" x14ac:dyDescent="0.25">
      <c r="B259" s="212"/>
      <c r="C259" s="212"/>
      <c r="D259" s="212"/>
    </row>
    <row r="260" spans="2:4" ht="12.5" x14ac:dyDescent="0.25">
      <c r="B260" s="212"/>
      <c r="C260" s="212"/>
      <c r="D260" s="212"/>
    </row>
    <row r="261" spans="2:4" ht="12.5" x14ac:dyDescent="0.25">
      <c r="B261" s="212"/>
      <c r="C261" s="212"/>
      <c r="D261" s="212"/>
    </row>
    <row r="262" spans="2:4" ht="12.5" x14ac:dyDescent="0.25">
      <c r="B262" s="212"/>
      <c r="C262" s="212"/>
      <c r="D262" s="212"/>
    </row>
    <row r="263" spans="2:4" ht="12.5" x14ac:dyDescent="0.25">
      <c r="B263" s="212"/>
      <c r="C263" s="212"/>
      <c r="D263" s="212"/>
    </row>
    <row r="264" spans="2:4" ht="12.5" x14ac:dyDescent="0.25">
      <c r="B264" s="212"/>
      <c r="C264" s="212"/>
      <c r="D264" s="212"/>
    </row>
    <row r="265" spans="2:4" ht="12.5" x14ac:dyDescent="0.25">
      <c r="B265" s="212"/>
      <c r="C265" s="212"/>
      <c r="D265" s="212"/>
    </row>
    <row r="266" spans="2:4" ht="12.5" x14ac:dyDescent="0.25">
      <c r="B266" s="212"/>
      <c r="C266" s="212"/>
      <c r="D266" s="212"/>
    </row>
    <row r="267" spans="2:4" ht="12.5" x14ac:dyDescent="0.25">
      <c r="B267" s="212"/>
      <c r="C267" s="212"/>
      <c r="D267" s="212"/>
    </row>
    <row r="268" spans="2:4" ht="12.5" x14ac:dyDescent="0.25">
      <c r="B268" s="212"/>
      <c r="C268" s="212"/>
      <c r="D268" s="212"/>
    </row>
    <row r="269" spans="2:4" ht="12.5" x14ac:dyDescent="0.25">
      <c r="B269" s="212"/>
      <c r="C269" s="212"/>
      <c r="D269" s="212"/>
    </row>
    <row r="270" spans="2:4" ht="12.5" x14ac:dyDescent="0.25">
      <c r="B270" s="212"/>
      <c r="C270" s="212"/>
      <c r="D270" s="212"/>
    </row>
    <row r="271" spans="2:4" ht="12.5" x14ac:dyDescent="0.25">
      <c r="B271" s="212"/>
      <c r="C271" s="212"/>
      <c r="D271" s="212"/>
    </row>
    <row r="272" spans="2:4" ht="12.5" x14ac:dyDescent="0.25">
      <c r="B272" s="212"/>
      <c r="C272" s="212"/>
      <c r="D272" s="212"/>
    </row>
    <row r="273" spans="2:4" ht="12.5" x14ac:dyDescent="0.25">
      <c r="B273" s="212"/>
      <c r="C273" s="212"/>
      <c r="D273" s="212"/>
    </row>
    <row r="274" spans="2:4" ht="12.5" x14ac:dyDescent="0.25">
      <c r="B274" s="212"/>
      <c r="C274" s="212"/>
      <c r="D274" s="212"/>
    </row>
    <row r="275" spans="2:4" ht="12.5" x14ac:dyDescent="0.25">
      <c r="B275" s="212"/>
      <c r="C275" s="212"/>
      <c r="D275" s="212"/>
    </row>
    <row r="276" spans="2:4" ht="12.5" x14ac:dyDescent="0.25">
      <c r="B276" s="212"/>
      <c r="C276" s="212"/>
      <c r="D276" s="212"/>
    </row>
    <row r="277" spans="2:4" ht="12.5" x14ac:dyDescent="0.25">
      <c r="B277" s="212"/>
      <c r="C277" s="212"/>
      <c r="D277" s="212"/>
    </row>
    <row r="278" spans="2:4" ht="12.5" x14ac:dyDescent="0.25">
      <c r="B278" s="212"/>
      <c r="C278" s="212"/>
      <c r="D278" s="212"/>
    </row>
    <row r="279" spans="2:4" ht="12.5" x14ac:dyDescent="0.25">
      <c r="B279" s="212"/>
      <c r="C279" s="212"/>
      <c r="D279" s="212"/>
    </row>
    <row r="280" spans="2:4" ht="12.5" x14ac:dyDescent="0.25">
      <c r="B280" s="212"/>
      <c r="C280" s="212"/>
      <c r="D280" s="212"/>
    </row>
    <row r="281" spans="2:4" ht="12.5" x14ac:dyDescent="0.25">
      <c r="B281" s="212"/>
      <c r="C281" s="212"/>
      <c r="D281" s="212"/>
    </row>
    <row r="282" spans="2:4" ht="12.5" x14ac:dyDescent="0.25">
      <c r="B282" s="212"/>
      <c r="C282" s="212"/>
      <c r="D282" s="212"/>
    </row>
    <row r="283" spans="2:4" ht="12.5" x14ac:dyDescent="0.25">
      <c r="B283" s="212"/>
      <c r="C283" s="212"/>
      <c r="D283" s="212"/>
    </row>
    <row r="284" spans="2:4" ht="12.5" x14ac:dyDescent="0.25">
      <c r="B284" s="212"/>
      <c r="C284" s="212"/>
      <c r="D284" s="212"/>
    </row>
    <row r="285" spans="2:4" ht="12.5" x14ac:dyDescent="0.25">
      <c r="B285" s="212"/>
      <c r="C285" s="212"/>
      <c r="D285" s="212"/>
    </row>
    <row r="286" spans="2:4" ht="12.5" x14ac:dyDescent="0.25">
      <c r="B286" s="212"/>
      <c r="C286" s="212"/>
      <c r="D286" s="212"/>
    </row>
    <row r="287" spans="2:4" ht="12.5" x14ac:dyDescent="0.25">
      <c r="B287" s="212"/>
      <c r="C287" s="212"/>
      <c r="D287" s="212"/>
    </row>
    <row r="288" spans="2:4" ht="12.5" x14ac:dyDescent="0.25">
      <c r="B288" s="212"/>
      <c r="C288" s="212"/>
      <c r="D288" s="212"/>
    </row>
    <row r="289" spans="2:4" ht="12.5" x14ac:dyDescent="0.25">
      <c r="B289" s="212"/>
      <c r="C289" s="212"/>
      <c r="D289" s="212"/>
    </row>
    <row r="290" spans="2:4" ht="12.5" x14ac:dyDescent="0.25">
      <c r="B290" s="212"/>
      <c r="C290" s="212"/>
      <c r="D290" s="212"/>
    </row>
    <row r="291" spans="2:4" ht="12.5" x14ac:dyDescent="0.25">
      <c r="B291" s="212"/>
      <c r="C291" s="212"/>
      <c r="D291" s="212"/>
    </row>
    <row r="292" spans="2:4" ht="12.5" x14ac:dyDescent="0.25">
      <c r="B292" s="212"/>
      <c r="C292" s="212"/>
      <c r="D292" s="212"/>
    </row>
    <row r="293" spans="2:4" ht="12.5" x14ac:dyDescent="0.25">
      <c r="B293" s="212"/>
      <c r="C293" s="212"/>
      <c r="D293" s="212"/>
    </row>
    <row r="294" spans="2:4" ht="12.5" x14ac:dyDescent="0.25">
      <c r="B294" s="212"/>
      <c r="C294" s="212"/>
      <c r="D294" s="212"/>
    </row>
    <row r="295" spans="2:4" ht="12.5" x14ac:dyDescent="0.25">
      <c r="B295" s="212"/>
      <c r="C295" s="212"/>
      <c r="D295" s="212"/>
    </row>
    <row r="296" spans="2:4" ht="12.5" x14ac:dyDescent="0.25">
      <c r="B296" s="212"/>
      <c r="C296" s="212"/>
      <c r="D296" s="212"/>
    </row>
    <row r="297" spans="2:4" ht="12.5" x14ac:dyDescent="0.25">
      <c r="B297" s="212"/>
      <c r="C297" s="212"/>
      <c r="D297" s="212"/>
    </row>
    <row r="298" spans="2:4" ht="12.5" x14ac:dyDescent="0.25">
      <c r="B298" s="212"/>
      <c r="C298" s="212"/>
      <c r="D298" s="212"/>
    </row>
    <row r="299" spans="2:4" ht="12.5" x14ac:dyDescent="0.25">
      <c r="B299" s="212"/>
      <c r="C299" s="212"/>
      <c r="D299" s="212"/>
    </row>
    <row r="300" spans="2:4" ht="12.5" x14ac:dyDescent="0.25">
      <c r="B300" s="212"/>
      <c r="C300" s="212"/>
      <c r="D300" s="212"/>
    </row>
    <row r="301" spans="2:4" ht="12.5" x14ac:dyDescent="0.25">
      <c r="B301" s="212"/>
      <c r="C301" s="212"/>
      <c r="D301" s="212"/>
    </row>
    <row r="302" spans="2:4" ht="12.5" x14ac:dyDescent="0.25">
      <c r="B302" s="212"/>
      <c r="C302" s="212"/>
      <c r="D302" s="212"/>
    </row>
    <row r="303" spans="2:4" ht="12.5" x14ac:dyDescent="0.25">
      <c r="B303" s="212"/>
      <c r="C303" s="212"/>
      <c r="D303" s="212"/>
    </row>
    <row r="304" spans="2:4" ht="12.5" x14ac:dyDescent="0.25">
      <c r="B304" s="212"/>
      <c r="C304" s="212"/>
      <c r="D304" s="212"/>
    </row>
    <row r="305" spans="2:4" ht="12.5" x14ac:dyDescent="0.25">
      <c r="B305" s="212"/>
      <c r="C305" s="212"/>
      <c r="D305" s="212"/>
    </row>
    <row r="306" spans="2:4" ht="12.5" x14ac:dyDescent="0.25">
      <c r="B306" s="212"/>
      <c r="C306" s="212"/>
      <c r="D306" s="212"/>
    </row>
    <row r="307" spans="2:4" ht="12.5" x14ac:dyDescent="0.25">
      <c r="B307" s="212"/>
      <c r="C307" s="212"/>
      <c r="D307" s="212"/>
    </row>
    <row r="308" spans="2:4" ht="12.5" x14ac:dyDescent="0.25">
      <c r="B308" s="212"/>
      <c r="C308" s="212"/>
      <c r="D308" s="212"/>
    </row>
    <row r="309" spans="2:4" ht="12.5" x14ac:dyDescent="0.25">
      <c r="B309" s="212"/>
      <c r="C309" s="212"/>
      <c r="D309" s="212"/>
    </row>
    <row r="310" spans="2:4" ht="12.5" x14ac:dyDescent="0.25">
      <c r="B310" s="212"/>
      <c r="C310" s="212"/>
      <c r="D310" s="212"/>
    </row>
    <row r="311" spans="2:4" ht="12.5" x14ac:dyDescent="0.25">
      <c r="B311" s="212"/>
      <c r="C311" s="212"/>
      <c r="D311" s="212"/>
    </row>
    <row r="312" spans="2:4" ht="12.5" x14ac:dyDescent="0.25">
      <c r="B312" s="212"/>
      <c r="C312" s="212"/>
      <c r="D312" s="212"/>
    </row>
    <row r="313" spans="2:4" ht="12.5" x14ac:dyDescent="0.25">
      <c r="B313" s="212"/>
      <c r="C313" s="212"/>
      <c r="D313" s="212"/>
    </row>
    <row r="314" spans="2:4" ht="12.5" x14ac:dyDescent="0.25">
      <c r="B314" s="212"/>
      <c r="C314" s="212"/>
      <c r="D314" s="212"/>
    </row>
    <row r="315" spans="2:4" ht="12.5" x14ac:dyDescent="0.25">
      <c r="B315" s="212"/>
      <c r="C315" s="212"/>
      <c r="D315" s="212"/>
    </row>
    <row r="316" spans="2:4" ht="12.5" x14ac:dyDescent="0.25">
      <c r="B316" s="212"/>
      <c r="C316" s="212"/>
      <c r="D316" s="212"/>
    </row>
    <row r="317" spans="2:4" ht="12.5" x14ac:dyDescent="0.25">
      <c r="B317" s="212"/>
      <c r="C317" s="212"/>
      <c r="D317" s="212"/>
    </row>
    <row r="318" spans="2:4" ht="12.5" x14ac:dyDescent="0.25">
      <c r="B318" s="212"/>
      <c r="C318" s="212"/>
      <c r="D318" s="212"/>
    </row>
    <row r="319" spans="2:4" ht="12.5" x14ac:dyDescent="0.25">
      <c r="B319" s="212"/>
      <c r="C319" s="212"/>
      <c r="D319" s="212"/>
    </row>
    <row r="320" spans="2:4" ht="12.5" x14ac:dyDescent="0.25">
      <c r="B320" s="212"/>
      <c r="C320" s="212"/>
      <c r="D320" s="212"/>
    </row>
    <row r="321" spans="2:4" ht="12.5" x14ac:dyDescent="0.25">
      <c r="B321" s="212"/>
      <c r="C321" s="212"/>
      <c r="D321" s="212"/>
    </row>
    <row r="322" spans="2:4" ht="12.5" x14ac:dyDescent="0.25">
      <c r="B322" s="212"/>
      <c r="C322" s="212"/>
      <c r="D322" s="212"/>
    </row>
    <row r="323" spans="2:4" ht="12.5" x14ac:dyDescent="0.25">
      <c r="B323" s="212"/>
      <c r="C323" s="212"/>
      <c r="D323" s="212"/>
    </row>
    <row r="324" spans="2:4" ht="12.5" x14ac:dyDescent="0.25">
      <c r="B324" s="212"/>
      <c r="C324" s="212"/>
      <c r="D324" s="212"/>
    </row>
    <row r="325" spans="2:4" ht="12.5" x14ac:dyDescent="0.25">
      <c r="B325" s="212"/>
      <c r="C325" s="212"/>
      <c r="D325" s="212"/>
    </row>
    <row r="326" spans="2:4" ht="12.5" x14ac:dyDescent="0.25">
      <c r="B326" s="212"/>
      <c r="C326" s="212"/>
      <c r="D326" s="212"/>
    </row>
    <row r="327" spans="2:4" ht="12.5" x14ac:dyDescent="0.25">
      <c r="B327" s="212"/>
      <c r="C327" s="212"/>
      <c r="D327" s="212"/>
    </row>
    <row r="328" spans="2:4" ht="12.5" x14ac:dyDescent="0.25">
      <c r="B328" s="212"/>
      <c r="C328" s="212"/>
      <c r="D328" s="212"/>
    </row>
    <row r="329" spans="2:4" ht="12.5" x14ac:dyDescent="0.25">
      <c r="B329" s="212"/>
      <c r="C329" s="212"/>
      <c r="D329" s="212"/>
    </row>
    <row r="330" spans="2:4" ht="12.5" x14ac:dyDescent="0.25">
      <c r="B330" s="212"/>
      <c r="C330" s="212"/>
      <c r="D330" s="212"/>
    </row>
    <row r="331" spans="2:4" ht="12.5" x14ac:dyDescent="0.25">
      <c r="B331" s="212"/>
      <c r="C331" s="212"/>
      <c r="D331" s="212"/>
    </row>
    <row r="332" spans="2:4" ht="12.5" x14ac:dyDescent="0.25">
      <c r="B332" s="212"/>
      <c r="C332" s="212"/>
      <c r="D332" s="212"/>
    </row>
    <row r="333" spans="2:4" ht="12.5" x14ac:dyDescent="0.25">
      <c r="B333" s="212"/>
      <c r="C333" s="212"/>
      <c r="D333" s="212"/>
    </row>
    <row r="334" spans="2:4" ht="12.5" x14ac:dyDescent="0.25">
      <c r="B334" s="212"/>
      <c r="C334" s="212"/>
      <c r="D334" s="212"/>
    </row>
    <row r="335" spans="2:4" ht="12.5" x14ac:dyDescent="0.25">
      <c r="B335" s="212"/>
      <c r="C335" s="212"/>
      <c r="D335" s="212"/>
    </row>
    <row r="336" spans="2:4" ht="12.5" x14ac:dyDescent="0.25">
      <c r="B336" s="212"/>
      <c r="C336" s="212"/>
      <c r="D336" s="212"/>
    </row>
    <row r="337" spans="2:4" ht="12.5" x14ac:dyDescent="0.25">
      <c r="B337" s="212"/>
      <c r="C337" s="212"/>
      <c r="D337" s="212"/>
    </row>
    <row r="338" spans="2:4" ht="12.5" x14ac:dyDescent="0.25">
      <c r="B338" s="212"/>
      <c r="C338" s="212"/>
      <c r="D338" s="212"/>
    </row>
    <row r="339" spans="2:4" ht="12.5" x14ac:dyDescent="0.25">
      <c r="B339" s="212"/>
      <c r="C339" s="212"/>
      <c r="D339" s="212"/>
    </row>
    <row r="340" spans="2:4" ht="12.5" x14ac:dyDescent="0.25">
      <c r="B340" s="212"/>
      <c r="C340" s="212"/>
      <c r="D340" s="212"/>
    </row>
    <row r="341" spans="2:4" ht="12.5" x14ac:dyDescent="0.25">
      <c r="B341" s="212"/>
      <c r="C341" s="212"/>
      <c r="D341" s="212"/>
    </row>
    <row r="342" spans="2:4" ht="12.5" x14ac:dyDescent="0.25">
      <c r="B342" s="212"/>
      <c r="C342" s="212"/>
      <c r="D342" s="212"/>
    </row>
    <row r="343" spans="2:4" ht="12.5" x14ac:dyDescent="0.25">
      <c r="B343" s="212"/>
      <c r="C343" s="212"/>
      <c r="D343" s="212"/>
    </row>
    <row r="344" spans="2:4" ht="12.5" x14ac:dyDescent="0.25">
      <c r="B344" s="212"/>
      <c r="C344" s="212"/>
      <c r="D344" s="212"/>
    </row>
    <row r="345" spans="2:4" ht="12.5" x14ac:dyDescent="0.25">
      <c r="B345" s="212"/>
      <c r="C345" s="212"/>
      <c r="D345" s="212"/>
    </row>
    <row r="346" spans="2:4" ht="12.5" x14ac:dyDescent="0.25">
      <c r="B346" s="212"/>
      <c r="C346" s="212"/>
      <c r="D346" s="212"/>
    </row>
    <row r="347" spans="2:4" ht="12.5" x14ac:dyDescent="0.25">
      <c r="B347" s="212"/>
      <c r="C347" s="212"/>
      <c r="D347" s="212"/>
    </row>
    <row r="348" spans="2:4" ht="12.5" x14ac:dyDescent="0.25">
      <c r="B348" s="212"/>
      <c r="C348" s="212"/>
      <c r="D348" s="212"/>
    </row>
    <row r="349" spans="2:4" ht="12.5" x14ac:dyDescent="0.25">
      <c r="B349" s="212"/>
      <c r="C349" s="212"/>
      <c r="D349" s="212"/>
    </row>
    <row r="350" spans="2:4" ht="12.5" x14ac:dyDescent="0.25">
      <c r="B350" s="212"/>
      <c r="C350" s="212"/>
      <c r="D350" s="212"/>
    </row>
    <row r="351" spans="2:4" ht="12.5" x14ac:dyDescent="0.25">
      <c r="B351" s="212"/>
      <c r="C351" s="212"/>
      <c r="D351" s="212"/>
    </row>
    <row r="352" spans="2:4" ht="12.5" x14ac:dyDescent="0.25">
      <c r="B352" s="212"/>
      <c r="C352" s="212"/>
      <c r="D352" s="212"/>
    </row>
    <row r="353" spans="2:4" ht="12.5" x14ac:dyDescent="0.25">
      <c r="B353" s="212"/>
      <c r="C353" s="212"/>
      <c r="D353" s="212"/>
    </row>
    <row r="354" spans="2:4" ht="12.5" x14ac:dyDescent="0.25">
      <c r="B354" s="212"/>
      <c r="C354" s="212"/>
      <c r="D354" s="212"/>
    </row>
    <row r="355" spans="2:4" ht="12.5" x14ac:dyDescent="0.25">
      <c r="B355" s="212"/>
      <c r="C355" s="212"/>
      <c r="D355" s="212"/>
    </row>
    <row r="356" spans="2:4" ht="12.5" x14ac:dyDescent="0.25">
      <c r="B356" s="212"/>
      <c r="C356" s="212"/>
      <c r="D356" s="212"/>
    </row>
    <row r="357" spans="2:4" ht="12.5" x14ac:dyDescent="0.25">
      <c r="B357" s="212"/>
      <c r="C357" s="212"/>
      <c r="D357" s="212"/>
    </row>
    <row r="358" spans="2:4" ht="12.5" x14ac:dyDescent="0.25">
      <c r="B358" s="212"/>
      <c r="C358" s="212"/>
      <c r="D358" s="212"/>
    </row>
    <row r="359" spans="2:4" ht="12.5" x14ac:dyDescent="0.25">
      <c r="B359" s="212"/>
      <c r="C359" s="212"/>
      <c r="D359" s="212"/>
    </row>
    <row r="360" spans="2:4" ht="12.5" x14ac:dyDescent="0.25">
      <c r="B360" s="212"/>
      <c r="C360" s="212"/>
      <c r="D360" s="212"/>
    </row>
    <row r="361" spans="2:4" ht="12.5" x14ac:dyDescent="0.25">
      <c r="B361" s="212"/>
      <c r="C361" s="212"/>
      <c r="D361" s="212"/>
    </row>
    <row r="362" spans="2:4" ht="12.5" x14ac:dyDescent="0.25">
      <c r="B362" s="212"/>
      <c r="C362" s="212"/>
      <c r="D362" s="212"/>
    </row>
    <row r="363" spans="2:4" ht="12.5" x14ac:dyDescent="0.25">
      <c r="B363" s="212"/>
      <c r="C363" s="212"/>
      <c r="D363" s="212"/>
    </row>
    <row r="364" spans="2:4" ht="12.5" x14ac:dyDescent="0.25">
      <c r="B364" s="212"/>
      <c r="C364" s="212"/>
      <c r="D364" s="212"/>
    </row>
    <row r="365" spans="2:4" ht="12.5" x14ac:dyDescent="0.25">
      <c r="B365" s="212"/>
      <c r="C365" s="212"/>
      <c r="D365" s="212"/>
    </row>
    <row r="366" spans="2:4" ht="12.5" x14ac:dyDescent="0.25">
      <c r="B366" s="212"/>
      <c r="C366" s="212"/>
      <c r="D366" s="212"/>
    </row>
    <row r="367" spans="2:4" ht="12.5" x14ac:dyDescent="0.25">
      <c r="B367" s="212"/>
      <c r="C367" s="212"/>
      <c r="D367" s="212"/>
    </row>
    <row r="368" spans="2:4" ht="12.5" x14ac:dyDescent="0.25">
      <c r="B368" s="212"/>
      <c r="C368" s="212"/>
      <c r="D368" s="212"/>
    </row>
    <row r="369" spans="2:4" ht="12.5" x14ac:dyDescent="0.25">
      <c r="B369" s="212"/>
      <c r="C369" s="212"/>
      <c r="D369" s="212"/>
    </row>
    <row r="370" spans="2:4" ht="12.5" x14ac:dyDescent="0.25">
      <c r="B370" s="212"/>
      <c r="C370" s="212"/>
      <c r="D370" s="212"/>
    </row>
    <row r="371" spans="2:4" ht="12.5" x14ac:dyDescent="0.25">
      <c r="B371" s="212"/>
      <c r="C371" s="212"/>
      <c r="D371" s="212"/>
    </row>
    <row r="372" spans="2:4" ht="12.5" x14ac:dyDescent="0.25">
      <c r="B372" s="212"/>
      <c r="C372" s="212"/>
      <c r="D372" s="212"/>
    </row>
    <row r="373" spans="2:4" ht="12.5" x14ac:dyDescent="0.25">
      <c r="B373" s="212"/>
      <c r="C373" s="212"/>
      <c r="D373" s="212"/>
    </row>
    <row r="374" spans="2:4" ht="12.5" x14ac:dyDescent="0.25">
      <c r="B374" s="212"/>
      <c r="C374" s="212"/>
      <c r="D374" s="212"/>
    </row>
    <row r="375" spans="2:4" ht="12.5" x14ac:dyDescent="0.25">
      <c r="B375" s="212"/>
      <c r="C375" s="212"/>
      <c r="D375" s="212"/>
    </row>
    <row r="376" spans="2:4" ht="12.5" x14ac:dyDescent="0.25">
      <c r="B376" s="212"/>
      <c r="C376" s="212"/>
      <c r="D376" s="212"/>
    </row>
    <row r="377" spans="2:4" ht="12.5" x14ac:dyDescent="0.25">
      <c r="B377" s="212"/>
      <c r="C377" s="212"/>
      <c r="D377" s="212"/>
    </row>
    <row r="378" spans="2:4" ht="12.5" x14ac:dyDescent="0.25">
      <c r="B378" s="212"/>
      <c r="C378" s="212"/>
      <c r="D378" s="212"/>
    </row>
    <row r="379" spans="2:4" ht="12.5" x14ac:dyDescent="0.25">
      <c r="B379" s="212"/>
      <c r="C379" s="212"/>
      <c r="D379" s="212"/>
    </row>
    <row r="380" spans="2:4" ht="12.5" x14ac:dyDescent="0.25">
      <c r="B380" s="212"/>
      <c r="C380" s="212"/>
      <c r="D380" s="212"/>
    </row>
    <row r="381" spans="2:4" ht="12.5" x14ac:dyDescent="0.25">
      <c r="B381" s="212"/>
      <c r="C381" s="212"/>
      <c r="D381" s="212"/>
    </row>
    <row r="382" spans="2:4" ht="12.5" x14ac:dyDescent="0.25">
      <c r="B382" s="212"/>
      <c r="C382" s="212"/>
      <c r="D382" s="212"/>
    </row>
    <row r="383" spans="2:4" ht="12.5" x14ac:dyDescent="0.25">
      <c r="B383" s="212"/>
      <c r="C383" s="212"/>
      <c r="D383" s="212"/>
    </row>
    <row r="384" spans="2:4" ht="12.5" x14ac:dyDescent="0.25">
      <c r="B384" s="212"/>
      <c r="C384" s="212"/>
      <c r="D384" s="212"/>
    </row>
    <row r="385" spans="2:4" ht="12.5" x14ac:dyDescent="0.25">
      <c r="B385" s="212"/>
      <c r="C385" s="212"/>
      <c r="D385" s="212"/>
    </row>
    <row r="386" spans="2:4" ht="12.5" x14ac:dyDescent="0.25">
      <c r="B386" s="212"/>
      <c r="C386" s="212"/>
      <c r="D386" s="212"/>
    </row>
    <row r="387" spans="2:4" ht="12.5" x14ac:dyDescent="0.25">
      <c r="B387" s="212"/>
      <c r="C387" s="212"/>
      <c r="D387" s="212"/>
    </row>
    <row r="388" spans="2:4" ht="12.5" x14ac:dyDescent="0.25">
      <c r="B388" s="212"/>
      <c r="C388" s="212"/>
      <c r="D388" s="212"/>
    </row>
    <row r="389" spans="2:4" ht="12.5" x14ac:dyDescent="0.25">
      <c r="B389" s="212"/>
      <c r="C389" s="212"/>
      <c r="D389" s="212"/>
    </row>
    <row r="390" spans="2:4" ht="12.5" x14ac:dyDescent="0.25">
      <c r="B390" s="212"/>
      <c r="C390" s="212"/>
      <c r="D390" s="212"/>
    </row>
    <row r="391" spans="2:4" ht="12.5" x14ac:dyDescent="0.25">
      <c r="B391" s="212"/>
      <c r="C391" s="212"/>
      <c r="D391" s="212"/>
    </row>
    <row r="392" spans="2:4" ht="12.5" x14ac:dyDescent="0.25">
      <c r="B392" s="212"/>
      <c r="C392" s="212"/>
      <c r="D392" s="212"/>
    </row>
    <row r="393" spans="2:4" ht="12.5" x14ac:dyDescent="0.25">
      <c r="B393" s="212"/>
      <c r="C393" s="212"/>
      <c r="D393" s="212"/>
    </row>
    <row r="394" spans="2:4" ht="12.5" x14ac:dyDescent="0.25">
      <c r="B394" s="212"/>
      <c r="C394" s="212"/>
      <c r="D394" s="212"/>
    </row>
    <row r="395" spans="2:4" ht="12.5" x14ac:dyDescent="0.25">
      <c r="B395" s="212"/>
      <c r="C395" s="212"/>
      <c r="D395" s="212"/>
    </row>
    <row r="396" spans="2:4" ht="12.5" x14ac:dyDescent="0.25">
      <c r="B396" s="212"/>
      <c r="C396" s="212"/>
      <c r="D396" s="212"/>
    </row>
    <row r="397" spans="2:4" ht="12.5" x14ac:dyDescent="0.25">
      <c r="B397" s="212"/>
      <c r="C397" s="212"/>
      <c r="D397" s="212"/>
    </row>
    <row r="398" spans="2:4" ht="12.5" x14ac:dyDescent="0.25">
      <c r="B398" s="212"/>
      <c r="C398" s="212"/>
      <c r="D398" s="212"/>
    </row>
    <row r="399" spans="2:4" ht="12.5" x14ac:dyDescent="0.25">
      <c r="B399" s="212"/>
      <c r="C399" s="212"/>
      <c r="D399" s="212"/>
    </row>
    <row r="400" spans="2:4" ht="12.5" x14ac:dyDescent="0.25">
      <c r="B400" s="212"/>
      <c r="C400" s="212"/>
      <c r="D400" s="212"/>
    </row>
    <row r="401" spans="2:4" ht="12.5" x14ac:dyDescent="0.25">
      <c r="B401" s="212"/>
      <c r="C401" s="212"/>
      <c r="D401" s="212"/>
    </row>
    <row r="402" spans="2:4" ht="12.5" x14ac:dyDescent="0.25">
      <c r="B402" s="212"/>
      <c r="C402" s="212"/>
      <c r="D402" s="212"/>
    </row>
    <row r="403" spans="2:4" ht="12.5" x14ac:dyDescent="0.25">
      <c r="B403" s="212"/>
      <c r="C403" s="212"/>
      <c r="D403" s="212"/>
    </row>
    <row r="404" spans="2:4" ht="12.5" x14ac:dyDescent="0.25">
      <c r="B404" s="212"/>
      <c r="C404" s="212"/>
      <c r="D404" s="212"/>
    </row>
    <row r="405" spans="2:4" ht="12.5" x14ac:dyDescent="0.25">
      <c r="B405" s="212"/>
      <c r="C405" s="212"/>
      <c r="D405" s="212"/>
    </row>
    <row r="406" spans="2:4" ht="12.5" x14ac:dyDescent="0.25">
      <c r="B406" s="212"/>
      <c r="C406" s="212"/>
      <c r="D406" s="212"/>
    </row>
    <row r="407" spans="2:4" ht="12.5" x14ac:dyDescent="0.25">
      <c r="B407" s="212"/>
      <c r="C407" s="212"/>
      <c r="D407" s="212"/>
    </row>
    <row r="408" spans="2:4" ht="12.5" x14ac:dyDescent="0.25">
      <c r="B408" s="212"/>
      <c r="C408" s="212"/>
      <c r="D408" s="212"/>
    </row>
    <row r="409" spans="2:4" ht="12.5" x14ac:dyDescent="0.25">
      <c r="B409" s="212"/>
      <c r="C409" s="212"/>
      <c r="D409" s="212"/>
    </row>
    <row r="410" spans="2:4" ht="12.5" x14ac:dyDescent="0.25">
      <c r="B410" s="212"/>
      <c r="C410" s="212"/>
      <c r="D410" s="212"/>
    </row>
    <row r="411" spans="2:4" ht="12.5" x14ac:dyDescent="0.25">
      <c r="B411" s="212"/>
      <c r="C411" s="212"/>
      <c r="D411" s="212"/>
    </row>
    <row r="412" spans="2:4" ht="12.5" x14ac:dyDescent="0.25">
      <c r="B412" s="212"/>
      <c r="C412" s="212"/>
      <c r="D412" s="212"/>
    </row>
    <row r="413" spans="2:4" ht="12.5" x14ac:dyDescent="0.25">
      <c r="B413" s="212"/>
      <c r="C413" s="212"/>
      <c r="D413" s="212"/>
    </row>
    <row r="414" spans="2:4" ht="12.5" x14ac:dyDescent="0.25">
      <c r="B414" s="212"/>
      <c r="C414" s="212"/>
      <c r="D414" s="212"/>
    </row>
    <row r="415" spans="2:4" ht="12.5" x14ac:dyDescent="0.25">
      <c r="B415" s="212"/>
      <c r="C415" s="212"/>
      <c r="D415" s="212"/>
    </row>
    <row r="416" spans="2:4" ht="12.5" x14ac:dyDescent="0.25">
      <c r="B416" s="212"/>
      <c r="C416" s="212"/>
      <c r="D416" s="212"/>
    </row>
    <row r="417" spans="2:4" ht="12.5" x14ac:dyDescent="0.25">
      <c r="B417" s="212"/>
      <c r="C417" s="212"/>
      <c r="D417" s="212"/>
    </row>
    <row r="418" spans="2:4" ht="12.5" x14ac:dyDescent="0.25">
      <c r="B418" s="212"/>
      <c r="C418" s="212"/>
      <c r="D418" s="212"/>
    </row>
    <row r="419" spans="2:4" ht="12.5" x14ac:dyDescent="0.25">
      <c r="B419" s="212"/>
      <c r="C419" s="212"/>
      <c r="D419" s="212"/>
    </row>
    <row r="420" spans="2:4" ht="12.5" x14ac:dyDescent="0.25">
      <c r="B420" s="212"/>
      <c r="C420" s="212"/>
      <c r="D420" s="212"/>
    </row>
    <row r="421" spans="2:4" ht="12.5" x14ac:dyDescent="0.25">
      <c r="B421" s="212"/>
      <c r="C421" s="212"/>
      <c r="D421" s="212"/>
    </row>
    <row r="422" spans="2:4" ht="12.5" x14ac:dyDescent="0.25">
      <c r="B422" s="212"/>
      <c r="C422" s="212"/>
      <c r="D422" s="212"/>
    </row>
    <row r="423" spans="2:4" ht="12.5" x14ac:dyDescent="0.25">
      <c r="B423" s="212"/>
      <c r="C423" s="212"/>
      <c r="D423" s="212"/>
    </row>
    <row r="424" spans="2:4" ht="12.5" x14ac:dyDescent="0.25">
      <c r="B424" s="212"/>
      <c r="C424" s="212"/>
      <c r="D424" s="212"/>
    </row>
    <row r="425" spans="2:4" ht="12.5" x14ac:dyDescent="0.25">
      <c r="B425" s="212"/>
      <c r="C425" s="212"/>
      <c r="D425" s="212"/>
    </row>
    <row r="426" spans="2:4" ht="12.5" x14ac:dyDescent="0.25">
      <c r="B426" s="212"/>
      <c r="C426" s="212"/>
      <c r="D426" s="212"/>
    </row>
    <row r="427" spans="2:4" ht="12.5" x14ac:dyDescent="0.25">
      <c r="B427" s="212"/>
      <c r="C427" s="212"/>
      <c r="D427" s="212"/>
    </row>
    <row r="428" spans="2:4" ht="12.5" x14ac:dyDescent="0.25">
      <c r="B428" s="212"/>
      <c r="C428" s="212"/>
      <c r="D428" s="212"/>
    </row>
    <row r="429" spans="2:4" ht="12.5" x14ac:dyDescent="0.25">
      <c r="B429" s="212"/>
      <c r="C429" s="212"/>
      <c r="D429" s="212"/>
    </row>
    <row r="430" spans="2:4" ht="12.5" x14ac:dyDescent="0.25">
      <c r="B430" s="212"/>
      <c r="C430" s="212"/>
      <c r="D430" s="212"/>
    </row>
    <row r="431" spans="2:4" ht="12.5" x14ac:dyDescent="0.25">
      <c r="B431" s="212"/>
      <c r="C431" s="212"/>
      <c r="D431" s="212"/>
    </row>
    <row r="432" spans="2:4" ht="12.5" x14ac:dyDescent="0.25">
      <c r="B432" s="212"/>
      <c r="C432" s="212"/>
      <c r="D432" s="212"/>
    </row>
    <row r="433" spans="2:4" ht="12.5" x14ac:dyDescent="0.25">
      <c r="B433" s="212"/>
      <c r="C433" s="212"/>
      <c r="D433" s="212"/>
    </row>
    <row r="434" spans="2:4" ht="12.5" x14ac:dyDescent="0.25">
      <c r="B434" s="212"/>
      <c r="C434" s="212"/>
      <c r="D434" s="212"/>
    </row>
    <row r="435" spans="2:4" ht="12.5" x14ac:dyDescent="0.25">
      <c r="B435" s="212"/>
      <c r="C435" s="212"/>
      <c r="D435" s="212"/>
    </row>
    <row r="436" spans="2:4" ht="12.5" x14ac:dyDescent="0.25">
      <c r="B436" s="212"/>
      <c r="C436" s="212"/>
      <c r="D436" s="212"/>
    </row>
    <row r="437" spans="2:4" ht="12.5" x14ac:dyDescent="0.25">
      <c r="B437" s="212"/>
      <c r="C437" s="212"/>
      <c r="D437" s="212"/>
    </row>
    <row r="438" spans="2:4" ht="12.5" x14ac:dyDescent="0.25">
      <c r="B438" s="212"/>
      <c r="C438" s="212"/>
      <c r="D438" s="212"/>
    </row>
    <row r="439" spans="2:4" ht="12.5" x14ac:dyDescent="0.25">
      <c r="B439" s="212"/>
      <c r="C439" s="212"/>
      <c r="D439" s="212"/>
    </row>
    <row r="440" spans="2:4" ht="12.5" x14ac:dyDescent="0.25">
      <c r="B440" s="212"/>
      <c r="C440" s="212"/>
      <c r="D440" s="212"/>
    </row>
    <row r="441" spans="2:4" ht="12.5" x14ac:dyDescent="0.25">
      <c r="B441" s="212"/>
      <c r="C441" s="212"/>
      <c r="D441" s="212"/>
    </row>
    <row r="442" spans="2:4" ht="12.5" x14ac:dyDescent="0.25">
      <c r="B442" s="212"/>
      <c r="C442" s="212"/>
      <c r="D442" s="212"/>
    </row>
    <row r="443" spans="2:4" ht="12.5" x14ac:dyDescent="0.25">
      <c r="B443" s="212"/>
      <c r="C443" s="212"/>
      <c r="D443" s="212"/>
    </row>
    <row r="444" spans="2:4" ht="12.5" x14ac:dyDescent="0.25">
      <c r="B444" s="212"/>
      <c r="C444" s="212"/>
      <c r="D444" s="212"/>
    </row>
    <row r="445" spans="2:4" ht="12.5" x14ac:dyDescent="0.25">
      <c r="B445" s="212"/>
      <c r="C445" s="212"/>
      <c r="D445" s="212"/>
    </row>
    <row r="446" spans="2:4" ht="12.5" x14ac:dyDescent="0.25">
      <c r="B446" s="212"/>
      <c r="C446" s="212"/>
      <c r="D446" s="212"/>
    </row>
    <row r="447" spans="2:4" ht="12.5" x14ac:dyDescent="0.25">
      <c r="B447" s="212"/>
      <c r="C447" s="212"/>
      <c r="D447" s="212"/>
    </row>
    <row r="448" spans="2:4" ht="12.5" x14ac:dyDescent="0.25">
      <c r="B448" s="212"/>
      <c r="C448" s="212"/>
      <c r="D448" s="212"/>
    </row>
    <row r="449" spans="2:4" ht="12.5" x14ac:dyDescent="0.25">
      <c r="B449" s="212"/>
      <c r="C449" s="212"/>
      <c r="D449" s="212"/>
    </row>
    <row r="450" spans="2:4" ht="12.5" x14ac:dyDescent="0.25">
      <c r="B450" s="212"/>
      <c r="C450" s="212"/>
      <c r="D450" s="212"/>
    </row>
    <row r="451" spans="2:4" ht="12.5" x14ac:dyDescent="0.25">
      <c r="B451" s="212"/>
      <c r="C451" s="212"/>
      <c r="D451" s="212"/>
    </row>
    <row r="452" spans="2:4" ht="12.5" x14ac:dyDescent="0.25">
      <c r="B452" s="212"/>
      <c r="C452" s="212"/>
      <c r="D452" s="212"/>
    </row>
    <row r="453" spans="2:4" ht="12.5" x14ac:dyDescent="0.25">
      <c r="B453" s="212"/>
      <c r="C453" s="212"/>
      <c r="D453" s="212"/>
    </row>
    <row r="454" spans="2:4" ht="12.5" x14ac:dyDescent="0.25">
      <c r="B454" s="212"/>
      <c r="C454" s="212"/>
      <c r="D454" s="212"/>
    </row>
    <row r="455" spans="2:4" ht="12.5" x14ac:dyDescent="0.25">
      <c r="B455" s="212"/>
      <c r="C455" s="212"/>
      <c r="D455" s="212"/>
    </row>
    <row r="456" spans="2:4" ht="12.5" x14ac:dyDescent="0.25">
      <c r="B456" s="212"/>
      <c r="C456" s="212"/>
      <c r="D456" s="212"/>
    </row>
    <row r="457" spans="2:4" ht="12.5" x14ac:dyDescent="0.25">
      <c r="B457" s="212"/>
      <c r="C457" s="212"/>
      <c r="D457" s="212"/>
    </row>
    <row r="458" spans="2:4" ht="12.5" x14ac:dyDescent="0.25">
      <c r="B458" s="212"/>
      <c r="C458" s="212"/>
      <c r="D458" s="212"/>
    </row>
    <row r="459" spans="2:4" ht="12.5" x14ac:dyDescent="0.25">
      <c r="B459" s="212"/>
      <c r="C459" s="212"/>
      <c r="D459" s="212"/>
    </row>
    <row r="460" spans="2:4" ht="12.5" x14ac:dyDescent="0.25">
      <c r="B460" s="212"/>
      <c r="C460" s="212"/>
      <c r="D460" s="212"/>
    </row>
    <row r="461" spans="2:4" ht="12.5" x14ac:dyDescent="0.25">
      <c r="B461" s="212"/>
      <c r="C461" s="212"/>
      <c r="D461" s="212"/>
    </row>
    <row r="462" spans="2:4" ht="12.5" x14ac:dyDescent="0.25">
      <c r="B462" s="212"/>
      <c r="C462" s="212"/>
      <c r="D462" s="212"/>
    </row>
    <row r="463" spans="2:4" ht="12.5" x14ac:dyDescent="0.25">
      <c r="B463" s="212"/>
      <c r="C463" s="212"/>
      <c r="D463" s="212"/>
    </row>
    <row r="464" spans="2:4" ht="12.5" x14ac:dyDescent="0.25">
      <c r="B464" s="212"/>
      <c r="C464" s="212"/>
      <c r="D464" s="212"/>
    </row>
    <row r="465" spans="2:4" ht="12.5" x14ac:dyDescent="0.25">
      <c r="B465" s="212"/>
      <c r="C465" s="212"/>
      <c r="D465" s="212"/>
    </row>
    <row r="466" spans="2:4" ht="12.5" x14ac:dyDescent="0.25">
      <c r="B466" s="212"/>
      <c r="C466" s="212"/>
      <c r="D466" s="212"/>
    </row>
    <row r="467" spans="2:4" ht="12.5" x14ac:dyDescent="0.25">
      <c r="B467" s="212"/>
      <c r="C467" s="212"/>
      <c r="D467" s="212"/>
    </row>
    <row r="468" spans="2:4" ht="12.5" x14ac:dyDescent="0.25">
      <c r="B468" s="212"/>
      <c r="C468" s="212"/>
      <c r="D468" s="212"/>
    </row>
    <row r="469" spans="2:4" ht="12.5" x14ac:dyDescent="0.25">
      <c r="B469" s="212"/>
      <c r="C469" s="212"/>
      <c r="D469" s="212"/>
    </row>
    <row r="470" spans="2:4" ht="12.5" x14ac:dyDescent="0.25">
      <c r="B470" s="212"/>
      <c r="C470" s="212"/>
      <c r="D470" s="212"/>
    </row>
    <row r="471" spans="2:4" ht="12.5" x14ac:dyDescent="0.25">
      <c r="B471" s="212"/>
      <c r="C471" s="212"/>
      <c r="D471" s="212"/>
    </row>
    <row r="472" spans="2:4" ht="12.5" x14ac:dyDescent="0.25">
      <c r="B472" s="212"/>
      <c r="C472" s="212"/>
      <c r="D472" s="212"/>
    </row>
    <row r="473" spans="2:4" ht="12.5" x14ac:dyDescent="0.25">
      <c r="B473" s="212"/>
      <c r="C473" s="212"/>
      <c r="D473" s="212"/>
    </row>
    <row r="474" spans="2:4" ht="12.5" x14ac:dyDescent="0.25">
      <c r="B474" s="212"/>
      <c r="C474" s="212"/>
      <c r="D474" s="212"/>
    </row>
    <row r="475" spans="2:4" ht="12.5" x14ac:dyDescent="0.25">
      <c r="B475" s="212"/>
      <c r="C475" s="212"/>
      <c r="D475" s="212"/>
    </row>
    <row r="476" spans="2:4" ht="12.5" x14ac:dyDescent="0.25">
      <c r="B476" s="212"/>
      <c r="C476" s="212"/>
      <c r="D476" s="212"/>
    </row>
    <row r="477" spans="2:4" ht="12.5" x14ac:dyDescent="0.25">
      <c r="B477" s="212"/>
      <c r="C477" s="212"/>
      <c r="D477" s="212"/>
    </row>
    <row r="478" spans="2:4" ht="12.5" x14ac:dyDescent="0.25">
      <c r="B478" s="212"/>
      <c r="C478" s="212"/>
      <c r="D478" s="212"/>
    </row>
    <row r="479" spans="2:4" ht="12.5" x14ac:dyDescent="0.25">
      <c r="B479" s="212"/>
      <c r="C479" s="212"/>
      <c r="D479" s="212"/>
    </row>
    <row r="480" spans="2:4" ht="12.5" x14ac:dyDescent="0.25">
      <c r="B480" s="212"/>
      <c r="C480" s="212"/>
      <c r="D480" s="212"/>
    </row>
    <row r="481" spans="2:4" ht="12.5" x14ac:dyDescent="0.25">
      <c r="B481" s="212"/>
      <c r="C481" s="212"/>
      <c r="D481" s="212"/>
    </row>
    <row r="482" spans="2:4" ht="12.5" x14ac:dyDescent="0.25">
      <c r="B482" s="212"/>
      <c r="C482" s="212"/>
      <c r="D482" s="212"/>
    </row>
    <row r="483" spans="2:4" ht="12.5" x14ac:dyDescent="0.25">
      <c r="B483" s="212"/>
      <c r="C483" s="212"/>
      <c r="D483" s="212"/>
    </row>
    <row r="484" spans="2:4" ht="12.5" x14ac:dyDescent="0.25">
      <c r="B484" s="212"/>
      <c r="C484" s="212"/>
      <c r="D484" s="212"/>
    </row>
    <row r="485" spans="2:4" ht="12.5" x14ac:dyDescent="0.25">
      <c r="B485" s="212"/>
      <c r="C485" s="212"/>
      <c r="D485" s="212"/>
    </row>
    <row r="486" spans="2:4" ht="12.5" x14ac:dyDescent="0.25">
      <c r="B486" s="212"/>
      <c r="C486" s="212"/>
      <c r="D486" s="212"/>
    </row>
    <row r="487" spans="2:4" ht="12.5" x14ac:dyDescent="0.25">
      <c r="B487" s="212"/>
      <c r="C487" s="212"/>
      <c r="D487" s="212"/>
    </row>
    <row r="488" spans="2:4" ht="12.5" x14ac:dyDescent="0.25">
      <c r="B488" s="212"/>
      <c r="C488" s="212"/>
      <c r="D488" s="212"/>
    </row>
    <row r="489" spans="2:4" ht="12.5" x14ac:dyDescent="0.25">
      <c r="B489" s="212"/>
      <c r="C489" s="212"/>
      <c r="D489" s="212"/>
    </row>
    <row r="490" spans="2:4" ht="12.5" x14ac:dyDescent="0.25">
      <c r="B490" s="212"/>
      <c r="C490" s="212"/>
      <c r="D490" s="212"/>
    </row>
    <row r="491" spans="2:4" ht="12.5" x14ac:dyDescent="0.25">
      <c r="B491" s="212"/>
      <c r="C491" s="212"/>
      <c r="D491" s="212"/>
    </row>
    <row r="492" spans="2:4" ht="12.5" x14ac:dyDescent="0.25">
      <c r="B492" s="212"/>
      <c r="C492" s="212"/>
      <c r="D492" s="212"/>
    </row>
    <row r="493" spans="2:4" ht="12.5" x14ac:dyDescent="0.25">
      <c r="B493" s="212"/>
      <c r="C493" s="212"/>
      <c r="D493" s="212"/>
    </row>
    <row r="494" spans="2:4" ht="12.5" x14ac:dyDescent="0.25">
      <c r="B494" s="212"/>
      <c r="C494" s="212"/>
      <c r="D494" s="212"/>
    </row>
    <row r="495" spans="2:4" ht="12.5" x14ac:dyDescent="0.25">
      <c r="B495" s="212"/>
      <c r="C495" s="212"/>
      <c r="D495" s="212"/>
    </row>
    <row r="496" spans="2:4" ht="12.5" x14ac:dyDescent="0.25">
      <c r="B496" s="212"/>
      <c r="C496" s="212"/>
      <c r="D496" s="212"/>
    </row>
    <row r="497" spans="2:4" ht="12.5" x14ac:dyDescent="0.25">
      <c r="B497" s="212"/>
      <c r="C497" s="212"/>
      <c r="D497" s="212"/>
    </row>
    <row r="498" spans="2:4" ht="12.5" x14ac:dyDescent="0.25">
      <c r="B498" s="212"/>
      <c r="C498" s="212"/>
      <c r="D498" s="212"/>
    </row>
    <row r="499" spans="2:4" ht="12.5" x14ac:dyDescent="0.25">
      <c r="B499" s="212"/>
      <c r="C499" s="212"/>
      <c r="D499" s="212"/>
    </row>
    <row r="500" spans="2:4" ht="12.5" x14ac:dyDescent="0.25">
      <c r="B500" s="212"/>
      <c r="C500" s="212"/>
      <c r="D500" s="212"/>
    </row>
    <row r="501" spans="2:4" ht="12.5" x14ac:dyDescent="0.25">
      <c r="B501" s="212"/>
      <c r="C501" s="212"/>
      <c r="D501" s="212"/>
    </row>
    <row r="502" spans="2:4" ht="12.5" x14ac:dyDescent="0.25">
      <c r="B502" s="212"/>
      <c r="C502" s="212"/>
      <c r="D502" s="212"/>
    </row>
    <row r="503" spans="2:4" ht="12.5" x14ac:dyDescent="0.25">
      <c r="B503" s="212"/>
      <c r="C503" s="212"/>
      <c r="D503" s="212"/>
    </row>
    <row r="504" spans="2:4" ht="12.5" x14ac:dyDescent="0.25">
      <c r="B504" s="212"/>
      <c r="C504" s="212"/>
      <c r="D504" s="212"/>
    </row>
    <row r="505" spans="2:4" ht="12.5" x14ac:dyDescent="0.25">
      <c r="B505" s="212"/>
      <c r="C505" s="212"/>
      <c r="D505" s="212"/>
    </row>
    <row r="506" spans="2:4" ht="12.5" x14ac:dyDescent="0.25">
      <c r="B506" s="212"/>
      <c r="C506" s="212"/>
      <c r="D506" s="212"/>
    </row>
    <row r="507" spans="2:4" ht="12.5" x14ac:dyDescent="0.25">
      <c r="B507" s="212"/>
      <c r="C507" s="212"/>
      <c r="D507" s="212"/>
    </row>
    <row r="508" spans="2:4" ht="12.5" x14ac:dyDescent="0.25">
      <c r="B508" s="212"/>
      <c r="C508" s="212"/>
      <c r="D508" s="212"/>
    </row>
    <row r="509" spans="2:4" ht="12.5" x14ac:dyDescent="0.25">
      <c r="B509" s="212"/>
      <c r="C509" s="212"/>
      <c r="D509" s="212"/>
    </row>
    <row r="510" spans="2:4" ht="12.5" x14ac:dyDescent="0.25">
      <c r="B510" s="212"/>
      <c r="C510" s="212"/>
      <c r="D510" s="212"/>
    </row>
    <row r="511" spans="2:4" ht="12.5" x14ac:dyDescent="0.25">
      <c r="B511" s="212"/>
      <c r="C511" s="212"/>
      <c r="D511" s="212"/>
    </row>
    <row r="512" spans="2:4" ht="12.5" x14ac:dyDescent="0.25">
      <c r="B512" s="212"/>
      <c r="C512" s="212"/>
      <c r="D512" s="212"/>
    </row>
    <row r="513" spans="2:4" ht="12.5" x14ac:dyDescent="0.25">
      <c r="B513" s="212"/>
      <c r="C513" s="212"/>
      <c r="D513" s="212"/>
    </row>
    <row r="514" spans="2:4" ht="12.5" x14ac:dyDescent="0.25">
      <c r="B514" s="212"/>
      <c r="C514" s="212"/>
      <c r="D514" s="212"/>
    </row>
    <row r="515" spans="2:4" ht="12.5" x14ac:dyDescent="0.25">
      <c r="B515" s="212"/>
      <c r="C515" s="212"/>
      <c r="D515" s="212"/>
    </row>
    <row r="516" spans="2:4" ht="12.5" x14ac:dyDescent="0.25">
      <c r="B516" s="212"/>
      <c r="C516" s="212"/>
      <c r="D516" s="212"/>
    </row>
    <row r="517" spans="2:4" ht="12.5" x14ac:dyDescent="0.25">
      <c r="B517" s="212"/>
      <c r="C517" s="212"/>
      <c r="D517" s="212"/>
    </row>
    <row r="518" spans="2:4" ht="12.5" x14ac:dyDescent="0.25">
      <c r="B518" s="212"/>
      <c r="C518" s="212"/>
      <c r="D518" s="212"/>
    </row>
    <row r="519" spans="2:4" ht="12.5" x14ac:dyDescent="0.25">
      <c r="B519" s="212"/>
      <c r="C519" s="212"/>
      <c r="D519" s="212"/>
    </row>
    <row r="520" spans="2:4" ht="12.5" x14ac:dyDescent="0.25">
      <c r="B520" s="212"/>
      <c r="C520" s="212"/>
      <c r="D520" s="212"/>
    </row>
    <row r="521" spans="2:4" ht="12.5" x14ac:dyDescent="0.25">
      <c r="B521" s="212"/>
      <c r="C521" s="212"/>
      <c r="D521" s="212"/>
    </row>
    <row r="522" spans="2:4" ht="12.5" x14ac:dyDescent="0.25">
      <c r="B522" s="212"/>
      <c r="C522" s="212"/>
      <c r="D522" s="212"/>
    </row>
    <row r="523" spans="2:4" ht="12.5" x14ac:dyDescent="0.25">
      <c r="B523" s="212"/>
      <c r="C523" s="212"/>
      <c r="D523" s="212"/>
    </row>
    <row r="524" spans="2:4" ht="12.5" x14ac:dyDescent="0.25">
      <c r="B524" s="212"/>
      <c r="C524" s="212"/>
      <c r="D524" s="212"/>
    </row>
    <row r="525" spans="2:4" ht="12.5" x14ac:dyDescent="0.25">
      <c r="B525" s="212"/>
      <c r="C525" s="212"/>
      <c r="D525" s="212"/>
    </row>
    <row r="526" spans="2:4" ht="12.5" x14ac:dyDescent="0.25">
      <c r="B526" s="212"/>
      <c r="C526" s="212"/>
      <c r="D526" s="212"/>
    </row>
    <row r="527" spans="2:4" ht="12.5" x14ac:dyDescent="0.25">
      <c r="B527" s="212"/>
      <c r="C527" s="212"/>
      <c r="D527" s="212"/>
    </row>
    <row r="528" spans="2:4" ht="12.5" x14ac:dyDescent="0.25">
      <c r="B528" s="212"/>
      <c r="C528" s="212"/>
      <c r="D528" s="212"/>
    </row>
    <row r="529" spans="2:4" ht="12.5" x14ac:dyDescent="0.25">
      <c r="B529" s="212"/>
      <c r="C529" s="212"/>
      <c r="D529" s="212"/>
    </row>
    <row r="530" spans="2:4" ht="12.5" x14ac:dyDescent="0.25">
      <c r="B530" s="212"/>
      <c r="C530" s="212"/>
      <c r="D530" s="212"/>
    </row>
    <row r="531" spans="2:4" ht="12.5" x14ac:dyDescent="0.25">
      <c r="B531" s="212"/>
      <c r="C531" s="212"/>
      <c r="D531" s="212"/>
    </row>
    <row r="532" spans="2:4" ht="12.5" x14ac:dyDescent="0.25">
      <c r="B532" s="212"/>
      <c r="C532" s="212"/>
      <c r="D532" s="212"/>
    </row>
    <row r="533" spans="2:4" ht="12.5" x14ac:dyDescent="0.25">
      <c r="B533" s="212"/>
      <c r="C533" s="212"/>
      <c r="D533" s="212"/>
    </row>
    <row r="534" spans="2:4" ht="12.5" x14ac:dyDescent="0.25">
      <c r="B534" s="212"/>
      <c r="C534" s="212"/>
      <c r="D534" s="212"/>
    </row>
    <row r="535" spans="2:4" ht="12.5" x14ac:dyDescent="0.25">
      <c r="B535" s="212"/>
      <c r="C535" s="212"/>
      <c r="D535" s="212"/>
    </row>
    <row r="536" spans="2:4" ht="12.5" x14ac:dyDescent="0.25">
      <c r="B536" s="212"/>
      <c r="C536" s="212"/>
      <c r="D536" s="212"/>
    </row>
    <row r="537" spans="2:4" ht="12.5" x14ac:dyDescent="0.25">
      <c r="B537" s="212"/>
      <c r="C537" s="212"/>
      <c r="D537" s="212"/>
    </row>
    <row r="538" spans="2:4" ht="12.5" x14ac:dyDescent="0.25">
      <c r="B538" s="212"/>
      <c r="C538" s="212"/>
      <c r="D538" s="212"/>
    </row>
    <row r="539" spans="2:4" ht="12.5" x14ac:dyDescent="0.25">
      <c r="B539" s="212"/>
      <c r="C539" s="212"/>
      <c r="D539" s="212"/>
    </row>
    <row r="540" spans="2:4" ht="12.5" x14ac:dyDescent="0.25">
      <c r="B540" s="212"/>
      <c r="C540" s="212"/>
      <c r="D540" s="212"/>
    </row>
    <row r="541" spans="2:4" ht="12.5" x14ac:dyDescent="0.25">
      <c r="B541" s="212"/>
      <c r="C541" s="212"/>
      <c r="D541" s="212"/>
    </row>
    <row r="542" spans="2:4" ht="12.5" x14ac:dyDescent="0.25">
      <c r="B542" s="212"/>
      <c r="C542" s="212"/>
      <c r="D542" s="212"/>
    </row>
    <row r="543" spans="2:4" ht="12.5" x14ac:dyDescent="0.25">
      <c r="B543" s="212"/>
      <c r="C543" s="212"/>
      <c r="D543" s="212"/>
    </row>
    <row r="544" spans="2:4" ht="12.5" x14ac:dyDescent="0.25">
      <c r="B544" s="212"/>
      <c r="C544" s="212"/>
      <c r="D544" s="212"/>
    </row>
    <row r="545" spans="2:4" ht="12.5" x14ac:dyDescent="0.25">
      <c r="B545" s="212"/>
      <c r="C545" s="212"/>
      <c r="D545" s="212"/>
    </row>
    <row r="546" spans="2:4" ht="12.5" x14ac:dyDescent="0.25">
      <c r="B546" s="212"/>
      <c r="C546" s="212"/>
      <c r="D546" s="212"/>
    </row>
    <row r="547" spans="2:4" ht="12.5" x14ac:dyDescent="0.25">
      <c r="B547" s="212"/>
      <c r="C547" s="212"/>
      <c r="D547" s="212"/>
    </row>
    <row r="548" spans="2:4" ht="12.5" x14ac:dyDescent="0.25">
      <c r="B548" s="212"/>
      <c r="C548" s="212"/>
      <c r="D548" s="212"/>
    </row>
    <row r="549" spans="2:4" ht="12.5" x14ac:dyDescent="0.25">
      <c r="B549" s="212"/>
      <c r="C549" s="212"/>
      <c r="D549" s="212"/>
    </row>
    <row r="550" spans="2:4" ht="12.5" x14ac:dyDescent="0.25">
      <c r="B550" s="212"/>
      <c r="C550" s="212"/>
      <c r="D550" s="212"/>
    </row>
    <row r="551" spans="2:4" ht="12.5" x14ac:dyDescent="0.25">
      <c r="B551" s="212"/>
      <c r="C551" s="212"/>
      <c r="D551" s="212"/>
    </row>
    <row r="552" spans="2:4" ht="12.5" x14ac:dyDescent="0.25">
      <c r="B552" s="212"/>
      <c r="C552" s="212"/>
      <c r="D552" s="212"/>
    </row>
    <row r="553" spans="2:4" ht="12.5" x14ac:dyDescent="0.25">
      <c r="B553" s="212"/>
      <c r="C553" s="212"/>
      <c r="D553" s="212"/>
    </row>
    <row r="554" spans="2:4" ht="12.5" x14ac:dyDescent="0.25">
      <c r="B554" s="212"/>
      <c r="C554" s="212"/>
      <c r="D554" s="212"/>
    </row>
    <row r="555" spans="2:4" ht="12.5" x14ac:dyDescent="0.25">
      <c r="B555" s="212"/>
      <c r="C555" s="212"/>
      <c r="D555" s="212"/>
    </row>
    <row r="556" spans="2:4" ht="12.5" x14ac:dyDescent="0.25">
      <c r="B556" s="212"/>
      <c r="C556" s="212"/>
      <c r="D556" s="212"/>
    </row>
    <row r="557" spans="2:4" ht="12.5" x14ac:dyDescent="0.25">
      <c r="B557" s="212"/>
      <c r="C557" s="212"/>
      <c r="D557" s="212"/>
    </row>
    <row r="558" spans="2:4" ht="12.5" x14ac:dyDescent="0.25">
      <c r="B558" s="212"/>
      <c r="C558" s="212"/>
      <c r="D558" s="212"/>
    </row>
    <row r="559" spans="2:4" ht="12.5" x14ac:dyDescent="0.25">
      <c r="B559" s="212"/>
      <c r="C559" s="212"/>
      <c r="D559" s="212"/>
    </row>
    <row r="560" spans="2:4" ht="12.5" x14ac:dyDescent="0.25">
      <c r="B560" s="212"/>
      <c r="C560" s="212"/>
      <c r="D560" s="212"/>
    </row>
    <row r="561" spans="2:4" ht="12.5" x14ac:dyDescent="0.25">
      <c r="B561" s="212"/>
      <c r="C561" s="212"/>
      <c r="D561" s="212"/>
    </row>
    <row r="562" spans="2:4" ht="12.5" x14ac:dyDescent="0.25">
      <c r="B562" s="212"/>
      <c r="C562" s="212"/>
      <c r="D562" s="212"/>
    </row>
    <row r="563" spans="2:4" ht="12.5" x14ac:dyDescent="0.25">
      <c r="B563" s="212"/>
      <c r="C563" s="212"/>
      <c r="D563" s="212"/>
    </row>
    <row r="564" spans="2:4" ht="12.5" x14ac:dyDescent="0.25">
      <c r="B564" s="212"/>
      <c r="C564" s="212"/>
      <c r="D564" s="212"/>
    </row>
    <row r="565" spans="2:4" ht="12.5" x14ac:dyDescent="0.25">
      <c r="B565" s="212"/>
      <c r="C565" s="212"/>
      <c r="D565" s="212"/>
    </row>
    <row r="566" spans="2:4" ht="12.5" x14ac:dyDescent="0.25">
      <c r="B566" s="212"/>
      <c r="C566" s="212"/>
      <c r="D566" s="212"/>
    </row>
    <row r="567" spans="2:4" ht="12.5" x14ac:dyDescent="0.25">
      <c r="B567" s="212"/>
      <c r="C567" s="212"/>
      <c r="D567" s="212"/>
    </row>
    <row r="568" spans="2:4" ht="12.5" x14ac:dyDescent="0.25">
      <c r="B568" s="212"/>
      <c r="C568" s="212"/>
      <c r="D568" s="212"/>
    </row>
    <row r="569" spans="2:4" ht="12.5" x14ac:dyDescent="0.25">
      <c r="B569" s="212"/>
      <c r="C569" s="212"/>
      <c r="D569" s="212"/>
    </row>
    <row r="570" spans="2:4" ht="12.5" x14ac:dyDescent="0.25">
      <c r="B570" s="212"/>
      <c r="C570" s="212"/>
      <c r="D570" s="212"/>
    </row>
    <row r="571" spans="2:4" ht="12.5" x14ac:dyDescent="0.25">
      <c r="B571" s="212"/>
      <c r="C571" s="212"/>
      <c r="D571" s="212"/>
    </row>
    <row r="572" spans="2:4" ht="12.5" x14ac:dyDescent="0.25">
      <c r="B572" s="212"/>
      <c r="C572" s="212"/>
      <c r="D572" s="212"/>
    </row>
    <row r="573" spans="2:4" ht="12.5" x14ac:dyDescent="0.25">
      <c r="B573" s="212"/>
      <c r="C573" s="212"/>
      <c r="D573" s="212"/>
    </row>
    <row r="574" spans="2:4" ht="12.5" x14ac:dyDescent="0.25">
      <c r="B574" s="212"/>
      <c r="C574" s="212"/>
      <c r="D574" s="212"/>
    </row>
    <row r="575" spans="2:4" ht="12.5" x14ac:dyDescent="0.25">
      <c r="B575" s="212"/>
      <c r="C575" s="212"/>
      <c r="D575" s="212"/>
    </row>
    <row r="576" spans="2:4" ht="12.5" x14ac:dyDescent="0.25">
      <c r="B576" s="212"/>
      <c r="C576" s="212"/>
      <c r="D576" s="212"/>
    </row>
    <row r="577" spans="2:4" ht="12.5" x14ac:dyDescent="0.25">
      <c r="B577" s="212"/>
      <c r="C577" s="212"/>
      <c r="D577" s="212"/>
    </row>
    <row r="578" spans="2:4" ht="12.5" x14ac:dyDescent="0.25">
      <c r="B578" s="212"/>
      <c r="C578" s="212"/>
      <c r="D578" s="212"/>
    </row>
    <row r="579" spans="2:4" ht="12.5" x14ac:dyDescent="0.25">
      <c r="B579" s="212"/>
      <c r="C579" s="212"/>
      <c r="D579" s="212"/>
    </row>
    <row r="580" spans="2:4" ht="12.5" x14ac:dyDescent="0.25">
      <c r="B580" s="212"/>
      <c r="C580" s="212"/>
      <c r="D580" s="212"/>
    </row>
    <row r="581" spans="2:4" ht="12.5" x14ac:dyDescent="0.25">
      <c r="B581" s="212"/>
      <c r="C581" s="212"/>
      <c r="D581" s="212"/>
    </row>
    <row r="582" spans="2:4" ht="12.5" x14ac:dyDescent="0.25">
      <c r="B582" s="212"/>
      <c r="C582" s="212"/>
      <c r="D582" s="212"/>
    </row>
    <row r="583" spans="2:4" ht="12.5" x14ac:dyDescent="0.25">
      <c r="B583" s="212"/>
      <c r="C583" s="212"/>
      <c r="D583" s="212"/>
    </row>
    <row r="584" spans="2:4" ht="12.5" x14ac:dyDescent="0.25">
      <c r="B584" s="212"/>
      <c r="C584" s="212"/>
      <c r="D584" s="212"/>
    </row>
    <row r="585" spans="2:4" ht="12.5" x14ac:dyDescent="0.25">
      <c r="B585" s="212"/>
      <c r="C585" s="212"/>
      <c r="D585" s="212"/>
    </row>
    <row r="586" spans="2:4" ht="12.5" x14ac:dyDescent="0.25">
      <c r="B586" s="212"/>
      <c r="C586" s="212"/>
      <c r="D586" s="212"/>
    </row>
    <row r="587" spans="2:4" ht="12.5" x14ac:dyDescent="0.25">
      <c r="B587" s="212"/>
      <c r="C587" s="212"/>
      <c r="D587" s="212"/>
    </row>
    <row r="588" spans="2:4" ht="12.5" x14ac:dyDescent="0.25">
      <c r="B588" s="212"/>
      <c r="C588" s="212"/>
      <c r="D588" s="212"/>
    </row>
    <row r="589" spans="2:4" ht="12.5" x14ac:dyDescent="0.25">
      <c r="B589" s="212"/>
      <c r="C589" s="212"/>
      <c r="D589" s="212"/>
    </row>
    <row r="590" spans="2:4" ht="12.5" x14ac:dyDescent="0.25">
      <c r="B590" s="212"/>
      <c r="C590" s="212"/>
      <c r="D590" s="212"/>
    </row>
    <row r="591" spans="2:4" ht="12.5" x14ac:dyDescent="0.25">
      <c r="B591" s="212"/>
      <c r="C591" s="212"/>
      <c r="D591" s="212"/>
    </row>
    <row r="592" spans="2:4" ht="12.5" x14ac:dyDescent="0.25">
      <c r="B592" s="212"/>
      <c r="C592" s="212"/>
      <c r="D592" s="212"/>
    </row>
    <row r="593" spans="2:4" ht="12.5" x14ac:dyDescent="0.25">
      <c r="B593" s="212"/>
      <c r="C593" s="212"/>
      <c r="D593" s="212"/>
    </row>
    <row r="594" spans="2:4" ht="12.5" x14ac:dyDescent="0.25">
      <c r="B594" s="212"/>
      <c r="C594" s="212"/>
      <c r="D594" s="212"/>
    </row>
    <row r="595" spans="2:4" ht="12.5" x14ac:dyDescent="0.25">
      <c r="B595" s="212"/>
      <c r="C595" s="212"/>
      <c r="D595" s="212"/>
    </row>
    <row r="596" spans="2:4" ht="12.5" x14ac:dyDescent="0.25">
      <c r="B596" s="212"/>
      <c r="C596" s="212"/>
      <c r="D596" s="212"/>
    </row>
    <row r="597" spans="2:4" ht="12.5" x14ac:dyDescent="0.25">
      <c r="B597" s="212"/>
      <c r="C597" s="212"/>
      <c r="D597" s="212"/>
    </row>
    <row r="598" spans="2:4" ht="12.5" x14ac:dyDescent="0.25">
      <c r="B598" s="212"/>
      <c r="C598" s="212"/>
      <c r="D598" s="212"/>
    </row>
    <row r="599" spans="2:4" ht="12.5" x14ac:dyDescent="0.25">
      <c r="B599" s="212"/>
      <c r="C599" s="212"/>
      <c r="D599" s="212"/>
    </row>
    <row r="600" spans="2:4" ht="12.5" x14ac:dyDescent="0.25">
      <c r="B600" s="212"/>
      <c r="C600" s="212"/>
      <c r="D600" s="212"/>
    </row>
    <row r="601" spans="2:4" ht="12.5" x14ac:dyDescent="0.25">
      <c r="B601" s="212"/>
      <c r="C601" s="212"/>
      <c r="D601" s="212"/>
    </row>
    <row r="602" spans="2:4" ht="12.5" x14ac:dyDescent="0.25">
      <c r="B602" s="212"/>
      <c r="C602" s="212"/>
      <c r="D602" s="212"/>
    </row>
    <row r="603" spans="2:4" ht="12.5" x14ac:dyDescent="0.25">
      <c r="B603" s="212"/>
      <c r="C603" s="212"/>
      <c r="D603" s="212"/>
    </row>
    <row r="604" spans="2:4" ht="12.5" x14ac:dyDescent="0.25">
      <c r="B604" s="212"/>
      <c r="C604" s="212"/>
      <c r="D604" s="212"/>
    </row>
    <row r="605" spans="2:4" ht="12.5" x14ac:dyDescent="0.25">
      <c r="B605" s="212"/>
      <c r="C605" s="212"/>
      <c r="D605" s="212"/>
    </row>
    <row r="606" spans="2:4" ht="12.5" x14ac:dyDescent="0.25">
      <c r="B606" s="212"/>
      <c r="C606" s="212"/>
      <c r="D606" s="212"/>
    </row>
    <row r="607" spans="2:4" ht="12.5" x14ac:dyDescent="0.25">
      <c r="B607" s="212"/>
      <c r="C607" s="212"/>
      <c r="D607" s="212"/>
    </row>
    <row r="608" spans="2:4" ht="12.5" x14ac:dyDescent="0.25">
      <c r="B608" s="212"/>
      <c r="C608" s="212"/>
      <c r="D608" s="212"/>
    </row>
    <row r="609" spans="2:4" ht="12.5" x14ac:dyDescent="0.25">
      <c r="B609" s="212"/>
      <c r="C609" s="212"/>
      <c r="D609" s="212"/>
    </row>
    <row r="610" spans="2:4" ht="12.5" x14ac:dyDescent="0.25">
      <c r="B610" s="212"/>
      <c r="C610" s="212"/>
      <c r="D610" s="212"/>
    </row>
    <row r="611" spans="2:4" ht="12.5" x14ac:dyDescent="0.25">
      <c r="B611" s="212"/>
      <c r="C611" s="212"/>
      <c r="D611" s="212"/>
    </row>
    <row r="612" spans="2:4" ht="12.5" x14ac:dyDescent="0.25">
      <c r="B612" s="212"/>
      <c r="C612" s="212"/>
      <c r="D612" s="212"/>
    </row>
    <row r="613" spans="2:4" ht="12.5" x14ac:dyDescent="0.25">
      <c r="B613" s="212"/>
      <c r="C613" s="212"/>
      <c r="D613" s="212"/>
    </row>
    <row r="614" spans="2:4" ht="12.5" x14ac:dyDescent="0.25">
      <c r="B614" s="212"/>
      <c r="C614" s="212"/>
      <c r="D614" s="212"/>
    </row>
    <row r="615" spans="2:4" ht="12.5" x14ac:dyDescent="0.25">
      <c r="B615" s="212"/>
      <c r="C615" s="212"/>
      <c r="D615" s="212"/>
    </row>
    <row r="616" spans="2:4" ht="12.5" x14ac:dyDescent="0.25">
      <c r="B616" s="212"/>
      <c r="C616" s="212"/>
      <c r="D616" s="212"/>
    </row>
    <row r="617" spans="2:4" ht="12.5" x14ac:dyDescent="0.25">
      <c r="B617" s="212"/>
      <c r="C617" s="212"/>
      <c r="D617" s="212"/>
    </row>
    <row r="618" spans="2:4" ht="12.5" x14ac:dyDescent="0.25">
      <c r="B618" s="212"/>
      <c r="C618" s="212"/>
      <c r="D618" s="212"/>
    </row>
    <row r="619" spans="2:4" ht="12.5" x14ac:dyDescent="0.25">
      <c r="B619" s="212"/>
      <c r="C619" s="212"/>
      <c r="D619" s="212"/>
    </row>
    <row r="620" spans="2:4" ht="12.5" x14ac:dyDescent="0.25">
      <c r="B620" s="212"/>
      <c r="C620" s="212"/>
      <c r="D620" s="212"/>
    </row>
    <row r="621" spans="2:4" ht="12.5" x14ac:dyDescent="0.25">
      <c r="B621" s="212"/>
      <c r="C621" s="212"/>
      <c r="D621" s="212"/>
    </row>
    <row r="622" spans="2:4" ht="12.5" x14ac:dyDescent="0.25">
      <c r="B622" s="212"/>
      <c r="C622" s="212"/>
      <c r="D622" s="212"/>
    </row>
    <row r="623" spans="2:4" ht="12.5" x14ac:dyDescent="0.25">
      <c r="B623" s="212"/>
      <c r="C623" s="212"/>
      <c r="D623" s="212"/>
    </row>
    <row r="624" spans="2:4" ht="12.5" x14ac:dyDescent="0.25">
      <c r="B624" s="212"/>
      <c r="C624" s="212"/>
      <c r="D624" s="212"/>
    </row>
    <row r="625" spans="2:4" ht="12.5" x14ac:dyDescent="0.25">
      <c r="B625" s="212"/>
      <c r="C625" s="212"/>
      <c r="D625" s="212"/>
    </row>
    <row r="626" spans="2:4" ht="12.5" x14ac:dyDescent="0.25">
      <c r="B626" s="212"/>
      <c r="C626" s="212"/>
      <c r="D626" s="212"/>
    </row>
    <row r="627" spans="2:4" ht="12.5" x14ac:dyDescent="0.25">
      <c r="B627" s="212"/>
      <c r="C627" s="212"/>
      <c r="D627" s="212"/>
    </row>
    <row r="628" spans="2:4" ht="12.5" x14ac:dyDescent="0.25">
      <c r="B628" s="212"/>
      <c r="C628" s="212"/>
      <c r="D628" s="212"/>
    </row>
    <row r="629" spans="2:4" ht="12.5" x14ac:dyDescent="0.25">
      <c r="B629" s="212"/>
      <c r="C629" s="212"/>
      <c r="D629" s="212"/>
    </row>
    <row r="630" spans="2:4" ht="12.5" x14ac:dyDescent="0.25">
      <c r="B630" s="212"/>
      <c r="C630" s="212"/>
      <c r="D630" s="212"/>
    </row>
    <row r="631" spans="2:4" ht="12.5" x14ac:dyDescent="0.25">
      <c r="B631" s="212"/>
      <c r="C631" s="212"/>
      <c r="D631" s="212"/>
    </row>
    <row r="632" spans="2:4" ht="12.5" x14ac:dyDescent="0.25">
      <c r="B632" s="212"/>
      <c r="C632" s="212"/>
      <c r="D632" s="212"/>
    </row>
    <row r="633" spans="2:4" ht="12.5" x14ac:dyDescent="0.25">
      <c r="B633" s="212"/>
      <c r="C633" s="212"/>
      <c r="D633" s="212"/>
    </row>
    <row r="634" spans="2:4" ht="12.5" x14ac:dyDescent="0.25">
      <c r="B634" s="212"/>
      <c r="C634" s="212"/>
      <c r="D634" s="212"/>
    </row>
    <row r="635" spans="2:4" ht="12.5" x14ac:dyDescent="0.25">
      <c r="B635" s="212"/>
      <c r="C635" s="212"/>
      <c r="D635" s="212"/>
    </row>
    <row r="636" spans="2:4" ht="12.5" x14ac:dyDescent="0.25">
      <c r="B636" s="212"/>
      <c r="C636" s="212"/>
      <c r="D636" s="212"/>
    </row>
    <row r="637" spans="2:4" ht="12.5" x14ac:dyDescent="0.25">
      <c r="B637" s="212"/>
      <c r="C637" s="212"/>
      <c r="D637" s="212"/>
    </row>
    <row r="638" spans="2:4" ht="12.5" x14ac:dyDescent="0.25">
      <c r="B638" s="212"/>
      <c r="C638" s="212"/>
      <c r="D638" s="212"/>
    </row>
    <row r="639" spans="2:4" ht="12.5" x14ac:dyDescent="0.25">
      <c r="B639" s="212"/>
      <c r="C639" s="212"/>
      <c r="D639" s="212"/>
    </row>
    <row r="640" spans="2:4" ht="12.5" x14ac:dyDescent="0.25">
      <c r="B640" s="212"/>
      <c r="C640" s="212"/>
      <c r="D640" s="212"/>
    </row>
    <row r="641" spans="2:4" ht="12.5" x14ac:dyDescent="0.25">
      <c r="B641" s="212"/>
      <c r="C641" s="212"/>
      <c r="D641" s="212"/>
    </row>
    <row r="642" spans="2:4" ht="12.5" x14ac:dyDescent="0.25">
      <c r="B642" s="212"/>
      <c r="C642" s="212"/>
      <c r="D642" s="212"/>
    </row>
    <row r="643" spans="2:4" ht="12.5" x14ac:dyDescent="0.25">
      <c r="B643" s="212"/>
      <c r="C643" s="212"/>
      <c r="D643" s="212"/>
    </row>
    <row r="644" spans="2:4" ht="12.5" x14ac:dyDescent="0.25">
      <c r="B644" s="212"/>
      <c r="C644" s="212"/>
      <c r="D644" s="212"/>
    </row>
    <row r="645" spans="2:4" ht="12.5" x14ac:dyDescent="0.25">
      <c r="B645" s="212"/>
      <c r="C645" s="212"/>
      <c r="D645" s="212"/>
    </row>
    <row r="646" spans="2:4" ht="12.5" x14ac:dyDescent="0.25">
      <c r="B646" s="212"/>
      <c r="C646" s="212"/>
      <c r="D646" s="212"/>
    </row>
    <row r="647" spans="2:4" ht="12.5" x14ac:dyDescent="0.25">
      <c r="B647" s="212"/>
      <c r="C647" s="212"/>
      <c r="D647" s="212"/>
    </row>
    <row r="648" spans="2:4" ht="12.5" x14ac:dyDescent="0.25">
      <c r="B648" s="212"/>
      <c r="C648" s="212"/>
      <c r="D648" s="212"/>
    </row>
    <row r="649" spans="2:4" ht="12.5" x14ac:dyDescent="0.25">
      <c r="B649" s="212"/>
      <c r="C649" s="212"/>
      <c r="D649" s="212"/>
    </row>
    <row r="650" spans="2:4" ht="12.5" x14ac:dyDescent="0.25">
      <c r="B650" s="212"/>
      <c r="C650" s="212"/>
      <c r="D650" s="212"/>
    </row>
    <row r="651" spans="2:4" ht="12.5" x14ac:dyDescent="0.25">
      <c r="B651" s="212"/>
      <c r="C651" s="212"/>
      <c r="D651" s="212"/>
    </row>
    <row r="652" spans="2:4" ht="12.5" x14ac:dyDescent="0.25">
      <c r="B652" s="212"/>
      <c r="C652" s="212"/>
      <c r="D652" s="212"/>
    </row>
    <row r="653" spans="2:4" ht="12.5" x14ac:dyDescent="0.25">
      <c r="B653" s="212"/>
      <c r="C653" s="212"/>
      <c r="D653" s="212"/>
    </row>
    <row r="654" spans="2:4" ht="12.5" x14ac:dyDescent="0.25">
      <c r="B654" s="212"/>
      <c r="C654" s="212"/>
      <c r="D654" s="212"/>
    </row>
    <row r="655" spans="2:4" ht="12.5" x14ac:dyDescent="0.25">
      <c r="B655" s="212"/>
      <c r="C655" s="212"/>
      <c r="D655" s="212"/>
    </row>
    <row r="656" spans="2:4" ht="12.5" x14ac:dyDescent="0.25">
      <c r="B656" s="212"/>
      <c r="C656" s="212"/>
      <c r="D656" s="212"/>
    </row>
    <row r="657" spans="2:4" ht="12.5" x14ac:dyDescent="0.25">
      <c r="B657" s="212"/>
      <c r="C657" s="212"/>
      <c r="D657" s="212"/>
    </row>
    <row r="658" spans="2:4" ht="12.5" x14ac:dyDescent="0.25">
      <c r="B658" s="212"/>
      <c r="C658" s="212"/>
      <c r="D658" s="212"/>
    </row>
    <row r="659" spans="2:4" ht="12.5" x14ac:dyDescent="0.25">
      <c r="B659" s="212"/>
      <c r="C659" s="212"/>
      <c r="D659" s="212"/>
    </row>
    <row r="660" spans="2:4" ht="12.5" x14ac:dyDescent="0.25">
      <c r="B660" s="212"/>
      <c r="C660" s="212"/>
      <c r="D660" s="212"/>
    </row>
    <row r="661" spans="2:4" ht="12.5" x14ac:dyDescent="0.25">
      <c r="B661" s="212"/>
      <c r="C661" s="212"/>
      <c r="D661" s="212"/>
    </row>
    <row r="662" spans="2:4" ht="12.5" x14ac:dyDescent="0.25">
      <c r="B662" s="212"/>
      <c r="C662" s="212"/>
      <c r="D662" s="212"/>
    </row>
    <row r="663" spans="2:4" ht="12.5" x14ac:dyDescent="0.25">
      <c r="B663" s="212"/>
      <c r="C663" s="212"/>
      <c r="D663" s="212"/>
    </row>
    <row r="664" spans="2:4" ht="12.5" x14ac:dyDescent="0.25">
      <c r="B664" s="212"/>
      <c r="C664" s="212"/>
      <c r="D664" s="212"/>
    </row>
    <row r="665" spans="2:4" ht="12.5" x14ac:dyDescent="0.25">
      <c r="B665" s="212"/>
      <c r="C665" s="212"/>
      <c r="D665" s="212"/>
    </row>
    <row r="666" spans="2:4" ht="12.5" x14ac:dyDescent="0.25">
      <c r="B666" s="212"/>
      <c r="C666" s="212"/>
      <c r="D666" s="212"/>
    </row>
    <row r="667" spans="2:4" ht="12.5" x14ac:dyDescent="0.25">
      <c r="B667" s="212"/>
      <c r="C667" s="212"/>
      <c r="D667" s="212"/>
    </row>
    <row r="668" spans="2:4" ht="12.5" x14ac:dyDescent="0.25">
      <c r="B668" s="212"/>
      <c r="C668" s="212"/>
      <c r="D668" s="212"/>
    </row>
    <row r="669" spans="2:4" ht="12.5" x14ac:dyDescent="0.25">
      <c r="B669" s="212"/>
      <c r="C669" s="212"/>
      <c r="D669" s="212"/>
    </row>
    <row r="670" spans="2:4" ht="12.5" x14ac:dyDescent="0.25">
      <c r="B670" s="212"/>
      <c r="C670" s="212"/>
      <c r="D670" s="212"/>
    </row>
    <row r="671" spans="2:4" ht="12.5" x14ac:dyDescent="0.25">
      <c r="B671" s="212"/>
      <c r="C671" s="212"/>
      <c r="D671" s="212"/>
    </row>
    <row r="672" spans="2:4" ht="12.5" x14ac:dyDescent="0.25">
      <c r="B672" s="212"/>
      <c r="C672" s="212"/>
      <c r="D672" s="212"/>
    </row>
    <row r="673" spans="2:4" ht="12.5" x14ac:dyDescent="0.25">
      <c r="B673" s="212"/>
      <c r="C673" s="212"/>
      <c r="D673" s="212"/>
    </row>
    <row r="674" spans="2:4" ht="12.5" x14ac:dyDescent="0.25">
      <c r="B674" s="212"/>
      <c r="C674" s="212"/>
      <c r="D674" s="212"/>
    </row>
    <row r="675" spans="2:4" ht="12.5" x14ac:dyDescent="0.25">
      <c r="B675" s="212"/>
      <c r="C675" s="212"/>
      <c r="D675" s="212"/>
    </row>
    <row r="676" spans="2:4" ht="12.5" x14ac:dyDescent="0.25">
      <c r="B676" s="212"/>
      <c r="C676" s="212"/>
      <c r="D676" s="212"/>
    </row>
    <row r="677" spans="2:4" ht="12.5" x14ac:dyDescent="0.25">
      <c r="B677" s="212"/>
      <c r="C677" s="212"/>
      <c r="D677" s="212"/>
    </row>
    <row r="678" spans="2:4" ht="12.5" x14ac:dyDescent="0.25">
      <c r="B678" s="212"/>
      <c r="C678" s="212"/>
      <c r="D678" s="212"/>
    </row>
    <row r="679" spans="2:4" ht="12.5" x14ac:dyDescent="0.25">
      <c r="B679" s="212"/>
      <c r="C679" s="212"/>
      <c r="D679" s="212"/>
    </row>
    <row r="680" spans="2:4" ht="12.5" x14ac:dyDescent="0.25">
      <c r="B680" s="212"/>
      <c r="C680" s="212"/>
      <c r="D680" s="212"/>
    </row>
    <row r="681" spans="2:4" ht="12.5" x14ac:dyDescent="0.25">
      <c r="B681" s="212"/>
      <c r="C681" s="212"/>
      <c r="D681" s="212"/>
    </row>
    <row r="682" spans="2:4" ht="12.5" x14ac:dyDescent="0.25">
      <c r="B682" s="212"/>
      <c r="C682" s="212"/>
      <c r="D682" s="212"/>
    </row>
    <row r="683" spans="2:4" ht="12.5" x14ac:dyDescent="0.25">
      <c r="B683" s="212"/>
      <c r="C683" s="212"/>
      <c r="D683" s="212"/>
    </row>
    <row r="684" spans="2:4" ht="12.5" x14ac:dyDescent="0.25">
      <c r="B684" s="212"/>
      <c r="C684" s="212"/>
      <c r="D684" s="212"/>
    </row>
    <row r="685" spans="2:4" ht="12.5" x14ac:dyDescent="0.25">
      <c r="B685" s="212"/>
      <c r="C685" s="212"/>
      <c r="D685" s="212"/>
    </row>
    <row r="686" spans="2:4" ht="12.5" x14ac:dyDescent="0.25">
      <c r="B686" s="212"/>
      <c r="C686" s="212"/>
      <c r="D686" s="212"/>
    </row>
    <row r="687" spans="2:4" ht="12.5" x14ac:dyDescent="0.25">
      <c r="B687" s="212"/>
      <c r="C687" s="212"/>
      <c r="D687" s="212"/>
    </row>
    <row r="688" spans="2:4" ht="12.5" x14ac:dyDescent="0.25">
      <c r="B688" s="212"/>
      <c r="C688" s="212"/>
      <c r="D688" s="212"/>
    </row>
    <row r="689" spans="2:4" ht="12.5" x14ac:dyDescent="0.25">
      <c r="B689" s="212"/>
      <c r="C689" s="212"/>
      <c r="D689" s="212"/>
    </row>
    <row r="690" spans="2:4" ht="12.5" x14ac:dyDescent="0.25">
      <c r="B690" s="212"/>
      <c r="C690" s="212"/>
      <c r="D690" s="212"/>
    </row>
    <row r="691" spans="2:4" ht="12.5" x14ac:dyDescent="0.25">
      <c r="B691" s="212"/>
      <c r="C691" s="212"/>
      <c r="D691" s="212"/>
    </row>
    <row r="692" spans="2:4" ht="12.5" x14ac:dyDescent="0.25">
      <c r="B692" s="212"/>
      <c r="C692" s="212"/>
      <c r="D692" s="212"/>
    </row>
    <row r="693" spans="2:4" ht="12.5" x14ac:dyDescent="0.25">
      <c r="B693" s="212"/>
      <c r="C693" s="212"/>
      <c r="D693" s="212"/>
    </row>
    <row r="694" spans="2:4" ht="12.5" x14ac:dyDescent="0.25">
      <c r="B694" s="212"/>
      <c r="C694" s="212"/>
      <c r="D694" s="212"/>
    </row>
    <row r="695" spans="2:4" ht="12.5" x14ac:dyDescent="0.25">
      <c r="B695" s="212"/>
      <c r="C695" s="212"/>
      <c r="D695" s="212"/>
    </row>
    <row r="696" spans="2:4" ht="12.5" x14ac:dyDescent="0.25">
      <c r="B696" s="212"/>
      <c r="C696" s="212"/>
      <c r="D696" s="212"/>
    </row>
    <row r="697" spans="2:4" ht="12.5" x14ac:dyDescent="0.25">
      <c r="B697" s="212"/>
      <c r="C697" s="212"/>
      <c r="D697" s="212"/>
    </row>
    <row r="698" spans="2:4" ht="12.5" x14ac:dyDescent="0.25">
      <c r="B698" s="212"/>
      <c r="C698" s="212"/>
      <c r="D698" s="212"/>
    </row>
    <row r="699" spans="2:4" ht="12.5" x14ac:dyDescent="0.25">
      <c r="B699" s="212"/>
      <c r="C699" s="212"/>
      <c r="D699" s="212"/>
    </row>
    <row r="700" spans="2:4" ht="12.5" x14ac:dyDescent="0.25">
      <c r="B700" s="212"/>
      <c r="C700" s="212"/>
      <c r="D700" s="212"/>
    </row>
    <row r="701" spans="2:4" ht="12.5" x14ac:dyDescent="0.25">
      <c r="B701" s="212"/>
      <c r="C701" s="212"/>
      <c r="D701" s="212"/>
    </row>
    <row r="702" spans="2:4" ht="12.5" x14ac:dyDescent="0.25">
      <c r="B702" s="212"/>
      <c r="C702" s="212"/>
      <c r="D702" s="212"/>
    </row>
    <row r="703" spans="2:4" ht="12.5" x14ac:dyDescent="0.25">
      <c r="B703" s="212"/>
      <c r="C703" s="212"/>
      <c r="D703" s="212"/>
    </row>
    <row r="704" spans="2:4" ht="12.5" x14ac:dyDescent="0.25">
      <c r="B704" s="212"/>
      <c r="C704" s="212"/>
      <c r="D704" s="212"/>
    </row>
    <row r="705" spans="2:4" ht="12.5" x14ac:dyDescent="0.25">
      <c r="B705" s="212"/>
      <c r="C705" s="212"/>
      <c r="D705" s="212"/>
    </row>
    <row r="706" spans="2:4" ht="12.5" x14ac:dyDescent="0.25">
      <c r="B706" s="212"/>
      <c r="C706" s="212"/>
      <c r="D706" s="212"/>
    </row>
    <row r="707" spans="2:4" ht="12.5" x14ac:dyDescent="0.25">
      <c r="B707" s="212"/>
      <c r="C707" s="212"/>
      <c r="D707" s="212"/>
    </row>
    <row r="708" spans="2:4" ht="12.5" x14ac:dyDescent="0.25">
      <c r="B708" s="212"/>
      <c r="C708" s="212"/>
      <c r="D708" s="212"/>
    </row>
    <row r="709" spans="2:4" ht="12.5" x14ac:dyDescent="0.25">
      <c r="B709" s="212"/>
      <c r="C709" s="212"/>
      <c r="D709" s="212"/>
    </row>
    <row r="710" spans="2:4" ht="12.5" x14ac:dyDescent="0.25">
      <c r="B710" s="212"/>
      <c r="C710" s="212"/>
      <c r="D710" s="212"/>
    </row>
    <row r="711" spans="2:4" ht="12.5" x14ac:dyDescent="0.25">
      <c r="B711" s="212"/>
      <c r="C711" s="212"/>
      <c r="D711" s="212"/>
    </row>
    <row r="712" spans="2:4" ht="12.5" x14ac:dyDescent="0.25">
      <c r="B712" s="212"/>
      <c r="C712" s="212"/>
      <c r="D712" s="212"/>
    </row>
    <row r="713" spans="2:4" ht="12.5" x14ac:dyDescent="0.25">
      <c r="B713" s="212"/>
      <c r="C713" s="212"/>
      <c r="D713" s="212"/>
    </row>
    <row r="714" spans="2:4" ht="12.5" x14ac:dyDescent="0.25">
      <c r="B714" s="212"/>
      <c r="C714" s="212"/>
      <c r="D714" s="212"/>
    </row>
    <row r="715" spans="2:4" ht="12.5" x14ac:dyDescent="0.25">
      <c r="B715" s="212"/>
      <c r="C715" s="212"/>
      <c r="D715" s="212"/>
    </row>
    <row r="716" spans="2:4" ht="12.5" x14ac:dyDescent="0.25">
      <c r="B716" s="212"/>
      <c r="C716" s="212"/>
      <c r="D716" s="212"/>
    </row>
    <row r="717" spans="2:4" ht="12.5" x14ac:dyDescent="0.25">
      <c r="B717" s="212"/>
      <c r="C717" s="212"/>
      <c r="D717" s="212"/>
    </row>
    <row r="718" spans="2:4" ht="12.5" x14ac:dyDescent="0.25">
      <c r="B718" s="212"/>
      <c r="C718" s="212"/>
      <c r="D718" s="212"/>
    </row>
    <row r="719" spans="2:4" ht="12.5" x14ac:dyDescent="0.25">
      <c r="B719" s="212"/>
      <c r="C719" s="212"/>
      <c r="D719" s="212"/>
    </row>
    <row r="720" spans="2:4" ht="12.5" x14ac:dyDescent="0.25">
      <c r="B720" s="212"/>
      <c r="C720" s="212"/>
      <c r="D720" s="212"/>
    </row>
    <row r="721" spans="2:4" ht="12.5" x14ac:dyDescent="0.25">
      <c r="B721" s="212"/>
      <c r="C721" s="212"/>
      <c r="D721" s="212"/>
    </row>
    <row r="722" spans="2:4" ht="12.5" x14ac:dyDescent="0.25">
      <c r="B722" s="212"/>
      <c r="C722" s="212"/>
      <c r="D722" s="212"/>
    </row>
    <row r="723" spans="2:4" ht="12.5" x14ac:dyDescent="0.25">
      <c r="B723" s="212"/>
      <c r="C723" s="212"/>
      <c r="D723" s="212"/>
    </row>
    <row r="724" spans="2:4" ht="12.5" x14ac:dyDescent="0.25">
      <c r="B724" s="212"/>
      <c r="C724" s="212"/>
      <c r="D724" s="212"/>
    </row>
    <row r="725" spans="2:4" ht="12.5" x14ac:dyDescent="0.25">
      <c r="B725" s="212"/>
      <c r="C725" s="212"/>
      <c r="D725" s="212"/>
    </row>
    <row r="726" spans="2:4" ht="12.5" x14ac:dyDescent="0.25">
      <c r="B726" s="212"/>
      <c r="C726" s="212"/>
      <c r="D726" s="212"/>
    </row>
    <row r="727" spans="2:4" ht="12.5" x14ac:dyDescent="0.25">
      <c r="B727" s="212"/>
      <c r="C727" s="212"/>
      <c r="D727" s="212"/>
    </row>
    <row r="728" spans="2:4" ht="12.5" x14ac:dyDescent="0.25">
      <c r="B728" s="212"/>
      <c r="C728" s="212"/>
      <c r="D728" s="212"/>
    </row>
    <row r="729" spans="2:4" ht="12.5" x14ac:dyDescent="0.25">
      <c r="B729" s="212"/>
      <c r="C729" s="212"/>
      <c r="D729" s="212"/>
    </row>
    <row r="730" spans="2:4" ht="12.5" x14ac:dyDescent="0.25">
      <c r="B730" s="212"/>
      <c r="C730" s="212"/>
      <c r="D730" s="212"/>
    </row>
    <row r="731" spans="2:4" ht="12.5" x14ac:dyDescent="0.25">
      <c r="B731" s="212"/>
      <c r="C731" s="212"/>
      <c r="D731" s="212"/>
    </row>
    <row r="732" spans="2:4" ht="12.5" x14ac:dyDescent="0.25">
      <c r="B732" s="212"/>
      <c r="C732" s="212"/>
      <c r="D732" s="212"/>
    </row>
    <row r="733" spans="2:4" ht="12.5" x14ac:dyDescent="0.25">
      <c r="B733" s="212"/>
      <c r="C733" s="212"/>
      <c r="D733" s="212"/>
    </row>
    <row r="734" spans="2:4" ht="12.5" x14ac:dyDescent="0.25">
      <c r="B734" s="212"/>
      <c r="C734" s="212"/>
      <c r="D734" s="212"/>
    </row>
    <row r="735" spans="2:4" ht="12.5" x14ac:dyDescent="0.25">
      <c r="B735" s="212"/>
      <c r="C735" s="212"/>
      <c r="D735" s="212"/>
    </row>
    <row r="736" spans="2:4" ht="12.5" x14ac:dyDescent="0.25">
      <c r="B736" s="212"/>
      <c r="C736" s="212"/>
      <c r="D736" s="212"/>
    </row>
    <row r="737" spans="2:4" ht="12.5" x14ac:dyDescent="0.25">
      <c r="B737" s="212"/>
      <c r="C737" s="212"/>
      <c r="D737" s="212"/>
    </row>
    <row r="738" spans="2:4" ht="12.5" x14ac:dyDescent="0.25">
      <c r="B738" s="212"/>
      <c r="C738" s="212"/>
      <c r="D738" s="212"/>
    </row>
    <row r="739" spans="2:4" ht="12.5" x14ac:dyDescent="0.25">
      <c r="B739" s="212"/>
      <c r="C739" s="212"/>
      <c r="D739" s="212"/>
    </row>
    <row r="740" spans="2:4" ht="12.5" x14ac:dyDescent="0.25">
      <c r="B740" s="212"/>
      <c r="C740" s="212"/>
      <c r="D740" s="212"/>
    </row>
    <row r="741" spans="2:4" ht="12.5" x14ac:dyDescent="0.25">
      <c r="B741" s="212"/>
      <c r="C741" s="212"/>
      <c r="D741" s="212"/>
    </row>
    <row r="742" spans="2:4" ht="12.5" x14ac:dyDescent="0.25">
      <c r="B742" s="212"/>
      <c r="C742" s="212"/>
      <c r="D742" s="212"/>
    </row>
    <row r="743" spans="2:4" ht="12.5" x14ac:dyDescent="0.25">
      <c r="B743" s="212"/>
      <c r="C743" s="212"/>
      <c r="D743" s="212"/>
    </row>
    <row r="744" spans="2:4" ht="12.5" x14ac:dyDescent="0.25">
      <c r="B744" s="212"/>
      <c r="C744" s="212"/>
      <c r="D744" s="212"/>
    </row>
    <row r="745" spans="2:4" ht="12.5" x14ac:dyDescent="0.25">
      <c r="B745" s="212"/>
      <c r="C745" s="212"/>
      <c r="D745" s="212"/>
    </row>
    <row r="746" spans="2:4" ht="12.5" x14ac:dyDescent="0.25">
      <c r="B746" s="212"/>
      <c r="C746" s="212"/>
      <c r="D746" s="212"/>
    </row>
    <row r="747" spans="2:4" ht="12.5" x14ac:dyDescent="0.25">
      <c r="B747" s="212"/>
      <c r="C747" s="212"/>
      <c r="D747" s="212"/>
    </row>
    <row r="748" spans="2:4" ht="12.5" x14ac:dyDescent="0.25">
      <c r="B748" s="212"/>
      <c r="C748" s="212"/>
      <c r="D748" s="212"/>
    </row>
    <row r="749" spans="2:4" ht="12.5" x14ac:dyDescent="0.25">
      <c r="B749" s="212"/>
      <c r="C749" s="212"/>
      <c r="D749" s="212"/>
    </row>
    <row r="750" spans="2:4" ht="12.5" x14ac:dyDescent="0.25">
      <c r="B750" s="212"/>
      <c r="C750" s="212"/>
      <c r="D750" s="212"/>
    </row>
    <row r="751" spans="2:4" ht="12.5" x14ac:dyDescent="0.25">
      <c r="B751" s="212"/>
      <c r="C751" s="212"/>
      <c r="D751" s="212"/>
    </row>
    <row r="752" spans="2:4" ht="12.5" x14ac:dyDescent="0.25">
      <c r="B752" s="212"/>
      <c r="C752" s="212"/>
      <c r="D752" s="212"/>
    </row>
    <row r="753" spans="2:4" ht="12.5" x14ac:dyDescent="0.25">
      <c r="B753" s="212"/>
      <c r="C753" s="212"/>
      <c r="D753" s="212"/>
    </row>
    <row r="754" spans="2:4" ht="12.5" x14ac:dyDescent="0.25">
      <c r="B754" s="212"/>
      <c r="C754" s="212"/>
      <c r="D754" s="212"/>
    </row>
    <row r="755" spans="2:4" ht="12.5" x14ac:dyDescent="0.25">
      <c r="B755" s="212"/>
      <c r="C755" s="212"/>
      <c r="D755" s="212"/>
    </row>
    <row r="756" spans="2:4" ht="12.5" x14ac:dyDescent="0.25">
      <c r="B756" s="212"/>
      <c r="C756" s="212"/>
      <c r="D756" s="212"/>
    </row>
    <row r="757" spans="2:4" ht="12.5" x14ac:dyDescent="0.25">
      <c r="B757" s="212"/>
      <c r="C757" s="212"/>
      <c r="D757" s="212"/>
    </row>
    <row r="758" spans="2:4" ht="12.5" x14ac:dyDescent="0.25">
      <c r="B758" s="212"/>
      <c r="C758" s="212"/>
      <c r="D758" s="212"/>
    </row>
    <row r="759" spans="2:4" ht="12.5" x14ac:dyDescent="0.25">
      <c r="B759" s="212"/>
      <c r="C759" s="212"/>
      <c r="D759" s="212"/>
    </row>
    <row r="760" spans="2:4" ht="12.5" x14ac:dyDescent="0.25">
      <c r="B760" s="212"/>
      <c r="C760" s="212"/>
      <c r="D760" s="212"/>
    </row>
    <row r="761" spans="2:4" ht="12.5" x14ac:dyDescent="0.25">
      <c r="B761" s="212"/>
      <c r="C761" s="212"/>
      <c r="D761" s="212"/>
    </row>
    <row r="762" spans="2:4" ht="12.5" x14ac:dyDescent="0.25">
      <c r="B762" s="212"/>
      <c r="C762" s="212"/>
      <c r="D762" s="212"/>
    </row>
    <row r="763" spans="2:4" ht="12.5" x14ac:dyDescent="0.25">
      <c r="B763" s="212"/>
      <c r="C763" s="212"/>
      <c r="D763" s="212"/>
    </row>
    <row r="764" spans="2:4" ht="12.5" x14ac:dyDescent="0.25">
      <c r="B764" s="212"/>
      <c r="C764" s="212"/>
      <c r="D764" s="212"/>
    </row>
    <row r="765" spans="2:4" ht="12.5" x14ac:dyDescent="0.25">
      <c r="B765" s="212"/>
      <c r="C765" s="212"/>
      <c r="D765" s="212"/>
    </row>
    <row r="766" spans="2:4" ht="12.5" x14ac:dyDescent="0.25">
      <c r="B766" s="212"/>
      <c r="C766" s="212"/>
      <c r="D766" s="212"/>
    </row>
    <row r="767" spans="2:4" ht="12.5" x14ac:dyDescent="0.25">
      <c r="B767" s="212"/>
      <c r="C767" s="212"/>
      <c r="D767" s="212"/>
    </row>
    <row r="768" spans="2:4" ht="12.5" x14ac:dyDescent="0.25">
      <c r="B768" s="212"/>
      <c r="C768" s="212"/>
      <c r="D768" s="212"/>
    </row>
    <row r="769" spans="2:4" ht="12.5" x14ac:dyDescent="0.25">
      <c r="B769" s="212"/>
      <c r="C769" s="212"/>
      <c r="D769" s="212"/>
    </row>
    <row r="770" spans="2:4" ht="12.5" x14ac:dyDescent="0.25">
      <c r="B770" s="212"/>
      <c r="C770" s="212"/>
      <c r="D770" s="212"/>
    </row>
    <row r="771" spans="2:4" ht="12.5" x14ac:dyDescent="0.25">
      <c r="B771" s="212"/>
      <c r="C771" s="212"/>
      <c r="D771" s="212"/>
    </row>
    <row r="772" spans="2:4" ht="12.5" x14ac:dyDescent="0.25">
      <c r="B772" s="212"/>
      <c r="C772" s="212"/>
      <c r="D772" s="212"/>
    </row>
    <row r="773" spans="2:4" ht="12.5" x14ac:dyDescent="0.25">
      <c r="B773" s="212"/>
      <c r="C773" s="212"/>
      <c r="D773" s="212"/>
    </row>
    <row r="774" spans="2:4" ht="12.5" x14ac:dyDescent="0.25">
      <c r="B774" s="212"/>
      <c r="C774" s="212"/>
      <c r="D774" s="212"/>
    </row>
    <row r="775" spans="2:4" ht="12.5" x14ac:dyDescent="0.25">
      <c r="B775" s="212"/>
      <c r="C775" s="212"/>
      <c r="D775" s="212"/>
    </row>
    <row r="776" spans="2:4" ht="12.5" x14ac:dyDescent="0.25">
      <c r="B776" s="212"/>
      <c r="C776" s="212"/>
      <c r="D776" s="212"/>
    </row>
    <row r="777" spans="2:4" ht="12.5" x14ac:dyDescent="0.25">
      <c r="B777" s="212"/>
      <c r="C777" s="212"/>
      <c r="D777" s="212"/>
    </row>
    <row r="778" spans="2:4" ht="12.5" x14ac:dyDescent="0.25">
      <c r="B778" s="212"/>
      <c r="C778" s="212"/>
      <c r="D778" s="212"/>
    </row>
    <row r="779" spans="2:4" ht="12.5" x14ac:dyDescent="0.25">
      <c r="B779" s="212"/>
      <c r="C779" s="212"/>
      <c r="D779" s="212"/>
    </row>
    <row r="780" spans="2:4" ht="12.5" x14ac:dyDescent="0.25">
      <c r="B780" s="212"/>
      <c r="C780" s="212"/>
      <c r="D780" s="212"/>
    </row>
    <row r="781" spans="2:4" ht="12.5" x14ac:dyDescent="0.25">
      <c r="B781" s="212"/>
      <c r="C781" s="212"/>
      <c r="D781" s="212"/>
    </row>
    <row r="782" spans="2:4" ht="12.5" x14ac:dyDescent="0.25">
      <c r="B782" s="212"/>
      <c r="C782" s="212"/>
      <c r="D782" s="212"/>
    </row>
    <row r="783" spans="2:4" ht="12.5" x14ac:dyDescent="0.25">
      <c r="B783" s="212"/>
      <c r="C783" s="212"/>
      <c r="D783" s="212"/>
    </row>
    <row r="784" spans="2:4" ht="12.5" x14ac:dyDescent="0.25">
      <c r="B784" s="212"/>
      <c r="C784" s="212"/>
      <c r="D784" s="212"/>
    </row>
    <row r="785" spans="2:4" ht="12.5" x14ac:dyDescent="0.25">
      <c r="B785" s="212"/>
      <c r="C785" s="212"/>
      <c r="D785" s="212"/>
    </row>
    <row r="786" spans="2:4" ht="12.5" x14ac:dyDescent="0.25">
      <c r="B786" s="212"/>
      <c r="C786" s="212"/>
      <c r="D786" s="212"/>
    </row>
    <row r="787" spans="2:4" ht="12.5" x14ac:dyDescent="0.25">
      <c r="B787" s="212"/>
      <c r="C787" s="212"/>
      <c r="D787" s="212"/>
    </row>
    <row r="788" spans="2:4" ht="12.5" x14ac:dyDescent="0.25">
      <c r="B788" s="212"/>
      <c r="C788" s="212"/>
      <c r="D788" s="212"/>
    </row>
    <row r="789" spans="2:4" ht="12.5" x14ac:dyDescent="0.25">
      <c r="B789" s="212"/>
      <c r="C789" s="212"/>
      <c r="D789" s="212"/>
    </row>
    <row r="790" spans="2:4" ht="12.5" x14ac:dyDescent="0.25">
      <c r="B790" s="212"/>
      <c r="C790" s="212"/>
      <c r="D790" s="212"/>
    </row>
    <row r="791" spans="2:4" ht="12.5" x14ac:dyDescent="0.25">
      <c r="B791" s="212"/>
      <c r="C791" s="212"/>
      <c r="D791" s="212"/>
    </row>
    <row r="792" spans="2:4" ht="12.5" x14ac:dyDescent="0.25">
      <c r="B792" s="212"/>
      <c r="C792" s="212"/>
      <c r="D792" s="212"/>
    </row>
    <row r="793" spans="2:4" ht="12.5" x14ac:dyDescent="0.25">
      <c r="B793" s="212"/>
      <c r="C793" s="212"/>
      <c r="D793" s="212"/>
    </row>
    <row r="794" spans="2:4" ht="12.5" x14ac:dyDescent="0.25">
      <c r="B794" s="212"/>
      <c r="C794" s="212"/>
      <c r="D794" s="212"/>
    </row>
    <row r="795" spans="2:4" ht="12.5" x14ac:dyDescent="0.25">
      <c r="B795" s="212"/>
      <c r="C795" s="212"/>
      <c r="D795" s="212"/>
    </row>
    <row r="796" spans="2:4" ht="12.5" x14ac:dyDescent="0.25">
      <c r="B796" s="212"/>
      <c r="C796" s="212"/>
      <c r="D796" s="212"/>
    </row>
    <row r="797" spans="2:4" ht="12.5" x14ac:dyDescent="0.25">
      <c r="B797" s="212"/>
      <c r="C797" s="212"/>
      <c r="D797" s="212"/>
    </row>
    <row r="798" spans="2:4" ht="12.5" x14ac:dyDescent="0.25">
      <c r="B798" s="212"/>
      <c r="C798" s="212"/>
      <c r="D798" s="212"/>
    </row>
    <row r="799" spans="2:4" ht="12.5" x14ac:dyDescent="0.25">
      <c r="B799" s="212"/>
      <c r="C799" s="212"/>
      <c r="D799" s="212"/>
    </row>
    <row r="800" spans="2:4" ht="12.5" x14ac:dyDescent="0.25">
      <c r="B800" s="212"/>
      <c r="C800" s="212"/>
      <c r="D800" s="212"/>
    </row>
    <row r="801" spans="2:4" ht="12.5" x14ac:dyDescent="0.25">
      <c r="B801" s="212"/>
      <c r="C801" s="212"/>
      <c r="D801" s="212"/>
    </row>
    <row r="802" spans="2:4" ht="12.5" x14ac:dyDescent="0.25">
      <c r="B802" s="212"/>
      <c r="C802" s="212"/>
      <c r="D802" s="212"/>
    </row>
    <row r="803" spans="2:4" ht="12.5" x14ac:dyDescent="0.25">
      <c r="B803" s="212"/>
      <c r="C803" s="212"/>
      <c r="D803" s="212"/>
    </row>
    <row r="804" spans="2:4" ht="12.5" x14ac:dyDescent="0.25">
      <c r="B804" s="212"/>
      <c r="C804" s="212"/>
      <c r="D804" s="212"/>
    </row>
    <row r="805" spans="2:4" ht="12.5" x14ac:dyDescent="0.25">
      <c r="B805" s="212"/>
      <c r="C805" s="212"/>
      <c r="D805" s="212"/>
    </row>
    <row r="806" spans="2:4" ht="12.5" x14ac:dyDescent="0.25">
      <c r="B806" s="212"/>
      <c r="C806" s="212"/>
      <c r="D806" s="212"/>
    </row>
    <row r="807" spans="2:4" ht="12.5" x14ac:dyDescent="0.25">
      <c r="B807" s="212"/>
      <c r="C807" s="212"/>
      <c r="D807" s="212"/>
    </row>
    <row r="808" spans="2:4" ht="12.5" x14ac:dyDescent="0.25">
      <c r="B808" s="212"/>
      <c r="C808" s="212"/>
      <c r="D808" s="212"/>
    </row>
    <row r="809" spans="2:4" ht="12.5" x14ac:dyDescent="0.25">
      <c r="B809" s="212"/>
      <c r="C809" s="212"/>
      <c r="D809" s="212"/>
    </row>
    <row r="810" spans="2:4" ht="12.5" x14ac:dyDescent="0.25">
      <c r="B810" s="212"/>
      <c r="C810" s="212"/>
      <c r="D810" s="212"/>
    </row>
    <row r="811" spans="2:4" ht="12.5" x14ac:dyDescent="0.25">
      <c r="B811" s="212"/>
      <c r="C811" s="212"/>
      <c r="D811" s="212"/>
    </row>
    <row r="812" spans="2:4" ht="12.5" x14ac:dyDescent="0.25">
      <c r="B812" s="212"/>
      <c r="C812" s="212"/>
      <c r="D812" s="212"/>
    </row>
    <row r="813" spans="2:4" ht="12.5" x14ac:dyDescent="0.25">
      <c r="B813" s="212"/>
      <c r="C813" s="212"/>
      <c r="D813" s="212"/>
    </row>
    <row r="814" spans="2:4" ht="12.5" x14ac:dyDescent="0.25">
      <c r="B814" s="212"/>
      <c r="C814" s="212"/>
      <c r="D814" s="212"/>
    </row>
    <row r="815" spans="2:4" ht="12.5" x14ac:dyDescent="0.25">
      <c r="B815" s="212"/>
      <c r="C815" s="212"/>
      <c r="D815" s="212"/>
    </row>
    <row r="816" spans="2:4" ht="12.5" x14ac:dyDescent="0.25">
      <c r="B816" s="212"/>
      <c r="C816" s="212"/>
      <c r="D816" s="212"/>
    </row>
    <row r="817" spans="2:4" ht="12.5" x14ac:dyDescent="0.25">
      <c r="B817" s="212"/>
      <c r="C817" s="212"/>
      <c r="D817" s="212"/>
    </row>
    <row r="818" spans="2:4" ht="12.5" x14ac:dyDescent="0.25">
      <c r="B818" s="212"/>
      <c r="C818" s="212"/>
      <c r="D818" s="212"/>
    </row>
    <row r="819" spans="2:4" ht="12.5" x14ac:dyDescent="0.25">
      <c r="B819" s="212"/>
      <c r="C819" s="212"/>
      <c r="D819" s="212"/>
    </row>
    <row r="820" spans="2:4" ht="12.5" x14ac:dyDescent="0.25">
      <c r="B820" s="212"/>
      <c r="C820" s="212"/>
      <c r="D820" s="212"/>
    </row>
    <row r="821" spans="2:4" ht="12.5" x14ac:dyDescent="0.25">
      <c r="B821" s="212"/>
      <c r="C821" s="212"/>
      <c r="D821" s="212"/>
    </row>
    <row r="822" spans="2:4" ht="12.5" x14ac:dyDescent="0.25">
      <c r="B822" s="212"/>
      <c r="C822" s="212"/>
      <c r="D822" s="212"/>
    </row>
    <row r="823" spans="2:4" ht="12.5" x14ac:dyDescent="0.25">
      <c r="B823" s="212"/>
      <c r="C823" s="212"/>
      <c r="D823" s="212"/>
    </row>
    <row r="824" spans="2:4" ht="12.5" x14ac:dyDescent="0.25">
      <c r="B824" s="212"/>
      <c r="C824" s="212"/>
      <c r="D824" s="212"/>
    </row>
    <row r="825" spans="2:4" ht="12.5" x14ac:dyDescent="0.25">
      <c r="B825" s="212"/>
      <c r="C825" s="212"/>
      <c r="D825" s="212"/>
    </row>
    <row r="826" spans="2:4" ht="12.5" x14ac:dyDescent="0.25">
      <c r="B826" s="212"/>
      <c r="C826" s="212"/>
      <c r="D826" s="212"/>
    </row>
    <row r="827" spans="2:4" ht="12.5" x14ac:dyDescent="0.25">
      <c r="B827" s="212"/>
      <c r="C827" s="212"/>
      <c r="D827" s="212"/>
    </row>
    <row r="828" spans="2:4" ht="12.5" x14ac:dyDescent="0.25">
      <c r="B828" s="212"/>
      <c r="C828" s="212"/>
      <c r="D828" s="212"/>
    </row>
    <row r="829" spans="2:4" ht="12.5" x14ac:dyDescent="0.25">
      <c r="B829" s="212"/>
      <c r="C829" s="212"/>
      <c r="D829" s="212"/>
    </row>
    <row r="830" spans="2:4" ht="12.5" x14ac:dyDescent="0.25">
      <c r="B830" s="212"/>
      <c r="C830" s="212"/>
      <c r="D830" s="212"/>
    </row>
    <row r="831" spans="2:4" ht="12.5" x14ac:dyDescent="0.25">
      <c r="B831" s="212"/>
      <c r="C831" s="212"/>
      <c r="D831" s="212"/>
    </row>
    <row r="832" spans="2:4" ht="12.5" x14ac:dyDescent="0.25">
      <c r="B832" s="212"/>
      <c r="C832" s="212"/>
      <c r="D832" s="212"/>
    </row>
    <row r="833" spans="2:4" ht="12.5" x14ac:dyDescent="0.25">
      <c r="B833" s="212"/>
      <c r="C833" s="212"/>
      <c r="D833" s="212"/>
    </row>
    <row r="834" spans="2:4" ht="12.5" x14ac:dyDescent="0.25">
      <c r="B834" s="212"/>
      <c r="C834" s="212"/>
      <c r="D834" s="212"/>
    </row>
    <row r="835" spans="2:4" ht="12.5" x14ac:dyDescent="0.25">
      <c r="B835" s="212"/>
      <c r="C835" s="212"/>
      <c r="D835" s="212"/>
    </row>
    <row r="836" spans="2:4" ht="12.5" x14ac:dyDescent="0.25">
      <c r="B836" s="212"/>
      <c r="C836" s="212"/>
      <c r="D836" s="212"/>
    </row>
    <row r="837" spans="2:4" ht="12.5" x14ac:dyDescent="0.25">
      <c r="B837" s="212"/>
      <c r="C837" s="212"/>
      <c r="D837" s="212"/>
    </row>
    <row r="838" spans="2:4" ht="12.5" x14ac:dyDescent="0.25">
      <c r="B838" s="212"/>
      <c r="C838" s="212"/>
      <c r="D838" s="212"/>
    </row>
    <row r="839" spans="2:4" ht="12.5" x14ac:dyDescent="0.25">
      <c r="B839" s="212"/>
      <c r="C839" s="212"/>
      <c r="D839" s="212"/>
    </row>
    <row r="840" spans="2:4" ht="12.5" x14ac:dyDescent="0.25">
      <c r="B840" s="212"/>
      <c r="C840" s="212"/>
      <c r="D840" s="212"/>
    </row>
    <row r="841" spans="2:4" ht="12.5" x14ac:dyDescent="0.25">
      <c r="B841" s="212"/>
      <c r="C841" s="212"/>
      <c r="D841" s="212"/>
    </row>
    <row r="842" spans="2:4" ht="12.5" x14ac:dyDescent="0.25">
      <c r="B842" s="212"/>
      <c r="C842" s="212"/>
      <c r="D842" s="212"/>
    </row>
    <row r="843" spans="2:4" ht="12.5" x14ac:dyDescent="0.25">
      <c r="B843" s="212"/>
      <c r="C843" s="212"/>
      <c r="D843" s="212"/>
    </row>
    <row r="844" spans="2:4" ht="12.5" x14ac:dyDescent="0.25">
      <c r="B844" s="212"/>
      <c r="C844" s="212"/>
      <c r="D844" s="212"/>
    </row>
    <row r="845" spans="2:4" ht="12.5" x14ac:dyDescent="0.25">
      <c r="B845" s="212"/>
      <c r="C845" s="212"/>
      <c r="D845" s="212"/>
    </row>
    <row r="846" spans="2:4" ht="12.5" x14ac:dyDescent="0.25">
      <c r="B846" s="212"/>
      <c r="C846" s="212"/>
      <c r="D846" s="212"/>
    </row>
    <row r="847" spans="2:4" ht="12.5" x14ac:dyDescent="0.25">
      <c r="B847" s="212"/>
      <c r="C847" s="212"/>
      <c r="D847" s="212"/>
    </row>
    <row r="848" spans="2:4" ht="12.5" x14ac:dyDescent="0.25">
      <c r="B848" s="212"/>
      <c r="C848" s="212"/>
      <c r="D848" s="212"/>
    </row>
    <row r="849" spans="2:4" ht="12.5" x14ac:dyDescent="0.25">
      <c r="B849" s="212"/>
      <c r="C849" s="212"/>
      <c r="D849" s="212"/>
    </row>
    <row r="850" spans="2:4" ht="12.5" x14ac:dyDescent="0.25">
      <c r="B850" s="212"/>
      <c r="C850" s="212"/>
      <c r="D850" s="212"/>
    </row>
    <row r="851" spans="2:4" ht="12.5" x14ac:dyDescent="0.25">
      <c r="B851" s="212"/>
      <c r="C851" s="212"/>
      <c r="D851" s="212"/>
    </row>
    <row r="852" spans="2:4" ht="12.5" x14ac:dyDescent="0.25">
      <c r="B852" s="212"/>
      <c r="C852" s="212"/>
      <c r="D852" s="212"/>
    </row>
    <row r="853" spans="2:4" ht="12.5" x14ac:dyDescent="0.25">
      <c r="B853" s="212"/>
      <c r="C853" s="212"/>
      <c r="D853" s="212"/>
    </row>
    <row r="854" spans="2:4" ht="12.5" x14ac:dyDescent="0.25">
      <c r="B854" s="212"/>
      <c r="C854" s="212"/>
      <c r="D854" s="212"/>
    </row>
    <row r="855" spans="2:4" ht="12.5" x14ac:dyDescent="0.25">
      <c r="B855" s="212"/>
      <c r="C855" s="212"/>
      <c r="D855" s="212"/>
    </row>
    <row r="856" spans="2:4" ht="12.5" x14ac:dyDescent="0.25">
      <c r="B856" s="212"/>
      <c r="C856" s="212"/>
      <c r="D856" s="212"/>
    </row>
    <row r="857" spans="2:4" ht="12.5" x14ac:dyDescent="0.25">
      <c r="B857" s="212"/>
      <c r="C857" s="212"/>
      <c r="D857" s="212"/>
    </row>
    <row r="858" spans="2:4" ht="12.5" x14ac:dyDescent="0.25">
      <c r="B858" s="212"/>
      <c r="C858" s="212"/>
      <c r="D858" s="212"/>
    </row>
    <row r="859" spans="2:4" ht="12.5" x14ac:dyDescent="0.25">
      <c r="B859" s="212"/>
      <c r="C859" s="212"/>
      <c r="D859" s="212"/>
    </row>
    <row r="860" spans="2:4" ht="12.5" x14ac:dyDescent="0.25">
      <c r="B860" s="212"/>
      <c r="C860" s="212"/>
      <c r="D860" s="212"/>
    </row>
    <row r="861" spans="2:4" ht="12.5" x14ac:dyDescent="0.25">
      <c r="B861" s="212"/>
      <c r="C861" s="212"/>
      <c r="D861" s="212"/>
    </row>
    <row r="862" spans="2:4" ht="12.5" x14ac:dyDescent="0.25">
      <c r="B862" s="212"/>
      <c r="C862" s="212"/>
      <c r="D862" s="212"/>
    </row>
    <row r="863" spans="2:4" ht="12.5" x14ac:dyDescent="0.25">
      <c r="B863" s="212"/>
      <c r="C863" s="212"/>
      <c r="D863" s="212"/>
    </row>
    <row r="864" spans="2:4" ht="12.5" x14ac:dyDescent="0.25">
      <c r="B864" s="212"/>
      <c r="C864" s="212"/>
      <c r="D864" s="212"/>
    </row>
    <row r="865" spans="2:4" ht="12.5" x14ac:dyDescent="0.25">
      <c r="B865" s="212"/>
      <c r="C865" s="212"/>
      <c r="D865" s="212"/>
    </row>
    <row r="866" spans="2:4" ht="12.5" x14ac:dyDescent="0.25">
      <c r="B866" s="212"/>
      <c r="C866" s="212"/>
      <c r="D866" s="212"/>
    </row>
    <row r="867" spans="2:4" ht="12.5" x14ac:dyDescent="0.25">
      <c r="B867" s="212"/>
      <c r="C867" s="212"/>
      <c r="D867" s="212"/>
    </row>
    <row r="868" spans="2:4" ht="12.5" x14ac:dyDescent="0.25">
      <c r="B868" s="212"/>
      <c r="C868" s="212"/>
      <c r="D868" s="212"/>
    </row>
    <row r="869" spans="2:4" ht="12.5" x14ac:dyDescent="0.25">
      <c r="B869" s="212"/>
      <c r="C869" s="212"/>
      <c r="D869" s="212"/>
    </row>
    <row r="870" spans="2:4" ht="12.5" x14ac:dyDescent="0.25">
      <c r="B870" s="212"/>
      <c r="C870" s="212"/>
      <c r="D870" s="212"/>
    </row>
    <row r="871" spans="2:4" ht="12.5" x14ac:dyDescent="0.25">
      <c r="B871" s="212"/>
      <c r="C871" s="212"/>
      <c r="D871" s="212"/>
    </row>
    <row r="872" spans="2:4" ht="12.5" x14ac:dyDescent="0.25">
      <c r="B872" s="212"/>
      <c r="C872" s="212"/>
      <c r="D872" s="212"/>
    </row>
    <row r="873" spans="2:4" ht="12.5" x14ac:dyDescent="0.25">
      <c r="B873" s="212"/>
      <c r="C873" s="212"/>
      <c r="D873" s="212"/>
    </row>
    <row r="874" spans="2:4" ht="12.5" x14ac:dyDescent="0.25">
      <c r="B874" s="212"/>
      <c r="C874" s="212"/>
      <c r="D874" s="212"/>
    </row>
    <row r="875" spans="2:4" ht="12.5" x14ac:dyDescent="0.25">
      <c r="B875" s="212"/>
      <c r="C875" s="212"/>
      <c r="D875" s="212"/>
    </row>
    <row r="876" spans="2:4" ht="12.5" x14ac:dyDescent="0.25">
      <c r="B876" s="212"/>
      <c r="C876" s="212"/>
      <c r="D876" s="212"/>
    </row>
    <row r="877" spans="2:4" ht="12.5" x14ac:dyDescent="0.25">
      <c r="B877" s="212"/>
      <c r="C877" s="212"/>
      <c r="D877" s="212"/>
    </row>
    <row r="878" spans="2:4" ht="12.5" x14ac:dyDescent="0.25">
      <c r="B878" s="212"/>
      <c r="C878" s="212"/>
      <c r="D878" s="212"/>
    </row>
    <row r="879" spans="2:4" ht="12.5" x14ac:dyDescent="0.25">
      <c r="B879" s="212"/>
      <c r="C879" s="212"/>
      <c r="D879" s="212"/>
    </row>
    <row r="880" spans="2:4" ht="12.5" x14ac:dyDescent="0.25">
      <c r="B880" s="212"/>
      <c r="C880" s="212"/>
      <c r="D880" s="212"/>
    </row>
    <row r="881" spans="2:4" ht="12.5" x14ac:dyDescent="0.25">
      <c r="B881" s="212"/>
      <c r="C881" s="212"/>
      <c r="D881" s="212"/>
    </row>
    <row r="882" spans="2:4" ht="12.5" x14ac:dyDescent="0.25">
      <c r="B882" s="212"/>
      <c r="C882" s="212"/>
      <c r="D882" s="212"/>
    </row>
    <row r="883" spans="2:4" ht="12.5" x14ac:dyDescent="0.25">
      <c r="B883" s="212"/>
      <c r="C883" s="212"/>
      <c r="D883" s="212"/>
    </row>
    <row r="884" spans="2:4" ht="12.5" x14ac:dyDescent="0.25">
      <c r="B884" s="212"/>
      <c r="C884" s="212"/>
      <c r="D884" s="212"/>
    </row>
    <row r="885" spans="2:4" ht="12.5" x14ac:dyDescent="0.25">
      <c r="B885" s="212"/>
      <c r="C885" s="212"/>
      <c r="D885" s="212"/>
    </row>
    <row r="886" spans="2:4" ht="12.5" x14ac:dyDescent="0.25">
      <c r="B886" s="212"/>
      <c r="C886" s="212"/>
      <c r="D886" s="212"/>
    </row>
    <row r="887" spans="2:4" ht="12.5" x14ac:dyDescent="0.25">
      <c r="B887" s="212"/>
      <c r="C887" s="212"/>
      <c r="D887" s="212"/>
    </row>
    <row r="888" spans="2:4" ht="12.5" x14ac:dyDescent="0.25">
      <c r="B888" s="212"/>
      <c r="C888" s="212"/>
      <c r="D888" s="212"/>
    </row>
    <row r="889" spans="2:4" ht="12.5" x14ac:dyDescent="0.25">
      <c r="B889" s="212"/>
      <c r="C889" s="212"/>
      <c r="D889" s="212"/>
    </row>
    <row r="890" spans="2:4" ht="12.5" x14ac:dyDescent="0.25">
      <c r="B890" s="212"/>
      <c r="C890" s="212"/>
      <c r="D890" s="212"/>
    </row>
    <row r="891" spans="2:4" ht="12.5" x14ac:dyDescent="0.25">
      <c r="B891" s="212"/>
      <c r="C891" s="212"/>
      <c r="D891" s="212"/>
    </row>
    <row r="892" spans="2:4" ht="12.5" x14ac:dyDescent="0.25">
      <c r="B892" s="212"/>
      <c r="C892" s="212"/>
      <c r="D892" s="212"/>
    </row>
    <row r="893" spans="2:4" ht="12.5" x14ac:dyDescent="0.25">
      <c r="B893" s="212"/>
      <c r="C893" s="212"/>
      <c r="D893" s="212"/>
    </row>
    <row r="894" spans="2:4" ht="12.5" x14ac:dyDescent="0.25">
      <c r="B894" s="212"/>
      <c r="C894" s="212"/>
      <c r="D894" s="212"/>
    </row>
    <row r="895" spans="2:4" ht="12.5" x14ac:dyDescent="0.25">
      <c r="B895" s="212"/>
      <c r="C895" s="212"/>
      <c r="D895" s="212"/>
    </row>
    <row r="896" spans="2:4" ht="12.5" x14ac:dyDescent="0.25">
      <c r="B896" s="212"/>
      <c r="C896" s="212"/>
      <c r="D896" s="212"/>
    </row>
    <row r="897" spans="2:4" ht="12.5" x14ac:dyDescent="0.25">
      <c r="B897" s="212"/>
      <c r="C897" s="212"/>
      <c r="D897" s="212"/>
    </row>
    <row r="898" spans="2:4" ht="12.5" x14ac:dyDescent="0.25">
      <c r="B898" s="212"/>
      <c r="C898" s="212"/>
      <c r="D898" s="212"/>
    </row>
    <row r="899" spans="2:4" ht="12.5" x14ac:dyDescent="0.25">
      <c r="B899" s="212"/>
      <c r="C899" s="212"/>
      <c r="D899" s="212"/>
    </row>
    <row r="900" spans="2:4" ht="12.5" x14ac:dyDescent="0.25">
      <c r="B900" s="212"/>
      <c r="C900" s="212"/>
      <c r="D900" s="212"/>
    </row>
    <row r="901" spans="2:4" ht="12.5" x14ac:dyDescent="0.25">
      <c r="B901" s="212"/>
      <c r="C901" s="212"/>
      <c r="D901" s="212"/>
    </row>
    <row r="902" spans="2:4" ht="12.5" x14ac:dyDescent="0.25">
      <c r="B902" s="212"/>
      <c r="C902" s="212"/>
      <c r="D902" s="212"/>
    </row>
    <row r="903" spans="2:4" ht="12.5" x14ac:dyDescent="0.25">
      <c r="B903" s="212"/>
      <c r="C903" s="212"/>
      <c r="D903" s="212"/>
    </row>
    <row r="904" spans="2:4" ht="12.5" x14ac:dyDescent="0.25">
      <c r="B904" s="212"/>
      <c r="C904" s="212"/>
      <c r="D904" s="212"/>
    </row>
    <row r="905" spans="2:4" ht="12.5" x14ac:dyDescent="0.25">
      <c r="B905" s="212"/>
      <c r="C905" s="212"/>
      <c r="D905" s="212"/>
    </row>
    <row r="906" spans="2:4" ht="12.5" x14ac:dyDescent="0.25">
      <c r="B906" s="212"/>
      <c r="C906" s="212"/>
      <c r="D906" s="212"/>
    </row>
    <row r="907" spans="2:4" ht="12.5" x14ac:dyDescent="0.25">
      <c r="B907" s="212"/>
      <c r="C907" s="212"/>
      <c r="D907" s="212"/>
    </row>
    <row r="908" spans="2:4" ht="12.5" x14ac:dyDescent="0.25">
      <c r="B908" s="212"/>
      <c r="C908" s="212"/>
      <c r="D908" s="212"/>
    </row>
    <row r="909" spans="2:4" ht="12.5" x14ac:dyDescent="0.25">
      <c r="B909" s="212"/>
      <c r="C909" s="212"/>
      <c r="D909" s="212"/>
    </row>
    <row r="910" spans="2:4" ht="12.5" x14ac:dyDescent="0.25">
      <c r="B910" s="212"/>
      <c r="C910" s="212"/>
      <c r="D910" s="212"/>
    </row>
    <row r="911" spans="2:4" ht="12.5" x14ac:dyDescent="0.25">
      <c r="B911" s="212"/>
      <c r="C911" s="212"/>
      <c r="D911" s="212"/>
    </row>
    <row r="912" spans="2:4" ht="12.5" x14ac:dyDescent="0.25">
      <c r="B912" s="212"/>
      <c r="C912" s="212"/>
      <c r="D912" s="212"/>
    </row>
    <row r="913" spans="2:4" ht="12.5" x14ac:dyDescent="0.25">
      <c r="B913" s="212"/>
      <c r="C913" s="212"/>
      <c r="D913" s="212"/>
    </row>
    <row r="914" spans="2:4" ht="12.5" x14ac:dyDescent="0.25">
      <c r="B914" s="212"/>
      <c r="C914" s="212"/>
      <c r="D914" s="212"/>
    </row>
    <row r="915" spans="2:4" ht="12.5" x14ac:dyDescent="0.25">
      <c r="B915" s="212"/>
      <c r="C915" s="212"/>
      <c r="D915" s="212"/>
    </row>
    <row r="916" spans="2:4" ht="12.5" x14ac:dyDescent="0.25">
      <c r="B916" s="212"/>
      <c r="C916" s="212"/>
      <c r="D916" s="212"/>
    </row>
    <row r="917" spans="2:4" ht="12.5" x14ac:dyDescent="0.25">
      <c r="B917" s="212"/>
      <c r="C917" s="212"/>
      <c r="D917" s="212"/>
    </row>
    <row r="918" spans="2:4" ht="12.5" x14ac:dyDescent="0.25">
      <c r="B918" s="212"/>
      <c r="C918" s="212"/>
      <c r="D918" s="212"/>
    </row>
    <row r="919" spans="2:4" ht="12.5" x14ac:dyDescent="0.25">
      <c r="B919" s="212"/>
      <c r="C919" s="212"/>
      <c r="D919" s="212"/>
    </row>
    <row r="920" spans="2:4" ht="12.5" x14ac:dyDescent="0.25">
      <c r="B920" s="212"/>
      <c r="C920" s="212"/>
      <c r="D920" s="212"/>
    </row>
    <row r="921" spans="2:4" ht="12.5" x14ac:dyDescent="0.25">
      <c r="B921" s="212"/>
      <c r="C921" s="212"/>
      <c r="D921" s="212"/>
    </row>
    <row r="922" spans="2:4" ht="12.5" x14ac:dyDescent="0.25">
      <c r="B922" s="212"/>
      <c r="C922" s="212"/>
      <c r="D922" s="212"/>
    </row>
    <row r="923" spans="2:4" ht="12.5" x14ac:dyDescent="0.25">
      <c r="B923" s="212"/>
      <c r="C923" s="212"/>
      <c r="D923" s="212"/>
    </row>
    <row r="924" spans="2:4" ht="12.5" x14ac:dyDescent="0.25">
      <c r="B924" s="212"/>
      <c r="C924" s="212"/>
      <c r="D924" s="212"/>
    </row>
    <row r="925" spans="2:4" ht="12.5" x14ac:dyDescent="0.25">
      <c r="B925" s="212"/>
      <c r="C925" s="212"/>
      <c r="D925" s="212"/>
    </row>
    <row r="926" spans="2:4" ht="12.5" x14ac:dyDescent="0.25">
      <c r="B926" s="212"/>
      <c r="C926" s="212"/>
      <c r="D926" s="212"/>
    </row>
    <row r="927" spans="2:4" ht="12.5" x14ac:dyDescent="0.25">
      <c r="B927" s="212"/>
      <c r="C927" s="212"/>
      <c r="D927" s="212"/>
    </row>
    <row r="928" spans="2:4" ht="12.5" x14ac:dyDescent="0.25">
      <c r="B928" s="212"/>
      <c r="C928" s="212"/>
      <c r="D928" s="212"/>
    </row>
    <row r="929" spans="2:4" ht="12.5" x14ac:dyDescent="0.25">
      <c r="B929" s="212"/>
      <c r="C929" s="212"/>
      <c r="D929" s="212"/>
    </row>
    <row r="930" spans="2:4" ht="12.5" x14ac:dyDescent="0.25">
      <c r="B930" s="212"/>
      <c r="C930" s="212"/>
      <c r="D930" s="212"/>
    </row>
    <row r="931" spans="2:4" ht="12.5" x14ac:dyDescent="0.25">
      <c r="B931" s="212"/>
      <c r="C931" s="212"/>
      <c r="D931" s="212"/>
    </row>
    <row r="932" spans="2:4" ht="12.5" x14ac:dyDescent="0.25">
      <c r="B932" s="212"/>
      <c r="C932" s="212"/>
      <c r="D932" s="212"/>
    </row>
    <row r="933" spans="2:4" ht="12.5" x14ac:dyDescent="0.25">
      <c r="B933" s="212"/>
      <c r="C933" s="212"/>
      <c r="D933" s="212"/>
    </row>
    <row r="934" spans="2:4" ht="12.5" x14ac:dyDescent="0.25">
      <c r="B934" s="212"/>
      <c r="C934" s="212"/>
      <c r="D934" s="212"/>
    </row>
    <row r="935" spans="2:4" ht="12.5" x14ac:dyDescent="0.25">
      <c r="B935" s="212"/>
      <c r="C935" s="212"/>
      <c r="D935" s="212"/>
    </row>
    <row r="936" spans="2:4" ht="12.5" x14ac:dyDescent="0.25">
      <c r="B936" s="212"/>
      <c r="C936" s="212"/>
      <c r="D936" s="212"/>
    </row>
    <row r="937" spans="2:4" ht="12.5" x14ac:dyDescent="0.25">
      <c r="B937" s="212"/>
      <c r="C937" s="212"/>
      <c r="D937" s="212"/>
    </row>
    <row r="938" spans="2:4" ht="12.5" x14ac:dyDescent="0.25">
      <c r="B938" s="212"/>
      <c r="C938" s="212"/>
      <c r="D938" s="212"/>
    </row>
    <row r="939" spans="2:4" ht="12.5" x14ac:dyDescent="0.25">
      <c r="B939" s="212"/>
      <c r="C939" s="212"/>
      <c r="D939" s="212"/>
    </row>
    <row r="940" spans="2:4" ht="12.5" x14ac:dyDescent="0.25">
      <c r="B940" s="212"/>
      <c r="C940" s="212"/>
      <c r="D940" s="212"/>
    </row>
    <row r="941" spans="2:4" ht="12.5" x14ac:dyDescent="0.25">
      <c r="B941" s="212"/>
      <c r="C941" s="212"/>
      <c r="D941" s="212"/>
    </row>
    <row r="942" spans="2:4" ht="12.5" x14ac:dyDescent="0.25">
      <c r="B942" s="212"/>
      <c r="C942" s="212"/>
      <c r="D942" s="212"/>
    </row>
    <row r="943" spans="2:4" ht="12.5" x14ac:dyDescent="0.25">
      <c r="B943" s="212"/>
      <c r="C943" s="212"/>
      <c r="D943" s="212"/>
    </row>
    <row r="944" spans="2:4" ht="12.5" x14ac:dyDescent="0.25">
      <c r="B944" s="212"/>
      <c r="C944" s="212"/>
      <c r="D944" s="212"/>
    </row>
    <row r="945" spans="2:4" ht="12.5" x14ac:dyDescent="0.25">
      <c r="B945" s="212"/>
      <c r="C945" s="212"/>
      <c r="D945" s="212"/>
    </row>
    <row r="946" spans="2:4" ht="12.5" x14ac:dyDescent="0.25">
      <c r="B946" s="212"/>
      <c r="C946" s="212"/>
      <c r="D946" s="212"/>
    </row>
    <row r="947" spans="2:4" ht="12.5" x14ac:dyDescent="0.25">
      <c r="B947" s="212"/>
      <c r="C947" s="212"/>
      <c r="D947" s="212"/>
    </row>
    <row r="948" spans="2:4" ht="12.5" x14ac:dyDescent="0.25">
      <c r="B948" s="212"/>
      <c r="C948" s="212"/>
      <c r="D948" s="212"/>
    </row>
    <row r="949" spans="2:4" ht="12.5" x14ac:dyDescent="0.25">
      <c r="B949" s="212"/>
      <c r="C949" s="212"/>
      <c r="D949" s="212"/>
    </row>
    <row r="950" spans="2:4" ht="12.5" x14ac:dyDescent="0.25">
      <c r="B950" s="212"/>
      <c r="C950" s="212"/>
      <c r="D950" s="212"/>
    </row>
    <row r="951" spans="2:4" ht="12.5" x14ac:dyDescent="0.25">
      <c r="B951" s="212"/>
      <c r="C951" s="212"/>
      <c r="D951" s="212"/>
    </row>
    <row r="952" spans="2:4" ht="12.5" x14ac:dyDescent="0.25">
      <c r="B952" s="212"/>
      <c r="C952" s="212"/>
      <c r="D952" s="212"/>
    </row>
    <row r="953" spans="2:4" ht="12.5" x14ac:dyDescent="0.25">
      <c r="B953" s="212"/>
      <c r="C953" s="212"/>
      <c r="D953" s="212"/>
    </row>
    <row r="954" spans="2:4" ht="12.5" x14ac:dyDescent="0.25">
      <c r="B954" s="212"/>
      <c r="C954" s="212"/>
      <c r="D954" s="212"/>
    </row>
    <row r="955" spans="2:4" ht="12.5" x14ac:dyDescent="0.25">
      <c r="B955" s="212"/>
      <c r="C955" s="212"/>
      <c r="D955" s="212"/>
    </row>
    <row r="956" spans="2:4" ht="12.5" x14ac:dyDescent="0.25">
      <c r="B956" s="212"/>
      <c r="C956" s="212"/>
      <c r="D956" s="212"/>
    </row>
    <row r="957" spans="2:4" ht="12.5" x14ac:dyDescent="0.25">
      <c r="B957" s="212"/>
      <c r="C957" s="212"/>
      <c r="D957" s="212"/>
    </row>
    <row r="958" spans="2:4" ht="12.5" x14ac:dyDescent="0.25">
      <c r="B958" s="212"/>
      <c r="C958" s="212"/>
      <c r="D958" s="212"/>
    </row>
    <row r="959" spans="2:4" ht="12.5" x14ac:dyDescent="0.25">
      <c r="B959" s="212"/>
      <c r="C959" s="212"/>
      <c r="D959" s="212"/>
    </row>
    <row r="960" spans="2:4" ht="12.5" x14ac:dyDescent="0.25">
      <c r="B960" s="212"/>
      <c r="C960" s="212"/>
      <c r="D960" s="212"/>
    </row>
    <row r="961" spans="2:4" ht="12.5" x14ac:dyDescent="0.25">
      <c r="B961" s="212"/>
      <c r="C961" s="212"/>
      <c r="D961" s="212"/>
    </row>
    <row r="962" spans="2:4" ht="12.5" x14ac:dyDescent="0.25">
      <c r="B962" s="212"/>
      <c r="C962" s="212"/>
      <c r="D962" s="212"/>
    </row>
    <row r="963" spans="2:4" ht="12.5" x14ac:dyDescent="0.25">
      <c r="B963" s="212"/>
      <c r="C963" s="212"/>
      <c r="D963" s="212"/>
    </row>
    <row r="964" spans="2:4" ht="12.5" x14ac:dyDescent="0.25">
      <c r="B964" s="212"/>
      <c r="C964" s="212"/>
      <c r="D964" s="212"/>
    </row>
    <row r="965" spans="2:4" ht="12.5" x14ac:dyDescent="0.25">
      <c r="B965" s="212"/>
      <c r="C965" s="212"/>
      <c r="D965" s="212"/>
    </row>
    <row r="966" spans="2:4" ht="12.5" x14ac:dyDescent="0.25">
      <c r="B966" s="212"/>
      <c r="C966" s="212"/>
      <c r="D966" s="212"/>
    </row>
    <row r="967" spans="2:4" ht="12.5" x14ac:dyDescent="0.25">
      <c r="B967" s="212"/>
      <c r="C967" s="212"/>
      <c r="D967" s="212"/>
    </row>
    <row r="968" spans="2:4" ht="12.5" x14ac:dyDescent="0.25">
      <c r="B968" s="212"/>
      <c r="C968" s="212"/>
      <c r="D968" s="212"/>
    </row>
    <row r="969" spans="2:4" ht="12.5" x14ac:dyDescent="0.25">
      <c r="B969" s="212"/>
      <c r="C969" s="212"/>
      <c r="D969" s="212"/>
    </row>
    <row r="970" spans="2:4" ht="12.5" x14ac:dyDescent="0.25">
      <c r="B970" s="212"/>
      <c r="C970" s="212"/>
      <c r="D970" s="212"/>
    </row>
    <row r="971" spans="2:4" ht="12.5" x14ac:dyDescent="0.25">
      <c r="B971" s="212"/>
      <c r="C971" s="212"/>
      <c r="D971" s="212"/>
    </row>
    <row r="972" spans="2:4" ht="12.5" x14ac:dyDescent="0.25">
      <c r="B972" s="212"/>
      <c r="C972" s="212"/>
      <c r="D972" s="212"/>
    </row>
    <row r="973" spans="2:4" ht="12.5" x14ac:dyDescent="0.25">
      <c r="B973" s="212"/>
      <c r="C973" s="212"/>
      <c r="D973" s="212"/>
    </row>
    <row r="974" spans="2:4" ht="12.5" x14ac:dyDescent="0.25">
      <c r="B974" s="212"/>
      <c r="C974" s="212"/>
      <c r="D974" s="212"/>
    </row>
    <row r="975" spans="2:4" ht="12.5" x14ac:dyDescent="0.25">
      <c r="B975" s="212"/>
      <c r="C975" s="212"/>
      <c r="D975" s="212"/>
    </row>
    <row r="976" spans="2:4" ht="12.5" x14ac:dyDescent="0.25">
      <c r="B976" s="212"/>
      <c r="C976" s="212"/>
      <c r="D976" s="212"/>
    </row>
    <row r="977" spans="2:4" ht="12.5" x14ac:dyDescent="0.25">
      <c r="B977" s="212"/>
      <c r="C977" s="212"/>
      <c r="D977" s="212"/>
    </row>
    <row r="978" spans="2:4" ht="12.5" x14ac:dyDescent="0.25">
      <c r="B978" s="212"/>
      <c r="C978" s="212"/>
      <c r="D978" s="212"/>
    </row>
    <row r="979" spans="2:4" ht="12.5" x14ac:dyDescent="0.25">
      <c r="B979" s="212"/>
      <c r="C979" s="212"/>
      <c r="D979" s="212"/>
    </row>
    <row r="980" spans="2:4" ht="12.5" x14ac:dyDescent="0.25">
      <c r="B980" s="212"/>
      <c r="C980" s="212"/>
      <c r="D980" s="212"/>
    </row>
    <row r="981" spans="2:4" ht="12.5" x14ac:dyDescent="0.25">
      <c r="B981" s="212"/>
      <c r="C981" s="212"/>
      <c r="D981" s="212"/>
    </row>
    <row r="982" spans="2:4" ht="12.5" x14ac:dyDescent="0.25">
      <c r="B982" s="212"/>
      <c r="C982" s="212"/>
      <c r="D982" s="212"/>
    </row>
    <row r="983" spans="2:4" ht="12.5" x14ac:dyDescent="0.25">
      <c r="B983" s="212"/>
      <c r="C983" s="212"/>
      <c r="D983" s="212"/>
    </row>
    <row r="984" spans="2:4" ht="12.5" x14ac:dyDescent="0.25">
      <c r="B984" s="212"/>
      <c r="C984" s="212"/>
      <c r="D984" s="212"/>
    </row>
    <row r="985" spans="2:4" ht="12.5" x14ac:dyDescent="0.25">
      <c r="B985" s="212"/>
      <c r="C985" s="212"/>
      <c r="D985" s="212"/>
    </row>
    <row r="986" spans="2:4" ht="12.5" x14ac:dyDescent="0.25">
      <c r="B986" s="212"/>
      <c r="C986" s="212"/>
      <c r="D986" s="212"/>
    </row>
    <row r="987" spans="2:4" ht="12.5" x14ac:dyDescent="0.25">
      <c r="B987" s="212"/>
      <c r="C987" s="212"/>
      <c r="D987" s="212"/>
    </row>
    <row r="988" spans="2:4" ht="12.5" x14ac:dyDescent="0.25">
      <c r="B988" s="212"/>
      <c r="C988" s="212"/>
      <c r="D988" s="212"/>
    </row>
    <row r="989" spans="2:4" ht="12.5" x14ac:dyDescent="0.25">
      <c r="B989" s="212"/>
      <c r="C989" s="212"/>
      <c r="D989" s="212"/>
    </row>
    <row r="990" spans="2:4" ht="12.5" x14ac:dyDescent="0.25">
      <c r="B990" s="212"/>
      <c r="C990" s="212"/>
      <c r="D990" s="212"/>
    </row>
    <row r="991" spans="2:4" ht="12.5" x14ac:dyDescent="0.25">
      <c r="B991" s="212"/>
      <c r="C991" s="212"/>
      <c r="D991" s="212"/>
    </row>
    <row r="992" spans="2:4" ht="12.5" x14ac:dyDescent="0.25">
      <c r="B992" s="212"/>
      <c r="C992" s="212"/>
      <c r="D992" s="212"/>
    </row>
    <row r="993" spans="2:4" ht="12.5" x14ac:dyDescent="0.25">
      <c r="B993" s="212"/>
      <c r="C993" s="212"/>
      <c r="D993" s="212"/>
    </row>
    <row r="994" spans="2:4" ht="12.5" x14ac:dyDescent="0.25">
      <c r="B994" s="212"/>
      <c r="C994" s="212"/>
      <c r="D994" s="212"/>
    </row>
    <row r="995" spans="2:4" ht="12.5" x14ac:dyDescent="0.25">
      <c r="B995" s="212"/>
      <c r="C995" s="212"/>
      <c r="D995" s="212"/>
    </row>
    <row r="996" spans="2:4" ht="12.5" x14ac:dyDescent="0.25">
      <c r="B996" s="212"/>
      <c r="C996" s="212"/>
      <c r="D996" s="212"/>
    </row>
    <row r="997" spans="2:4" ht="12.5" x14ac:dyDescent="0.25">
      <c r="B997" s="212"/>
      <c r="C997" s="212"/>
      <c r="D997" s="212"/>
    </row>
    <row r="998" spans="2:4" ht="12.5" x14ac:dyDescent="0.25">
      <c r="B998" s="212"/>
      <c r="C998" s="212"/>
      <c r="D998" s="212"/>
    </row>
    <row r="999" spans="2:4" ht="12.5" x14ac:dyDescent="0.25">
      <c r="B999" s="212"/>
      <c r="C999" s="212"/>
      <c r="D999" s="212"/>
    </row>
    <row r="1000" spans="2:4" ht="12.5" x14ac:dyDescent="0.25">
      <c r="B1000" s="212"/>
      <c r="C1000" s="212"/>
      <c r="D1000" s="212"/>
    </row>
    <row r="1001" spans="2:4" ht="12.5" x14ac:dyDescent="0.25">
      <c r="B1001" s="212"/>
      <c r="C1001" s="212"/>
      <c r="D1001" s="212"/>
    </row>
    <row r="1002" spans="2:4" ht="12.5" x14ac:dyDescent="0.25">
      <c r="B1002" s="212"/>
      <c r="C1002" s="212"/>
      <c r="D1002" s="212"/>
    </row>
    <row r="1003" spans="2:4" ht="12.5" x14ac:dyDescent="0.25">
      <c r="B1003" s="212"/>
      <c r="C1003" s="212"/>
      <c r="D1003" s="2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 Jakarta</vt:lpstr>
      <vt:lpstr>Data Indonesia dan Jakarta</vt:lpstr>
      <vt:lpstr>Data Suspek dll (Jakarta)</vt:lpstr>
      <vt:lpstr>RDT Ab</vt:lpstr>
      <vt:lpstr>RDT Ag</vt:lpstr>
      <vt:lpstr>Hasil Lab</vt:lpstr>
      <vt:lpstr>Sheet1</vt:lpstr>
      <vt:lpstr>Regresi</vt:lpstr>
      <vt:lpstr>Vaksinasi</vt:lpstr>
      <vt:lpstr>Pemakaman</vt:lpstr>
      <vt:lpstr>Vaksinasi Wilayah</vt:lpstr>
      <vt:lpstr>Daily Vaksinasi Wilayah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</cp:lastModifiedBy>
  <dcterms:modified xsi:type="dcterms:W3CDTF">2021-07-17T17:14:49Z</dcterms:modified>
</cp:coreProperties>
</file>