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stockDataLab\Lab\"/>
    </mc:Choice>
  </mc:AlternateContent>
  <xr:revisionPtr revIDLastSave="0" documentId="13_ncr:1_{EABA27BD-1AB1-4611-9662-053CC9A47171}" xr6:coauthVersionLast="47" xr6:coauthVersionMax="47" xr10:uidLastSave="{00000000-0000-0000-0000-000000000000}"/>
  <bookViews>
    <workbookView xWindow="1170" yWindow="1170" windowWidth="11520" windowHeight="8325" xr2:uid="{4DC8184E-6C67-46F6-80E3-C1464A56F115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01" i="1" l="1" a="1"/>
  <c r="AE101" i="1" s="1"/>
  <c r="U101" i="1" a="1"/>
  <c r="U101" i="1" s="1"/>
  <c r="K101" i="1" a="1"/>
  <c r="K101" i="1" s="1"/>
  <c r="A101" i="1" a="1"/>
  <c r="A101" i="1" s="1"/>
  <c r="AE100" i="1" a="1"/>
  <c r="AE100" i="1" s="1"/>
  <c r="U100" i="1" a="1"/>
  <c r="U100" i="1" s="1"/>
  <c r="K100" i="1" a="1"/>
  <c r="K100" i="1" s="1"/>
  <c r="A100" i="1" a="1"/>
  <c r="A100" i="1" s="1"/>
  <c r="AE99" i="1" a="1"/>
  <c r="AE99" i="1" s="1"/>
  <c r="U99" i="1" a="1"/>
  <c r="U99" i="1" s="1"/>
  <c r="AB99" i="1"/>
  <c r="AC99" i="1"/>
  <c r="K99" i="1" a="1"/>
  <c r="K99" i="1" s="1"/>
  <c r="A99" i="1" a="1"/>
  <c r="A99" i="1" s="1"/>
  <c r="AE98" i="1" a="1"/>
  <c r="AE98" i="1" s="1"/>
  <c r="U98" i="1" a="1"/>
  <c r="U98" i="1" s="1"/>
  <c r="K98" i="1" a="1"/>
  <c r="K98" i="1" s="1"/>
  <c r="A98" i="1" a="1"/>
  <c r="A98" i="1" s="1"/>
  <c r="AE97" i="1" a="1"/>
  <c r="AE97" i="1" s="1"/>
  <c r="U97" i="1" a="1"/>
  <c r="U97" i="1" s="1"/>
  <c r="K97" i="1" a="1"/>
  <c r="N97" i="1" s="1"/>
  <c r="A97" i="1" a="1"/>
  <c r="A97" i="1" s="1"/>
  <c r="AE96" i="1" a="1"/>
  <c r="AE96" i="1" s="1"/>
  <c r="U96" i="1" a="1"/>
  <c r="U96" i="1" s="1"/>
  <c r="K96" i="1" a="1"/>
  <c r="K96" i="1" s="1"/>
  <c r="A96" i="1" a="1"/>
  <c r="C96" i="1" s="1"/>
  <c r="AE95" i="1" a="1"/>
  <c r="AE95" i="1" s="1"/>
  <c r="U95" i="1" a="1"/>
  <c r="X95" i="1" s="1"/>
  <c r="K95" i="1" a="1"/>
  <c r="K95" i="1" s="1"/>
  <c r="A95" i="1" a="1"/>
  <c r="A95" i="1" s="1"/>
  <c r="AE94" i="1" a="1"/>
  <c r="AE94" i="1" s="1"/>
  <c r="U94" i="1" a="1"/>
  <c r="Z94" i="1" s="1"/>
  <c r="K94" i="1" a="1"/>
  <c r="K94" i="1" s="1"/>
  <c r="A94" i="1" a="1"/>
  <c r="A94" i="1" s="1"/>
  <c r="AE93" i="1" a="1"/>
  <c r="AE93" i="1" s="1"/>
  <c r="U93" i="1" a="1"/>
  <c r="U93" i="1" s="1"/>
  <c r="K93" i="1" a="1"/>
  <c r="K93" i="1" s="1"/>
  <c r="A93" i="1" a="1"/>
  <c r="A93" i="1" s="1"/>
  <c r="AE92" i="1" a="1"/>
  <c r="AE92" i="1" s="1"/>
  <c r="U92" i="1" a="1"/>
  <c r="Y92" i="1" s="1"/>
  <c r="K92" i="1" a="1"/>
  <c r="K92" i="1" s="1"/>
  <c r="A92" i="1" a="1"/>
  <c r="A92" i="1" s="1"/>
  <c r="AE91" i="1" a="1"/>
  <c r="AL91" i="1" s="1"/>
  <c r="U91" i="1" a="1"/>
  <c r="AC91" i="1" s="1"/>
  <c r="K91" i="1" a="1"/>
  <c r="K91" i="1" s="1"/>
  <c r="A91" i="1" a="1"/>
  <c r="A91" i="1" s="1"/>
  <c r="AE90" i="1" a="1"/>
  <c r="AE90" i="1" s="1"/>
  <c r="U90" i="1" a="1"/>
  <c r="X90" i="1" s="1"/>
  <c r="K90" i="1" a="1"/>
  <c r="K90" i="1" s="1"/>
  <c r="A90" i="1" a="1"/>
  <c r="AE89" i="1" a="1"/>
  <c r="AI89" i="1" s="1"/>
  <c r="U89" i="1" a="1"/>
  <c r="U89" i="1" s="1"/>
  <c r="K89" i="1" a="1"/>
  <c r="K89" i="1" s="1"/>
  <c r="A89" i="1" a="1"/>
  <c r="C89" i="1" s="1"/>
  <c r="AE88" i="1" a="1"/>
  <c r="AE88" i="1" s="1"/>
  <c r="U88" i="1" a="1"/>
  <c r="U88" i="1" s="1"/>
  <c r="K88" i="1" a="1"/>
  <c r="N88" i="1" s="1"/>
  <c r="A88" i="1" a="1"/>
  <c r="A88" i="1" s="1"/>
  <c r="AE87" i="1" a="1"/>
  <c r="AE87" i="1" s="1"/>
  <c r="U87" i="1" a="1"/>
  <c r="U87" i="1" s="1"/>
  <c r="K87" i="1" a="1"/>
  <c r="K87" i="1" s="1"/>
  <c r="A87" i="1" a="1"/>
  <c r="A87" i="1" s="1"/>
  <c r="AE86" i="1" a="1"/>
  <c r="AH86" i="1" s="1"/>
  <c r="U86" i="1" a="1"/>
  <c r="V86" i="1" s="1"/>
  <c r="K86" i="1" a="1"/>
  <c r="K86" i="1" s="1"/>
  <c r="A86" i="1" a="1"/>
  <c r="A86" i="1" s="1"/>
  <c r="AE85" i="1" a="1"/>
  <c r="AE85" i="1" s="1"/>
  <c r="U85" i="1" a="1"/>
  <c r="U85" i="1" s="1"/>
  <c r="K85" i="1" a="1"/>
  <c r="K85" i="1" s="1"/>
  <c r="A85" i="1" a="1"/>
  <c r="A85" i="1" s="1"/>
  <c r="AE84" i="1" a="1"/>
  <c r="AE84" i="1" s="1"/>
  <c r="U84" i="1" a="1"/>
  <c r="U84" i="1" s="1"/>
  <c r="K84" i="1" a="1"/>
  <c r="K84" i="1" s="1"/>
  <c r="A84" i="1" a="1"/>
  <c r="A84" i="1" s="1"/>
  <c r="AE83" i="1" a="1"/>
  <c r="AE83" i="1" s="1"/>
  <c r="U83" i="1" a="1"/>
  <c r="U83" i="1" s="1"/>
  <c r="K83" i="1" a="1"/>
  <c r="K83" i="1" s="1"/>
  <c r="A83" i="1" a="1"/>
  <c r="A83" i="1" s="1"/>
  <c r="AE82" i="1" a="1"/>
  <c r="AE82" i="1" s="1"/>
  <c r="U82" i="1" a="1"/>
  <c r="K82" i="1" a="1"/>
  <c r="K82" i="1" s="1"/>
  <c r="A82" i="1" a="1"/>
  <c r="D82" i="1" s="1"/>
  <c r="AE81" i="1" a="1"/>
  <c r="AF81" i="1" s="1"/>
  <c r="U81" i="1" a="1"/>
  <c r="U81" i="1" s="1"/>
  <c r="K81" i="1" a="1"/>
  <c r="K81" i="1" s="1"/>
  <c r="A81" i="1" a="1"/>
  <c r="A81" i="1" s="1"/>
  <c r="AE80" i="1" a="1"/>
  <c r="AE80" i="1" s="1"/>
  <c r="U80" i="1" a="1"/>
  <c r="AB80" i="1" s="1"/>
  <c r="K80" i="1" a="1"/>
  <c r="K80" i="1" s="1"/>
  <c r="A80" i="1" a="1"/>
  <c r="A80" i="1" s="1"/>
  <c r="AE79" i="1" a="1"/>
  <c r="AE79" i="1" s="1"/>
  <c r="U79" i="1" a="1"/>
  <c r="W79" i="1" s="1"/>
  <c r="K79" i="1" a="1"/>
  <c r="K79" i="1" s="1"/>
  <c r="A79" i="1" a="1"/>
  <c r="A79" i="1" s="1"/>
  <c r="AE78" i="1" a="1"/>
  <c r="AE78" i="1" s="1"/>
  <c r="U78" i="1" a="1"/>
  <c r="V78" i="1" s="1"/>
  <c r="K78" i="1" a="1"/>
  <c r="L78" i="1" s="1"/>
  <c r="A78" i="1" a="1"/>
  <c r="A78" i="1" s="1"/>
  <c r="AE77" i="1" a="1"/>
  <c r="AE77" i="1" s="1"/>
  <c r="U77" i="1" a="1"/>
  <c r="AA77" i="1" s="1"/>
  <c r="K77" i="1" a="1"/>
  <c r="R77" i="1" s="1"/>
  <c r="A77" i="1" a="1"/>
  <c r="A77" i="1" s="1"/>
  <c r="AE76" i="1" a="1"/>
  <c r="AE76" i="1" s="1"/>
  <c r="U76" i="1" a="1"/>
  <c r="U76" i="1" s="1"/>
  <c r="K76" i="1" a="1"/>
  <c r="K76" i="1" s="1"/>
  <c r="A76" i="1" a="1"/>
  <c r="C76" i="1" s="1"/>
  <c r="AE75" i="1" a="1"/>
  <c r="AE75" i="1" s="1"/>
  <c r="U75" i="1" a="1"/>
  <c r="U75" i="1" s="1"/>
  <c r="K75" i="1" a="1"/>
  <c r="K75" i="1" s="1"/>
  <c r="A75" i="1" a="1"/>
  <c r="A75" i="1" s="1"/>
  <c r="AE74" i="1" a="1"/>
  <c r="AE74" i="1" s="1"/>
  <c r="U74" i="1" a="1"/>
  <c r="U74" i="1" s="1"/>
  <c r="K74" i="1" a="1"/>
  <c r="K74" i="1" s="1"/>
  <c r="A74" i="1" a="1"/>
  <c r="A74" i="1" s="1"/>
  <c r="AE73" i="1" a="1"/>
  <c r="AE73" i="1" s="1"/>
  <c r="U73" i="1" a="1"/>
  <c r="U73" i="1" s="1"/>
  <c r="K73" i="1" a="1"/>
  <c r="M73" i="1" s="1"/>
  <c r="A73" i="1" a="1"/>
  <c r="A73" i="1" s="1"/>
  <c r="AE72" i="1" a="1"/>
  <c r="AE72" i="1" s="1"/>
  <c r="U72" i="1" a="1"/>
  <c r="U72" i="1" s="1"/>
  <c r="K72" i="1" a="1"/>
  <c r="K72" i="1" s="1"/>
  <c r="A72" i="1" a="1"/>
  <c r="A72" i="1" s="1"/>
  <c r="AE71" i="1" a="1"/>
  <c r="AH71" i="1" s="1"/>
  <c r="U71" i="1" a="1"/>
  <c r="U71" i="1" s="1"/>
  <c r="K71" i="1" a="1"/>
  <c r="K71" i="1" s="1"/>
  <c r="A71" i="1" a="1"/>
  <c r="A71" i="1" s="1"/>
  <c r="AE70" i="1" a="1"/>
  <c r="AL70" i="1" s="1"/>
  <c r="U70" i="1" a="1"/>
  <c r="U70" i="1" s="1"/>
  <c r="K70" i="1" a="1"/>
  <c r="K70" i="1" s="1"/>
  <c r="A70" i="1" a="1"/>
  <c r="G70" i="1" s="1"/>
  <c r="AE69" i="1" a="1"/>
  <c r="AF69" i="1" s="1"/>
  <c r="U69" i="1" a="1"/>
  <c r="X69" i="1" s="1"/>
  <c r="K69" i="1" a="1"/>
  <c r="K69" i="1" s="1"/>
  <c r="A69" i="1" a="1"/>
  <c r="C69" i="1" s="1"/>
  <c r="AE68" i="1" a="1"/>
  <c r="AE68" i="1" s="1"/>
  <c r="U68" i="1" a="1"/>
  <c r="U68" i="1" s="1"/>
  <c r="K68" i="1" a="1"/>
  <c r="K68" i="1" s="1"/>
  <c r="A68" i="1" a="1"/>
  <c r="A68" i="1" s="1"/>
  <c r="AE67" i="1" a="1"/>
  <c r="AE67" i="1" s="1"/>
  <c r="U67" i="1" a="1"/>
  <c r="U67" i="1" s="1"/>
  <c r="K67" i="1" a="1"/>
  <c r="K67" i="1" s="1"/>
  <c r="A67" i="1" a="1"/>
  <c r="A67" i="1" s="1"/>
  <c r="AE66" i="1" a="1"/>
  <c r="AE66" i="1" s="1"/>
  <c r="U66" i="1" a="1"/>
  <c r="U66" i="1" s="1"/>
  <c r="K66" i="1" a="1"/>
  <c r="K66" i="1" s="1"/>
  <c r="A66" i="1" a="1"/>
  <c r="A66" i="1" s="1"/>
  <c r="AE65" i="1" a="1"/>
  <c r="AE65" i="1" s="1"/>
  <c r="U65" i="1" a="1"/>
  <c r="X65" i="1" s="1"/>
  <c r="K65" i="1" a="1"/>
  <c r="M65" i="1" s="1"/>
  <c r="A65" i="1" a="1"/>
  <c r="H65" i="1" s="1"/>
  <c r="AE64" i="1" a="1"/>
  <c r="AE64" i="1" s="1"/>
  <c r="U64" i="1" a="1"/>
  <c r="U64" i="1" s="1"/>
  <c r="K64" i="1" a="1"/>
  <c r="K64" i="1" s="1"/>
  <c r="A64" i="1" a="1"/>
  <c r="A64" i="1" s="1"/>
  <c r="AE63" i="1" a="1"/>
  <c r="AE63" i="1" s="1"/>
  <c r="U63" i="1" a="1"/>
  <c r="V63" i="1" s="1"/>
  <c r="K63" i="1" a="1"/>
  <c r="K63" i="1" s="1"/>
  <c r="A63" i="1" a="1"/>
  <c r="A63" i="1" s="1"/>
  <c r="AE62" i="1" a="1"/>
  <c r="AE62" i="1" s="1"/>
  <c r="U62" i="1" a="1"/>
  <c r="U62" i="1" s="1"/>
  <c r="K62" i="1" a="1"/>
  <c r="N62" i="1" s="1"/>
  <c r="A62" i="1" a="1"/>
  <c r="A62" i="1" s="1"/>
  <c r="AE61" i="1" a="1"/>
  <c r="AE61" i="1" s="1"/>
  <c r="U61" i="1" a="1"/>
  <c r="U61" i="1" s="1"/>
  <c r="K61" i="1" a="1"/>
  <c r="K61" i="1" s="1"/>
  <c r="A61" i="1" a="1"/>
  <c r="A61" i="1" s="1"/>
  <c r="AE60" i="1" a="1"/>
  <c r="AH60" i="1" s="1"/>
  <c r="U60" i="1" a="1"/>
  <c r="Y60" i="1" s="1"/>
  <c r="K60" i="1" a="1"/>
  <c r="K60" i="1" s="1"/>
  <c r="A60" i="1" a="1"/>
  <c r="A60" i="1" s="1"/>
  <c r="AE59" i="1" a="1"/>
  <c r="U59" i="1" a="1"/>
  <c r="U59" i="1" s="1"/>
  <c r="K59" i="1" a="1"/>
  <c r="M59" i="1" s="1"/>
  <c r="A59" i="1" a="1"/>
  <c r="A59" i="1" s="1"/>
  <c r="AE58" i="1" a="1"/>
  <c r="AJ58" i="1" s="1"/>
  <c r="U58" i="1" a="1"/>
  <c r="U58" i="1" s="1"/>
  <c r="K58" i="1" a="1"/>
  <c r="K58" i="1" s="1"/>
  <c r="A58" i="1" a="1"/>
  <c r="AE57" i="1" a="1"/>
  <c r="AE57" i="1" s="1"/>
  <c r="U57" i="1" a="1"/>
  <c r="U57" i="1" s="1"/>
  <c r="K57" i="1" a="1"/>
  <c r="K57" i="1" s="1"/>
  <c r="A57" i="1" a="1"/>
  <c r="A57" i="1" s="1"/>
  <c r="AE56" i="1" a="1"/>
  <c r="U56" i="1" a="1"/>
  <c r="V56" i="1" s="1"/>
  <c r="K56" i="1" a="1"/>
  <c r="K56" i="1" s="1"/>
  <c r="A56" i="1" a="1"/>
  <c r="A56" i="1" s="1"/>
  <c r="AE55" i="1" a="1"/>
  <c r="AE55" i="1" s="1"/>
  <c r="U55" i="1" a="1"/>
  <c r="Y55" i="1" s="1"/>
  <c r="K55" i="1" a="1"/>
  <c r="S55" i="1" s="1"/>
  <c r="A55" i="1" a="1"/>
  <c r="D55" i="1" s="1"/>
  <c r="AE54" i="1" a="1"/>
  <c r="AE54" i="1" s="1"/>
  <c r="U54" i="1" a="1"/>
  <c r="U54" i="1" s="1"/>
  <c r="K54" i="1" a="1"/>
  <c r="Q54" i="1" s="1"/>
  <c r="A54" i="1" a="1"/>
  <c r="AE53" i="1" a="1"/>
  <c r="AE53" i="1" s="1"/>
  <c r="U53" i="1" a="1"/>
  <c r="W53" i="1" s="1"/>
  <c r="K53" i="1" a="1"/>
  <c r="K53" i="1" s="1"/>
  <c r="A53" i="1" a="1"/>
  <c r="C53" i="1" s="1"/>
  <c r="AE52" i="1" a="1"/>
  <c r="AG52" i="1" s="1"/>
  <c r="U52" i="1" a="1"/>
  <c r="U52" i="1" s="1"/>
  <c r="K52" i="1" a="1"/>
  <c r="M52" i="1" s="1"/>
  <c r="A52" i="1" a="1"/>
  <c r="AE51" i="1" a="1"/>
  <c r="AE51" i="1" s="1"/>
  <c r="U51" i="1" a="1"/>
  <c r="U51" i="1" s="1"/>
  <c r="K51" i="1" a="1"/>
  <c r="L51" i="1" s="1"/>
  <c r="A51" i="1" a="1"/>
  <c r="F51" i="1" s="1"/>
  <c r="AE50" i="1" a="1"/>
  <c r="AE50" i="1" s="1"/>
  <c r="U50" i="1" a="1"/>
  <c r="AD50" i="1" s="1"/>
  <c r="K50" i="1" a="1"/>
  <c r="L50" i="1" s="1"/>
  <c r="A50" i="1" a="1"/>
  <c r="A50" i="1" s="1"/>
  <c r="AE49" i="1" a="1"/>
  <c r="AM49" i="1" s="1"/>
  <c r="U49" i="1" a="1"/>
  <c r="X49" i="1" s="1"/>
  <c r="K49" i="1" a="1"/>
  <c r="K49" i="1" s="1"/>
  <c r="A49" i="1" a="1"/>
  <c r="A49" i="1" s="1"/>
  <c r="AE48" i="1" a="1"/>
  <c r="AE48" i="1" s="1"/>
  <c r="U48" i="1" a="1"/>
  <c r="U48" i="1" s="1"/>
  <c r="K48" i="1" a="1"/>
  <c r="O48" i="1" s="1"/>
  <c r="A48" i="1" a="1"/>
  <c r="A48" i="1" s="1"/>
  <c r="AE47" i="1" a="1"/>
  <c r="AL47" i="1" s="1"/>
  <c r="U47" i="1" a="1"/>
  <c r="W47" i="1" s="1"/>
  <c r="K47" i="1" a="1"/>
  <c r="K47" i="1" s="1"/>
  <c r="A47" i="1" a="1"/>
  <c r="B47" i="1" s="1"/>
  <c r="AE46" i="1" a="1"/>
  <c r="AE46" i="1" s="1"/>
  <c r="U46" i="1" a="1"/>
  <c r="Y46" i="1" s="1"/>
  <c r="K46" i="1" a="1"/>
  <c r="K46" i="1" s="1"/>
  <c r="A46" i="1" a="1"/>
  <c r="A46" i="1" s="1"/>
  <c r="AE45" i="1" a="1"/>
  <c r="AF45" i="1" s="1"/>
  <c r="U45" i="1" a="1"/>
  <c r="U45" i="1" s="1"/>
  <c r="K45" i="1" a="1"/>
  <c r="K45" i="1" s="1"/>
  <c r="A45" i="1" a="1"/>
  <c r="D45" i="1" s="1"/>
  <c r="AE44" i="1" a="1"/>
  <c r="AM44" i="1" s="1"/>
  <c r="U44" i="1" a="1"/>
  <c r="U44" i="1" s="1"/>
  <c r="K44" i="1" a="1"/>
  <c r="S44" i="1" s="1"/>
  <c r="A44" i="1" a="1"/>
  <c r="E44" i="1" s="1"/>
  <c r="AE43" i="1" a="1"/>
  <c r="AE43" i="1" s="1"/>
  <c r="U43" i="1" a="1"/>
  <c r="AD43" i="1" s="1"/>
  <c r="K43" i="1" a="1"/>
  <c r="O43" i="1" s="1"/>
  <c r="A43" i="1" a="1"/>
  <c r="A43" i="1" s="1"/>
  <c r="AE42" i="1" a="1"/>
  <c r="AF42" i="1" s="1"/>
  <c r="U42" i="1" a="1"/>
  <c r="U42" i="1" s="1"/>
  <c r="K42" i="1" a="1"/>
  <c r="R42" i="1" s="1"/>
  <c r="A42" i="1" a="1"/>
  <c r="A42" i="1" s="1"/>
  <c r="AE41" i="1" a="1"/>
  <c r="AE41" i="1" s="1"/>
  <c r="U41" i="1" a="1"/>
  <c r="U41" i="1" s="1"/>
  <c r="K41" i="1" a="1"/>
  <c r="M41" i="1" s="1"/>
  <c r="A41" i="1" a="1"/>
  <c r="H41" i="1" s="1"/>
  <c r="AE40" i="1" a="1"/>
  <c r="AE40" i="1" s="1"/>
  <c r="U40" i="1" a="1"/>
  <c r="X40" i="1" s="1"/>
  <c r="K40" i="1" a="1"/>
  <c r="M40" i="1" s="1"/>
  <c r="A40" i="1" a="1"/>
  <c r="C40" i="1" s="1"/>
  <c r="AE39" i="1" a="1"/>
  <c r="AE39" i="1" s="1"/>
  <c r="U39" i="1" a="1"/>
  <c r="Z39" i="1" s="1"/>
  <c r="K39" i="1" a="1"/>
  <c r="K39" i="1" s="1"/>
  <c r="A39" i="1" a="1"/>
  <c r="J39" i="1" s="1"/>
  <c r="AE38" i="1" a="1"/>
  <c r="AG38" i="1" s="1"/>
  <c r="U38" i="1" a="1"/>
  <c r="U38" i="1" s="1"/>
  <c r="K38" i="1" a="1"/>
  <c r="R38" i="1" s="1"/>
  <c r="A38" i="1" a="1"/>
  <c r="A38" i="1" s="1"/>
  <c r="AE37" i="1" a="1"/>
  <c r="AK37" i="1" s="1"/>
  <c r="U37" i="1" a="1"/>
  <c r="AC37" i="1" s="1"/>
  <c r="K37" i="1" a="1"/>
  <c r="M37" i="1" s="1"/>
  <c r="A37" i="1" a="1"/>
  <c r="J37" i="1" s="1"/>
  <c r="AE36" i="1" a="1"/>
  <c r="AN36" i="1" s="1"/>
  <c r="U36" i="1" a="1"/>
  <c r="X36" i="1" s="1"/>
  <c r="K36" i="1" a="1"/>
  <c r="K36" i="1" s="1"/>
  <c r="A36" i="1" a="1"/>
  <c r="B36" i="1" s="1"/>
  <c r="AE35" i="1" a="1"/>
  <c r="AI35" i="1" s="1"/>
  <c r="U35" i="1" a="1"/>
  <c r="U35" i="1" s="1"/>
  <c r="K35" i="1" a="1"/>
  <c r="M35" i="1" s="1"/>
  <c r="A35" i="1" a="1"/>
  <c r="F35" i="1" s="1"/>
  <c r="AE34" i="1" a="1"/>
  <c r="AE34" i="1" s="1"/>
  <c r="U34" i="1" a="1"/>
  <c r="K34" i="1" a="1"/>
  <c r="R34" i="1" s="1"/>
  <c r="A34" i="1" a="1"/>
  <c r="A34" i="1" s="1"/>
  <c r="AE33" i="1" a="1"/>
  <c r="AI33" i="1" s="1"/>
  <c r="U33" i="1" a="1"/>
  <c r="Z33" i="1" s="1"/>
  <c r="K33" i="1" a="1"/>
  <c r="K33" i="1" s="1"/>
  <c r="A33" i="1" a="1"/>
  <c r="A33" i="1" s="1"/>
  <c r="AE32" i="1" a="1"/>
  <c r="AE32" i="1" s="1"/>
  <c r="U32" i="1" a="1"/>
  <c r="U32" i="1" s="1"/>
  <c r="K32" i="1" a="1"/>
  <c r="K32" i="1" s="1"/>
  <c r="A32" i="1" a="1"/>
  <c r="A32" i="1" s="1"/>
  <c r="AE31" i="1" a="1"/>
  <c r="AE31" i="1" s="1"/>
  <c r="U31" i="1" a="1"/>
  <c r="W31" i="1" s="1"/>
  <c r="K31" i="1" a="1"/>
  <c r="K31" i="1" s="1"/>
  <c r="A31" i="1" a="1"/>
  <c r="A31" i="1" s="1"/>
  <c r="AE30" i="1" a="1"/>
  <c r="AE30" i="1" s="1"/>
  <c r="U30" i="1" a="1"/>
  <c r="U30" i="1" s="1"/>
  <c r="K30" i="1" a="1"/>
  <c r="K30" i="1" s="1"/>
  <c r="A30" i="1" a="1"/>
  <c r="A30" i="1" s="1"/>
  <c r="AE29" i="1" a="1"/>
  <c r="AK29" i="1" s="1"/>
  <c r="U29" i="1" a="1"/>
  <c r="U29" i="1" s="1"/>
  <c r="K29" i="1" a="1"/>
  <c r="K29" i="1" s="1"/>
  <c r="A29" i="1" a="1"/>
  <c r="A29" i="1" s="1"/>
  <c r="AE28" i="1" a="1"/>
  <c r="AE28" i="1" s="1"/>
  <c r="U28" i="1" a="1"/>
  <c r="AC28" i="1" s="1"/>
  <c r="K28" i="1" a="1"/>
  <c r="L28" i="1" s="1"/>
  <c r="A28" i="1" a="1"/>
  <c r="A28" i="1" s="1"/>
  <c r="AE27" i="1" a="1"/>
  <c r="AE27" i="1" s="1"/>
  <c r="U27" i="1" a="1"/>
  <c r="U27" i="1" s="1"/>
  <c r="K27" i="1" a="1"/>
  <c r="K27" i="1" s="1"/>
  <c r="A27" i="1" a="1"/>
  <c r="C27" i="1" s="1"/>
  <c r="AE26" i="1" a="1"/>
  <c r="AE26" i="1" s="1"/>
  <c r="U26" i="1" a="1"/>
  <c r="U26" i="1" s="1"/>
  <c r="K26" i="1" a="1"/>
  <c r="K26" i="1" s="1"/>
  <c r="A26" i="1" a="1"/>
  <c r="A26" i="1" s="1"/>
  <c r="AE25" i="1" a="1"/>
  <c r="AE25" i="1" s="1"/>
  <c r="U25" i="1" a="1"/>
  <c r="U25" i="1" s="1"/>
  <c r="K25" i="1" a="1"/>
  <c r="K25" i="1" s="1"/>
  <c r="A25" i="1" a="1"/>
  <c r="A25" i="1" s="1"/>
  <c r="AE24" i="1" a="1"/>
  <c r="AI24" i="1" s="1"/>
  <c r="U24" i="1" a="1"/>
  <c r="U24" i="1" s="1"/>
  <c r="K24" i="1" a="1"/>
  <c r="K24" i="1" s="1"/>
  <c r="A24" i="1" a="1"/>
  <c r="A24" i="1" s="1"/>
  <c r="AE23" i="1" a="1"/>
  <c r="AE23" i="1" s="1"/>
  <c r="U23" i="1" a="1"/>
  <c r="U23" i="1" s="1"/>
  <c r="K23" i="1" a="1"/>
  <c r="K23" i="1" s="1"/>
  <c r="A23" i="1" a="1"/>
  <c r="B23" i="1" s="1"/>
  <c r="AE22" i="1" a="1"/>
  <c r="AE22" i="1" s="1"/>
  <c r="U22" i="1" a="1"/>
  <c r="V22" i="1" s="1"/>
  <c r="K22" i="1" a="1"/>
  <c r="M22" i="1" s="1"/>
  <c r="A22" i="1" a="1"/>
  <c r="A22" i="1" s="1"/>
  <c r="AE21" i="1" a="1"/>
  <c r="AE21" i="1" s="1"/>
  <c r="U21" i="1" a="1"/>
  <c r="U21" i="1" s="1"/>
  <c r="K21" i="1" a="1"/>
  <c r="K21" i="1" s="1"/>
  <c r="A21" i="1" a="1"/>
  <c r="A21" i="1" s="1"/>
  <c r="AE20" i="1" a="1"/>
  <c r="AE20" i="1" s="1"/>
  <c r="U20" i="1" a="1"/>
  <c r="U20" i="1" s="1"/>
  <c r="K20" i="1" a="1"/>
  <c r="K20" i="1" s="1"/>
  <c r="A20" i="1" a="1"/>
  <c r="A20" i="1" s="1"/>
  <c r="AE19" i="1" a="1"/>
  <c r="AE19" i="1" s="1"/>
  <c r="U19" i="1" a="1"/>
  <c r="U19" i="1" s="1"/>
  <c r="K19" i="1" a="1"/>
  <c r="K19" i="1" s="1"/>
  <c r="A19" i="1" a="1"/>
  <c r="A19" i="1" s="1"/>
  <c r="AE18" i="1" a="1"/>
  <c r="AE18" i="1" s="1"/>
  <c r="U18" i="1" a="1"/>
  <c r="U18" i="1" s="1"/>
  <c r="K18" i="1" a="1"/>
  <c r="K18" i="1" s="1"/>
  <c r="A18" i="1" a="1"/>
  <c r="A18" i="1" s="1"/>
  <c r="AE17" i="1" a="1"/>
  <c r="AE17" i="1" s="1"/>
  <c r="U17" i="1" a="1"/>
  <c r="U17" i="1" s="1"/>
  <c r="K17" i="1" a="1"/>
  <c r="K17" i="1" s="1"/>
  <c r="A17" i="1" a="1"/>
  <c r="A17" i="1" s="1"/>
  <c r="AE16" i="1" a="1"/>
  <c r="AE16" i="1" s="1"/>
  <c r="U16" i="1" a="1"/>
  <c r="U16" i="1" s="1"/>
  <c r="K16" i="1" a="1"/>
  <c r="K16" i="1" s="1"/>
  <c r="A16" i="1" a="1"/>
  <c r="A16" i="1" s="1"/>
  <c r="AE15" i="1" a="1"/>
  <c r="AI15" i="1" s="1"/>
  <c r="U15" i="1" a="1"/>
  <c r="U15" i="1" s="1"/>
  <c r="K15" i="1" a="1"/>
  <c r="K15" i="1" s="1"/>
  <c r="A15" i="1" a="1"/>
  <c r="A15" i="1" s="1"/>
  <c r="AE14" i="1" a="1"/>
  <c r="AE14" i="1" s="1"/>
  <c r="U14" i="1" a="1"/>
  <c r="U14" i="1" s="1"/>
  <c r="K14" i="1" a="1"/>
  <c r="K14" i="1" s="1"/>
  <c r="A14" i="1" a="1"/>
  <c r="A14" i="1" s="1"/>
  <c r="AE13" i="1" a="1"/>
  <c r="AE13" i="1" s="1"/>
  <c r="U13" i="1" a="1"/>
  <c r="Z13" i="1" s="1"/>
  <c r="K13" i="1" a="1"/>
  <c r="K13" i="1" s="1"/>
  <c r="A13" i="1" a="1"/>
  <c r="A13" i="1" s="1"/>
  <c r="AE12" i="1" a="1"/>
  <c r="AE12" i="1" s="1"/>
  <c r="U12" i="1" a="1"/>
  <c r="U12" i="1" s="1"/>
  <c r="K12" i="1" a="1"/>
  <c r="K12" i="1" s="1"/>
  <c r="A12" i="1" a="1"/>
  <c r="A12" i="1" s="1"/>
  <c r="AE11" i="1" a="1"/>
  <c r="AF11" i="1" s="1"/>
  <c r="U11" i="1" a="1"/>
  <c r="U11" i="1" s="1"/>
  <c r="K11" i="1" a="1"/>
  <c r="K11" i="1" s="1"/>
  <c r="A11" i="1" a="1"/>
  <c r="A11" i="1" s="1"/>
  <c r="AE10" i="1" a="1"/>
  <c r="AE10" i="1" s="1"/>
  <c r="U10" i="1" a="1"/>
  <c r="U10" i="1" s="1"/>
  <c r="K10" i="1" a="1"/>
  <c r="M10" i="1" s="1"/>
  <c r="A10" i="1" a="1"/>
  <c r="C10" i="1" s="1"/>
  <c r="AE9" i="1" a="1"/>
  <c r="AE9" i="1" s="1"/>
  <c r="U9" i="1" a="1"/>
  <c r="U9" i="1" s="1"/>
  <c r="K9" i="1" a="1"/>
  <c r="K9" i="1" s="1"/>
  <c r="A9" i="1" a="1"/>
  <c r="A9" i="1" s="1"/>
  <c r="AE8" i="1" a="1"/>
  <c r="AE8" i="1" s="1"/>
  <c r="U8" i="1" a="1"/>
  <c r="AC8" i="1" s="1"/>
  <c r="K8" i="1" a="1"/>
  <c r="M8" i="1" s="1"/>
  <c r="A8" i="1" a="1"/>
  <c r="A8" i="1" s="1"/>
  <c r="AE7" i="1" a="1"/>
  <c r="AM7" i="1" s="1"/>
  <c r="AL7" i="1"/>
  <c r="U7" i="1" a="1"/>
  <c r="U7" i="1" s="1"/>
  <c r="K7" i="1" a="1"/>
  <c r="K7" i="1" s="1"/>
  <c r="A7" i="1" a="1"/>
  <c r="A7" i="1" s="1"/>
  <c r="AE6" i="1" a="1"/>
  <c r="AE6" i="1" s="1"/>
  <c r="U6" i="1" a="1"/>
  <c r="Z6" i="1" s="1"/>
  <c r="K6" i="1" a="1"/>
  <c r="M6" i="1" s="1"/>
  <c r="A6" i="1" a="1"/>
  <c r="B6" i="1" s="1"/>
  <c r="AE5" i="1" a="1"/>
  <c r="AE5" i="1" s="1"/>
  <c r="U5" i="1" a="1"/>
  <c r="V5" i="1" s="1"/>
  <c r="K5" i="1" a="1"/>
  <c r="K5" i="1" s="1"/>
  <c r="A5" i="1" a="1"/>
  <c r="A5" i="1" s="1"/>
  <c r="AE4" i="1" a="1"/>
  <c r="AE4" i="1" s="1"/>
  <c r="U4" i="1" a="1"/>
  <c r="U4" i="1" s="1"/>
  <c r="K4" i="1" a="1"/>
  <c r="K4" i="1" s="1"/>
  <c r="A4" i="1" a="1"/>
  <c r="A4" i="1" s="1"/>
  <c r="AE3" i="1" a="1"/>
  <c r="AE3" i="1" s="1"/>
  <c r="U3" i="1" a="1"/>
  <c r="U3" i="1" s="1"/>
  <c r="K3" i="1" a="1"/>
  <c r="K3" i="1" s="1"/>
  <c r="A3" i="1" a="1"/>
  <c r="A3" i="1" s="1"/>
  <c r="AE2" i="1" a="1"/>
  <c r="AE2" i="1" s="1"/>
  <c r="U2" i="1" a="1"/>
  <c r="U2" i="1" s="1"/>
  <c r="K2" i="1" a="1"/>
  <c r="K2" i="1" s="1"/>
  <c r="A2" i="1" a="1"/>
  <c r="A2" i="1" s="1"/>
  <c r="AB8" i="1" l="1"/>
  <c r="AK18" i="1"/>
  <c r="U86" i="1"/>
  <c r="AC26" i="1"/>
  <c r="AH51" i="1"/>
  <c r="F55" i="1"/>
  <c r="AN78" i="1"/>
  <c r="S25" i="1"/>
  <c r="AI54" i="1"/>
  <c r="AF94" i="1"/>
  <c r="AD66" i="1"/>
  <c r="AB66" i="1"/>
  <c r="Z8" i="1"/>
  <c r="AG86" i="1"/>
  <c r="N93" i="1"/>
  <c r="R18" i="1"/>
  <c r="AL18" i="1"/>
  <c r="AK54" i="1"/>
  <c r="AL54" i="1"/>
  <c r="S54" i="1"/>
  <c r="AK73" i="1"/>
  <c r="AI73" i="1"/>
  <c r="AM78" i="1"/>
  <c r="AD76" i="1"/>
  <c r="J43" i="1"/>
  <c r="E86" i="1"/>
  <c r="AN49" i="1"/>
  <c r="E21" i="1"/>
  <c r="G50" i="1"/>
  <c r="F50" i="1"/>
  <c r="B21" i="1"/>
  <c r="AG10" i="1"/>
  <c r="AA8" i="1"/>
  <c r="Q93" i="1"/>
  <c r="P93" i="1"/>
  <c r="D75" i="1"/>
  <c r="V77" i="1"/>
  <c r="AH79" i="1"/>
  <c r="O93" i="1"/>
  <c r="G7" i="1"/>
  <c r="I92" i="1"/>
  <c r="J49" i="1"/>
  <c r="S49" i="1"/>
  <c r="Z49" i="1"/>
  <c r="L94" i="1"/>
  <c r="AI34" i="1"/>
  <c r="AA53" i="1"/>
  <c r="D76" i="1"/>
  <c r="Q10" i="1"/>
  <c r="Q18" i="1"/>
  <c r="AB20" i="1"/>
  <c r="R25" i="1"/>
  <c r="AF86" i="1"/>
  <c r="G92" i="1"/>
  <c r="P10" i="1"/>
  <c r="AI30" i="1"/>
  <c r="R39" i="1"/>
  <c r="V55" i="1"/>
  <c r="F77" i="1"/>
  <c r="AE86" i="1"/>
  <c r="D92" i="1"/>
  <c r="Q23" i="1"/>
  <c r="AC25" i="1"/>
  <c r="Q39" i="1"/>
  <c r="Z61" i="1"/>
  <c r="H94" i="1"/>
  <c r="G94" i="1"/>
  <c r="F94" i="1"/>
  <c r="I7" i="1"/>
  <c r="AM39" i="1"/>
  <c r="H50" i="1"/>
  <c r="D65" i="1"/>
  <c r="D94" i="1"/>
  <c r="Y20" i="1"/>
  <c r="AN50" i="1"/>
  <c r="AM50" i="1"/>
  <c r="X92" i="1"/>
  <c r="AJ18" i="1"/>
  <c r="AL50" i="1"/>
  <c r="W92" i="1"/>
  <c r="AK50" i="1"/>
  <c r="AA83" i="1"/>
  <c r="U92" i="1"/>
  <c r="J50" i="1"/>
  <c r="AJ50" i="1"/>
  <c r="I50" i="1"/>
  <c r="AI50" i="1"/>
  <c r="AK83" i="1"/>
  <c r="AK7" i="1"/>
  <c r="X8" i="1"/>
  <c r="O10" i="1"/>
  <c r="W61" i="1"/>
  <c r="H77" i="1"/>
  <c r="W93" i="1"/>
  <c r="I99" i="1"/>
  <c r="AJ7" i="1"/>
  <c r="W8" i="1"/>
  <c r="N10" i="1"/>
  <c r="J18" i="1"/>
  <c r="S86" i="1"/>
  <c r="Y94" i="1"/>
  <c r="H99" i="1"/>
  <c r="V8" i="1"/>
  <c r="AG49" i="1"/>
  <c r="AB59" i="1"/>
  <c r="E77" i="1"/>
  <c r="R86" i="1"/>
  <c r="AF93" i="1"/>
  <c r="X94" i="1"/>
  <c r="G99" i="1"/>
  <c r="Q86" i="1"/>
  <c r="W94" i="1"/>
  <c r="E99" i="1"/>
  <c r="Y8" i="1"/>
  <c r="I8" i="1"/>
  <c r="H8" i="1"/>
  <c r="AJ10" i="1"/>
  <c r="I43" i="1"/>
  <c r="AA73" i="1"/>
  <c r="N77" i="1"/>
  <c r="P86" i="1"/>
  <c r="J94" i="1"/>
  <c r="V94" i="1"/>
  <c r="X25" i="1"/>
  <c r="J7" i="1"/>
  <c r="G8" i="1"/>
  <c r="AI10" i="1"/>
  <c r="N13" i="1"/>
  <c r="T25" i="1"/>
  <c r="AL45" i="1"/>
  <c r="J55" i="1"/>
  <c r="M77" i="1"/>
  <c r="I94" i="1"/>
  <c r="J38" i="1"/>
  <c r="W85" i="1"/>
  <c r="Y38" i="1"/>
  <c r="AL78" i="1"/>
  <c r="E79" i="1"/>
  <c r="O79" i="1"/>
  <c r="AN63" i="1"/>
  <c r="N26" i="1"/>
  <c r="D78" i="1"/>
  <c r="H67" i="1"/>
  <c r="AK74" i="1"/>
  <c r="AC76" i="1"/>
  <c r="AH74" i="1"/>
  <c r="AB76" i="1"/>
  <c r="P24" i="1"/>
  <c r="N51" i="1"/>
  <c r="Z76" i="1"/>
  <c r="Z28" i="1"/>
  <c r="M51" i="1"/>
  <c r="Y76" i="1"/>
  <c r="AJ53" i="1"/>
  <c r="AG67" i="1"/>
  <c r="D79" i="1"/>
  <c r="C79" i="1"/>
  <c r="P39" i="1"/>
  <c r="AN79" i="1"/>
  <c r="P15" i="1"/>
  <c r="AM79" i="1"/>
  <c r="AJ43" i="1"/>
  <c r="G79" i="1"/>
  <c r="AK79" i="1"/>
  <c r="H79" i="1"/>
  <c r="AL79" i="1"/>
  <c r="AI43" i="1"/>
  <c r="F79" i="1"/>
  <c r="AJ79" i="1"/>
  <c r="AI72" i="1"/>
  <c r="AE81" i="1"/>
  <c r="K73" i="1"/>
  <c r="H78" i="1"/>
  <c r="E78" i="1"/>
  <c r="E35" i="1"/>
  <c r="AB61" i="1"/>
  <c r="S39" i="1"/>
  <c r="R98" i="1"/>
  <c r="R93" i="1"/>
  <c r="AH55" i="1"/>
  <c r="Q31" i="1"/>
  <c r="T29" i="1"/>
  <c r="D29" i="1"/>
  <c r="AH44" i="1"/>
  <c r="AI44" i="1"/>
  <c r="AG44" i="1"/>
  <c r="D44" i="1"/>
  <c r="Z44" i="1"/>
  <c r="R44" i="1"/>
  <c r="H59" i="1"/>
  <c r="AE44" i="1"/>
  <c r="AA44" i="1"/>
  <c r="F20" i="1"/>
  <c r="H76" i="1"/>
  <c r="I38" i="1"/>
  <c r="C38" i="1"/>
  <c r="AD75" i="1"/>
  <c r="AC75" i="1"/>
  <c r="AB75" i="1"/>
  <c r="G12" i="1"/>
  <c r="K42" i="1"/>
  <c r="N23" i="1"/>
  <c r="AA52" i="1"/>
  <c r="Z52" i="1"/>
  <c r="Y52" i="1"/>
  <c r="D68" i="1"/>
  <c r="H33" i="1"/>
  <c r="AJ84" i="1"/>
  <c r="AJ72" i="1"/>
  <c r="P31" i="1"/>
  <c r="E83" i="1"/>
  <c r="R83" i="1"/>
  <c r="O83" i="1"/>
  <c r="AL100" i="1"/>
  <c r="Y64" i="1"/>
  <c r="X64" i="1"/>
  <c r="X81" i="1"/>
  <c r="W64" i="1"/>
  <c r="W81" i="1"/>
  <c r="AL35" i="1"/>
  <c r="M42" i="1"/>
  <c r="B79" i="1"/>
  <c r="AI79" i="1"/>
  <c r="E94" i="1"/>
  <c r="U94" i="1"/>
  <c r="AK100" i="1"/>
  <c r="AB21" i="1"/>
  <c r="AA21" i="1"/>
  <c r="AC66" i="1"/>
  <c r="P79" i="1"/>
  <c r="AG94" i="1"/>
  <c r="P94" i="1"/>
  <c r="AG21" i="1"/>
  <c r="G32" i="1"/>
  <c r="AK62" i="1"/>
  <c r="AA66" i="1"/>
  <c r="AB68" i="1"/>
  <c r="N79" i="1"/>
  <c r="O94" i="1"/>
  <c r="AA16" i="1"/>
  <c r="AF21" i="1"/>
  <c r="F32" i="1"/>
  <c r="D61" i="1"/>
  <c r="N94" i="1"/>
  <c r="D15" i="1"/>
  <c r="I14" i="1"/>
  <c r="Z15" i="1"/>
  <c r="G14" i="1"/>
  <c r="E14" i="1"/>
  <c r="D14" i="1"/>
  <c r="F14" i="1"/>
  <c r="AL14" i="1"/>
  <c r="AK14" i="1"/>
  <c r="N34" i="1"/>
  <c r="AJ12" i="1"/>
  <c r="AJ14" i="1"/>
  <c r="J14" i="1"/>
  <c r="AI14" i="1"/>
  <c r="AI75" i="1"/>
  <c r="AJ75" i="1"/>
  <c r="AG75" i="1"/>
  <c r="AD81" i="1"/>
  <c r="AI53" i="1"/>
  <c r="AA75" i="1"/>
  <c r="AH53" i="1"/>
  <c r="Z75" i="1"/>
  <c r="Y75" i="1"/>
  <c r="G75" i="1"/>
  <c r="X75" i="1"/>
  <c r="F75" i="1"/>
  <c r="E75" i="1"/>
  <c r="AK75" i="1"/>
  <c r="E51" i="1"/>
  <c r="T51" i="1"/>
  <c r="AJ37" i="1"/>
  <c r="AG46" i="1"/>
  <c r="P53" i="1"/>
  <c r="AK55" i="1"/>
  <c r="AJ55" i="1"/>
  <c r="AM34" i="1"/>
  <c r="AD53" i="1"/>
  <c r="AK34" i="1"/>
  <c r="AC53" i="1"/>
  <c r="P95" i="1"/>
  <c r="Z16" i="1"/>
  <c r="X23" i="1"/>
  <c r="P25" i="1"/>
  <c r="L42" i="1"/>
  <c r="AG53" i="1"/>
  <c r="AH54" i="1"/>
  <c r="T68" i="1"/>
  <c r="AG72" i="1"/>
  <c r="AJ73" i="1"/>
  <c r="AF88" i="1"/>
  <c r="V92" i="1"/>
  <c r="F99" i="1"/>
  <c r="AN99" i="1"/>
  <c r="Y25" i="1"/>
  <c r="I37" i="1"/>
  <c r="AF44" i="1"/>
  <c r="T49" i="1"/>
  <c r="AB53" i="1"/>
  <c r="T54" i="1"/>
  <c r="G55" i="1"/>
  <c r="L73" i="1"/>
  <c r="V76" i="1"/>
  <c r="H92" i="1"/>
  <c r="T98" i="1"/>
  <c r="R99" i="1"/>
  <c r="AK99" i="1"/>
  <c r="AJ100" i="1"/>
  <c r="Q99" i="1"/>
  <c r="AJ99" i="1"/>
  <c r="AL99" i="1"/>
  <c r="R49" i="1"/>
  <c r="Z53" i="1"/>
  <c r="R54" i="1"/>
  <c r="E55" i="1"/>
  <c r="E76" i="1"/>
  <c r="AM76" i="1"/>
  <c r="U77" i="1"/>
  <c r="F92" i="1"/>
  <c r="P99" i="1"/>
  <c r="AI99" i="1"/>
  <c r="AM17" i="1"/>
  <c r="F28" i="1"/>
  <c r="T35" i="1"/>
  <c r="AD44" i="1"/>
  <c r="C55" i="1"/>
  <c r="T72" i="1"/>
  <c r="AD73" i="1"/>
  <c r="Y84" i="1"/>
  <c r="E92" i="1"/>
  <c r="O99" i="1"/>
  <c r="AH99" i="1"/>
  <c r="AM99" i="1"/>
  <c r="E28" i="1"/>
  <c r="I32" i="1"/>
  <c r="AC44" i="1"/>
  <c r="AB49" i="1"/>
  <c r="AL53" i="1"/>
  <c r="S72" i="1"/>
  <c r="AC73" i="1"/>
  <c r="B76" i="1"/>
  <c r="J77" i="1"/>
  <c r="AG99" i="1"/>
  <c r="T23" i="1"/>
  <c r="O26" i="1"/>
  <c r="H32" i="1"/>
  <c r="AB44" i="1"/>
  <c r="J48" i="1"/>
  <c r="AA49" i="1"/>
  <c r="AK53" i="1"/>
  <c r="L55" i="1"/>
  <c r="AB73" i="1"/>
  <c r="I77" i="1"/>
  <c r="AL84" i="1"/>
  <c r="J99" i="1"/>
  <c r="AD99" i="1"/>
  <c r="AF99" i="1"/>
  <c r="V64" i="1"/>
  <c r="S13" i="1"/>
  <c r="Q13" i="1"/>
  <c r="O24" i="1"/>
  <c r="E33" i="1"/>
  <c r="AB38" i="1"/>
  <c r="F46" i="1"/>
  <c r="H62" i="1"/>
  <c r="G64" i="1"/>
  <c r="X101" i="1"/>
  <c r="P13" i="1"/>
  <c r="AA38" i="1"/>
  <c r="F62" i="1"/>
  <c r="F64" i="1"/>
  <c r="L65" i="1"/>
  <c r="P80" i="1"/>
  <c r="AM83" i="1"/>
  <c r="V93" i="1"/>
  <c r="R94" i="1"/>
  <c r="R13" i="1"/>
  <c r="AC38" i="1"/>
  <c r="H12" i="1"/>
  <c r="O13" i="1"/>
  <c r="Z38" i="1"/>
  <c r="E64" i="1"/>
  <c r="T82" i="1"/>
  <c r="AL83" i="1"/>
  <c r="Q94" i="1"/>
  <c r="AH94" i="1"/>
  <c r="Z20" i="1"/>
  <c r="Q80" i="1"/>
  <c r="S98" i="1"/>
  <c r="W20" i="1"/>
  <c r="Z83" i="1"/>
  <c r="V20" i="1"/>
  <c r="T45" i="1"/>
  <c r="AB98" i="1"/>
  <c r="S45" i="1"/>
  <c r="AB45" i="1"/>
  <c r="J83" i="1"/>
  <c r="H20" i="1"/>
  <c r="AA45" i="1"/>
  <c r="H83" i="1"/>
  <c r="H37" i="1"/>
  <c r="S80" i="1"/>
  <c r="F37" i="1"/>
  <c r="R80" i="1"/>
  <c r="AF30" i="1"/>
  <c r="AI37" i="1"/>
  <c r="I48" i="1"/>
  <c r="AJ80" i="1"/>
  <c r="AH37" i="1"/>
  <c r="H48" i="1"/>
  <c r="V6" i="1"/>
  <c r="G48" i="1"/>
  <c r="F48" i="1"/>
  <c r="AC16" i="1"/>
  <c r="J93" i="1"/>
  <c r="I93" i="1"/>
  <c r="AK12" i="1"/>
  <c r="I18" i="1"/>
  <c r="AD26" i="1"/>
  <c r="C30" i="1"/>
  <c r="O31" i="1"/>
  <c r="Z32" i="1"/>
  <c r="S35" i="1"/>
  <c r="G37" i="1"/>
  <c r="Z45" i="1"/>
  <c r="H47" i="1"/>
  <c r="X52" i="1"/>
  <c r="AA61" i="1"/>
  <c r="I63" i="1"/>
  <c r="Q83" i="1"/>
  <c r="AJ83" i="1"/>
  <c r="AD85" i="1"/>
  <c r="H93" i="1"/>
  <c r="M93" i="1"/>
  <c r="F97" i="1"/>
  <c r="AA98" i="1"/>
  <c r="Y32" i="1"/>
  <c r="AC48" i="1"/>
  <c r="P83" i="1"/>
  <c r="AI83" i="1"/>
  <c r="AC85" i="1"/>
  <c r="G93" i="1"/>
  <c r="L93" i="1"/>
  <c r="Q95" i="1"/>
  <c r="D97" i="1"/>
  <c r="Z98" i="1"/>
  <c r="AI12" i="1"/>
  <c r="S18" i="1"/>
  <c r="T22" i="1"/>
  <c r="AA26" i="1"/>
  <c r="Y31" i="1"/>
  <c r="X32" i="1"/>
  <c r="T41" i="1"/>
  <c r="AM45" i="1"/>
  <c r="R47" i="1"/>
  <c r="AA48" i="1"/>
  <c r="AI52" i="1"/>
  <c r="AB85" i="1"/>
  <c r="F93" i="1"/>
  <c r="X11" i="1"/>
  <c r="X30" i="1"/>
  <c r="Q37" i="1"/>
  <c r="N41" i="1"/>
  <c r="W63" i="1"/>
  <c r="AA85" i="1"/>
  <c r="E93" i="1"/>
  <c r="Z93" i="1"/>
  <c r="O95" i="1"/>
  <c r="W11" i="1"/>
  <c r="AK32" i="1"/>
  <c r="P37" i="1"/>
  <c r="E45" i="1"/>
  <c r="U63" i="1"/>
  <c r="AD83" i="1"/>
  <c r="Z85" i="1"/>
  <c r="D93" i="1"/>
  <c r="Y93" i="1"/>
  <c r="L95" i="1"/>
  <c r="AM22" i="1"/>
  <c r="E27" i="1"/>
  <c r="AJ30" i="1"/>
  <c r="J32" i="1"/>
  <c r="AI32" i="1"/>
  <c r="O37" i="1"/>
  <c r="AB41" i="1"/>
  <c r="C45" i="1"/>
  <c r="H46" i="1"/>
  <c r="AI82" i="1"/>
  <c r="AC83" i="1"/>
  <c r="Y85" i="1"/>
  <c r="AG88" i="1"/>
  <c r="C93" i="1"/>
  <c r="X93" i="1"/>
  <c r="G47" i="1"/>
  <c r="AA71" i="1"/>
  <c r="Q47" i="1"/>
  <c r="V61" i="1"/>
  <c r="G61" i="1"/>
  <c r="J47" i="1"/>
  <c r="E61" i="1"/>
  <c r="AN46" i="1"/>
  <c r="AK35" i="1"/>
  <c r="AB71" i="1"/>
  <c r="AJ35" i="1"/>
  <c r="Q77" i="1"/>
  <c r="Z71" i="1"/>
  <c r="P77" i="1"/>
  <c r="O77" i="1"/>
  <c r="S30" i="1"/>
  <c r="AD47" i="1"/>
  <c r="R30" i="1"/>
  <c r="AC47" i="1"/>
  <c r="Q91" i="1"/>
  <c r="Q30" i="1"/>
  <c r="X91" i="1"/>
  <c r="Z30" i="1"/>
  <c r="W91" i="1"/>
  <c r="U6" i="1"/>
  <c r="I39" i="1"/>
  <c r="AL32" i="1"/>
  <c r="G46" i="1"/>
  <c r="G62" i="1"/>
  <c r="J68" i="1"/>
  <c r="AN84" i="1"/>
  <c r="R95" i="1"/>
  <c r="X31" i="1"/>
  <c r="E62" i="1"/>
  <c r="C68" i="1"/>
  <c r="V31" i="1"/>
  <c r="M46" i="1"/>
  <c r="D62" i="1"/>
  <c r="O89" i="1"/>
  <c r="AL29" i="1"/>
  <c r="AI29" i="1"/>
  <c r="AJ31" i="1"/>
  <c r="Z89" i="1"/>
  <c r="K37" i="1"/>
  <c r="R67" i="1"/>
  <c r="V91" i="1"/>
  <c r="AM30" i="1"/>
  <c r="Q67" i="1"/>
  <c r="AN97" i="1"/>
  <c r="AL30" i="1"/>
  <c r="P66" i="1"/>
  <c r="P67" i="1"/>
  <c r="AM97" i="1"/>
  <c r="AK30" i="1"/>
  <c r="Y89" i="1"/>
  <c r="L77" i="1"/>
  <c r="G77" i="1"/>
  <c r="K77" i="1"/>
  <c r="B88" i="1"/>
  <c r="Z77" i="1"/>
  <c r="D77" i="1"/>
  <c r="Y77" i="1"/>
  <c r="AD88" i="1"/>
  <c r="B77" i="1"/>
  <c r="X77" i="1"/>
  <c r="AC88" i="1"/>
  <c r="U69" i="1"/>
  <c r="W77" i="1"/>
  <c r="AB88" i="1"/>
  <c r="F12" i="1"/>
  <c r="AA88" i="1"/>
  <c r="Z88" i="1"/>
  <c r="AJ9" i="1"/>
  <c r="AI9" i="1"/>
  <c r="Y12" i="1"/>
  <c r="AH88" i="1"/>
  <c r="L90" i="1"/>
  <c r="H42" i="1"/>
  <c r="H100" i="1"/>
  <c r="AN74" i="1"/>
  <c r="AK96" i="1"/>
  <c r="G100" i="1"/>
  <c r="AN100" i="1"/>
  <c r="Z27" i="1"/>
  <c r="AN34" i="1"/>
  <c r="J42" i="1"/>
  <c r="J71" i="1"/>
  <c r="AL74" i="1"/>
  <c r="AJ96" i="1"/>
  <c r="F100" i="1"/>
  <c r="AM100" i="1"/>
  <c r="AC100" i="1"/>
  <c r="J27" i="1"/>
  <c r="AN69" i="1"/>
  <c r="S82" i="1"/>
  <c r="AA100" i="1"/>
  <c r="AD100" i="1"/>
  <c r="T9" i="1"/>
  <c r="G27" i="1"/>
  <c r="R82" i="1"/>
  <c r="B96" i="1"/>
  <c r="Z100" i="1"/>
  <c r="AB100" i="1"/>
  <c r="F27" i="1"/>
  <c r="AC41" i="1"/>
  <c r="AA74" i="1"/>
  <c r="Y100" i="1"/>
  <c r="J63" i="1"/>
  <c r="Z74" i="1"/>
  <c r="B89" i="1"/>
  <c r="X100" i="1"/>
  <c r="V65" i="1"/>
  <c r="AN65" i="1"/>
  <c r="N65" i="1"/>
  <c r="AJ82" i="1"/>
  <c r="W40" i="1"/>
  <c r="AH58" i="1"/>
  <c r="AA56" i="1"/>
  <c r="U56" i="1"/>
  <c r="J34" i="1"/>
  <c r="AM69" i="1"/>
  <c r="H34" i="1"/>
  <c r="AJ34" i="1"/>
  <c r="I42" i="1"/>
  <c r="AK69" i="1"/>
  <c r="F34" i="1"/>
  <c r="G42" i="1"/>
  <c r="R60" i="1"/>
  <c r="G34" i="1"/>
  <c r="T60" i="1"/>
  <c r="D34" i="1"/>
  <c r="F42" i="1"/>
  <c r="Q60" i="1"/>
  <c r="I64" i="1"/>
  <c r="AG64" i="1"/>
  <c r="C34" i="1"/>
  <c r="P60" i="1"/>
  <c r="H64" i="1"/>
  <c r="AF64" i="1"/>
  <c r="O86" i="1"/>
  <c r="N86" i="1"/>
  <c r="H86" i="1"/>
  <c r="Y86" i="1"/>
  <c r="G86" i="1"/>
  <c r="X86" i="1"/>
  <c r="J86" i="1"/>
  <c r="F86" i="1"/>
  <c r="W86" i="1"/>
  <c r="E12" i="1"/>
  <c r="AH46" i="1"/>
  <c r="AB48" i="1"/>
  <c r="X70" i="1"/>
  <c r="D96" i="1"/>
  <c r="Z48" i="1"/>
  <c r="AK70" i="1"/>
  <c r="AL82" i="1"/>
  <c r="J95" i="1"/>
  <c r="Q11" i="1"/>
  <c r="Z12" i="1"/>
  <c r="I46" i="1"/>
  <c r="O65" i="1"/>
  <c r="AK82" i="1"/>
  <c r="D33" i="1"/>
  <c r="AA36" i="1"/>
  <c r="C33" i="1"/>
  <c r="Z36" i="1"/>
  <c r="N63" i="1"/>
  <c r="M63" i="1"/>
  <c r="AG36" i="1"/>
  <c r="L63" i="1"/>
  <c r="V33" i="1"/>
  <c r="AA57" i="1"/>
  <c r="Y71" i="1"/>
  <c r="AL97" i="1"/>
  <c r="C36" i="1"/>
  <c r="B40" i="1"/>
  <c r="W57" i="1"/>
  <c r="X71" i="1"/>
  <c r="AK97" i="1"/>
  <c r="I97" i="1"/>
  <c r="AJ97" i="1"/>
  <c r="Q36" i="1"/>
  <c r="Z42" i="1"/>
  <c r="AK57" i="1"/>
  <c r="AK71" i="1"/>
  <c r="H97" i="1"/>
  <c r="AI97" i="1"/>
  <c r="X42" i="1"/>
  <c r="V69" i="1"/>
  <c r="AJ71" i="1"/>
  <c r="G97" i="1"/>
  <c r="Q40" i="1"/>
  <c r="AI80" i="1"/>
  <c r="Q15" i="1"/>
  <c r="P40" i="1"/>
  <c r="AH80" i="1"/>
  <c r="AM84" i="1"/>
  <c r="Y15" i="1"/>
  <c r="R58" i="1"/>
  <c r="AF72" i="1"/>
  <c r="O80" i="1"/>
  <c r="AF96" i="1"/>
  <c r="Q58" i="1"/>
  <c r="N80" i="1"/>
  <c r="AL90" i="1"/>
  <c r="Y58" i="1"/>
  <c r="D72" i="1"/>
  <c r="V80" i="1"/>
  <c r="AK90" i="1"/>
  <c r="H96" i="1"/>
  <c r="U80" i="1"/>
  <c r="Z84" i="1"/>
  <c r="E96" i="1"/>
  <c r="AJ52" i="1"/>
  <c r="X89" i="1"/>
  <c r="A96" i="1"/>
  <c r="Y101" i="1"/>
  <c r="R101" i="1"/>
  <c r="W101" i="1"/>
  <c r="Q101" i="1"/>
  <c r="S52" i="1"/>
  <c r="I71" i="1"/>
  <c r="AI71" i="1"/>
  <c r="V101" i="1"/>
  <c r="R52" i="1"/>
  <c r="H71" i="1"/>
  <c r="D89" i="1"/>
  <c r="AM96" i="1"/>
  <c r="T52" i="1"/>
  <c r="Q52" i="1"/>
  <c r="AL96" i="1"/>
  <c r="G78" i="1"/>
  <c r="Y78" i="1"/>
  <c r="I95" i="1"/>
  <c r="I34" i="1"/>
  <c r="AL34" i="1"/>
  <c r="F78" i="1"/>
  <c r="U78" i="1"/>
  <c r="Y91" i="1"/>
  <c r="G95" i="1"/>
  <c r="P78" i="1"/>
  <c r="AK78" i="1"/>
  <c r="Q78" i="1"/>
  <c r="O78" i="1"/>
  <c r="AJ78" i="1"/>
  <c r="F91" i="1"/>
  <c r="N95" i="1"/>
  <c r="N78" i="1"/>
  <c r="J78" i="1"/>
  <c r="M78" i="1"/>
  <c r="T91" i="1"/>
  <c r="AI58" i="1"/>
  <c r="I78" i="1"/>
  <c r="K78" i="1"/>
  <c r="R91" i="1"/>
  <c r="Z95" i="1"/>
  <c r="AJ48" i="1"/>
  <c r="G40" i="1"/>
  <c r="AN40" i="1"/>
  <c r="AG48" i="1"/>
  <c r="M50" i="1"/>
  <c r="P57" i="1"/>
  <c r="AI48" i="1"/>
  <c r="AH48" i="1"/>
  <c r="N50" i="1"/>
  <c r="F40" i="1"/>
  <c r="AM40" i="1"/>
  <c r="O57" i="1"/>
  <c r="E40" i="1"/>
  <c r="AL40" i="1"/>
  <c r="D40" i="1"/>
  <c r="AK40" i="1"/>
  <c r="AD48" i="1"/>
  <c r="AD57" i="1"/>
  <c r="Y39" i="1"/>
  <c r="O60" i="1"/>
  <c r="R81" i="1"/>
  <c r="Q92" i="1"/>
  <c r="O97" i="1"/>
  <c r="AM57" i="1"/>
  <c r="D74" i="1"/>
  <c r="Q81" i="1"/>
  <c r="P92" i="1"/>
  <c r="O81" i="1"/>
  <c r="H87" i="1"/>
  <c r="O92" i="1"/>
  <c r="I57" i="1"/>
  <c r="N81" i="1"/>
  <c r="G87" i="1"/>
  <c r="N92" i="1"/>
  <c r="AA97" i="1"/>
  <c r="H57" i="1"/>
  <c r="F87" i="1"/>
  <c r="J92" i="1"/>
  <c r="L92" i="1"/>
  <c r="E42" i="1"/>
  <c r="AI42" i="1"/>
  <c r="C42" i="1"/>
  <c r="AH42" i="1"/>
  <c r="H95" i="1"/>
  <c r="Y95" i="1"/>
  <c r="AC96" i="1"/>
  <c r="D101" i="1"/>
  <c r="AN101" i="1"/>
  <c r="AG42" i="1"/>
  <c r="Z96" i="1"/>
  <c r="AM101" i="1"/>
  <c r="O42" i="1"/>
  <c r="F95" i="1"/>
  <c r="AM95" i="1"/>
  <c r="Y96" i="1"/>
  <c r="T101" i="1"/>
  <c r="AL101" i="1"/>
  <c r="N42" i="1"/>
  <c r="AL95" i="1"/>
  <c r="W96" i="1"/>
  <c r="S101" i="1"/>
  <c r="T46" i="1"/>
  <c r="AD35" i="1"/>
  <c r="AA37" i="1"/>
  <c r="AH38" i="1"/>
  <c r="S46" i="1"/>
  <c r="AN87" i="1"/>
  <c r="T90" i="1"/>
  <c r="R46" i="1"/>
  <c r="AB51" i="1"/>
  <c r="P52" i="1"/>
  <c r="AH52" i="1"/>
  <c r="F56" i="1"/>
  <c r="N59" i="1"/>
  <c r="L62" i="1"/>
  <c r="C65" i="1"/>
  <c r="AM65" i="1"/>
  <c r="Z66" i="1"/>
  <c r="J69" i="1"/>
  <c r="C70" i="1"/>
  <c r="Z73" i="1"/>
  <c r="Q82" i="1"/>
  <c r="AM87" i="1"/>
  <c r="S90" i="1"/>
  <c r="AB37" i="1"/>
  <c r="Y37" i="1"/>
  <c r="Q46" i="1"/>
  <c r="AD54" i="1"/>
  <c r="U60" i="1"/>
  <c r="B65" i="1"/>
  <c r="AL65" i="1"/>
  <c r="Y66" i="1"/>
  <c r="I69" i="1"/>
  <c r="B70" i="1"/>
  <c r="D73" i="1"/>
  <c r="P82" i="1"/>
  <c r="AL87" i="1"/>
  <c r="AD89" i="1"/>
  <c r="R90" i="1"/>
  <c r="AH98" i="1"/>
  <c r="AC35" i="1"/>
  <c r="AB35" i="1"/>
  <c r="J16" i="1"/>
  <c r="AB17" i="1"/>
  <c r="P32" i="1"/>
  <c r="AA35" i="1"/>
  <c r="T37" i="1"/>
  <c r="X37" i="1"/>
  <c r="P46" i="1"/>
  <c r="AL51" i="1"/>
  <c r="AD52" i="1"/>
  <c r="AD58" i="1"/>
  <c r="AD62" i="1"/>
  <c r="A65" i="1"/>
  <c r="AK65" i="1"/>
  <c r="W66" i="1"/>
  <c r="A70" i="1"/>
  <c r="C73" i="1"/>
  <c r="AN73" i="1"/>
  <c r="AJ85" i="1"/>
  <c r="AK87" i="1"/>
  <c r="AC89" i="1"/>
  <c r="Q90" i="1"/>
  <c r="AG98" i="1"/>
  <c r="Z37" i="1"/>
  <c r="AD17" i="1"/>
  <c r="I16" i="1"/>
  <c r="AA17" i="1"/>
  <c r="AN18" i="1"/>
  <c r="Z35" i="1"/>
  <c r="S37" i="1"/>
  <c r="W37" i="1"/>
  <c r="S38" i="1"/>
  <c r="O46" i="1"/>
  <c r="AK51" i="1"/>
  <c r="AC52" i="1"/>
  <c r="AN54" i="1"/>
  <c r="AD56" i="1"/>
  <c r="AB58" i="1"/>
  <c r="AC62" i="1"/>
  <c r="B73" i="1"/>
  <c r="AM73" i="1"/>
  <c r="AI85" i="1"/>
  <c r="AJ87" i="1"/>
  <c r="AB89" i="1"/>
  <c r="P90" i="1"/>
  <c r="AK10" i="1"/>
  <c r="AM18" i="1"/>
  <c r="AA32" i="1"/>
  <c r="X35" i="1"/>
  <c r="R37" i="1"/>
  <c r="V37" i="1"/>
  <c r="J46" i="1"/>
  <c r="N46" i="1"/>
  <c r="AI51" i="1"/>
  <c r="AB52" i="1"/>
  <c r="AM54" i="1"/>
  <c r="AB56" i="1"/>
  <c r="AA58" i="1"/>
  <c r="H61" i="1"/>
  <c r="AH61" i="1"/>
  <c r="AB62" i="1"/>
  <c r="P65" i="1"/>
  <c r="G66" i="1"/>
  <c r="AJ66" i="1"/>
  <c r="W69" i="1"/>
  <c r="R70" i="1"/>
  <c r="AL73" i="1"/>
  <c r="AM82" i="1"/>
  <c r="AH85" i="1"/>
  <c r="I87" i="1"/>
  <c r="AI87" i="1"/>
  <c r="AA89" i="1"/>
  <c r="N90" i="1"/>
  <c r="T100" i="1"/>
  <c r="T75" i="1"/>
  <c r="AN86" i="1"/>
  <c r="AN92" i="1"/>
  <c r="S100" i="1"/>
  <c r="T69" i="1"/>
  <c r="AD70" i="1"/>
  <c r="R73" i="1"/>
  <c r="AJ91" i="1"/>
  <c r="AD92" i="1"/>
  <c r="AM92" i="1"/>
  <c r="AN93" i="1"/>
  <c r="AN94" i="1"/>
  <c r="R100" i="1"/>
  <c r="AI91" i="1"/>
  <c r="AC92" i="1"/>
  <c r="AL92" i="1"/>
  <c r="AM93" i="1"/>
  <c r="AD94" i="1"/>
  <c r="AM94" i="1"/>
  <c r="Q100" i="1"/>
  <c r="O40" i="1"/>
  <c r="E41" i="1"/>
  <c r="Y67" i="1"/>
  <c r="S68" i="1"/>
  <c r="R69" i="1"/>
  <c r="AB70" i="1"/>
  <c r="AA72" i="1"/>
  <c r="H73" i="1"/>
  <c r="P73" i="1"/>
  <c r="Y73" i="1"/>
  <c r="Q75" i="1"/>
  <c r="AL76" i="1"/>
  <c r="AD77" i="1"/>
  <c r="AK77" i="1"/>
  <c r="AC78" i="1"/>
  <c r="AI78" i="1"/>
  <c r="T79" i="1"/>
  <c r="Z79" i="1"/>
  <c r="AF79" i="1"/>
  <c r="Z80" i="1"/>
  <c r="I81" i="1"/>
  <c r="S84" i="1"/>
  <c r="AN85" i="1"/>
  <c r="AC86" i="1"/>
  <c r="AK86" i="1"/>
  <c r="G88" i="1"/>
  <c r="T89" i="1"/>
  <c r="AH91" i="1"/>
  <c r="AB92" i="1"/>
  <c r="AK92" i="1"/>
  <c r="AD93" i="1"/>
  <c r="AL93" i="1"/>
  <c r="AC94" i="1"/>
  <c r="AL94" i="1"/>
  <c r="Y98" i="1"/>
  <c r="AA99" i="1"/>
  <c r="P100" i="1"/>
  <c r="W100" i="1"/>
  <c r="H101" i="1"/>
  <c r="AC101" i="1"/>
  <c r="AK101" i="1"/>
  <c r="S73" i="1"/>
  <c r="AK91" i="1"/>
  <c r="AB79" i="1"/>
  <c r="J101" i="1"/>
  <c r="J81" i="1"/>
  <c r="AL86" i="1"/>
  <c r="AD101" i="1"/>
  <c r="N40" i="1"/>
  <c r="X67" i="1"/>
  <c r="R68" i="1"/>
  <c r="Q69" i="1"/>
  <c r="F70" i="1"/>
  <c r="AA70" i="1"/>
  <c r="Z72" i="1"/>
  <c r="G73" i="1"/>
  <c r="O73" i="1"/>
  <c r="X73" i="1"/>
  <c r="T74" i="1"/>
  <c r="J75" i="1"/>
  <c r="P75" i="1"/>
  <c r="AN75" i="1"/>
  <c r="A76" i="1"/>
  <c r="AK76" i="1"/>
  <c r="T77" i="1"/>
  <c r="AC77" i="1"/>
  <c r="AJ77" i="1"/>
  <c r="T78" i="1"/>
  <c r="AB78" i="1"/>
  <c r="S79" i="1"/>
  <c r="X79" i="1"/>
  <c r="Y80" i="1"/>
  <c r="H81" i="1"/>
  <c r="W83" i="1"/>
  <c r="R84" i="1"/>
  <c r="E85" i="1"/>
  <c r="AM85" i="1"/>
  <c r="D86" i="1"/>
  <c r="AB86" i="1"/>
  <c r="AJ86" i="1"/>
  <c r="L87" i="1"/>
  <c r="F88" i="1"/>
  <c r="AK88" i="1"/>
  <c r="S89" i="1"/>
  <c r="W89" i="1"/>
  <c r="AB91" i="1"/>
  <c r="AG91" i="1"/>
  <c r="T92" i="1"/>
  <c r="AA92" i="1"/>
  <c r="AJ92" i="1"/>
  <c r="AC93" i="1"/>
  <c r="AK93" i="1"/>
  <c r="AB94" i="1"/>
  <c r="AK94" i="1"/>
  <c r="E95" i="1"/>
  <c r="M96" i="1"/>
  <c r="AD97" i="1"/>
  <c r="E98" i="1"/>
  <c r="X98" i="1"/>
  <c r="Z99" i="1"/>
  <c r="O100" i="1"/>
  <c r="V100" i="1"/>
  <c r="G101" i="1"/>
  <c r="AB101" i="1"/>
  <c r="AJ101" i="1"/>
  <c r="T73" i="1"/>
  <c r="AD72" i="1"/>
  <c r="AC67" i="1"/>
  <c r="AC72" i="1"/>
  <c r="J73" i="1"/>
  <c r="S75" i="1"/>
  <c r="AM86" i="1"/>
  <c r="AB67" i="1"/>
  <c r="S69" i="1"/>
  <c r="AC70" i="1"/>
  <c r="AB72" i="1"/>
  <c r="I73" i="1"/>
  <c r="Q73" i="1"/>
  <c r="R75" i="1"/>
  <c r="AN77" i="1"/>
  <c r="AD78" i="1"/>
  <c r="AA79" i="1"/>
  <c r="AA80" i="1"/>
  <c r="T84" i="1"/>
  <c r="H88" i="1"/>
  <c r="I101" i="1"/>
  <c r="I40" i="1"/>
  <c r="J67" i="1"/>
  <c r="W67" i="1"/>
  <c r="P68" i="1"/>
  <c r="P69" i="1"/>
  <c r="E70" i="1"/>
  <c r="Z70" i="1"/>
  <c r="AD71" i="1"/>
  <c r="Y72" i="1"/>
  <c r="F73" i="1"/>
  <c r="N73" i="1"/>
  <c r="W73" i="1"/>
  <c r="R74" i="1"/>
  <c r="I75" i="1"/>
  <c r="O75" i="1"/>
  <c r="AM75" i="1"/>
  <c r="AJ76" i="1"/>
  <c r="S77" i="1"/>
  <c r="AB77" i="1"/>
  <c r="AI77" i="1"/>
  <c r="S78" i="1"/>
  <c r="AA78" i="1"/>
  <c r="J79" i="1"/>
  <c r="R79" i="1"/>
  <c r="V79" i="1"/>
  <c r="X80" i="1"/>
  <c r="G81" i="1"/>
  <c r="AN81" i="1"/>
  <c r="T83" i="1"/>
  <c r="Q84" i="1"/>
  <c r="AL85" i="1"/>
  <c r="AA86" i="1"/>
  <c r="AI86" i="1"/>
  <c r="E88" i="1"/>
  <c r="AJ88" i="1"/>
  <c r="R89" i="1"/>
  <c r="AA91" i="1"/>
  <c r="AF91" i="1"/>
  <c r="S92" i="1"/>
  <c r="Z92" i="1"/>
  <c r="AI92" i="1"/>
  <c r="T93" i="1"/>
  <c r="AB93" i="1"/>
  <c r="AJ93" i="1"/>
  <c r="T94" i="1"/>
  <c r="AA94" i="1"/>
  <c r="AJ94" i="1"/>
  <c r="AC97" i="1"/>
  <c r="D98" i="1"/>
  <c r="V98" i="1"/>
  <c r="T99" i="1"/>
  <c r="Y99" i="1"/>
  <c r="J100" i="1"/>
  <c r="N100" i="1"/>
  <c r="F101" i="1"/>
  <c r="AA101" i="1"/>
  <c r="AI101" i="1"/>
  <c r="AD79" i="1"/>
  <c r="AC79" i="1"/>
  <c r="AD86" i="1"/>
  <c r="H40" i="1"/>
  <c r="I67" i="1"/>
  <c r="V67" i="1"/>
  <c r="O69" i="1"/>
  <c r="D70" i="1"/>
  <c r="Y70" i="1"/>
  <c r="AC71" i="1"/>
  <c r="G72" i="1"/>
  <c r="X72" i="1"/>
  <c r="E73" i="1"/>
  <c r="O74" i="1"/>
  <c r="H75" i="1"/>
  <c r="N75" i="1"/>
  <c r="AL75" i="1"/>
  <c r="AF77" i="1"/>
  <c r="R78" i="1"/>
  <c r="Z78" i="1"/>
  <c r="I79" i="1"/>
  <c r="Q79" i="1"/>
  <c r="U79" i="1"/>
  <c r="T80" i="1"/>
  <c r="W80" i="1"/>
  <c r="F81" i="1"/>
  <c r="AM81" i="1"/>
  <c r="AN82" i="1"/>
  <c r="S83" i="1"/>
  <c r="AN83" i="1"/>
  <c r="P84" i="1"/>
  <c r="AK85" i="1"/>
  <c r="T86" i="1"/>
  <c r="Z86" i="1"/>
  <c r="D88" i="1"/>
  <c r="AI88" i="1"/>
  <c r="Q89" i="1"/>
  <c r="AN90" i="1"/>
  <c r="Z91" i="1"/>
  <c r="AE91" i="1"/>
  <c r="R92" i="1"/>
  <c r="AH92" i="1"/>
  <c r="S93" i="1"/>
  <c r="AA93" i="1"/>
  <c r="AH93" i="1"/>
  <c r="S94" i="1"/>
  <c r="AI94" i="1"/>
  <c r="S95" i="1"/>
  <c r="AN95" i="1"/>
  <c r="AD96" i="1"/>
  <c r="J97" i="1"/>
  <c r="AB97" i="1"/>
  <c r="B98" i="1"/>
  <c r="S99" i="1"/>
  <c r="I100" i="1"/>
  <c r="L100" i="1"/>
  <c r="E101" i="1"/>
  <c r="Z101" i="1"/>
  <c r="O84" i="1"/>
  <c r="AK84" i="1"/>
  <c r="T64" i="1"/>
  <c r="R64" i="1"/>
  <c r="S56" i="1"/>
  <c r="G57" i="1"/>
  <c r="AL57" i="1"/>
  <c r="AD59" i="1"/>
  <c r="Z60" i="1"/>
  <c r="N61" i="1"/>
  <c r="AL61" i="1"/>
  <c r="M62" i="1"/>
  <c r="G63" i="1"/>
  <c r="AK63" i="1"/>
  <c r="Q64" i="1"/>
  <c r="F66" i="1"/>
  <c r="J84" i="1"/>
  <c r="AD84" i="1"/>
  <c r="AN61" i="1"/>
  <c r="AA60" i="1"/>
  <c r="R56" i="1"/>
  <c r="F57" i="1"/>
  <c r="AL58" i="1"/>
  <c r="X60" i="1"/>
  <c r="AK61" i="1"/>
  <c r="AF63" i="1"/>
  <c r="P64" i="1"/>
  <c r="G65" i="1"/>
  <c r="D66" i="1"/>
  <c r="I84" i="1"/>
  <c r="AC84" i="1"/>
  <c r="C57" i="1"/>
  <c r="AJ57" i="1"/>
  <c r="AK58" i="1"/>
  <c r="W60" i="1"/>
  <c r="AD61" i="1"/>
  <c r="AJ61" i="1"/>
  <c r="K62" i="1"/>
  <c r="R63" i="1"/>
  <c r="O64" i="1"/>
  <c r="F65" i="1"/>
  <c r="C66" i="1"/>
  <c r="H84" i="1"/>
  <c r="AB84" i="1"/>
  <c r="AM61" i="1"/>
  <c r="V60" i="1"/>
  <c r="AC61" i="1"/>
  <c r="AI61" i="1"/>
  <c r="O63" i="1"/>
  <c r="J64" i="1"/>
  <c r="N64" i="1"/>
  <c r="E65" i="1"/>
  <c r="G84" i="1"/>
  <c r="AA84" i="1"/>
  <c r="H7" i="1"/>
  <c r="I26" i="1"/>
  <c r="AB26" i="1"/>
  <c r="M26" i="1"/>
  <c r="J26" i="1"/>
  <c r="Y13" i="1"/>
  <c r="F7" i="1"/>
  <c r="X13" i="1"/>
  <c r="G26" i="1"/>
  <c r="AN43" i="1"/>
  <c r="H26" i="1"/>
  <c r="E13" i="1"/>
  <c r="W13" i="1"/>
  <c r="F26" i="1"/>
  <c r="AM43" i="1"/>
  <c r="AL43" i="1"/>
  <c r="V13" i="1"/>
  <c r="T13" i="1"/>
  <c r="U13" i="1"/>
  <c r="T26" i="1"/>
  <c r="AK43" i="1"/>
  <c r="AD27" i="1"/>
  <c r="AD10" i="1"/>
  <c r="AB25" i="1"/>
  <c r="AC27" i="1"/>
  <c r="AC10" i="1"/>
  <c r="AA25" i="1"/>
  <c r="I27" i="1"/>
  <c r="AB27" i="1"/>
  <c r="AB10" i="1"/>
  <c r="Z25" i="1"/>
  <c r="H27" i="1"/>
  <c r="AA27" i="1"/>
  <c r="AH10" i="1"/>
  <c r="Q25" i="1"/>
  <c r="B27" i="1"/>
  <c r="D27" i="1"/>
  <c r="P27" i="1"/>
  <c r="G9" i="1"/>
  <c r="AD25" i="1"/>
  <c r="AJ67" i="1"/>
  <c r="G74" i="1"/>
  <c r="N19" i="1"/>
  <c r="F23" i="1"/>
  <c r="G33" i="1"/>
  <c r="X33" i="1"/>
  <c r="S36" i="1"/>
  <c r="I55" i="1"/>
  <c r="N55" i="1"/>
  <c r="R57" i="1"/>
  <c r="Q63" i="1"/>
  <c r="Y63" i="1"/>
  <c r="T67" i="1"/>
  <c r="AA67" i="1"/>
  <c r="AI67" i="1"/>
  <c r="F74" i="1"/>
  <c r="AC74" i="1"/>
  <c r="G76" i="1"/>
  <c r="O76" i="1"/>
  <c r="G96" i="1"/>
  <c r="O96" i="1"/>
  <c r="G23" i="1"/>
  <c r="Y33" i="1"/>
  <c r="T36" i="1"/>
  <c r="O55" i="1"/>
  <c r="S57" i="1"/>
  <c r="Z63" i="1"/>
  <c r="AD74" i="1"/>
  <c r="P76" i="1"/>
  <c r="P96" i="1"/>
  <c r="E23" i="1"/>
  <c r="F33" i="1"/>
  <c r="W33" i="1"/>
  <c r="R36" i="1"/>
  <c r="H55" i="1"/>
  <c r="M55" i="1"/>
  <c r="J57" i="1"/>
  <c r="Q57" i="1"/>
  <c r="AN57" i="1"/>
  <c r="P63" i="1"/>
  <c r="X63" i="1"/>
  <c r="S67" i="1"/>
  <c r="Z67" i="1"/>
  <c r="AH67" i="1"/>
  <c r="E74" i="1"/>
  <c r="AB74" i="1"/>
  <c r="F76" i="1"/>
  <c r="M76" i="1"/>
  <c r="AN76" i="1"/>
  <c r="F96" i="1"/>
  <c r="N96" i="1"/>
  <c r="AN96" i="1"/>
  <c r="F63" i="1"/>
  <c r="G67" i="1"/>
  <c r="O67" i="1"/>
  <c r="P33" i="1"/>
  <c r="J36" i="1"/>
  <c r="Y36" i="1"/>
  <c r="A55" i="1"/>
  <c r="AN55" i="1"/>
  <c r="E57" i="1"/>
  <c r="AC57" i="1"/>
  <c r="AI57" i="1"/>
  <c r="E63" i="1"/>
  <c r="AM63" i="1"/>
  <c r="F67" i="1"/>
  <c r="N67" i="1"/>
  <c r="Q74" i="1"/>
  <c r="AM74" i="1"/>
  <c r="AA76" i="1"/>
  <c r="AH76" i="1"/>
  <c r="AB96" i="1"/>
  <c r="AI96" i="1"/>
  <c r="Y23" i="1"/>
  <c r="O33" i="1"/>
  <c r="I36" i="1"/>
  <c r="AL55" i="1"/>
  <c r="D57" i="1"/>
  <c r="AB57" i="1"/>
  <c r="D63" i="1"/>
  <c r="AD63" i="1"/>
  <c r="AL63" i="1"/>
  <c r="E67" i="1"/>
  <c r="M67" i="1"/>
  <c r="AN67" i="1"/>
  <c r="P74" i="1"/>
  <c r="T76" i="1"/>
  <c r="T96" i="1"/>
  <c r="AA96" i="1"/>
  <c r="AH96" i="1"/>
  <c r="J23" i="1"/>
  <c r="J74" i="1"/>
  <c r="S76" i="1"/>
  <c r="H19" i="1"/>
  <c r="I23" i="1"/>
  <c r="J33" i="1"/>
  <c r="AA33" i="1"/>
  <c r="Q55" i="1"/>
  <c r="Z57" i="1"/>
  <c r="T63" i="1"/>
  <c r="AB63" i="1"/>
  <c r="AJ63" i="1"/>
  <c r="C67" i="1"/>
  <c r="AD67" i="1"/>
  <c r="AL67" i="1"/>
  <c r="I74" i="1"/>
  <c r="N74" i="1"/>
  <c r="AJ74" i="1"/>
  <c r="J76" i="1"/>
  <c r="R76" i="1"/>
  <c r="X76" i="1"/>
  <c r="J96" i="1"/>
  <c r="R96" i="1"/>
  <c r="R55" i="1"/>
  <c r="AC63" i="1"/>
  <c r="D67" i="1"/>
  <c r="AM67" i="1"/>
  <c r="S96" i="1"/>
  <c r="G19" i="1"/>
  <c r="H23" i="1"/>
  <c r="I33" i="1"/>
  <c r="P55" i="1"/>
  <c r="AI55" i="1"/>
  <c r="T57" i="1"/>
  <c r="Y57" i="1"/>
  <c r="S63" i="1"/>
  <c r="AA63" i="1"/>
  <c r="AI63" i="1"/>
  <c r="B67" i="1"/>
  <c r="AK67" i="1"/>
  <c r="H74" i="1"/>
  <c r="AI74" i="1"/>
  <c r="I76" i="1"/>
  <c r="Q76" i="1"/>
  <c r="W76" i="1"/>
  <c r="I96" i="1"/>
  <c r="Q96" i="1"/>
  <c r="X96" i="1"/>
  <c r="AL22" i="1"/>
  <c r="D51" i="1"/>
  <c r="AI66" i="1"/>
  <c r="F72" i="1"/>
  <c r="E91" i="1"/>
  <c r="H14" i="1"/>
  <c r="AM14" i="1"/>
  <c r="AB16" i="1"/>
  <c r="AC17" i="1"/>
  <c r="AK22" i="1"/>
  <c r="T39" i="1"/>
  <c r="AN39" i="1"/>
  <c r="B51" i="1"/>
  <c r="AJ51" i="1"/>
  <c r="F61" i="1"/>
  <c r="E66" i="1"/>
  <c r="AH66" i="1"/>
  <c r="AN68" i="1"/>
  <c r="E72" i="1"/>
  <c r="AH72" i="1"/>
  <c r="P81" i="1"/>
  <c r="T85" i="1"/>
  <c r="D91" i="1"/>
  <c r="AL68" i="1"/>
  <c r="R85" i="1"/>
  <c r="Y16" i="1"/>
  <c r="AG51" i="1"/>
  <c r="B61" i="1"/>
  <c r="B66" i="1"/>
  <c r="AK68" i="1"/>
  <c r="AL81" i="1"/>
  <c r="Q85" i="1"/>
  <c r="AM68" i="1"/>
  <c r="S85" i="1"/>
  <c r="AK81" i="1"/>
  <c r="P85" i="1"/>
  <c r="H16" i="1"/>
  <c r="AL17" i="1"/>
  <c r="L22" i="1"/>
  <c r="O39" i="1"/>
  <c r="T61" i="1"/>
  <c r="Y61" i="1"/>
  <c r="AG61" i="1"/>
  <c r="T66" i="1"/>
  <c r="I68" i="1"/>
  <c r="O68" i="1"/>
  <c r="AI68" i="1"/>
  <c r="R72" i="1"/>
  <c r="E81" i="1"/>
  <c r="AC81" i="1"/>
  <c r="AJ81" i="1"/>
  <c r="J85" i="1"/>
  <c r="O85" i="1"/>
  <c r="X85" i="1"/>
  <c r="AG85" i="1"/>
  <c r="P91" i="1"/>
  <c r="U91" i="1"/>
  <c r="T14" i="1"/>
  <c r="AK17" i="1"/>
  <c r="K22" i="1"/>
  <c r="AD51" i="1"/>
  <c r="S61" i="1"/>
  <c r="X61" i="1"/>
  <c r="AF61" i="1"/>
  <c r="R66" i="1"/>
  <c r="AN66" i="1"/>
  <c r="H68" i="1"/>
  <c r="N68" i="1"/>
  <c r="AH68" i="1"/>
  <c r="Q72" i="1"/>
  <c r="AN72" i="1"/>
  <c r="D81" i="1"/>
  <c r="AB81" i="1"/>
  <c r="AI81" i="1"/>
  <c r="I85" i="1"/>
  <c r="N85" i="1"/>
  <c r="J91" i="1"/>
  <c r="N91" i="1"/>
  <c r="S14" i="1"/>
  <c r="O16" i="1"/>
  <c r="T17" i="1"/>
  <c r="AB39" i="1"/>
  <c r="AC51" i="1"/>
  <c r="R61" i="1"/>
  <c r="J66" i="1"/>
  <c r="Q66" i="1"/>
  <c r="AM66" i="1"/>
  <c r="G68" i="1"/>
  <c r="M68" i="1"/>
  <c r="AG68" i="1"/>
  <c r="J72" i="1"/>
  <c r="P72" i="1"/>
  <c r="AM72" i="1"/>
  <c r="AA81" i="1"/>
  <c r="AH81" i="1"/>
  <c r="H85" i="1"/>
  <c r="M85" i="1"/>
  <c r="V85" i="1"/>
  <c r="I91" i="1"/>
  <c r="AN91" i="1"/>
  <c r="R14" i="1"/>
  <c r="N16" i="1"/>
  <c r="S17" i="1"/>
  <c r="AA39" i="1"/>
  <c r="G51" i="1"/>
  <c r="J61" i="1"/>
  <c r="Q61" i="1"/>
  <c r="I66" i="1"/>
  <c r="AL66" i="1"/>
  <c r="F68" i="1"/>
  <c r="AF68" i="1"/>
  <c r="I72" i="1"/>
  <c r="O72" i="1"/>
  <c r="AL72" i="1"/>
  <c r="T81" i="1"/>
  <c r="Z81" i="1"/>
  <c r="AG81" i="1"/>
  <c r="G85" i="1"/>
  <c r="L85" i="1"/>
  <c r="H91" i="1"/>
  <c r="AD91" i="1"/>
  <c r="AM91" i="1"/>
  <c r="AJ68" i="1"/>
  <c r="Q14" i="1"/>
  <c r="M16" i="1"/>
  <c r="R17" i="1"/>
  <c r="AN22" i="1"/>
  <c r="I61" i="1"/>
  <c r="P61" i="1"/>
  <c r="H66" i="1"/>
  <c r="AK66" i="1"/>
  <c r="E68" i="1"/>
  <c r="AD68" i="1"/>
  <c r="H72" i="1"/>
  <c r="AK72" i="1"/>
  <c r="S81" i="1"/>
  <c r="Y81" i="1"/>
  <c r="F85" i="1"/>
  <c r="G91" i="1"/>
  <c r="AD87" i="1"/>
  <c r="AC87" i="1"/>
  <c r="AB87" i="1"/>
  <c r="AM64" i="1"/>
  <c r="S87" i="1"/>
  <c r="Z87" i="1"/>
  <c r="F8" i="1"/>
  <c r="U8" i="1"/>
  <c r="AM21" i="1"/>
  <c r="H30" i="1"/>
  <c r="Y30" i="1"/>
  <c r="F31" i="1"/>
  <c r="U31" i="1"/>
  <c r="AJ32" i="1"/>
  <c r="AD41" i="1"/>
  <c r="D42" i="1"/>
  <c r="Y42" i="1"/>
  <c r="Y44" i="1"/>
  <c r="Q49" i="1"/>
  <c r="Y53" i="1"/>
  <c r="S62" i="1"/>
  <c r="AA62" i="1"/>
  <c r="D64" i="1"/>
  <c r="AD64" i="1"/>
  <c r="AL64" i="1"/>
  <c r="H69" i="1"/>
  <c r="AD69" i="1"/>
  <c r="AJ69" i="1"/>
  <c r="R87" i="1"/>
  <c r="Y87" i="1"/>
  <c r="AH87" i="1"/>
  <c r="J98" i="1"/>
  <c r="Q98" i="1"/>
  <c r="AN98" i="1"/>
  <c r="T87" i="1"/>
  <c r="AL21" i="1"/>
  <c r="G30" i="1"/>
  <c r="P49" i="1"/>
  <c r="X53" i="1"/>
  <c r="R62" i="1"/>
  <c r="Z62" i="1"/>
  <c r="C64" i="1"/>
  <c r="AC64" i="1"/>
  <c r="AK64" i="1"/>
  <c r="F69" i="1"/>
  <c r="AC69" i="1"/>
  <c r="AI69" i="1"/>
  <c r="AN80" i="1"/>
  <c r="Q87" i="1"/>
  <c r="X87" i="1"/>
  <c r="AG87" i="1"/>
  <c r="I98" i="1"/>
  <c r="L98" i="1"/>
  <c r="AM98" i="1"/>
  <c r="Y6" i="1"/>
  <c r="P8" i="1"/>
  <c r="J21" i="1"/>
  <c r="AJ21" i="1"/>
  <c r="F30" i="1"/>
  <c r="W30" i="1"/>
  <c r="T31" i="1"/>
  <c r="AN31" i="1"/>
  <c r="O32" i="1"/>
  <c r="AH32" i="1"/>
  <c r="W42" i="1"/>
  <c r="AL44" i="1"/>
  <c r="O49" i="1"/>
  <c r="T53" i="1"/>
  <c r="V53" i="1"/>
  <c r="Q62" i="1"/>
  <c r="B64" i="1"/>
  <c r="AB64" i="1"/>
  <c r="AJ64" i="1"/>
  <c r="B69" i="1"/>
  <c r="AB69" i="1"/>
  <c r="AH69" i="1"/>
  <c r="AD80" i="1"/>
  <c r="AM80" i="1"/>
  <c r="P87" i="1"/>
  <c r="W87" i="1"/>
  <c r="H98" i="1"/>
  <c r="AK98" i="1"/>
  <c r="AA87" i="1"/>
  <c r="T62" i="1"/>
  <c r="T15" i="1"/>
  <c r="H21" i="1"/>
  <c r="AI21" i="1"/>
  <c r="E30" i="1"/>
  <c r="S31" i="1"/>
  <c r="AM31" i="1"/>
  <c r="N32" i="1"/>
  <c r="AG32" i="1"/>
  <c r="AA41" i="1"/>
  <c r="Q42" i="1"/>
  <c r="V42" i="1"/>
  <c r="T44" i="1"/>
  <c r="AK44" i="1"/>
  <c r="N49" i="1"/>
  <c r="S53" i="1"/>
  <c r="U53" i="1"/>
  <c r="J62" i="1"/>
  <c r="P62" i="1"/>
  <c r="AN62" i="1"/>
  <c r="AA64" i="1"/>
  <c r="AI64" i="1"/>
  <c r="A69" i="1"/>
  <c r="AA69" i="1"/>
  <c r="AE69" i="1"/>
  <c r="J80" i="1"/>
  <c r="AC80" i="1"/>
  <c r="AL80" i="1"/>
  <c r="O87" i="1"/>
  <c r="V87" i="1"/>
  <c r="G98" i="1"/>
  <c r="AD98" i="1"/>
  <c r="AJ98" i="1"/>
  <c r="AN64" i="1"/>
  <c r="X6" i="1"/>
  <c r="W6" i="1"/>
  <c r="AD8" i="1"/>
  <c r="R11" i="1"/>
  <c r="R15" i="1"/>
  <c r="G21" i="1"/>
  <c r="AH21" i="1"/>
  <c r="D30" i="1"/>
  <c r="AN30" i="1"/>
  <c r="R31" i="1"/>
  <c r="AL31" i="1"/>
  <c r="AD38" i="1"/>
  <c r="P42" i="1"/>
  <c r="AJ44" i="1"/>
  <c r="R53" i="1"/>
  <c r="I62" i="1"/>
  <c r="O62" i="1"/>
  <c r="AM62" i="1"/>
  <c r="Z64" i="1"/>
  <c r="AH64" i="1"/>
  <c r="Z69" i="1"/>
  <c r="F80" i="1"/>
  <c r="AK80" i="1"/>
  <c r="J87" i="1"/>
  <c r="N87" i="1"/>
  <c r="F98" i="1"/>
  <c r="AC98" i="1"/>
  <c r="AI98" i="1"/>
  <c r="K43" i="1"/>
  <c r="T43" i="1"/>
  <c r="A35" i="1"/>
  <c r="I35" i="1"/>
  <c r="J35" i="1"/>
  <c r="U43" i="1"/>
  <c r="Y43" i="1"/>
  <c r="Z43" i="1"/>
  <c r="AA43" i="1"/>
  <c r="AB43" i="1"/>
  <c r="AC43" i="1"/>
  <c r="L56" i="1"/>
  <c r="M56" i="1"/>
  <c r="N56" i="1"/>
  <c r="O56" i="1"/>
  <c r="P56" i="1"/>
  <c r="Q56" i="1"/>
  <c r="U95" i="1"/>
  <c r="AA95" i="1"/>
  <c r="AB95" i="1"/>
  <c r="AC95" i="1"/>
  <c r="AD95" i="1"/>
  <c r="AE37" i="1"/>
  <c r="AL37" i="1"/>
  <c r="AM37" i="1"/>
  <c r="AN37" i="1"/>
  <c r="A39" i="1"/>
  <c r="D39" i="1"/>
  <c r="E39" i="1"/>
  <c r="F39" i="1"/>
  <c r="G39" i="1"/>
  <c r="H39" i="1"/>
  <c r="K54" i="1"/>
  <c r="L54" i="1"/>
  <c r="M54" i="1"/>
  <c r="N54" i="1"/>
  <c r="O54" i="1"/>
  <c r="P54" i="1"/>
  <c r="AE29" i="1"/>
  <c r="AN29" i="1"/>
  <c r="U33" i="1"/>
  <c r="AB33" i="1"/>
  <c r="AC33" i="1"/>
  <c r="AD33" i="1"/>
  <c r="B38" i="1"/>
  <c r="I41" i="1"/>
  <c r="S43" i="1"/>
  <c r="Z46" i="1"/>
  <c r="AM47" i="1"/>
  <c r="K48" i="1"/>
  <c r="P48" i="1"/>
  <c r="Q48" i="1"/>
  <c r="R48" i="1"/>
  <c r="S48" i="1"/>
  <c r="T48" i="1"/>
  <c r="AF48" i="1"/>
  <c r="AK48" i="1"/>
  <c r="AL48" i="1"/>
  <c r="AM48" i="1"/>
  <c r="AN48" i="1"/>
  <c r="J53" i="1"/>
  <c r="AA55" i="1"/>
  <c r="A82" i="1"/>
  <c r="F82" i="1"/>
  <c r="G82" i="1"/>
  <c r="H82" i="1"/>
  <c r="I82" i="1"/>
  <c r="J82" i="1"/>
  <c r="AJ89" i="1"/>
  <c r="K34" i="1"/>
  <c r="T34" i="1"/>
  <c r="A90" i="1"/>
  <c r="D90" i="1"/>
  <c r="F90" i="1"/>
  <c r="G90" i="1"/>
  <c r="H90" i="1"/>
  <c r="I90" i="1"/>
  <c r="J90" i="1"/>
  <c r="K38" i="1"/>
  <c r="M38" i="1"/>
  <c r="N38" i="1"/>
  <c r="O38" i="1"/>
  <c r="P38" i="1"/>
  <c r="Q38" i="1"/>
  <c r="A44" i="1"/>
  <c r="G44" i="1"/>
  <c r="H44" i="1"/>
  <c r="I44" i="1"/>
  <c r="J44" i="1"/>
  <c r="AE45" i="1"/>
  <c r="AG45" i="1"/>
  <c r="AH45" i="1"/>
  <c r="AI45" i="1"/>
  <c r="AJ45" i="1"/>
  <c r="AK45" i="1"/>
  <c r="A89" i="1"/>
  <c r="F89" i="1"/>
  <c r="G89" i="1"/>
  <c r="H89" i="1"/>
  <c r="I89" i="1"/>
  <c r="J89" i="1"/>
  <c r="K41" i="1"/>
  <c r="O41" i="1"/>
  <c r="P41" i="1"/>
  <c r="Q41" i="1"/>
  <c r="R41" i="1"/>
  <c r="S41" i="1"/>
  <c r="A58" i="1"/>
  <c r="G58" i="1"/>
  <c r="H58" i="1"/>
  <c r="I58" i="1"/>
  <c r="J58" i="1"/>
  <c r="K35" i="1"/>
  <c r="N35" i="1"/>
  <c r="O35" i="1"/>
  <c r="P35" i="1"/>
  <c r="Q35" i="1"/>
  <c r="R35" i="1"/>
  <c r="A51" i="1"/>
  <c r="H51" i="1"/>
  <c r="I51" i="1"/>
  <c r="J51" i="1"/>
  <c r="AE59" i="1"/>
  <c r="AK59" i="1"/>
  <c r="AL59" i="1"/>
  <c r="AM59" i="1"/>
  <c r="AN59" i="1"/>
  <c r="AE52" i="1"/>
  <c r="AK52" i="1"/>
  <c r="AL52" i="1"/>
  <c r="AM52" i="1"/>
  <c r="AN52" i="1"/>
  <c r="AK89" i="1"/>
  <c r="AN12" i="1"/>
  <c r="T20" i="1"/>
  <c r="AN24" i="1"/>
  <c r="U28" i="1"/>
  <c r="AA28" i="1"/>
  <c r="AB28" i="1"/>
  <c r="Q34" i="1"/>
  <c r="U36" i="1"/>
  <c r="AB36" i="1"/>
  <c r="AC36" i="1"/>
  <c r="AD36" i="1"/>
  <c r="R43" i="1"/>
  <c r="Z55" i="1"/>
  <c r="AF56" i="1"/>
  <c r="AE56" i="1"/>
  <c r="AG56" i="1"/>
  <c r="AK56" i="1"/>
  <c r="AL56" i="1"/>
  <c r="AN56" i="1"/>
  <c r="AI60" i="1"/>
  <c r="K88" i="1"/>
  <c r="P88" i="1"/>
  <c r="Q88" i="1"/>
  <c r="R88" i="1"/>
  <c r="S88" i="1"/>
  <c r="T88" i="1"/>
  <c r="U46" i="1"/>
  <c r="AB46" i="1"/>
  <c r="AC46" i="1"/>
  <c r="AD46" i="1"/>
  <c r="AE47" i="1"/>
  <c r="AF47" i="1"/>
  <c r="AG47" i="1"/>
  <c r="AH47" i="1"/>
  <c r="AI47" i="1"/>
  <c r="D53" i="1"/>
  <c r="E53" i="1"/>
  <c r="F53" i="1"/>
  <c r="G53" i="1"/>
  <c r="H53" i="1"/>
  <c r="I53" i="1"/>
  <c r="AE89" i="1"/>
  <c r="AL89" i="1"/>
  <c r="AM89" i="1"/>
  <c r="AN89" i="1"/>
  <c r="A41" i="1"/>
  <c r="J41" i="1"/>
  <c r="U90" i="1"/>
  <c r="AB90" i="1"/>
  <c r="AC90" i="1"/>
  <c r="AD90" i="1"/>
  <c r="AE38" i="1"/>
  <c r="AK38" i="1"/>
  <c r="AL38" i="1"/>
  <c r="AN38" i="1"/>
  <c r="K59" i="1"/>
  <c r="R59" i="1"/>
  <c r="S59" i="1"/>
  <c r="T59" i="1"/>
  <c r="A45" i="1"/>
  <c r="G45" i="1"/>
  <c r="H45" i="1"/>
  <c r="I45" i="1"/>
  <c r="J45" i="1"/>
  <c r="K50" i="1"/>
  <c r="Q50" i="1"/>
  <c r="R50" i="1"/>
  <c r="S50" i="1"/>
  <c r="T50" i="1"/>
  <c r="AE71" i="1"/>
  <c r="AL71" i="1"/>
  <c r="AM71" i="1"/>
  <c r="AN71" i="1"/>
  <c r="AF46" i="1"/>
  <c r="AI46" i="1"/>
  <c r="AJ46" i="1"/>
  <c r="AK46" i="1"/>
  <c r="AL46" i="1"/>
  <c r="AM46" i="1"/>
  <c r="K44" i="1"/>
  <c r="M44" i="1"/>
  <c r="N44" i="1"/>
  <c r="O44" i="1"/>
  <c r="P44" i="1"/>
  <c r="Q44" i="1"/>
  <c r="S34" i="1"/>
  <c r="K65" i="1"/>
  <c r="Q65" i="1"/>
  <c r="R65" i="1"/>
  <c r="S65" i="1"/>
  <c r="T65" i="1"/>
  <c r="J12" i="1"/>
  <c r="AM12" i="1"/>
  <c r="AK28" i="1"/>
  <c r="AE33" i="1"/>
  <c r="AJ33" i="1"/>
  <c r="AK33" i="1"/>
  <c r="AL33" i="1"/>
  <c r="AM33" i="1"/>
  <c r="AN33" i="1"/>
  <c r="P34" i="1"/>
  <c r="H35" i="1"/>
  <c r="D38" i="1"/>
  <c r="E38" i="1"/>
  <c r="F38" i="1"/>
  <c r="G38" i="1"/>
  <c r="H38" i="1"/>
  <c r="AJ38" i="1"/>
  <c r="K40" i="1"/>
  <c r="R40" i="1"/>
  <c r="S40" i="1"/>
  <c r="T40" i="1"/>
  <c r="G41" i="1"/>
  <c r="Q43" i="1"/>
  <c r="X46" i="1"/>
  <c r="T47" i="1"/>
  <c r="AK47" i="1"/>
  <c r="P50" i="1"/>
  <c r="B53" i="1"/>
  <c r="P59" i="1"/>
  <c r="U65" i="1"/>
  <c r="Y65" i="1"/>
  <c r="Z65" i="1"/>
  <c r="AA65" i="1"/>
  <c r="AB65" i="1"/>
  <c r="AC65" i="1"/>
  <c r="AD65" i="1"/>
  <c r="AE70" i="1"/>
  <c r="AM70" i="1"/>
  <c r="AN70" i="1"/>
  <c r="AH89" i="1"/>
  <c r="AA90" i="1"/>
  <c r="A52" i="1"/>
  <c r="F52" i="1"/>
  <c r="G52" i="1"/>
  <c r="H52" i="1"/>
  <c r="I52" i="1"/>
  <c r="J52" i="1"/>
  <c r="A54" i="1"/>
  <c r="E54" i="1"/>
  <c r="F54" i="1"/>
  <c r="G54" i="1"/>
  <c r="H54" i="1"/>
  <c r="J54" i="1"/>
  <c r="AE60" i="1"/>
  <c r="AJ60" i="1"/>
  <c r="AK60" i="1"/>
  <c r="AL60" i="1"/>
  <c r="AM60" i="1"/>
  <c r="AN60" i="1"/>
  <c r="AE36" i="1"/>
  <c r="AH36" i="1"/>
  <c r="AI36" i="1"/>
  <c r="AJ36" i="1"/>
  <c r="AK36" i="1"/>
  <c r="AL36" i="1"/>
  <c r="U55" i="1"/>
  <c r="AB55" i="1"/>
  <c r="AC55" i="1"/>
  <c r="AD55" i="1"/>
  <c r="U34" i="1"/>
  <c r="Z34" i="1"/>
  <c r="AA34" i="1"/>
  <c r="AB34" i="1"/>
  <c r="AC34" i="1"/>
  <c r="AD34" i="1"/>
  <c r="U40" i="1"/>
  <c r="Y40" i="1"/>
  <c r="Z40" i="1"/>
  <c r="AA40" i="1"/>
  <c r="AB40" i="1"/>
  <c r="AC40" i="1"/>
  <c r="AE49" i="1"/>
  <c r="AH49" i="1"/>
  <c r="AI49" i="1"/>
  <c r="AJ49" i="1"/>
  <c r="AK49" i="1"/>
  <c r="AL49" i="1"/>
  <c r="U82" i="1"/>
  <c r="AA82" i="1"/>
  <c r="AB82" i="1"/>
  <c r="AD82" i="1"/>
  <c r="AE42" i="1"/>
  <c r="AJ42" i="1"/>
  <c r="AK42" i="1"/>
  <c r="AL42" i="1"/>
  <c r="AM42" i="1"/>
  <c r="AN42" i="1"/>
  <c r="U39" i="1"/>
  <c r="AC39" i="1"/>
  <c r="AD39" i="1"/>
  <c r="U50" i="1"/>
  <c r="Y50" i="1"/>
  <c r="Z50" i="1"/>
  <c r="AA50" i="1"/>
  <c r="AB50" i="1"/>
  <c r="AC50" i="1"/>
  <c r="X20" i="1"/>
  <c r="AA20" i="1"/>
  <c r="AE35" i="1"/>
  <c r="AM35" i="1"/>
  <c r="AN35" i="1"/>
  <c r="U47" i="1"/>
  <c r="X47" i="1"/>
  <c r="Y47" i="1"/>
  <c r="Z47" i="1"/>
  <c r="AA47" i="1"/>
  <c r="AB47" i="1"/>
  <c r="K97" i="1"/>
  <c r="P97" i="1"/>
  <c r="Q97" i="1"/>
  <c r="R97" i="1"/>
  <c r="S97" i="1"/>
  <c r="T97" i="1"/>
  <c r="A37" i="1"/>
  <c r="B37" i="1"/>
  <c r="C37" i="1"/>
  <c r="D37" i="1"/>
  <c r="E37" i="1"/>
  <c r="AA46" i="1"/>
  <c r="AN47" i="1"/>
  <c r="AE58" i="1"/>
  <c r="AM58" i="1"/>
  <c r="AN58" i="1"/>
  <c r="I12" i="1"/>
  <c r="AL12" i="1"/>
  <c r="L20" i="1"/>
  <c r="S20" i="1"/>
  <c r="AE24" i="1"/>
  <c r="AJ24" i="1"/>
  <c r="AK24" i="1"/>
  <c r="O34" i="1"/>
  <c r="G35" i="1"/>
  <c r="A36" i="1"/>
  <c r="D36" i="1"/>
  <c r="E36" i="1"/>
  <c r="F36" i="1"/>
  <c r="G36" i="1"/>
  <c r="H36" i="1"/>
  <c r="AM36" i="1"/>
  <c r="T38" i="1"/>
  <c r="AI38" i="1"/>
  <c r="AD40" i="1"/>
  <c r="F41" i="1"/>
  <c r="AA42" i="1"/>
  <c r="AB42" i="1"/>
  <c r="AC42" i="1"/>
  <c r="AD42" i="1"/>
  <c r="P43" i="1"/>
  <c r="F44" i="1"/>
  <c r="F45" i="1"/>
  <c r="AN45" i="1"/>
  <c r="W46" i="1"/>
  <c r="S47" i="1"/>
  <c r="AJ47" i="1"/>
  <c r="U49" i="1"/>
  <c r="AC49" i="1"/>
  <c r="AD49" i="1"/>
  <c r="O50" i="1"/>
  <c r="K51" i="1"/>
  <c r="O51" i="1"/>
  <c r="P51" i="1"/>
  <c r="Q51" i="1"/>
  <c r="R51" i="1"/>
  <c r="S51" i="1"/>
  <c r="D52" i="1"/>
  <c r="A53" i="1"/>
  <c r="B54" i="1"/>
  <c r="X55" i="1"/>
  <c r="T56" i="1"/>
  <c r="O59" i="1"/>
  <c r="AG60" i="1"/>
  <c r="E89" i="1"/>
  <c r="AF89" i="1"/>
  <c r="Z90" i="1"/>
  <c r="AC24" i="1"/>
  <c r="S29" i="1"/>
  <c r="E34" i="1"/>
  <c r="AH34" i="1"/>
  <c r="Y35" i="1"/>
  <c r="P36" i="1"/>
  <c r="L37" i="1"/>
  <c r="U37" i="1"/>
  <c r="X38" i="1"/>
  <c r="N39" i="1"/>
  <c r="AL39" i="1"/>
  <c r="A40" i="1"/>
  <c r="AJ40" i="1"/>
  <c r="Z41" i="1"/>
  <c r="H43" i="1"/>
  <c r="X44" i="1"/>
  <c r="R45" i="1"/>
  <c r="E46" i="1"/>
  <c r="L46" i="1"/>
  <c r="F47" i="1"/>
  <c r="I49" i="1"/>
  <c r="M49" i="1"/>
  <c r="AH50" i="1"/>
  <c r="AA51" i="1"/>
  <c r="O52" i="1"/>
  <c r="Q53" i="1"/>
  <c r="AJ54" i="1"/>
  <c r="B55" i="1"/>
  <c r="K55" i="1"/>
  <c r="Z58" i="1"/>
  <c r="G59" i="1"/>
  <c r="N60" i="1"/>
  <c r="AJ65" i="1"/>
  <c r="T70" i="1"/>
  <c r="W70" i="1"/>
  <c r="T71" i="1"/>
  <c r="W71" i="1"/>
  <c r="O82" i="1"/>
  <c r="X88" i="1"/>
  <c r="AJ90" i="1"/>
  <c r="AK95" i="1"/>
  <c r="Z97" i="1"/>
  <c r="Q29" i="1"/>
  <c r="AG34" i="1"/>
  <c r="M39" i="1"/>
  <c r="AK39" i="1"/>
  <c r="AI40" i="1"/>
  <c r="Y41" i="1"/>
  <c r="G43" i="1"/>
  <c r="Q45" i="1"/>
  <c r="D46" i="1"/>
  <c r="E47" i="1"/>
  <c r="H49" i="1"/>
  <c r="L49" i="1"/>
  <c r="Z51" i="1"/>
  <c r="N52" i="1"/>
  <c r="J70" i="1"/>
  <c r="S70" i="1"/>
  <c r="V70" i="1"/>
  <c r="S71" i="1"/>
  <c r="AI90" i="1"/>
  <c r="D95" i="1"/>
  <c r="AJ95" i="1"/>
  <c r="Y97" i="1"/>
  <c r="AJ39" i="1"/>
  <c r="AH40" i="1"/>
  <c r="X41" i="1"/>
  <c r="T42" i="1"/>
  <c r="F43" i="1"/>
  <c r="AN44" i="1"/>
  <c r="P45" i="1"/>
  <c r="C46" i="1"/>
  <c r="D47" i="1"/>
  <c r="G49" i="1"/>
  <c r="L52" i="1"/>
  <c r="O53" i="1"/>
  <c r="AD60" i="1"/>
  <c r="J65" i="1"/>
  <c r="I70" i="1"/>
  <c r="R71" i="1"/>
  <c r="AN88" i="1"/>
  <c r="P89" i="1"/>
  <c r="AH90" i="1"/>
  <c r="B95" i="1"/>
  <c r="AH95" i="1"/>
  <c r="X97" i="1"/>
  <c r="AD37" i="1"/>
  <c r="S42" i="1"/>
  <c r="O45" i="1"/>
  <c r="A47" i="1"/>
  <c r="F49" i="1"/>
  <c r="AN51" i="1"/>
  <c r="K52" i="1"/>
  <c r="N53" i="1"/>
  <c r="AG54" i="1"/>
  <c r="T55" i="1"/>
  <c r="AC60" i="1"/>
  <c r="I65" i="1"/>
  <c r="H70" i="1"/>
  <c r="Q70" i="1"/>
  <c r="Q71" i="1"/>
  <c r="J88" i="1"/>
  <c r="AM88" i="1"/>
  <c r="W97" i="1"/>
  <c r="J40" i="1"/>
  <c r="AM51" i="1"/>
  <c r="AN53" i="1"/>
  <c r="AB60" i="1"/>
  <c r="I88" i="1"/>
  <c r="AL88" i="1"/>
  <c r="T95" i="1"/>
  <c r="AH101" i="1"/>
  <c r="AG101" i="1"/>
  <c r="AF101" i="1"/>
  <c r="T33" i="1"/>
  <c r="S33" i="1"/>
  <c r="R33" i="1"/>
  <c r="Q33" i="1"/>
  <c r="P101" i="1"/>
  <c r="O101" i="1"/>
  <c r="N101" i="1"/>
  <c r="M101" i="1"/>
  <c r="L101" i="1"/>
  <c r="C101" i="1"/>
  <c r="B101" i="1"/>
  <c r="AI100" i="1"/>
  <c r="AH100" i="1"/>
  <c r="AG100" i="1"/>
  <c r="AF100" i="1"/>
  <c r="M100" i="1"/>
  <c r="E100" i="1"/>
  <c r="D100" i="1"/>
  <c r="C100" i="1"/>
  <c r="B100" i="1"/>
  <c r="X99" i="1"/>
  <c r="W99" i="1"/>
  <c r="V99" i="1"/>
  <c r="N99" i="1"/>
  <c r="M99" i="1"/>
  <c r="L99" i="1"/>
  <c r="D99" i="1"/>
  <c r="C99" i="1"/>
  <c r="B99" i="1"/>
  <c r="AL98" i="1"/>
  <c r="AF98" i="1"/>
  <c r="AF32" i="1"/>
  <c r="W98" i="1"/>
  <c r="AN32" i="1"/>
  <c r="AM32" i="1"/>
  <c r="P98" i="1"/>
  <c r="O98" i="1"/>
  <c r="N98" i="1"/>
  <c r="M98" i="1"/>
  <c r="C98" i="1"/>
  <c r="AH97" i="1"/>
  <c r="AG97" i="1"/>
  <c r="AF97" i="1"/>
  <c r="AD32" i="1"/>
  <c r="V97" i="1"/>
  <c r="AC32" i="1"/>
  <c r="AB32" i="1"/>
  <c r="M97" i="1"/>
  <c r="L97" i="1"/>
  <c r="E97" i="1"/>
  <c r="C97" i="1"/>
  <c r="B97" i="1"/>
  <c r="AG96" i="1"/>
  <c r="V96" i="1"/>
  <c r="L96" i="1"/>
  <c r="AI95" i="1"/>
  <c r="AG95" i="1"/>
  <c r="AF95" i="1"/>
  <c r="T32" i="1"/>
  <c r="W95" i="1"/>
  <c r="S32" i="1"/>
  <c r="V95" i="1"/>
  <c r="R32" i="1"/>
  <c r="Q32" i="1"/>
  <c r="AD31" i="1"/>
  <c r="AC31" i="1"/>
  <c r="AK31" i="1"/>
  <c r="M95" i="1"/>
  <c r="AB31" i="1"/>
  <c r="AA31" i="1"/>
  <c r="Z31" i="1"/>
  <c r="C95" i="1"/>
  <c r="L31" i="1"/>
  <c r="M94" i="1"/>
  <c r="C94" i="1"/>
  <c r="B94" i="1"/>
  <c r="AI93" i="1"/>
  <c r="AG93" i="1"/>
  <c r="J31" i="1"/>
  <c r="I31" i="1"/>
  <c r="H31" i="1"/>
  <c r="G31" i="1"/>
  <c r="B93" i="1"/>
  <c r="AD30" i="1"/>
  <c r="AG92" i="1"/>
  <c r="AC30" i="1"/>
  <c r="AF92" i="1"/>
  <c r="AB30" i="1"/>
  <c r="AA30" i="1"/>
  <c r="M92" i="1"/>
  <c r="T30" i="1"/>
  <c r="C92" i="1"/>
  <c r="B92" i="1"/>
  <c r="S91" i="1"/>
  <c r="O91" i="1"/>
  <c r="M91" i="1"/>
  <c r="L91" i="1"/>
  <c r="C91" i="1"/>
  <c r="B91" i="1"/>
  <c r="J30" i="1"/>
  <c r="I30" i="1"/>
  <c r="AM90" i="1"/>
  <c r="AG90" i="1"/>
  <c r="AF90" i="1"/>
  <c r="Y90" i="1"/>
  <c r="W90" i="1"/>
  <c r="V90" i="1"/>
  <c r="O90" i="1"/>
  <c r="M90" i="1"/>
  <c r="E90" i="1"/>
  <c r="C90" i="1"/>
  <c r="B90" i="1"/>
  <c r="AG89" i="1"/>
  <c r="AJ29" i="1"/>
  <c r="V89" i="1"/>
  <c r="N89" i="1"/>
  <c r="M89" i="1"/>
  <c r="L89" i="1"/>
  <c r="Y88" i="1"/>
  <c r="AD29" i="1"/>
  <c r="W88" i="1"/>
  <c r="AC29" i="1"/>
  <c r="V88" i="1"/>
  <c r="AB29" i="1"/>
  <c r="AA29" i="1"/>
  <c r="O88" i="1"/>
  <c r="M88" i="1"/>
  <c r="L88" i="1"/>
  <c r="R29" i="1"/>
  <c r="C88" i="1"/>
  <c r="P29" i="1"/>
  <c r="AF87" i="1"/>
  <c r="J29" i="1"/>
  <c r="I29" i="1"/>
  <c r="H29" i="1"/>
  <c r="G29" i="1"/>
  <c r="F29" i="1"/>
  <c r="E29" i="1"/>
  <c r="M87" i="1"/>
  <c r="E87" i="1"/>
  <c r="D87" i="1"/>
  <c r="C87" i="1"/>
  <c r="B87" i="1"/>
  <c r="M86" i="1"/>
  <c r="L86" i="1"/>
  <c r="I86" i="1"/>
  <c r="C86" i="1"/>
  <c r="B86" i="1"/>
  <c r="AF85" i="1"/>
  <c r="AJ28" i="1"/>
  <c r="AI28" i="1"/>
  <c r="AD28" i="1"/>
  <c r="AH28" i="1"/>
  <c r="AN28" i="1"/>
  <c r="AM28" i="1"/>
  <c r="AL28" i="1"/>
  <c r="D85" i="1"/>
  <c r="C85" i="1"/>
  <c r="B85" i="1"/>
  <c r="AI84" i="1"/>
  <c r="AH84" i="1"/>
  <c r="AG84" i="1"/>
  <c r="AF84" i="1"/>
  <c r="X84" i="1"/>
  <c r="W84" i="1"/>
  <c r="V84" i="1"/>
  <c r="N84" i="1"/>
  <c r="M84" i="1"/>
  <c r="L84" i="1"/>
  <c r="F84" i="1"/>
  <c r="E84" i="1"/>
  <c r="D84" i="1"/>
  <c r="C84" i="1"/>
  <c r="B84" i="1"/>
  <c r="AH83" i="1"/>
  <c r="AG83" i="1"/>
  <c r="AF83" i="1"/>
  <c r="AB83" i="1"/>
  <c r="Y83" i="1"/>
  <c r="X83" i="1"/>
  <c r="V83" i="1"/>
  <c r="N83" i="1"/>
  <c r="M83" i="1"/>
  <c r="L83" i="1"/>
  <c r="I83" i="1"/>
  <c r="G83" i="1"/>
  <c r="F83" i="1"/>
  <c r="D83" i="1"/>
  <c r="K28" i="1"/>
  <c r="C83" i="1"/>
  <c r="B83" i="1"/>
  <c r="AH82" i="1"/>
  <c r="J28" i="1"/>
  <c r="AG82" i="1"/>
  <c r="I28" i="1"/>
  <c r="AF82" i="1"/>
  <c r="H28" i="1"/>
  <c r="G28" i="1"/>
  <c r="AC82" i="1"/>
  <c r="Z82" i="1"/>
  <c r="AN27" i="1"/>
  <c r="Y82" i="1"/>
  <c r="AL27" i="1"/>
  <c r="X82" i="1"/>
  <c r="AK27" i="1"/>
  <c r="W82" i="1"/>
  <c r="AJ27" i="1"/>
  <c r="V82" i="1"/>
  <c r="AI27" i="1"/>
  <c r="N82" i="1"/>
  <c r="M82" i="1"/>
  <c r="L82" i="1"/>
  <c r="Y27" i="1"/>
  <c r="X27" i="1"/>
  <c r="E82" i="1"/>
  <c r="C82" i="1"/>
  <c r="B82" i="1"/>
  <c r="V81" i="1"/>
  <c r="M81" i="1"/>
  <c r="L81" i="1"/>
  <c r="C81" i="1"/>
  <c r="B81" i="1"/>
  <c r="AG80" i="1"/>
  <c r="AF80" i="1"/>
  <c r="M80" i="1"/>
  <c r="L80" i="1"/>
  <c r="O27" i="1"/>
  <c r="N27" i="1"/>
  <c r="I80" i="1"/>
  <c r="M27" i="1"/>
  <c r="H80" i="1"/>
  <c r="L27" i="1"/>
  <c r="G80" i="1"/>
  <c r="D80" i="1"/>
  <c r="E80" i="1"/>
  <c r="T27" i="1"/>
  <c r="C80" i="1"/>
  <c r="S27" i="1"/>
  <c r="B80" i="1"/>
  <c r="R27" i="1"/>
  <c r="Q27" i="1"/>
  <c r="AG79" i="1"/>
  <c r="Y79" i="1"/>
  <c r="A27" i="1"/>
  <c r="M79" i="1"/>
  <c r="L79" i="1"/>
  <c r="AH78" i="1"/>
  <c r="AG78" i="1"/>
  <c r="AF78" i="1"/>
  <c r="AN26" i="1"/>
  <c r="AL26" i="1"/>
  <c r="AK26" i="1"/>
  <c r="X78" i="1"/>
  <c r="AJ26" i="1"/>
  <c r="W78" i="1"/>
  <c r="AI26" i="1"/>
  <c r="AH26" i="1"/>
  <c r="AG26" i="1"/>
  <c r="S26" i="1"/>
  <c r="Z26" i="1"/>
  <c r="C78" i="1"/>
  <c r="R26" i="1"/>
  <c r="X26" i="1"/>
  <c r="B78" i="1"/>
  <c r="Q26" i="1"/>
  <c r="P26" i="1"/>
  <c r="AM77" i="1"/>
  <c r="AL77" i="1"/>
  <c r="AH77" i="1"/>
  <c r="AG77" i="1"/>
  <c r="C77" i="1"/>
  <c r="AI76" i="1"/>
  <c r="AG76" i="1"/>
  <c r="AF76" i="1"/>
  <c r="N76" i="1"/>
  <c r="L76" i="1"/>
  <c r="AH75" i="1"/>
  <c r="AF75" i="1"/>
  <c r="AN25" i="1"/>
  <c r="W75" i="1"/>
  <c r="AJ25" i="1"/>
  <c r="AM25" i="1"/>
  <c r="V75" i="1"/>
  <c r="AL25" i="1"/>
  <c r="AI25" i="1"/>
  <c r="AH25" i="1"/>
  <c r="AG25" i="1"/>
  <c r="AK25" i="1"/>
  <c r="M75" i="1"/>
  <c r="L75" i="1"/>
  <c r="W25" i="1"/>
  <c r="C75" i="1"/>
  <c r="V25" i="1"/>
  <c r="B75" i="1"/>
  <c r="AG74" i="1"/>
  <c r="AF74" i="1"/>
  <c r="Y74" i="1"/>
  <c r="X74" i="1"/>
  <c r="W74" i="1"/>
  <c r="V74" i="1"/>
  <c r="S74" i="1"/>
  <c r="M74" i="1"/>
  <c r="L74" i="1"/>
  <c r="C74" i="1"/>
  <c r="B74" i="1"/>
  <c r="AH73" i="1"/>
  <c r="AG73" i="1"/>
  <c r="AF73" i="1"/>
  <c r="V73" i="1"/>
  <c r="J25" i="1"/>
  <c r="I25" i="1"/>
  <c r="H25" i="1"/>
  <c r="G25" i="1"/>
  <c r="E25" i="1"/>
  <c r="D25" i="1"/>
  <c r="C25" i="1"/>
  <c r="F25" i="1"/>
  <c r="B25" i="1"/>
  <c r="AM24" i="1"/>
  <c r="AL24" i="1"/>
  <c r="AH24" i="1"/>
  <c r="W72" i="1"/>
  <c r="V72" i="1"/>
  <c r="N72" i="1"/>
  <c r="M72" i="1"/>
  <c r="L72" i="1"/>
  <c r="C72" i="1"/>
  <c r="B72" i="1"/>
  <c r="AG71" i="1"/>
  <c r="AF71" i="1"/>
  <c r="V71" i="1"/>
  <c r="P71" i="1"/>
  <c r="O71" i="1"/>
  <c r="N71" i="1"/>
  <c r="M71" i="1"/>
  <c r="L71" i="1"/>
  <c r="AD24" i="1"/>
  <c r="G71" i="1"/>
  <c r="F71" i="1"/>
  <c r="E71" i="1"/>
  <c r="D71" i="1"/>
  <c r="C71" i="1"/>
  <c r="B71" i="1"/>
  <c r="AJ70" i="1"/>
  <c r="AI70" i="1"/>
  <c r="AH70" i="1"/>
  <c r="AG70" i="1"/>
  <c r="AF70" i="1"/>
  <c r="P70" i="1"/>
  <c r="O70" i="1"/>
  <c r="N70" i="1"/>
  <c r="M70" i="1"/>
  <c r="L70" i="1"/>
  <c r="AL69" i="1"/>
  <c r="AG69" i="1"/>
  <c r="Y69" i="1"/>
  <c r="N69" i="1"/>
  <c r="M69" i="1"/>
  <c r="L69" i="1"/>
  <c r="G69" i="1"/>
  <c r="E69" i="1"/>
  <c r="D69" i="1"/>
  <c r="AC68" i="1"/>
  <c r="AA68" i="1"/>
  <c r="Z68" i="1"/>
  <c r="Y68" i="1"/>
  <c r="X68" i="1"/>
  <c r="W68" i="1"/>
  <c r="V68" i="1"/>
  <c r="Q68" i="1"/>
  <c r="S24" i="1"/>
  <c r="L68" i="1"/>
  <c r="R24" i="1"/>
  <c r="T24" i="1"/>
  <c r="Q24" i="1"/>
  <c r="B68" i="1"/>
  <c r="AF67" i="1"/>
  <c r="AN23" i="1"/>
  <c r="AM23" i="1"/>
  <c r="AL23" i="1"/>
  <c r="AK23" i="1"/>
  <c r="AJ23" i="1"/>
  <c r="AD23" i="1"/>
  <c r="AI23" i="1"/>
  <c r="AC23" i="1"/>
  <c r="AH23" i="1"/>
  <c r="AA23" i="1"/>
  <c r="Z23" i="1"/>
  <c r="L67" i="1"/>
  <c r="AG66" i="1"/>
  <c r="AF66" i="1"/>
  <c r="S23" i="1"/>
  <c r="R23" i="1"/>
  <c r="P23" i="1"/>
  <c r="X66" i="1"/>
  <c r="V66" i="1"/>
  <c r="S66" i="1"/>
  <c r="O66" i="1"/>
  <c r="N66" i="1"/>
  <c r="M66" i="1"/>
  <c r="L66" i="1"/>
  <c r="D23" i="1"/>
  <c r="AI65" i="1"/>
  <c r="A23" i="1"/>
  <c r="AH65" i="1"/>
  <c r="AG65" i="1"/>
  <c r="AF65" i="1"/>
  <c r="W65" i="1"/>
  <c r="S64" i="1"/>
  <c r="M64" i="1"/>
  <c r="L64" i="1"/>
  <c r="AH63" i="1"/>
  <c r="AG63" i="1"/>
  <c r="AJ22" i="1"/>
  <c r="AI22" i="1"/>
  <c r="AH22" i="1"/>
  <c r="H63" i="1"/>
  <c r="C63" i="1"/>
  <c r="B63" i="1"/>
  <c r="AL62" i="1"/>
  <c r="AI62" i="1"/>
  <c r="AH62" i="1"/>
  <c r="AG62" i="1"/>
  <c r="AF62" i="1"/>
  <c r="AJ62" i="1"/>
  <c r="Y62" i="1"/>
  <c r="X62" i="1"/>
  <c r="W62" i="1"/>
  <c r="V62" i="1"/>
  <c r="C62" i="1"/>
  <c r="B62" i="1"/>
  <c r="AB22" i="1"/>
  <c r="AA22" i="1"/>
  <c r="Z22" i="1"/>
  <c r="AC22" i="1"/>
  <c r="Y22" i="1"/>
  <c r="AD22" i="1"/>
  <c r="U22" i="1"/>
  <c r="S22" i="1"/>
  <c r="R22" i="1"/>
  <c r="Q22" i="1"/>
  <c r="N22" i="1"/>
  <c r="P22" i="1"/>
  <c r="O22" i="1"/>
  <c r="O61" i="1"/>
  <c r="M61" i="1"/>
  <c r="L61" i="1"/>
  <c r="C61" i="1"/>
  <c r="AF60" i="1"/>
  <c r="AK21" i="1"/>
  <c r="S60" i="1"/>
  <c r="M60" i="1"/>
  <c r="L60" i="1"/>
  <c r="AN21" i="1"/>
  <c r="I60" i="1"/>
  <c r="H60" i="1"/>
  <c r="G60" i="1"/>
  <c r="F60" i="1"/>
  <c r="E60" i="1"/>
  <c r="D60" i="1"/>
  <c r="C60" i="1"/>
  <c r="B60" i="1"/>
  <c r="J60" i="1"/>
  <c r="AJ59" i="1"/>
  <c r="AI59" i="1"/>
  <c r="AH59" i="1"/>
  <c r="AG59" i="1"/>
  <c r="AF59" i="1"/>
  <c r="AC59" i="1"/>
  <c r="AA59" i="1"/>
  <c r="Z59" i="1"/>
  <c r="Y59" i="1"/>
  <c r="X59" i="1"/>
  <c r="W59" i="1"/>
  <c r="V59" i="1"/>
  <c r="Q59" i="1"/>
  <c r="L59" i="1"/>
  <c r="J59" i="1"/>
  <c r="I59" i="1"/>
  <c r="F59" i="1"/>
  <c r="D59" i="1"/>
  <c r="E59" i="1"/>
  <c r="C59" i="1"/>
  <c r="B59" i="1"/>
  <c r="AG58" i="1"/>
  <c r="AF58" i="1"/>
  <c r="AD21" i="1"/>
  <c r="AC58" i="1"/>
  <c r="X58" i="1"/>
  <c r="W58" i="1"/>
  <c r="V58" i="1"/>
  <c r="T58" i="1"/>
  <c r="S58" i="1"/>
  <c r="O58" i="1"/>
  <c r="P58" i="1"/>
  <c r="N58" i="1"/>
  <c r="M58" i="1"/>
  <c r="L58" i="1"/>
  <c r="F58" i="1"/>
  <c r="E58" i="1"/>
  <c r="D58" i="1"/>
  <c r="C58" i="1"/>
  <c r="B58" i="1"/>
  <c r="AH57" i="1"/>
  <c r="AG57" i="1"/>
  <c r="AF57" i="1"/>
  <c r="Q21" i="1"/>
  <c r="I21" i="1"/>
  <c r="P21" i="1"/>
  <c r="AN20" i="1"/>
  <c r="AM20" i="1"/>
  <c r="F21" i="1"/>
  <c r="AL20" i="1"/>
  <c r="AK20" i="1"/>
  <c r="C21" i="1"/>
  <c r="X57" i="1"/>
  <c r="R21" i="1"/>
  <c r="AI20" i="1"/>
  <c r="V57" i="1"/>
  <c r="AH20" i="1"/>
  <c r="T21" i="1"/>
  <c r="AJ20" i="1"/>
  <c r="AG20" i="1"/>
  <c r="S21" i="1"/>
  <c r="N57" i="1"/>
  <c r="M57" i="1"/>
  <c r="L57" i="1"/>
  <c r="B57" i="1"/>
  <c r="AD20" i="1"/>
  <c r="AC20" i="1"/>
  <c r="AM56" i="1"/>
  <c r="AJ56" i="1"/>
  <c r="AI56" i="1"/>
  <c r="AH56" i="1"/>
  <c r="AC56" i="1"/>
  <c r="Z56" i="1"/>
  <c r="Y56" i="1"/>
  <c r="X56" i="1"/>
  <c r="W56" i="1"/>
  <c r="J56" i="1"/>
  <c r="I56" i="1"/>
  <c r="E56" i="1"/>
  <c r="D56" i="1"/>
  <c r="H56" i="1"/>
  <c r="G56" i="1"/>
  <c r="C56" i="1"/>
  <c r="B56" i="1"/>
  <c r="AM55" i="1"/>
  <c r="AG55" i="1"/>
  <c r="AF55" i="1"/>
  <c r="R20" i="1"/>
  <c r="Q20" i="1"/>
  <c r="P20" i="1"/>
  <c r="O20" i="1"/>
  <c r="W55" i="1"/>
  <c r="N20" i="1"/>
  <c r="J20" i="1"/>
  <c r="M20" i="1"/>
  <c r="I20" i="1"/>
  <c r="AI19" i="1"/>
  <c r="AH19" i="1"/>
  <c r="AG19" i="1"/>
  <c r="AN19" i="1"/>
  <c r="AM19" i="1"/>
  <c r="AL19" i="1"/>
  <c r="AF54" i="1"/>
  <c r="AK19" i="1"/>
  <c r="AJ19" i="1"/>
  <c r="AC54" i="1"/>
  <c r="AB54" i="1"/>
  <c r="AD19" i="1"/>
  <c r="AA54" i="1"/>
  <c r="AB19" i="1"/>
  <c r="Z54" i="1"/>
  <c r="AA19" i="1"/>
  <c r="Y54" i="1"/>
  <c r="Z19" i="1"/>
  <c r="X54" i="1"/>
  <c r="W54" i="1"/>
  <c r="V54" i="1"/>
  <c r="I54" i="1"/>
  <c r="D54" i="1"/>
  <c r="C54" i="1"/>
  <c r="M19" i="1"/>
  <c r="P19" i="1"/>
  <c r="Q19" i="1"/>
  <c r="O19" i="1"/>
  <c r="AM53" i="1"/>
  <c r="T19" i="1"/>
  <c r="AF53" i="1"/>
  <c r="S19" i="1"/>
  <c r="R19" i="1"/>
  <c r="M53" i="1"/>
  <c r="L53" i="1"/>
  <c r="J19" i="1"/>
  <c r="I19" i="1"/>
  <c r="AF52" i="1"/>
  <c r="W52" i="1"/>
  <c r="V52" i="1"/>
  <c r="E52" i="1"/>
  <c r="C52" i="1"/>
  <c r="B52" i="1"/>
  <c r="AF51" i="1"/>
  <c r="H18" i="1"/>
  <c r="Y51" i="1"/>
  <c r="G18" i="1"/>
  <c r="X51" i="1"/>
  <c r="F18" i="1"/>
  <c r="W51" i="1"/>
  <c r="E18" i="1"/>
  <c r="V51" i="1"/>
  <c r="AN17" i="1"/>
  <c r="T18" i="1"/>
  <c r="Z17" i="1"/>
  <c r="C51" i="1"/>
  <c r="E17" i="1"/>
  <c r="Q17" i="1"/>
  <c r="P17" i="1"/>
  <c r="I17" i="1"/>
  <c r="AG50" i="1"/>
  <c r="H17" i="1"/>
  <c r="AF50" i="1"/>
  <c r="G17" i="1"/>
  <c r="J17" i="1"/>
  <c r="F17" i="1"/>
  <c r="X50" i="1"/>
  <c r="W50" i="1"/>
  <c r="V50" i="1"/>
  <c r="E50" i="1"/>
  <c r="D50" i="1"/>
  <c r="C50" i="1"/>
  <c r="B50" i="1"/>
  <c r="AF49" i="1"/>
  <c r="Y49" i="1"/>
  <c r="W49" i="1"/>
  <c r="V49" i="1"/>
  <c r="E49" i="1"/>
  <c r="D49" i="1"/>
  <c r="C49" i="1"/>
  <c r="B49" i="1"/>
  <c r="Y48" i="1"/>
  <c r="X48" i="1"/>
  <c r="W48" i="1"/>
  <c r="V48" i="1"/>
  <c r="AN16" i="1"/>
  <c r="N48" i="1"/>
  <c r="AM16" i="1"/>
  <c r="M48" i="1"/>
  <c r="AL16" i="1"/>
  <c r="L48" i="1"/>
  <c r="AK16" i="1"/>
  <c r="AJ16" i="1"/>
  <c r="E48" i="1"/>
  <c r="D48" i="1"/>
  <c r="C48" i="1"/>
  <c r="B48" i="1"/>
  <c r="V47" i="1"/>
  <c r="P47" i="1"/>
  <c r="O47" i="1"/>
  <c r="N47" i="1"/>
  <c r="M47" i="1"/>
  <c r="L47" i="1"/>
  <c r="AD16" i="1"/>
  <c r="I47" i="1"/>
  <c r="X16" i="1"/>
  <c r="C47" i="1"/>
  <c r="V46" i="1"/>
  <c r="Q16" i="1"/>
  <c r="R16" i="1"/>
  <c r="P16" i="1"/>
  <c r="B46" i="1"/>
  <c r="G16" i="1"/>
  <c r="AD45" i="1"/>
  <c r="AC45" i="1"/>
  <c r="X45" i="1"/>
  <c r="W45" i="1"/>
  <c r="V45" i="1"/>
  <c r="Y45" i="1"/>
  <c r="N45" i="1"/>
  <c r="M45" i="1"/>
  <c r="L45" i="1"/>
  <c r="B45" i="1"/>
  <c r="AC15" i="1"/>
  <c r="AH15" i="1"/>
  <c r="AB15" i="1"/>
  <c r="AG15" i="1"/>
  <c r="AA15" i="1"/>
  <c r="AF15" i="1"/>
  <c r="AE15" i="1"/>
  <c r="AN15" i="1"/>
  <c r="AM15" i="1"/>
  <c r="AL15" i="1"/>
  <c r="W44" i="1"/>
  <c r="AK15" i="1"/>
  <c r="V44" i="1"/>
  <c r="AJ15" i="1"/>
  <c r="AD15" i="1"/>
  <c r="L44" i="1"/>
  <c r="C44" i="1"/>
  <c r="B44" i="1"/>
  <c r="AH43" i="1"/>
  <c r="AG43" i="1"/>
  <c r="AF43" i="1"/>
  <c r="X43" i="1"/>
  <c r="W43" i="1"/>
  <c r="V43" i="1"/>
  <c r="N43" i="1"/>
  <c r="M43" i="1"/>
  <c r="L43" i="1"/>
  <c r="J15" i="1"/>
  <c r="E43" i="1"/>
  <c r="I15" i="1"/>
  <c r="D43" i="1"/>
  <c r="H15" i="1"/>
  <c r="C43" i="1"/>
  <c r="G15" i="1"/>
  <c r="B43" i="1"/>
  <c r="F15" i="1"/>
  <c r="AN14" i="1"/>
  <c r="E15" i="1"/>
  <c r="B42" i="1"/>
  <c r="AN41" i="1"/>
  <c r="AM41" i="1"/>
  <c r="AL41" i="1"/>
  <c r="AK41" i="1"/>
  <c r="AJ41" i="1"/>
  <c r="AI41" i="1"/>
  <c r="AH41" i="1"/>
  <c r="AG41" i="1"/>
  <c r="AF41" i="1"/>
  <c r="W41" i="1"/>
  <c r="V41" i="1"/>
  <c r="X14" i="1"/>
  <c r="L41" i="1"/>
  <c r="D41" i="1"/>
  <c r="C41" i="1"/>
  <c r="B41" i="1"/>
  <c r="P14" i="1"/>
  <c r="AG40" i="1"/>
  <c r="O14" i="1"/>
  <c r="AF40" i="1"/>
  <c r="V40" i="1"/>
  <c r="L40" i="1"/>
  <c r="AI39" i="1"/>
  <c r="AH39" i="1"/>
  <c r="AG39" i="1"/>
  <c r="AF39" i="1"/>
  <c r="AN13" i="1"/>
  <c r="AD13" i="1"/>
  <c r="AM13" i="1"/>
  <c r="X39" i="1"/>
  <c r="AC13" i="1"/>
  <c r="AK13" i="1"/>
  <c r="W39" i="1"/>
  <c r="AB13" i="1"/>
  <c r="AJ13" i="1"/>
  <c r="V39" i="1"/>
  <c r="AA13" i="1"/>
  <c r="AI13" i="1"/>
  <c r="AH13" i="1"/>
  <c r="L39" i="1"/>
  <c r="M13" i="1"/>
  <c r="C39" i="1"/>
  <c r="L13" i="1"/>
  <c r="B39" i="1"/>
  <c r="AM38" i="1"/>
  <c r="AF38" i="1"/>
  <c r="D13" i="1"/>
  <c r="C13" i="1"/>
  <c r="J13" i="1"/>
  <c r="I13" i="1"/>
  <c r="W38" i="1"/>
  <c r="H13" i="1"/>
  <c r="V38" i="1"/>
  <c r="G13" i="1"/>
  <c r="B13" i="1"/>
  <c r="F13" i="1"/>
  <c r="L38" i="1"/>
  <c r="AG37" i="1"/>
  <c r="AF37" i="1"/>
  <c r="AB12" i="1"/>
  <c r="N37" i="1"/>
  <c r="AD12" i="1"/>
  <c r="AA12" i="1"/>
  <c r="AF36" i="1"/>
  <c r="T12" i="1"/>
  <c r="S12" i="1"/>
  <c r="R12" i="1"/>
  <c r="Q12" i="1"/>
  <c r="W36" i="1"/>
  <c r="V36" i="1"/>
  <c r="O36" i="1"/>
  <c r="N36" i="1"/>
  <c r="M36" i="1"/>
  <c r="L36" i="1"/>
  <c r="D12" i="1"/>
  <c r="AH35" i="1"/>
  <c r="AG35" i="1"/>
  <c r="AF35" i="1"/>
  <c r="W35" i="1"/>
  <c r="V35" i="1"/>
  <c r="L35" i="1"/>
  <c r="D35" i="1"/>
  <c r="C35" i="1"/>
  <c r="B35" i="1"/>
  <c r="AD11" i="1"/>
  <c r="AC11" i="1"/>
  <c r="AB11" i="1"/>
  <c r="AA11" i="1"/>
  <c r="AF34" i="1"/>
  <c r="V11" i="1"/>
  <c r="Z11" i="1"/>
  <c r="Y11" i="1"/>
  <c r="Y34" i="1"/>
  <c r="X34" i="1"/>
  <c r="W34" i="1"/>
  <c r="V34" i="1"/>
  <c r="M34" i="1"/>
  <c r="L34" i="1"/>
  <c r="P11" i="1"/>
  <c r="B34" i="1"/>
  <c r="AH33" i="1"/>
  <c r="AG33" i="1"/>
  <c r="AN10" i="1"/>
  <c r="AF33" i="1"/>
  <c r="AM10" i="1"/>
  <c r="AF10" i="1"/>
  <c r="AL10" i="1"/>
  <c r="AA10" i="1"/>
  <c r="Z10" i="1"/>
  <c r="N33" i="1"/>
  <c r="M33" i="1"/>
  <c r="L33" i="1"/>
  <c r="B33" i="1"/>
  <c r="W32" i="1"/>
  <c r="V32" i="1"/>
  <c r="M32" i="1"/>
  <c r="L32" i="1"/>
  <c r="E32" i="1"/>
  <c r="D32" i="1"/>
  <c r="C32" i="1"/>
  <c r="B32" i="1"/>
  <c r="L10" i="1"/>
  <c r="K10" i="1"/>
  <c r="AI31" i="1"/>
  <c r="AH31" i="1"/>
  <c r="AG31" i="1"/>
  <c r="T10" i="1"/>
  <c r="AF31" i="1"/>
  <c r="S10" i="1"/>
  <c r="R10" i="1"/>
  <c r="N31" i="1"/>
  <c r="M31" i="1"/>
  <c r="E31" i="1"/>
  <c r="D31" i="1"/>
  <c r="C31" i="1"/>
  <c r="B31" i="1"/>
  <c r="E10" i="1"/>
  <c r="D10" i="1"/>
  <c r="B10" i="1"/>
  <c r="J10" i="1"/>
  <c r="AH30" i="1"/>
  <c r="A10" i="1"/>
  <c r="I10" i="1"/>
  <c r="AG30" i="1"/>
  <c r="H10" i="1"/>
  <c r="G10" i="1"/>
  <c r="F10" i="1"/>
  <c r="Q9" i="1"/>
  <c r="P9" i="1"/>
  <c r="R9" i="1"/>
  <c r="AN9" i="1"/>
  <c r="J9" i="1"/>
  <c r="AM9" i="1"/>
  <c r="V30" i="1"/>
  <c r="I9" i="1"/>
  <c r="AL9" i="1"/>
  <c r="AH9" i="1"/>
  <c r="H9" i="1"/>
  <c r="AK9" i="1"/>
  <c r="P30" i="1"/>
  <c r="O30" i="1"/>
  <c r="N30" i="1"/>
  <c r="M30" i="1"/>
  <c r="L30" i="1"/>
  <c r="B30" i="1"/>
  <c r="AM29" i="1"/>
  <c r="AH29" i="1"/>
  <c r="AG29" i="1"/>
  <c r="AF29" i="1"/>
  <c r="Z29" i="1"/>
  <c r="Y29" i="1"/>
  <c r="X29" i="1"/>
  <c r="W29" i="1"/>
  <c r="V29" i="1"/>
  <c r="AH8" i="1"/>
  <c r="AI8" i="1"/>
  <c r="AG8" i="1"/>
  <c r="O29" i="1"/>
  <c r="AN8" i="1"/>
  <c r="N29" i="1"/>
  <c r="AM8" i="1"/>
  <c r="M29" i="1"/>
  <c r="AL8" i="1"/>
  <c r="L29" i="1"/>
  <c r="AK8" i="1"/>
  <c r="AJ8" i="1"/>
  <c r="C29" i="1"/>
  <c r="B29" i="1"/>
  <c r="AG28" i="1"/>
  <c r="AF28" i="1"/>
  <c r="Y28" i="1"/>
  <c r="X28" i="1"/>
  <c r="W28" i="1"/>
  <c r="V28" i="1"/>
  <c r="T28" i="1"/>
  <c r="S28" i="1"/>
  <c r="R28" i="1"/>
  <c r="M28" i="1"/>
  <c r="Q28" i="1"/>
  <c r="P28" i="1"/>
  <c r="O28" i="1"/>
  <c r="N28" i="1"/>
  <c r="D28" i="1"/>
  <c r="C28" i="1"/>
  <c r="B28" i="1"/>
  <c r="S8" i="1"/>
  <c r="R8" i="1"/>
  <c r="Q8" i="1"/>
  <c r="AM27" i="1"/>
  <c r="O8" i="1"/>
  <c r="N8" i="1"/>
  <c r="L8" i="1"/>
  <c r="K8" i="1"/>
  <c r="AH27" i="1"/>
  <c r="AG27" i="1"/>
  <c r="AF27" i="1"/>
  <c r="T8" i="1"/>
  <c r="E8" i="1"/>
  <c r="W27" i="1"/>
  <c r="V27" i="1"/>
  <c r="D8" i="1"/>
  <c r="J8" i="1"/>
  <c r="AM26" i="1"/>
  <c r="AF26" i="1"/>
  <c r="Y26" i="1"/>
  <c r="W26" i="1"/>
  <c r="V26" i="1"/>
  <c r="L26" i="1"/>
  <c r="E26" i="1"/>
  <c r="D26" i="1"/>
  <c r="C26" i="1"/>
  <c r="B26" i="1"/>
  <c r="AF25" i="1"/>
  <c r="AI7" i="1"/>
  <c r="AH7" i="1"/>
  <c r="AG7" i="1"/>
  <c r="AF7" i="1"/>
  <c r="AE7" i="1"/>
  <c r="AN7" i="1"/>
  <c r="O25" i="1"/>
  <c r="N25" i="1"/>
  <c r="M25" i="1"/>
  <c r="L25" i="1"/>
  <c r="AG24" i="1"/>
  <c r="AF24" i="1"/>
  <c r="AB24" i="1"/>
  <c r="AA24" i="1"/>
  <c r="Z24" i="1"/>
  <c r="Y24" i="1"/>
  <c r="X24" i="1"/>
  <c r="W24" i="1"/>
  <c r="V24" i="1"/>
  <c r="N24" i="1"/>
  <c r="M24" i="1"/>
  <c r="L24" i="1"/>
  <c r="J24" i="1"/>
  <c r="I24" i="1"/>
  <c r="E24" i="1"/>
  <c r="D24" i="1"/>
  <c r="G24" i="1"/>
  <c r="C24" i="1"/>
  <c r="H24" i="1"/>
  <c r="B24" i="1"/>
  <c r="F24" i="1"/>
  <c r="AG23" i="1"/>
  <c r="AF23" i="1"/>
  <c r="AB23" i="1"/>
  <c r="W23" i="1"/>
  <c r="V23" i="1"/>
  <c r="O23" i="1"/>
  <c r="M23" i="1"/>
  <c r="L23" i="1"/>
  <c r="C23" i="1"/>
  <c r="D7" i="1"/>
  <c r="C7" i="1"/>
  <c r="B7" i="1"/>
  <c r="AG22" i="1"/>
  <c r="AF22" i="1"/>
  <c r="E7" i="1"/>
  <c r="W22" i="1"/>
  <c r="X22" i="1"/>
  <c r="AB6" i="1"/>
  <c r="AD6" i="1"/>
  <c r="AC6" i="1"/>
  <c r="AA6" i="1"/>
  <c r="G22" i="1"/>
  <c r="J22" i="1"/>
  <c r="I22" i="1"/>
  <c r="H22" i="1"/>
  <c r="F22" i="1"/>
  <c r="E22" i="1"/>
  <c r="D22" i="1"/>
  <c r="C22" i="1"/>
  <c r="B22" i="1"/>
  <c r="AC21" i="1"/>
  <c r="Z21" i="1"/>
  <c r="Y21" i="1"/>
  <c r="X21" i="1"/>
  <c r="W21" i="1"/>
  <c r="V21" i="1"/>
  <c r="O21" i="1"/>
  <c r="C6" i="1"/>
  <c r="N21" i="1"/>
  <c r="A6" i="1"/>
  <c r="M21" i="1"/>
  <c r="L21" i="1"/>
  <c r="D21" i="1"/>
  <c r="AF20" i="1"/>
  <c r="G20" i="1"/>
  <c r="E20" i="1"/>
  <c r="D20" i="1"/>
  <c r="C20" i="1"/>
  <c r="B20" i="1"/>
  <c r="AF19" i="1"/>
  <c r="AC19" i="1"/>
  <c r="Y19" i="1"/>
  <c r="X19" i="1"/>
  <c r="W19" i="1"/>
  <c r="V19" i="1"/>
  <c r="L19" i="1"/>
  <c r="F19" i="1"/>
  <c r="E19" i="1"/>
  <c r="D19" i="1"/>
  <c r="C19" i="1"/>
  <c r="B19" i="1"/>
  <c r="AI18" i="1"/>
  <c r="AH18" i="1"/>
  <c r="AG18" i="1"/>
  <c r="AF18" i="1"/>
  <c r="AD18" i="1"/>
  <c r="AC18" i="1"/>
  <c r="AB18" i="1"/>
  <c r="Z18" i="1"/>
  <c r="Y18" i="1"/>
  <c r="AA18" i="1"/>
  <c r="X18" i="1"/>
  <c r="W18" i="1"/>
  <c r="V18" i="1"/>
  <c r="P18" i="1"/>
  <c r="O18" i="1"/>
  <c r="N18" i="1"/>
  <c r="M18" i="1"/>
  <c r="L18" i="1"/>
  <c r="D18" i="1"/>
  <c r="C18" i="1"/>
  <c r="B18" i="1"/>
  <c r="AJ17" i="1"/>
  <c r="AI17" i="1"/>
  <c r="AH17" i="1"/>
  <c r="AG17" i="1"/>
  <c r="AF17" i="1"/>
  <c r="Y17" i="1"/>
  <c r="X17" i="1"/>
  <c r="W17" i="1"/>
  <c r="V17" i="1"/>
  <c r="O17" i="1"/>
  <c r="N17" i="1"/>
  <c r="M17" i="1"/>
  <c r="L17" i="1"/>
  <c r="D17" i="1"/>
  <c r="C17" i="1"/>
  <c r="B17" i="1"/>
  <c r="AI16" i="1"/>
  <c r="AH16" i="1"/>
  <c r="AG16" i="1"/>
  <c r="AF16" i="1"/>
  <c r="W16" i="1"/>
  <c r="V16" i="1"/>
  <c r="T16" i="1"/>
  <c r="S16" i="1"/>
  <c r="L16" i="1"/>
  <c r="F16" i="1"/>
  <c r="E16" i="1"/>
  <c r="D16" i="1"/>
  <c r="C16" i="1"/>
  <c r="B16" i="1"/>
  <c r="X15" i="1"/>
  <c r="W15" i="1"/>
  <c r="V15" i="1"/>
  <c r="U5" i="1"/>
  <c r="S15" i="1"/>
  <c r="O15" i="1"/>
  <c r="N15" i="1"/>
  <c r="M15" i="1"/>
  <c r="L15" i="1"/>
  <c r="C15" i="1"/>
  <c r="B15" i="1"/>
  <c r="AH14" i="1"/>
  <c r="AG14" i="1"/>
  <c r="AF14" i="1"/>
  <c r="AC14" i="1"/>
  <c r="AD14" i="1"/>
  <c r="AB14" i="1"/>
  <c r="AA14" i="1"/>
  <c r="Z14" i="1"/>
  <c r="W14" i="1"/>
  <c r="V14" i="1"/>
  <c r="Y14" i="1"/>
  <c r="N14" i="1"/>
  <c r="M14" i="1"/>
  <c r="L14" i="1"/>
  <c r="C14" i="1"/>
  <c r="B14" i="1"/>
  <c r="AL13" i="1"/>
  <c r="AG13" i="1"/>
  <c r="AF13" i="1"/>
  <c r="AH12" i="1"/>
  <c r="AG12" i="1"/>
  <c r="AF12" i="1"/>
  <c r="I5" i="1"/>
  <c r="H5" i="1"/>
  <c r="G5" i="1"/>
  <c r="AC12" i="1"/>
  <c r="X12" i="1"/>
  <c r="W12" i="1"/>
  <c r="V12" i="1"/>
  <c r="J5" i="1"/>
  <c r="O12" i="1"/>
  <c r="N12" i="1"/>
  <c r="P12" i="1"/>
  <c r="M12" i="1"/>
  <c r="L12" i="1"/>
  <c r="C12" i="1"/>
  <c r="B12" i="1"/>
  <c r="AN11" i="1"/>
  <c r="AM11" i="1"/>
  <c r="AL11" i="1"/>
  <c r="AK11" i="1"/>
  <c r="AJ11" i="1"/>
  <c r="AI11" i="1"/>
  <c r="AH11" i="1"/>
  <c r="AG11" i="1"/>
  <c r="AE11" i="1"/>
  <c r="T11" i="1"/>
  <c r="S11" i="1"/>
  <c r="N11" i="1"/>
  <c r="M11" i="1"/>
  <c r="O11" i="1"/>
  <c r="L11" i="1"/>
  <c r="H11" i="1"/>
  <c r="G11" i="1"/>
  <c r="F11" i="1"/>
  <c r="E11" i="1"/>
  <c r="D11" i="1"/>
  <c r="C11" i="1"/>
  <c r="B11" i="1"/>
  <c r="J11" i="1"/>
  <c r="I11" i="1"/>
  <c r="X10" i="1"/>
  <c r="W10" i="1"/>
  <c r="Y10" i="1"/>
  <c r="V10" i="1"/>
  <c r="AG9" i="1"/>
  <c r="AF9" i="1"/>
  <c r="AD9" i="1"/>
  <c r="AC9" i="1"/>
  <c r="AB9" i="1"/>
  <c r="AA9" i="1"/>
  <c r="Z9" i="1"/>
  <c r="Y9" i="1"/>
  <c r="X9" i="1"/>
  <c r="W9" i="1"/>
  <c r="V9" i="1"/>
  <c r="S9" i="1"/>
  <c r="O9" i="1"/>
  <c r="M9" i="1"/>
  <c r="L9" i="1"/>
  <c r="N9" i="1"/>
  <c r="B9" i="1"/>
  <c r="F9" i="1"/>
  <c r="E9" i="1"/>
  <c r="D9" i="1"/>
  <c r="C9" i="1"/>
  <c r="AF8" i="1"/>
  <c r="C8" i="1"/>
  <c r="B8" i="1"/>
  <c r="X7" i="1"/>
  <c r="AD7" i="1"/>
  <c r="AC7" i="1"/>
  <c r="AB7" i="1"/>
  <c r="AA7" i="1"/>
  <c r="Z7" i="1"/>
  <c r="Y7" i="1"/>
  <c r="W7" i="1"/>
  <c r="V7" i="1"/>
  <c r="T7" i="1"/>
  <c r="N7" i="1"/>
  <c r="S7" i="1"/>
  <c r="R7" i="1"/>
  <c r="Q7" i="1"/>
  <c r="P7" i="1"/>
  <c r="O7" i="1"/>
  <c r="M7" i="1"/>
  <c r="L7" i="1"/>
  <c r="AN6" i="1"/>
  <c r="AL6" i="1"/>
  <c r="AJ6" i="1"/>
  <c r="AH6" i="1"/>
  <c r="AM6" i="1"/>
  <c r="AI6" i="1"/>
  <c r="AG6" i="1"/>
  <c r="AK6" i="1"/>
  <c r="AF6" i="1"/>
  <c r="L6" i="1"/>
  <c r="K6" i="1"/>
  <c r="T6" i="1"/>
  <c r="S6" i="1"/>
  <c r="R6" i="1"/>
  <c r="Q6" i="1"/>
  <c r="P6" i="1"/>
  <c r="O6" i="1"/>
  <c r="N6" i="1"/>
  <c r="J6" i="1"/>
  <c r="I6" i="1"/>
  <c r="H6" i="1"/>
  <c r="G6" i="1"/>
  <c r="F6" i="1"/>
  <c r="E6" i="1"/>
  <c r="D6" i="1"/>
  <c r="AH5" i="1"/>
  <c r="AG5" i="1"/>
  <c r="AN5" i="1"/>
  <c r="AM5" i="1"/>
  <c r="AL5" i="1"/>
  <c r="AJ5" i="1"/>
  <c r="AF5" i="1"/>
  <c r="AK5" i="1"/>
  <c r="AI5" i="1"/>
  <c r="AC5" i="1"/>
  <c r="Y5" i="1"/>
  <c r="AA5" i="1"/>
  <c r="X5" i="1"/>
  <c r="AD5" i="1"/>
  <c r="Z5" i="1"/>
  <c r="W5" i="1"/>
  <c r="AB5" i="1"/>
  <c r="T5" i="1"/>
  <c r="S5" i="1"/>
  <c r="R5" i="1"/>
  <c r="Q5" i="1"/>
  <c r="P5" i="1"/>
  <c r="O5" i="1"/>
  <c r="N5" i="1"/>
  <c r="M5" i="1"/>
  <c r="L5" i="1"/>
  <c r="F5" i="1"/>
  <c r="E5" i="1"/>
  <c r="D5" i="1"/>
  <c r="C5" i="1"/>
  <c r="B5" i="1"/>
  <c r="AH4" i="1"/>
  <c r="AG4" i="1"/>
  <c r="AN4" i="1"/>
  <c r="AM4" i="1"/>
  <c r="AL4" i="1"/>
  <c r="AK4" i="1"/>
  <c r="AJ4" i="1"/>
  <c r="AI4" i="1"/>
  <c r="AF4" i="1"/>
  <c r="V4" i="1"/>
  <c r="AD4" i="1"/>
  <c r="AC4" i="1"/>
  <c r="AB4" i="1"/>
  <c r="AA4" i="1"/>
  <c r="Z4" i="1"/>
  <c r="Y4" i="1"/>
  <c r="X4" i="1"/>
  <c r="W4" i="1"/>
  <c r="O4" i="1"/>
  <c r="T4" i="1"/>
  <c r="S4" i="1"/>
  <c r="R4" i="1"/>
  <c r="Q4" i="1"/>
  <c r="P4" i="1"/>
  <c r="N4" i="1"/>
  <c r="M4" i="1"/>
  <c r="L4" i="1"/>
  <c r="C4" i="1"/>
  <c r="J4" i="1"/>
  <c r="G4" i="1"/>
  <c r="F4" i="1"/>
  <c r="B4" i="1"/>
  <c r="I4" i="1"/>
  <c r="H4" i="1"/>
  <c r="E4" i="1"/>
  <c r="D4" i="1"/>
  <c r="AG3" i="1"/>
  <c r="AM3" i="1"/>
  <c r="AJ3" i="1"/>
  <c r="AI3" i="1"/>
  <c r="AF3" i="1"/>
  <c r="AN3" i="1"/>
  <c r="AL3" i="1"/>
  <c r="AK3" i="1"/>
  <c r="AH3" i="1"/>
  <c r="X3" i="1"/>
  <c r="W3" i="1"/>
  <c r="AD3" i="1"/>
  <c r="AC3" i="1"/>
  <c r="AB3" i="1"/>
  <c r="AA3" i="1"/>
  <c r="Z3" i="1"/>
  <c r="Y3" i="1"/>
  <c r="V3" i="1"/>
  <c r="Q3" i="1"/>
  <c r="M3" i="1"/>
  <c r="L3" i="1"/>
  <c r="T3" i="1"/>
  <c r="S3" i="1"/>
  <c r="R3" i="1"/>
  <c r="P3" i="1"/>
  <c r="O3" i="1"/>
  <c r="N3" i="1"/>
  <c r="J3" i="1"/>
  <c r="I3" i="1"/>
  <c r="H3" i="1"/>
  <c r="G3" i="1"/>
  <c r="F3" i="1"/>
  <c r="E3" i="1"/>
  <c r="D3" i="1"/>
  <c r="C3" i="1"/>
  <c r="B3" i="1"/>
  <c r="AM2" i="1"/>
  <c r="AL2" i="1"/>
  <c r="AK2" i="1"/>
  <c r="AJ2" i="1"/>
  <c r="AI2" i="1"/>
  <c r="AG2" i="1"/>
  <c r="AF2" i="1"/>
  <c r="AN2" i="1"/>
  <c r="AH2" i="1"/>
  <c r="W2" i="1"/>
  <c r="V2" i="1"/>
  <c r="AD2" i="1"/>
  <c r="AC2" i="1"/>
  <c r="AB2" i="1"/>
  <c r="AA2" i="1"/>
  <c r="Z2" i="1"/>
  <c r="Y2" i="1"/>
  <c r="X2" i="1"/>
  <c r="T2" i="1"/>
  <c r="S2" i="1"/>
  <c r="R2" i="1"/>
  <c r="Q2" i="1"/>
  <c r="P2" i="1"/>
  <c r="O2" i="1"/>
  <c r="N2" i="1"/>
  <c r="M2" i="1"/>
  <c r="L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<sst xmlns="http://schemas.openxmlformats.org/spreadsheetml/2006/main" count="40" uniqueCount="40">
  <si>
    <t>代碼</t>
  </si>
  <si>
    <t>商品</t>
  </si>
  <si>
    <t>產業地位</t>
  </si>
  <si>
    <t>成交</t>
  </si>
  <si>
    <t>佔大盤比重</t>
  </si>
  <si>
    <t>量比</t>
  </si>
  <si>
    <t>換手率%</t>
  </si>
  <si>
    <t>漲幅%</t>
  </si>
  <si>
    <t>大單差%</t>
  </si>
  <si>
    <t>大戶買賣比</t>
  </si>
  <si>
    <t>大戶差</t>
  </si>
  <si>
    <t>特大單差%</t>
  </si>
  <si>
    <t>最低</t>
  </si>
  <si>
    <t>一月%</t>
  </si>
  <si>
    <t>一季%</t>
  </si>
  <si>
    <t>半年%</t>
  </si>
  <si>
    <t>一年%</t>
  </si>
  <si>
    <t>外盤大單%</t>
  </si>
  <si>
    <t>細產業</t>
  </si>
  <si>
    <t>公司動態</t>
  </si>
  <si>
    <t>控盤者作多買盤</t>
  </si>
  <si>
    <t>ROE%</t>
  </si>
  <si>
    <t>內外盤比圖</t>
  </si>
  <si>
    <t>營收月份</t>
  </si>
  <si>
    <t>估計量</t>
  </si>
  <si>
    <t>五日均量</t>
  </si>
  <si>
    <t>融資使用率%</t>
  </si>
  <si>
    <t>漲跌</t>
  </si>
  <si>
    <t>現金+股票股利</t>
  </si>
  <si>
    <t>除息日</t>
  </si>
  <si>
    <t>總量</t>
  </si>
  <si>
    <t>昨收</t>
  </si>
  <si>
    <t>股本</t>
  </si>
  <si>
    <t>均價</t>
  </si>
  <si>
    <t>盈餘</t>
  </si>
  <si>
    <t>市值</t>
  </si>
  <si>
    <t>股東會日期</t>
  </si>
  <si>
    <t>法說會日期</t>
  </si>
  <si>
    <t>融券餘額</t>
  </si>
  <si>
    <t>融資餘額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</si>
</sst>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XQLITE" ddeTopic="Quote">
    <ddeItems>
      <ddeItem name="1210.TW-ChipsField17,ROE,InOutRatio,RevenueMonth,EstimatedTotalVolume,5DayAvgVol,FinanceUsedRatio,PriceChange,CashAndStockDividend,ChipsField25" advise="1">
        <values cols="10">
          <value>
            <val>0</val>
          </value>
          <value>
            <val>3.53</val>
          </value>
          <value>
            <val>18.75</val>
          </value>
          <value t="str">
            <val>2024/06</val>
          </value>
          <value>
            <val>4803</val>
          </value>
          <value>
            <val>1394</val>
          </value>
          <value>
            <val>0.56000000000000005</val>
          </value>
          <value>
            <val>-0.5</val>
          </value>
          <value>
            <val>2.2200000000000002</val>
          </value>
          <value t="str">
            <val>2024/08/01</val>
          </value>
        </values>
      </ddeItem>
      <ddeItem name="1210.TW-ID,Name,CompanyPos,Price,DIndexPtsContributionRate,VolumeRatio,TurnoverRatio,PriceChangeRatio,DLOrderValueDiffRatio,MajorOrderBidAskRatio" advise="1">
        <values cols="10">
          <value t="str">
            <val>1210</val>
          </value>
          <value t="str">
            <val>大成</val>
          </value>
          <value t="str">
            <val>兩岸最大白肉雞電宰加工廠及飼料大廠</val>
          </value>
          <value>
            <val>54.8</val>
          </value>
          <value>
            <val>7.0000000000000007E-2</val>
          </value>
          <value>
            <val>2.78</val>
          </value>
          <value>
            <val>0.2</val>
          </value>
          <value>
            <val>-0.9</val>
          </value>
          <value>
            <val>-4.8499999999999996</val>
          </value>
          <value>
            <val>2.42</val>
          </value>
        </values>
      </ddeItem>
      <ddeItem name="1210.TW-MajorOrderDif,DXLOrderValueDiffRatio,Low,MonthReturn,QuarterReturn,HalfYearReturn,YearReturn,DLOrderOutValueRatio,DetailIndustry,CompanyNews" advise="1">
        <values cols="10">
          <value t="str">
            <val>-2806萬</val>
          </value>
          <value>
            <val>-23.68</val>
          </value>
          <value>
            <val>54.6</val>
          </value>
          <value>
            <val>-0.17</val>
          </value>
          <value>
            <val>-0.34</val>
          </value>
          <value>
            <val>-1.38</val>
          </value>
          <value>
            <val>-8.36</val>
          </value>
          <value>
            <val>0.72</val>
          </value>
          <value t="str">
            <val>農林漁牧,飼料,食品加工,大宗物資,肉品加工</val>
          </value>
          <value t="str">
            <val>8/1除息2.22元</val>
          </value>
        </values>
      </ddeItem>
      <ddeItem name="1210.TW-TotalVolume,PreClose,Capital,AvgPrice,Profit,MarketValue,DateofMeetingofShareHolders,InvestorConferenceDate,ShortBalance,FinanceBalance" advise="1">
        <values cols="10">
          <value>
            <val>1791</val>
          </value>
          <value>
            <val>55.3</val>
          </value>
          <value>
            <val>89.48</val>
          </value>
          <value>
            <val>54.91</val>
          </value>
          <value>
            <val>1</val>
          </value>
          <value>
            <val>490.3</val>
          </value>
          <value t="str">
            <val>2024/06/07</val>
          </value>
          <value t="str">
            <val>2024/05/16</val>
          </value>
          <value>
            <val>0</val>
          </value>
          <value>
            <val>1255</val>
          </value>
        </values>
      </ddeItem>
      <ddeItem name="1216.TW-ChipsField17,ROE,InOutRatio,RevenueMonth,EstimatedTotalVolume,5DayAvgVol,FinanceUsedRatio,PriceChange,CashAndStockDividend,ChipsField25" advise="1">
        <values cols="10">
          <value>
            <val>4316</val>
          </value>
          <value>
            <val>4.12</val>
          </value>
          <value>
            <val>37.71</val>
          </value>
          <value t="str">
            <val>2024/06</val>
          </value>
          <value>
            <val>64661</val>
          </value>
          <value>
            <val>13789</val>
          </value>
          <value>
            <val>0.02</val>
          </value>
          <value>
            <val>-2</val>
          </value>
          <value>
            <val>3</val>
          </value>
          <value t="str">
            <val>2024/08/01</val>
          </value>
        </values>
      </ddeItem>
      <ddeItem name="1216.TW-ID,Name,CompanyPos,Price,DIndexPtsContributionRate,VolumeRatio,TurnoverRatio,PriceChangeRatio,DLOrderValueDiffRatio,MajorOrderBidAskRatio" advise="1">
        <values cols="10">
          <value t="str">
            <val>1216</val>
          </value>
          <value t="str">
            <val>統一</val>
          </value>
          <value t="str">
            <val>台灣食品業龍頭廠之一</val>
          </value>
          <value>
            <val>78.900000000000006</val>
          </value>
          <value>
            <val>0.65</val>
          </value>
          <value>
            <val>5.01</val>
          </value>
          <value>
            <val>0.28000000000000003</val>
          </value>
          <value>
            <val>-2.4700000000000002</val>
          </value>
          <value>
            <val>-6.35</val>
          </value>
          <value>
            <val>49.53</val>
          </value>
        </values>
      </ddeItem>
      <ddeItem name="1216.TW-MajorOrderDif,DXLOrderValueDiffRatio,Low,MonthReturn,QuarterReturn,HalfYearReturn,YearReturn,DLOrderOutValueRatio,DetailIndustry,CompanyNews" advise="1">
        <values cols="10">
          <value t="str">
            <val>-544萬</val>
          </value>
          <value>
            <val>5.91</val>
          </value>
          <value>
            <val>78.400000000000006</val>
          </value>
          <value>
            <val>0.4</val>
          </value>
          <value>
            <val>6.96</val>
          </value>
          <value>
            <val>11.33</val>
          </value>
          <value>
            <val>11.57</val>
          </value>
          <value>
            <val>3.13</val>
          </value>
          <value t="str">
            <val>農林漁牧,飼料,方便麵,非酒精飲料,乳製品,調味品,食品加工,大宗物資,麵粉,油脂,肉品加工,穀類烘焙製品,飲料相關</val>
          </value>
          <value t="str">
            <val>8/1除息3.00元</val>
          </value>
        </values>
      </ddeItem>
      <ddeItem name="1216.TW-TotalVolume,PreClose,Capital,AvgPrice,Profit,MarketValue,DateofMeetingofShareHolders,InvestorConferenceDate,ShortBalance,FinanceBalance" advise="1">
        <values cols="10">
          <value>
            <val>15944</val>
          </value>
          <value>
            <val>80.900000000000006</val>
          </value>
          <value>
            <val>568.20000000000005</val>
          </value>
          <value>
            <val>79.27</val>
          </value>
          <value>
            <val>0.97</val>
          </value>
          <value>
            <val>4483.1000000000004</val>
          </value>
          <value t="str">
            <val>2024/06/27</val>
          </value>
          <value t="str">
            <val>2024/03/15</val>
          </value>
          <value>
            <val>0</val>
          </value>
          <value>
            <val>343</val>
          </value>
        </values>
      </ddeItem>
      <ddeItem name="1305.TW-ChipsField17,ROE,InOutRatio,RevenueMonth,EstimatedTotalVolume,5DayAvgVol,FinanceUsedRatio,PriceChange,CashAndStockDividend,ChipsField25" advise="1">
        <values cols="10">
          <value>
            <val>0</val>
          </value>
          <value>
            <val>-0.41</val>
          </value>
          <value>
            <val>66.41</val>
          </value>
          <value t="str">
            <val>2024/06</val>
          </value>
          <value>
            <val>2200</val>
          </value>
          <value>
            <val>1586</val>
          </value>
          <value>
            <val>2.72</val>
          </value>
          <value>
            <val>0.5</val>
          </value>
          <value>
            <val>0.35</val>
          </value>
          <value t="str">
            <val>2024/07/26</val>
          </value>
        </values>
      </ddeItem>
      <ddeItem name="1305.TW-ID,Name,CompanyPos,Price,DIndexPtsContributionRate,VolumeRatio,TurnoverRatio,PriceChangeRatio,DLOrderValueDiffRatio,MajorOrderBidAskRatio" advise="1">
        <values cols="10">
          <value t="str">
            <val>1305</val>
          </value>
          <value t="str">
            <val>華夏</val>
          </value>
          <value t="str">
            <val>台灣第二大PVC廠，轉投資台氯</val>
          </value>
          <value>
            <val>18.25</val>
          </value>
          <value>
            <val>0.01</val>
          </value>
          <value>
            <val>2.0299999999999998</val>
          </value>
          <value>
            <val>0.21</val>
          </value>
          <value>
            <val>2.82</val>
          </value>
          <value>
            <val>24.46</val>
          </value>
          <value>
            <val>92.83</val>
          </value>
        </values>
      </ddeItem>
      <ddeItem name="1305.TW-MajorOrderDif,DXLOrderValueDiffRatio,Low,MonthReturn,QuarterReturn,HalfYearReturn,YearReturn,DLOrderOutValueRatio,DetailIndustry,CompanyNews" advise="1">
        <values cols="10">
          <value t="str">
            <val>659萬</val>
          </value>
          <value>
            <val>5.84</val>
          </value>
          <value>
            <val>17.75</val>
          </value>
          <value>
            <val>12.08</val>
          </value>
          <value>
            <val>1.67</val>
          </value>
          <value>
            <val>-10.34</val>
          </value>
          <value>
            <val>-24.37</val>
          </value>
          <value>
            <val>27</val>
          </value>
          <value t="str">
            <val>PVC,塑膠皮布,塑膠加工,石化業</val>
          </value>
          <value t="str">
            <val>8/16法說會</val>
          </value>
        </values>
      </ddeItem>
      <ddeItem name="1305.TW-TotalVolume,PreClose,Capital,AvgPrice,Profit,MarketValue,DateofMeetingofShareHolders,InvestorConferenceDate,ShortBalance,FinanceBalance" advise="1">
        <values cols="10">
          <value>
            <val>1201</val>
          </value>
          <value>
            <val>17.75</val>
          </value>
          <value>
            <val>58.11</val>
          </value>
          <value>
            <val>18.12</val>
          </value>
          <value>
            <val>-0.05</val>
          </value>
          <value>
            <val>106</val>
          </value>
          <value t="str">
            <val>2024/05/28</val>
          </value>
          <value t="str">
            <val>2024/08/16</val>
          </value>
          <value>
            <val>3</val>
          </value>
          <value>
            <val>3951</val>
          </value>
        </values>
      </ddeItem>
      <ddeItem name="1309.TW-ChipsField17,ROE,InOutRatio,RevenueMonth,EstimatedTotalVolume,5DayAvgVol,FinanceUsedRatio,PriceChange,CashAndStockDividend,ChipsField25" advise="1">
        <values cols="10">
          <value>
            <val>0</val>
          </value>
          <value>
            <val>-1.54</val>
          </value>
          <value>
            <val>70.94</val>
          </value>
          <value t="str">
            <val>2024/06</val>
          </value>
          <value>
            <val>3224</val>
          </value>
          <value>
            <val>2447</val>
          </value>
          <value>
            <val>3.31</val>
          </value>
          <value>
            <val>0.45</val>
          </value>
          <value>
            <val>0.3</val>
          </value>
          <value t="str">
            <val>2024/07/26</val>
          </value>
        </values>
      </ddeItem>
      <ddeItem name="1309.TW-ID,Name,CompanyPos,Price,DIndexPtsContributionRate,VolumeRatio,TurnoverRatio,PriceChangeRatio,DLOrderValueDiffRatio,MajorOrderBidAskRatio" advise="1">
        <values cols="10">
          <value t="str">
            <val>1309</val>
          </value>
          <value t="str">
            <val>台達化</val>
          </value>
          <value t="str">
            <val>台灣第三大PS廠</val>
          </value>
          <value>
            <val>18.7</val>
          </value>
          <value>
            <val>0.01</val>
          </value>
          <value>
            <val>1.8</val>
          </value>
          <value>
            <val>0.44</val>
          </value>
          <value>
            <val>2.4700000000000002</val>
          </value>
          <value>
            <val>2.95</val>
          </value>
          <value>
            <val>82.91</val>
          </value>
        </values>
      </ddeItem>
      <ddeItem name="1309.TW-MajorOrderDif,DXLOrderValueDiffRatio,Low,MonthReturn,QuarterReturn,HalfYearReturn,YearReturn,DLOrderOutValueRatio,DetailIndustry,CompanyNews" advise="1">
        <values cols="10">
          <value t="str">
            <val>1167萬</val>
          </value>
          <value>
            <val>32.92</val>
          </value>
          <value>
            <val>18.2</val>
          </value>
          <value>
            <val>9.81</val>
          </value>
          <value>
            <val>23.36</val>
          </value>
          <value>
            <val>13.42</val>
          </value>
          <value>
            <val>-6.42</val>
          </value>
          <value>
            <val>6.58</val>
          </value>
          <value t="str">
            <val>ABS,PS,石化業</val>
          </value>
          <value t="str">
            <val>--</val>
          </value>
        </values>
      </ddeItem>
      <ddeItem name="1309.TW-TotalVolume,PreClose,Capital,AvgPrice,Profit,MarketValue,DateofMeetingofShareHolders,InvestorConferenceDate,ShortBalance,FinanceBalance" advise="1">
        <values cols="10">
          <value>
            <val>1761</val>
          </value>
          <value>
            <val>18.25</val>
          </value>
          <value>
            <val>39.76</val>
          </value>
          <value>
            <val>18.48</val>
          </value>
          <value>
            <val>-0.26</val>
          </value>
          <value>
            <val>74.3</val>
          </value>
          <value t="str">
            <val>2024/05/31</val>
          </value>
          <value t="str">
            <val>2024/05/14</val>
          </value>
          <value>
            <val>28</val>
          </value>
          <value>
            <val>3286</val>
          </value>
        </values>
      </ddeItem>
      <ddeItem name="1313.TW-ChipsField17,ROE,InOutRatio,RevenueMonth,EstimatedTotalVolume,5DayAvgVol,FinanceUsedRatio,PriceChange,CashAndStockDividend,ChipsField25" advise="1">
        <values cols="10">
          <value>
            <val>0</val>
          </value>
          <value>
            <val>-2.56</val>
          </value>
          <value>
            <val>74</val>
          </value>
          <value t="str">
            <val>2024/06</val>
          </value>
          <value>
            <val>1971</val>
          </value>
          <value>
            <val>1118</val>
          </value>
          <value>
            <val>2.4900000000000002</val>
          </value>
          <value>
            <val>0.15</val>
          </value>
          <value>
            <val>0.2</val>
          </value>
          <value t="str">
            <val>2024/03/22</val>
          </value>
        </values>
      </ddeItem>
      <ddeItem name="1313.TW-ID,Name,CompanyPos,Price,DIndexPtsContributionRate,VolumeRatio,TurnoverRatio,PriceChangeRatio,DLOrderValueDiffRatio,MajorOrderBidAskRatio" advise="1">
        <values cols="10">
          <value t="str">
            <val>1313</val>
          </value>
          <value t="str">
            <val>聯成</val>
          </value>
          <value t="str">
            <val>全球最大可塑劑及苯酐供應商</val>
          </value>
          <value>
            <val>12.7</val>
          </value>
          <value>
            <val>0.02</val>
          </value>
          <value>
            <val>1.93</val>
          </value>
          <value>
            <val>0.06</val>
          </value>
          <value>
            <val>1.2</val>
          </value>
          <value>
            <val>15.37</val>
          </value>
          <value>
            <val>100</val>
          </value>
        </values>
      </ddeItem>
      <ddeItem name="1313.TW-MajorOrderDif,DXLOrderValueDiffRatio,Low,MonthReturn,QuarterReturn,HalfYearReturn,YearReturn,DLOrderOutValueRatio,DetailIndustry,CompanyNews" advise="1">
        <values cols="10">
          <value t="str">
            <val>350萬</val>
          </value>
          <value>
            <val>17.95</val>
          </value>
          <value>
            <val>12.55</val>
          </value>
          <value>
            <val>3.25</val>
          </value>
          <value>
            <val>-7.64</val>
          </value>
          <value>
            <val>-14.91</val>
          </value>
          <value>
            <val>-25.91</val>
          </value>
          <value>
            <val>15.37</val>
          </value>
          <value t="str">
            <val>PVC,DOP,PA,石化業</val>
          </value>
          <value t="str">
            <val>--</val>
          </value>
        </values>
      </ddeItem>
      <ddeItem name="1313.TW-TotalVolume,PreClose,Capital,AvgPrice,Profit,MarketValue,DateofMeetingofShareHolders,InvestorConferenceDate,ShortBalance,FinanceBalance" advise="1">
        <values cols="10">
          <value>
            <val>831</val>
          </value>
          <value>
            <val>12.55</val>
          </value>
          <value>
            <val>136.74</val>
          </value>
          <value>
            <val>12.64</val>
          </value>
          <value>
            <val>-0.59</val>
          </value>
          <value>
            <val>173.5</val>
          </value>
          <value t="str">
            <val>2024/05/24</val>
          </value>
          <value t="str">
            <val>2024/06/06</val>
          </value>
          <value>
            <val>86</val>
          </value>
          <value>
            <val>8499</val>
          </value>
        </values>
      </ddeItem>
      <ddeItem name="1316.TW-ChipsField17,ROE,InOutRatio,RevenueMonth,EstimatedTotalVolume,5DayAvgVol,FinanceUsedRatio,PriceChange,CashAndStockDividend,ChipsField25" advise="1">
        <values cols="10">
          <value>
            <val>0</val>
          </value>
          <value>
            <val>-0.04</val>
          </value>
          <value>
            <val>78.31</val>
          </value>
          <value t="str">
            <val>2024/06</val>
          </value>
          <value>
            <val>68108</val>
          </value>
          <value>
            <val>14590</val>
          </value>
          <value>
            <val>44.63</val>
          </value>
          <value>
            <val>2.0499999999999998</val>
          </value>
          <value>
            <val>0</val>
          </value>
          <value t="str">
            <val>--</val>
          </value>
        </values>
      </ddeItem>
      <ddeItem name="1316.TW-ID,Name,CompanyPos,Price,DIndexPtsContributionRate,VolumeRatio,TurnoverRatio,PriceChangeRatio,DLOrderValueDiffRatio,MajorOrderBidAskRatio" advise="1">
        <values cols="10">
          <value t="str">
            <val>1316</val>
          </value>
          <value t="str">
            <val>上曜</val>
          </value>
          <value t="str">
            <val>主要經營PU合成皮樹脂及營建業務</val>
          </value>
          <value>
            <val>22.85</val>
          </value>
          <value>
            <val>0.01</val>
          </value>
          <value>
            <val>4.95</val>
          </value>
          <value>
            <val>13.33</val>
          </value>
          <value>
            <val>9.86</val>
          </value>
          <value>
            <val>3.9</val>
          </value>
          <value>
            <val>87.08</val>
          </value>
        </values>
      </ddeItem>
      <ddeItem name="1316.TW-MajorOrderDif,DXLOrderValueDiffRatio,Low,MonthReturn,QuarterReturn,HalfYearReturn,YearReturn,DLOrderOutValueRatio,DetailIndustry,CompanyNews" advise="1">
        <values cols="10">
          <value t="str">
            <val>4.17億</val>
          </value>
          <value>
            <val>46.19</val>
          </value>
          <value>
            <val>20.75</val>
          </value>
          <value>
            <val>21.22</val>
          </value>
          <value>
            <val>12.56</val>
          </value>
          <value>
            <val>66.180000000000007</val>
          </value>
          <value>
            <val>104.9</val>
          </value>
          <value>
            <val>8.14</val>
          </value>
          <value t="str">
            <val>PU樹脂,化學工業,營建,地產</val>
          </value>
          <value t="str">
            <val>6月營收1.57億元</val>
          </value>
        </values>
      </ddeItem>
      <ddeItem name="1316.TW-TotalVolume,PreClose,Capital,AvgPrice,Profit,MarketValue,DateofMeetingofShareHolders,InvestorConferenceDate,ShortBalance,FinanceBalance" advise="1">
        <values cols="10">
          <value>
            <val>37392</val>
          </value>
          <value>
            <val>20.8</val>
          </value>
          <value>
            <val>30.03</val>
          </value>
          <value>
            <val>22.26</val>
          </value>
          <value>
            <val>-0.27</val>
          </value>
          <value>
            <val>64.099999999999994</val>
          </value>
          <value t="str">
            <val>2024/05/29</val>
          </value>
          <value t="str">
            <val>2023/12/19</val>
          </value>
          <value>
            <val>1881</val>
          </value>
          <value>
            <val>33472</val>
          </value>
        </values>
      </ddeItem>
      <ddeItem name="1409.TW-ChipsField17,ROE,InOutRatio,RevenueMonth,EstimatedTotalVolume,5DayAvgVol,FinanceUsedRatio,PriceChange,CashAndStockDividend,ChipsField25" advise="1">
        <values cols="10">
          <value>
            <val>0</val>
          </value>
          <value>
            <val>1.1200000000000001</val>
          </value>
          <value>
            <val>68.12</val>
          </value>
          <value t="str">
            <val>2024/06</val>
          </value>
          <value>
            <val>3626</val>
          </value>
          <value>
            <val>2623</val>
          </value>
          <value>
            <val>2.42</val>
          </value>
          <value>
            <val>0.45</val>
          </value>
          <value>
            <val>0.55000000000000004</val>
          </value>
          <value t="str">
            <val>--</val>
          </value>
        </values>
      </ddeItem>
      <ddeItem name="1409.TW-ID,Name,CompanyPos,Price,DIndexPtsContributionRate,VolumeRatio,TurnoverRatio,PriceChangeRatio,DLOrderValueDiffRatio,MajorOrderBidAskRatio" advise="1">
        <values cols="10">
          <value t="str">
            <val>1409</val>
          </value>
          <value t="str">
            <val>新纖</val>
          </value>
          <value t="str">
            <val>台灣知名化纖廠，為新光集團成員</val>
          </value>
          <value>
            <val>17.600000000000001</val>
          </value>
          <value>
            <val>0.04</val>
          </value>
          <value>
            <val>2.25</val>
          </value>
          <value>
            <val>0.14000000000000001</val>
          </value>
          <value>
            <val>2.62</val>
          </value>
          <value>
            <val>0.88</val>
          </value>
          <value>
            <val>75.66</val>
          </value>
        </values>
      </ddeItem>
      <ddeItem name="1409.TW-MajorOrderDif,DXLOrderValueDiffRatio,Low,MonthReturn,QuarterReturn,HalfYearReturn,YearReturn,DLOrderOutValueRatio,DetailIndustry,CompanyNews" advise="1">
        <values cols="10">
          <value t="str">
            <val>1324萬</val>
          </value>
          <value>
            <val>32.58</val>
          </value>
          <value>
            <val>17.25</val>
          </value>
          <value>
            <val>6.02</val>
          </value>
          <value>
            <val>2.92</val>
          </value>
          <value>
            <val>16.559999999999999</val>
          </value>
          <value>
            <val>8.9</val>
          </value>
          <value>
            <val>4.55</val>
          </value>
          <value t="str">
            <val>塑膠加工,石化業,聚酯絲,紡織用聚酯粒,化纖原料,資產股</val>
          </value>
          <value t="str">
            <val>8/19法說會</val>
          </value>
        </values>
      </ddeItem>
      <ddeItem name="1409.TW-TotalVolume,PreClose,Capital,AvgPrice,Profit,MarketValue,DateofMeetingofShareHolders,InvestorConferenceDate,ShortBalance,FinanceBalance" advise="1">
        <values cols="10">
          <value>
            <val>2264</val>
          </value>
          <value>
            <val>17.149999999999999</val>
          </value>
          <value>
            <val>161.84</val>
          </value>
          <value>
            <val>17.48</val>
          </value>
          <value>
            <val>0.22</val>
          </value>
          <value>
            <val>284.8</val>
          </value>
          <value t="str">
            <val>2024/05/30</val>
          </value>
          <value t="str">
            <val>2024/08/19</val>
          </value>
          <value>
            <val>6</val>
          </value>
          <value>
            <val>9772</val>
          </value>
        </values>
      </ddeItem>
      <ddeItem name="1440.TW-ChipsField17,ROE,InOutRatio,RevenueMonth,EstimatedTotalVolume,5DayAvgVol,FinanceUsedRatio,PriceChange,CashAndStockDividend,ChipsField25" advise="1">
        <values cols="10">
          <value>
            <val>0</val>
          </value>
          <value>
            <val>-0.3</val>
          </value>
          <value>
            <val>72.2</val>
          </value>
          <value t="str">
            <val>2024/06</val>
          </value>
          <value>
            <val>3571</val>
          </value>
          <value>
            <val>2161</val>
          </value>
          <value>
            <val>2.5299999999999998</val>
          </value>
          <value>
            <val>0.5</val>
          </value>
          <value>
            <val>0.35</val>
          </value>
          <value t="str">
            <val>2024/08/13</val>
          </value>
        </values>
      </ddeItem>
      <ddeItem name="1440.TW-ID,Name,CompanyPos,Price,DIndexPtsContributionRate,VolumeRatio,TurnoverRatio,PriceChangeRatio,DLOrderValueDiffRatio,MajorOrderBidAskRatio" advise="1">
        <values cols="10">
          <value t="str">
            <val>1440</val>
          </value>
          <value t="str">
            <val>南紡</val>
          </value>
          <value t="str">
            <val>台灣最大的聚酯棉與紡紗廠，並經營夢時代購物中心</val>
          </value>
          <value>
            <val>18.149999999999999</val>
          </value>
          <value>
            <val>0.04</val>
          </value>
          <value>
            <val>2.81</val>
          </value>
          <value>
            <val>0.11</val>
          </value>
          <value>
            <val>2.83</val>
          </value>
          <value>
            <val>13.42</val>
          </value>
          <value>
            <val>92.08</val>
          </value>
        </values>
      </ddeItem>
      <ddeItem name="1440.TW-MajorOrderDif,DXLOrderValueDiffRatio,Low,MonthReturn,QuarterReturn,HalfYearReturn,YearReturn,DLOrderOutValueRatio,DetailIndustry,CompanyNews" advise="1">
        <values cols="10">
          <value t="str">
            <val>1098萬</val>
          </value>
          <value>
            <val>18.88</val>
          </value>
          <value>
            <val>17.8</val>
          </value>
          <value>
            <val>0.83</val>
          </value>
          <value>
            <val>-7.87</val>
          </value>
          <value>
            <val>21.4</val>
          </value>
          <value>
            <val>16.72</val>
          </value>
          <value>
            <val>16.46</val>
          </value>
          <value t="str">
            <val>聚酯絲,聚酯棉,紡織用聚酯粒,瓶用聚酯粒,化纖原料,棉紡,紡織中游,資產股</val>
          </value>
          <value t="str">
            <val>8/13除息0.35元</val>
          </value>
        </values>
      </ddeItem>
      <ddeItem name="1440.TW-TotalVolume,PreClose,Capital,AvgPrice,Profit,MarketValue,DateofMeetingofShareHolders,InvestorConferenceDate,ShortBalance,FinanceBalance" advise="1">
        <values cols="10">
          <value>
            <val>1880</val>
          </value>
          <value>
            <val>17.649999999999999</val>
          </value>
          <value>
            <val>165.68</val>
          </value>
          <value>
            <val>18.079999999999998</val>
          </value>
          <value>
            <val>-0.06</val>
          </value>
          <value>
            <val>300.7</val>
          </value>
          <value t="str">
            <val>2024/05/29</val>
          </value>
          <value t="str">
            <val>2024/03/20</val>
          </value>
          <value>
            <val>14</val>
          </value>
          <value>
            <val>10500</val>
          </value>
        </values>
      </ddeItem>
      <ddeItem name="1442.TW-ChipsField17,ROE,InOutRatio,RevenueMonth,EstimatedTotalVolume,5DayAvgVol,FinanceUsedRatio,PriceChange,CashAndStockDividend,ChipsField25" advise="1">
        <values cols="10">
          <value>
            <val>0</val>
          </value>
          <value>
            <val>7.03</val>
          </value>
          <value>
            <val>64.52</val>
          </value>
          <value t="str">
            <val>2024/06</val>
          </value>
          <value>
            <val>2230</val>
          </value>
          <value>
            <val>1604</val>
          </value>
          <value>
            <val>3.54</val>
          </value>
          <value>
            <val>0.6</val>
          </value>
          <value>
            <val>3.5</val>
          </value>
          <value t="str">
            <val>--</val>
          </value>
        </values>
      </ddeItem>
      <ddeItem name="1442.TW-ID,Name,CompanyPos,Price,DIndexPtsContributionRate,VolumeRatio,TurnoverRatio,PriceChangeRatio,DLOrderValueDiffRatio,MajorOrderBidAskRatio" advise="1">
        <values cols="10">
          <value t="str">
            <val>1442</val>
          </value>
          <value t="str">
            <val>名軒</val>
          </value>
          <value t="str">
            <val>麗寶建設集團旗下成員</val>
          </value>
          <value>
            <val>67.900000000000006</val>
          </value>
          <value>
            <val>0.04</val>
          </value>
          <value>
            <val>1.88</val>
          </value>
          <value>
            <val>0.34</val>
          </value>
          <value>
            <val>0.89</val>
          </value>
          <value>
            <val>4.17</val>
          </value>
          <value>
            <val>78.569999999999993</val>
          </value>
        </values>
      </ddeItem>
      <ddeItem name="1442.TW-MajorOrderDif,DXLOrderValueDiffRatio,Low,MonthReturn,QuarterReturn,HalfYearReturn,YearReturn,DLOrderOutValueRatio,DetailIndustry,CompanyNews" advise="1">
        <values cols="10">
          <value t="str">
            <val>2004萬</val>
          </value>
          <value>
            <val>19.32</val>
          </value>
          <value>
            <val>66.7</val>
          </value>
          <value>
            <val>7.44</val>
          </value>
          <value>
            <val>17.27</val>
          </value>
          <value>
            <val>86.03</val>
          </value>
          <value>
            <val>91</val>
          </value>
          <value>
            <val>9.33</val>
          </value>
          <value t="str">
            <val>營建,地產</val>
          </value>
          <value t="str">
            <val>--</val>
          </value>
        </values>
      </ddeItem>
      <ddeItem name="1442.TW-TotalVolume,PreClose,Capital,AvgPrice,Profit,MarketValue,DateofMeetingofShareHolders,InvestorConferenceDate,ShortBalance,FinanceBalance" advise="1">
        <values cols="10">
          <value>
            <val>1256</val>
          </value>
          <value>
            <val>67.3</val>
          </value>
          <value>
            <val>36.619999999999997</val>
          </value>
          <value>
            <val>67.95</val>
          </value>
          <value>
            <val>1.43</val>
          </value>
          <value>
            <val>248.7</val>
          </value>
          <value t="str">
            <val>2024/06/19</val>
          </value>
          <value t="str">
            <val>2023/11/30</val>
          </value>
          <value>
            <val>117</val>
          </value>
          <value>
            <val>3245</val>
          </value>
        </values>
      </ddeItem>
      <ddeItem name="1447.TW-ChipsField17,ROE,InOutRatio,RevenueMonth,EstimatedTotalVolume,5DayAvgVol,FinanceUsedRatio,PriceChange,CashAndStockDividend,ChipsField25" advise="1">
        <values cols="10">
          <value>
            <val>0</val>
          </value>
          <value>
            <val>2</val>
          </value>
          <value>
            <val>66.36</val>
          </value>
          <value t="str">
            <val>2024/06</val>
          </value>
          <value>
            <val>4511</val>
          </value>
          <value>
            <val>3785</val>
          </value>
          <value>
            <val>7.38</val>
          </value>
          <value>
            <val>0.2</val>
          </value>
          <value>
            <val>0</val>
          </value>
          <value t="str">
            <val>--</val>
          </value>
        </values>
      </ddeItem>
      <ddeItem name="1447.TW-ID,Name,CompanyPos,Price,DIndexPtsContributionRate,VolumeRatio,TurnoverRatio,PriceChangeRatio,DLOrderValueDiffRatio,MajorOrderBidAskRatio" advise="1">
        <values cols="10">
          <value t="str">
            <val>1447</val>
          </value>
          <value t="str">
            <val>力鵬</val>
          </value>
          <value t="str">
            <val>台灣第一大尼龍粒廠，為力麗集團成員</val>
          </value>
          <value>
            <val>10.6</val>
          </value>
          <value>
            <val>0.01</val>
          </value>
          <value>
            <val>2.92</val>
          </value>
          <value>
            <val>0.2</val>
          </value>
          <value>
            <val>1.92</val>
          </value>
          <value>
            <val>1.9</val>
          </value>
          <value>
            <val>64.959999999999994</val>
          </value>
        </values>
      </ddeItem>
      <ddeItem name="1447.TW-MajorOrderDif,DXLOrderValueDiffRatio,Low,MonthReturn,QuarterReturn,HalfYearReturn,YearReturn,DLOrderOutValueRatio,DetailIndustry,CompanyNews" advise="1">
        <values cols="10">
          <value t="str">
            <val>315萬</val>
          </value>
          <value>
            <val>14.5</val>
          </value>
          <value>
            <val>10.4</val>
          </value>
          <value>
            <val>11.11</val>
          </value>
          <value>
            <val>30.86</val>
          </value>
          <value>
            <val>37.479999999999997</val>
          </value>
          <value>
            <val>35.03</val>
          </value>
          <value>
            <val>13.3</val>
          </value>
          <value t="str">
            <val>尼龍粒,尼龍絲,化纖原料,織布,紡織中游</val>
          </value>
          <value t="str">
            <val>--</val>
          </value>
        </values>
      </ddeItem>
      <ddeItem name="1447.TW-TotalVolume,PreClose,Capital,AvgPrice,Profit,MarketValue,DateofMeetingofShareHolders,InvestorConferenceDate,ShortBalance,FinanceBalance" advise="1">
        <values cols="10">
          <value>
            <val>1821</val>
          </value>
          <value>
            <val>10.4</val>
          </value>
          <value>
            <val>91.01</val>
          </value>
          <value>
            <val>10.53</val>
          </value>
          <value>
            <val>0.22</val>
          </value>
          <value>
            <val>96.5</val>
          </value>
          <value t="str">
            <val>2024/06/21</val>
          </value>
          <value t="str">
            <val>2023/11/22</val>
          </value>
          <value>
            <val>134</val>
          </value>
          <value>
            <val>16781</val>
          </value>
        </values>
      </ddeItem>
      <ddeItem name="1454.TW-ChipsField17,ROE,InOutRatio,RevenueMonth,EstimatedTotalVolume,5DayAvgVol,FinanceUsedRatio,PriceChange,CashAndStockDividend,ChipsField25" advise="1">
        <values cols="10">
          <value>
            <val>0</val>
          </value>
          <value>
            <val>1.2</val>
          </value>
          <value>
            <val>50.07</val>
          </value>
          <value t="str">
            <val>2024/06</val>
          </value>
          <value>
            <val>4429</val>
          </value>
          <value>
            <val>411</val>
          </value>
          <value>
            <val>8.73</val>
          </value>
          <value>
            <val>0.2</val>
          </value>
          <value>
            <val>0.25</val>
          </value>
          <value t="str">
            <val>--</val>
          </value>
        </values>
      </ddeItem>
      <ddeItem name="1454.TW-ID,Name,CompanyPos,Price,DIndexPtsContributionRate,VolumeRatio,TurnoverRatio,PriceChangeRatio,DLOrderValueDiffRatio,MajorOrderBidAskRatio" advise="1">
        <values cols="10">
          <value t="str">
            <val>1454</val>
          </value>
          <value t="str">
            <val>台富</val>
          </value>
          <value t="str">
            <val>台灣加工絲、織布一貫廠</val>
          </value>
          <value>
            <val>19.05</val>
          </value>
          <value>
            <val>0</val>
          </value>
          <value>
            <val>2.64</val>
          </value>
          <value>
            <val>0.66</val>
          </value>
          <value>
            <val>1.06</val>
          </value>
          <value>
            <val>-8.86</val>
          </value>
          <value>
            <val>0</val>
          </value>
        </values>
      </ddeItem>
      <ddeItem name="1454.TW-MajorOrderDif,DXLOrderValueDiffRatio,Low,MonthReturn,QuarterReturn,HalfYearReturn,YearReturn,DLOrderOutValueRatio,DetailIndustry,CompanyNews" advise="1">
        <values cols="10">
          <value t="str">
            <val>-147萬</val>
          </value>
          <value>
            <val>0</val>
          </value>
          <value>
            <val>18.45</val>
          </value>
          <value>
            <val>11.73</val>
          </value>
          <value>
            <val>18.690000000000001</val>
          </value>
          <value>
            <val>13.73</val>
          </value>
          <value>
            <val>6.16</val>
          </value>
          <value>
            <val>0</val>
          </value>
          <value t="str">
            <val>聚酯加工絲,化纖原料,織布,紡織中游</val>
          </value>
          <value t="str">
            <val>--</val>
          </value>
        </values>
      </ddeItem>
      <ddeItem name="1454.TW-TotalVolume,PreClose,Capital,AvgPrice,Profit,MarketValue,DateofMeetingofShareHolders,InvestorConferenceDate,ShortBalance,FinanceBalance" advise="1">
        <values cols="10">
          <value>
            <val>861</val>
          </value>
          <value>
            <val>18.850000000000001</val>
          </value>
          <value>
            <val>12.98</val>
          </value>
          <value>
            <val>19.2</val>
          </value>
          <value>
            <val>0.16</val>
          </value>
          <value>
            <val>24.7</val>
          </value>
          <value t="str">
            <val>2024/05/29</val>
          </value>
          <value t="str">
            <val>2024/05/16</val>
          </value>
          <value>
            <val>0</val>
          </value>
          <value>
            <val>2833</val>
          </value>
        </values>
      </ddeItem>
      <ddeItem name="1522.TW-ChipsField17,ROE,InOutRatio,RevenueMonth,EstimatedTotalVolume,5DayAvgVol,FinanceUsedRatio,PriceChange,CashAndStockDividend,ChipsField25" advise="1">
        <values cols="10">
          <value>
            <val>154</val>
          </value>
          <value>
            <val>6.57</val>
          </value>
          <value>
            <val>64.239999999999995</val>
          </value>
          <value t="str">
            <val>2024/06</val>
          </value>
          <value>
            <val>12320</val>
          </value>
          <value>
            <val>3604</val>
          </value>
          <value>
            <val>11.27</val>
          </value>
          <value>
            <val>4</val>
          </value>
          <value>
            <val>2</val>
          </value>
          <value t="str">
            <val>2024/07/18</val>
          </value>
        </values>
      </ddeItem>
      <ddeItem name="1522.TW-ID,Name,CompanyPos,Price,DIndexPtsContributionRate,VolumeRatio,TurnoverRatio,PriceChangeRatio,DLOrderValueDiffRatio,MajorOrderBidAskRatio" advise="1">
        <values cols="10">
          <value t="str">
            <val>1522</val>
          </value>
          <value t="str">
            <val>堤維西</val>
          </value>
          <value t="str">
            <val>專攻AM市場之台灣第二大車燈製造商</val>
          </value>
          <value>
            <val>69.599999999999994</val>
          </value>
          <value>
            <val>0.03</val>
          </value>
          <value>
            <val>6.47</val>
          </value>
          <value>
            <val>1.72</val>
          </value>
          <value>
            <val>6.1</val>
          </value>
          <value>
            <val>4.0599999999999996</val>
          </value>
          <value>
            <val>76.14</val>
          </value>
        </values>
      </ddeItem>
      <ddeItem name="1522.TW-MajorOrderDif,DXLOrderValueDiffRatio,Low,MonthReturn,QuarterReturn,HalfYearReturn,YearReturn,DLOrderOutValueRatio,DetailIndustry,CompanyNews" advise="1">
        <values cols="10">
          <value t="str">
            <val>8804萬</val>
          </value>
          <value>
            <val>19.46</val>
          </value>
          <value>
            <val>66.3</val>
          </value>
          <value>
            <val>0.55000000000000004</val>
          </value>
          <value>
            <val>42.61</val>
          </value>
          <value>
            <val>81.69</val>
          </value>
          <value>
            <val>116.94</val>
          </value>
          <value>
            <val>8.23</val>
          </value>
          <value t="str">
            <val>車燈,汽機車零組件</val>
          </value>
          <value t="str">
            <val>--</val>
          </value>
        </values>
      </ddeItem>
      <ddeItem name="1522.TW-TotalVolume,PreClose,Capital,AvgPrice,Profit,MarketValue,DateofMeetingofShareHolders,InvestorConferenceDate,ShortBalance,FinanceBalance" advise="1">
        <values cols="10">
          <value>
            <val>5380</val>
          </value>
          <value>
            <val>65.599999999999994</val>
          </value>
          <value>
            <val>31.29</val>
          </value>
          <value>
            <val>69.569999999999993</val>
          </value>
          <value>
            <val>2.0099999999999998</val>
          </value>
          <value>
            <val>217.8</val>
          </value>
          <value t="str">
            <val>2024/06/18</val>
          </value>
          <value t="str">
            <val>2023/11/17</val>
          </value>
          <value>
            <val>85</val>
          </value>
          <value>
            <val>8816</val>
          </value>
        </values>
      </ddeItem>
      <ddeItem name="1536.TW-ChipsField17,ROE,InOutRatio,RevenueMonth,EstimatedTotalVolume,5DayAvgVol,FinanceUsedRatio,PriceChange,CashAndStockDividend,ChipsField25" advise="1">
        <values cols="10">
          <value>
            <val>169</val>
          </value>
          <value>
            <val>1</val>
          </value>
          <value>
            <val>53.75</val>
          </value>
          <value t="str">
            <val>2024/06</val>
          </value>
          <value>
            <val>18567</val>
          </value>
          <value>
            <val>5514</val>
          </value>
          <value>
            <val>14.82</val>
          </value>
          <value>
            <val>2.5</val>
          </value>
          <value>
            <val>1</val>
          </value>
          <value t="str">
            <val>2024/07/01</val>
          </value>
        </values>
      </ddeItem>
      <ddeItem name="1536.TW-ID,Name,CompanyPos,Price,DIndexPtsContributionRate,VolumeRatio,TurnoverRatio,PriceChangeRatio,DLOrderValueDiffRatio,MajorOrderBidAskRatio" advise="1">
        <values cols="10">
          <value t="str">
            <val>1536</val>
          </value>
          <value t="str">
            <val>和大</val>
          </value>
          <value t="str">
            <val>台灣最大、全球前十大車廠之傳動零組件供應商</val>
          </value>
          <value>
            <val>69.599999999999994</val>
          </value>
          <value>
            <val>0.03</val>
          </value>
          <value>
            <val>2.69</val>
          </value>
          <value>
            <val>3.17</val>
          </value>
          <value>
            <val>3.73</val>
          </value>
          <value>
            <val>2.52</val>
          </value>
          <value>
            <val>59.23</val>
          </value>
        </values>
      </ddeItem>
      <ddeItem name="1536.TW-MajorOrderDif,DXLOrderValueDiffRatio,Low,MonthReturn,QuarterReturn,HalfYearReturn,YearReturn,DLOrderOutValueRatio,DetailIndustry,CompanyNews" advise="1">
        <values cols="10">
          <value t="str">
            <val>4960萬</val>
          </value>
          <value>
            <val>5.44</val>
          </value>
          <value>
            <val>67.599999999999994</val>
          </value>
          <value>
            <val>26.78</val>
          </value>
          <value>
            <val>30.06</val>
          </value>
          <value>
            <val>34.76</val>
          </value>
          <value>
            <val>6.43</val>
          </value>
          <value>
            <val>8.36</val>
          </value>
          <value t="str">
            <val>汽機車零組件,傳動系統,機械零組件,機械</val>
          </value>
          <value t="str">
            <val>--</val>
          </value>
        </values>
      </ddeItem>
      <ddeItem name="1536.TW-TotalVolume,PreClose,Capital,AvgPrice,Profit,MarketValue,DateofMeetingofShareHolders,InvestorConferenceDate,ShortBalance,FinanceBalance" advise="1">
        <values cols="10">
          <value>
            <val>8848</val>
          </value>
          <value>
            <val>67.099999999999994</val>
          </value>
          <value>
            <val>27.95</val>
          </value>
          <value>
            <val>70.44</val>
          </value>
          <value>
            <val>0.32</val>
          </value>
          <value>
            <val>194.5</val>
          </value>
          <value t="str">
            <val>2024/06/13</val>
          </value>
          <value t="str">
            <val>--</val>
          </value>
          <value>
            <val>528</val>
          </value>
          <value>
            <val>10358</val>
          </value>
        </values>
      </ddeItem>
      <ddeItem name="1540.TW-ChipsField17,ROE,InOutRatio,RevenueMonth,EstimatedTotalVolume,5DayAvgVol,FinanceUsedRatio,PriceChange,CashAndStockDividend,ChipsField25" advise="1">
        <values cols="10">
          <value>
            <val>47</val>
          </value>
          <value>
            <val>3.86</val>
          </value>
          <value>
            <val>76.349999999999994</val>
          </value>
          <value t="str">
            <val>2024/06</val>
          </value>
          <value>
            <val>16861</val>
          </value>
          <value>
            <val>12111</val>
          </value>
          <value>
            <val>24.85</val>
          </value>
          <value>
            <val>3.05</val>
          </value>
          <value>
            <val>1.1000000000000001</val>
          </value>
          <value t="str">
            <val>2024/07/30</val>
          </value>
        </values>
      </ddeItem>
      <ddeItem name="1540.TW-ID,Name,CompanyPos,Price,DIndexPtsContributionRate,VolumeRatio,TurnoverRatio,PriceChangeRatio,DLOrderValueDiffRatio,MajorOrderBidAskRatio" advise="1">
        <values cols="10">
          <value t="str">
            <val>1540</val>
          </value>
          <value t="str">
            <val>喬福</val>
          </value>
          <value t="str">
            <val>台灣中大型工具機製造大廠，以客製化為主</val>
          </value>
          <value>
            <val>33.9</val>
          </value>
          <value>
            <val>0</val>
          </value>
          <value>
            <val>3.17</val>
          </value>
          <value>
            <val>11.89</val>
          </value>
          <value>
            <val>9.89</val>
          </value>
          <value>
            <val>4.6500000000000004</val>
          </value>
          <value>
            <val>86.86</val>
          </value>
        </values>
      </ddeItem>
      <ddeItem name="1540.TW-MajorOrderDif,DXLOrderValueDiffRatio,Low,MonthReturn,QuarterReturn,HalfYearReturn,YearReturn,DLOrderOutValueRatio,DetailIndustry,CompanyNews" advise="1">
        <values cols="10">
          <value t="str">
            <val>1.31億</val>
          </value>
          <value>
            <val>34.020000000000003</val>
          </value>
          <value>
            <val>31.15</val>
          </value>
          <value>
            <val>59.37</val>
          </value>
          <value>
            <val>72.260000000000005</val>
          </value>
          <value>
            <val>98.54</val>
          </value>
          <value>
            <val>102.55</val>
          </value>
          <value>
            <val>8.6999999999999993</val>
          </value>
          <value t="str">
            <val>工具機,機械</val>
          </value>
          <value t="str">
            <val>--</val>
          </value>
        </values>
      </ddeItem>
      <ddeItem name="1540.TW-TotalVolume,PreClose,Capital,AvgPrice,Profit,MarketValue,DateofMeetingofShareHolders,InvestorConferenceDate,ShortBalance,FinanceBalance" advise="1">
        <values cols="10">
          <value>
            <val>10160</val>
          </value>
          <value>
            <val>30.85</val>
          </value>
          <value>
            <val>8.5500000000000007</val>
          </value>
          <value>
            <val>33.36</val>
          </value>
          <value>
            <val>0.66</val>
          </value>
          <value>
            <val>29</val>
          </value>
          <value t="str">
            <val>2024/06/25</val>
          </value>
          <value t="str">
            <val>2023/10/30</val>
          </value>
          <value>
            <val>112</val>
          </value>
          <value>
            <val>5311</val>
          </value>
        </values>
      </ddeItem>
      <ddeItem name="1560.TW-ChipsField17,ROE,InOutRatio,RevenueMonth,EstimatedTotalVolume,5DayAvgVol,FinanceUsedRatio,PriceChange,CashAndStockDividend,ChipsField25" advise="1">
        <values cols="10">
          <value>
            <val>99</val>
          </value>
          <value t="str">
            <val>--</val>
          </value>
          <value>
            <val>27.74</val>
          </value>
          <value t="str">
            <val>2024/06</val>
          </value>
          <value>
            <val>9571</val>
          </value>
          <value>
            <val>2107</val>
          </value>
          <value>
            <val>11.48</val>
          </value>
          <value>
            <val>-15.5</val>
          </value>
          <value>
            <val>4</val>
          </value>
          <value t="str">
            <val>2024/07/11</val>
          </value>
        </values>
      </ddeItem>
      <ddeItem name="1560.TW-ID,Name,CompanyPos,Price,DIndexPtsContributionRate,VolumeRatio,TurnoverRatio,PriceChangeRatio,DLOrderValueDiffRatio,MajorOrderBidAskRatio" advise="1">
        <values cols="10">
          <value t="str">
            <val>1560</val>
          </value>
          <value t="str">
            <val>中砂</val>
          </value>
          <value t="str">
            <val>台灣從事砂輪及再生晶圓生產製造廠商</val>
          </value>
          <value>
            <val>295.5</val>
          </value>
          <value>
            <val>0.06</val>
          </value>
          <value>
            <val>5.44</val>
          </value>
          <value>
            <val>3.23</val>
          </value>
          <value>
            <val>-4.9800000000000004</val>
          </value>
          <value>
            <val>-10.15</val>
          </value>
          <value>
            <val>15.23</val>
          </value>
        </values>
      </ddeItem>
      <ddeItem name="1560.TW-MajorOrderDif,DXLOrderValueDiffRatio,Low,MonthReturn,QuarterReturn,HalfYearReturn,YearReturn,DLOrderOutValueRatio,DetailIndustry,CompanyNews" advise="1">
        <values cols="10">
          <value t="str">
            <val>-4.23億</val>
          </value>
          <value>
            <val>-19.36</val>
          </value>
          <value>
            <val>295.5</val>
          </value>
          <value>
            <val>-13.37</val>
          </value>
          <value>
            <val>17.2</val>
          </value>
          <value>
            <val>37.409999999999997</val>
          </value>
          <value>
            <val>119.76</val>
          </value>
          <value>
            <val>5.04</val>
          </value>
          <value t="str">
            <val>矽晶圓,IC製造,磨料磨具,機械</val>
          </value>
          <value t="str">
            <val>上半年獲利5.10億元</val>
          </value>
        </values>
      </ddeItem>
      <ddeItem name="1560.TW-TotalVolume,PreClose,Capital,AvgPrice,Profit,MarketValue,DateofMeetingofShareHolders,InvestorConferenceDate,ShortBalance,FinanceBalance" advise="1">
        <values cols="10">
          <value>
            <val>4683</val>
          </value>
          <value>
            <val>311</val>
          </value>
          <value>
            <val>14.52</val>
          </value>
          <value>
            <val>305.86</val>
          </value>
          <value>
            <val>1.75</val>
          </value>
          <value>
            <val>428.7</val>
          </value>
          <value t="str">
            <val>2024/06/24</val>
          </value>
          <value t="str">
            <val>2024/07/31</val>
          </value>
          <value>
            <val>304</val>
          </value>
          <value>
            <val>4166</val>
          </value>
        </values>
      </ddeItem>
      <ddeItem name="1569.TW-ChipsField17,ROE,InOutRatio,RevenueMonth,EstimatedTotalVolume,5DayAvgVol,FinanceUsedRatio,PriceChange,CashAndStockDividend,ChipsField25" advise="1">
        <values cols="10">
          <value>
            <val>0</val>
          </value>
          <value>
            <val>0.33</val>
          </value>
          <value>
            <val>48.03</val>
          </value>
          <value t="str">
            <val>2024/06</val>
          </value>
          <value>
            <val>4053</val>
          </value>
          <value>
            <val>1734</val>
          </value>
          <value>
            <val>11.26</val>
          </value>
          <value>
            <val>0.75</val>
          </value>
          <value>
            <val>1</val>
          </value>
          <value t="str">
            <val>2024/08/19</val>
          </value>
        </values>
      </ddeItem>
      <ddeItem name="1569.TW-ID,Name,CompanyPos,Price,DIndexPtsContributionRate,VolumeRatio,TurnoverRatio,PriceChangeRatio,DLOrderValueDiffRatio,MajorOrderBidAskRatio" advise="1">
        <values cols="10">
          <value t="str">
            <val>1569</val>
          </value>
          <value t="str">
            <val>濱川</val>
          </value>
          <value t="str">
            <val>全球NB鍵盤支架最大供應商</val>
          </value>
          <value>
            <val>29.35</val>
          </value>
          <value>
            <val>0</val>
          </value>
          <value>
            <val>3.83</val>
          </value>
          <value>
            <val>1.24</val>
          </value>
          <value>
            <val>2.62</val>
          </value>
          <value>
            <val>-4.8</val>
          </value>
          <value>
            <val>30</val>
          </value>
        </values>
      </ddeItem>
      <ddeItem name="1569.TW-MajorOrderDif,DXLOrderValueDiffRatio,Low,MonthReturn,QuarterReturn,HalfYearReturn,YearReturn,DLOrderOutValueRatio,DetailIndustry,CompanyNews" advise="1">
        <values cols="10">
          <value t="str">
            <val>-216萬</val>
          </value>
          <value>
            <val>0</val>
          </value>
          <value>
            <val>29</val>
          </value>
          <value>
            <val>19.8</val>
          </value>
          <value>
            <val>22.8</val>
          </value>
          <value>
            <val>21.03</val>
          </value>
          <value>
            <val>28.14</val>
          </value>
          <value>
            <val>3.6</val>
          </value>
          <value t="str">
            <val>機殼,模具沖壓,電子零件元件</val>
          </value>
          <value t="str">
            <val>訂8/19為除息交易日</val>
          </value>
        </values>
      </ddeItem>
      <ddeItem name="1569.TW-TotalVolume,PreClose,Capital,AvgPrice,Profit,MarketValue,DateofMeetingofShareHolders,InvestorConferenceDate,ShortBalance,FinanceBalance" advise="1">
        <values cols="10">
          <value>
            <val>1509</val>
          </value>
          <value>
            <val>28.6</val>
          </value>
          <value>
            <val>12.14</val>
          </value>
          <value>
            <val>29.82</val>
          </value>
          <value>
            <val>0.02</val>
          </value>
          <value>
            <val>35.6</val>
          </value>
          <value t="str">
            <val>2024/06/19</val>
          </value>
          <value t="str">
            <val>2023/12/21</val>
          </value>
          <value>
            <val>181</val>
          </value>
          <value>
            <val>3418</val>
          </value>
        </values>
      </ddeItem>
      <ddeItem name="1582.TW-ChipsField17,ROE,InOutRatio,RevenueMonth,EstimatedTotalVolume,5DayAvgVol,FinanceUsedRatio,PriceChange,CashAndStockDividend,ChipsField25" advise="1">
        <values cols="10">
          <value>
            <val>0</val>
          </value>
          <value>
            <val>3.43</val>
          </value>
          <value>
            <val>63.16</val>
          </value>
          <value t="str">
            <val>2024/06</val>
          </value>
          <value>
            <val>3488</val>
          </value>
          <value>
            <val>2040</val>
          </value>
          <value>
            <val>15.18</val>
          </value>
          <value>
            <val>5.7</val>
          </value>
          <value>
            <val>4.03</val>
          </value>
          <value t="str">
            <val>2024/07/19</val>
          </value>
        </values>
      </ddeItem>
      <ddeItem name="1582.TW-ID,Name,CompanyPos,Price,DIndexPtsContributionRate,VolumeRatio,TurnoverRatio,PriceChangeRatio,DLOrderValueDiffRatio,MajorOrderBidAskRatio" advise="1">
        <values cols="10">
          <value t="str">
            <val>1582</val>
          </value>
          <value t="str">
            <val>信錦</val>
          </value>
          <value t="str">
            <val>全球最大監視器軸承及底座廠商</val>
          </value>
          <value>
            <val>105</val>
          </value>
          <value>
            <val>0.02</val>
          </value>
          <value>
            <val>2.67</val>
          </value>
          <value>
            <val>1.26</val>
          </value>
          <value>
            <val>5.74</val>
          </value>
          <value>
            <val>7.57</val>
          </value>
          <value>
            <val>82.65</val>
          </value>
        </values>
      </ddeItem>
      <ddeItem name="1582.TW-MajorOrderDif,DXLOrderValueDiffRatio,Low,MonthReturn,QuarterReturn,HalfYearReturn,YearReturn,DLOrderOutValueRatio,DetailIndustry,CompanyNews" advise="1">
        <values cols="10">
          <value t="str">
            <val>6147萬</val>
          </value>
          <value>
            <val>25.15</val>
          </value>
          <value>
            <val>101</val>
          </value>
          <value>
            <val>0.77</val>
          </value>
          <value>
            <val>17.78</val>
          </value>
          <value>
            <val>42.45</val>
          </value>
          <value>
            <val>89.93</val>
          </value>
          <value>
            <val>11.62</val>
          </value>
          <value t="str">
            <val>樞紐,電子零件元件</val>
          </value>
          <value t="str">
            <val>--</val>
          </value>
        </values>
      </ddeItem>
      <ddeItem name="1582.TW-TotalVolume,PreClose,Capital,AvgPrice,Profit,MarketValue,DateofMeetingofShareHolders,InvestorConferenceDate,ShortBalance,FinanceBalance" advise="1">
        <values cols="10">
          <value>
            <val>1798</val>
          </value>
          <value>
            <val>99.3</val>
          </value>
          <value>
            <val>14.34</val>
          </value>
          <value>
            <val>104.48</val>
          </value>
          <value>
            <val>1.73</val>
          </value>
          <value>
            <val>150.1</val>
          </value>
          <value t="str">
            <val>2024/06/21</val>
          </value>
          <value t="str">
            <val>2023/09/27</val>
          </value>
          <value>
            <val>152</val>
          </value>
          <value>
            <val>5442</val>
          </value>
        </values>
      </ddeItem>
      <ddeItem name="1597.TW-ChipsField17,ROE,InOutRatio,RevenueMonth,EstimatedTotalVolume,5DayAvgVol,FinanceUsedRatio,PriceChange,CashAndStockDividend,ChipsField25" advise="1">
        <values cols="10">
          <value>
            <val>107</val>
          </value>
          <value>
            <val>1.53</val>
          </value>
          <value>
            <val>71.37</val>
          </value>
          <value t="str">
            <val>2024/06</val>
          </value>
          <value>
            <val>15335</val>
          </value>
          <value>
            <val>4183</val>
          </value>
          <value>
            <val>17.46</val>
          </value>
          <value>
            <val>7.6</val>
          </value>
          <value>
            <val>0.8</val>
          </value>
          <value t="str">
            <val>--</val>
          </value>
        </values>
      </ddeItem>
      <ddeItem name="1597.TW-ID,Name,CompanyPos,Price,DIndexPtsContributionRate,VolumeRatio,TurnoverRatio,PriceChangeRatio,DLOrderValueDiffRatio,MajorOrderBidAskRatio" advise="1">
        <values cols="10">
          <value t="str">
            <val>1597</val>
          </value>
          <value t="str">
            <val>直得</val>
          </value>
          <value t="str">
            <val>全球知名的微型線性滑軌元件廠商</val>
          </value>
          <value>
            <val>101.5</val>
          </value>
          <value>
            <val>0.01</val>
          </value>
          <value>
            <val>3.65</val>
          </value>
          <value>
            <val>9.69</val>
          </value>
          <value>
            <val>8.09</val>
          </value>
          <value>
            <val>2.29</val>
          </value>
          <value>
            <val>80.069999999999993</val>
          </value>
        </values>
      </ddeItem>
      <ddeItem name="1597.TW-MajorOrderDif,DXLOrderValueDiffRatio,Low,MonthReturn,QuarterReturn,HalfYearReturn,YearReturn,DLOrderOutValueRatio,DetailIndustry,CompanyNews" advise="1">
        <values cols="10">
          <value t="str">
            <val>2.86億</val>
          </value>
          <value>
            <val>30.46</val>
          </value>
          <value>
            <val>96.1</val>
          </value>
          <value>
            <val>32.33</val>
          </value>
          <value>
            <val>48.83</val>
          </value>
          <value>
            <val>59.59</val>
          </value>
          <value>
            <val>53.65</val>
          </value>
          <value>
            <val>4.6100000000000003</val>
          </value>
          <value t="str">
            <val>機械零組件,軸承／滑軌,機械</val>
          </value>
          <value t="str">
            <val>--</val>
          </value>
        </values>
      </ddeItem>
      <ddeItem name="1597.TW-TotalVolume,PreClose,Capital,AvgPrice,Profit,MarketValue,DateofMeetingofShareHolders,InvestorConferenceDate,ShortBalance,FinanceBalance" advise="1">
        <values cols="10">
          <value>
            <val>8645</val>
          </value>
          <value>
            <val>93.9</val>
          </value>
          <value>
            <val>8.93</val>
          </value>
          <value>
            <val>101.07</val>
          </value>
          <value>
            <val>0.41</val>
          </value>
          <value>
            <val>90.6</val>
          </value>
          <value t="str">
            <val>2024/05/30</val>
          </value>
          <value t="str">
            <val>--</val>
          </value>
          <value>
            <val>58</val>
          </value>
          <value>
            <val>3897</val>
          </value>
        </values>
      </ddeItem>
      <ddeItem name="1714.TW-ChipsField17,ROE,InOutRatio,RevenueMonth,EstimatedTotalVolume,5DayAvgVol,FinanceUsedRatio,PriceChange,CashAndStockDividend,ChipsField25" advise="1">
        <values cols="10">
          <value>
            <val>0</val>
          </value>
          <value>
            <val>2.08</val>
          </value>
          <value>
            <val>72.239999999999995</val>
          </value>
          <value t="str">
            <val>2024/06</val>
          </value>
          <value>
            <val>4280</val>
          </value>
          <value>
            <val>2409</val>
          </value>
          <value>
            <val>3.02</val>
          </value>
          <value>
            <val>0.25</val>
          </value>
          <value>
            <val>0.3</val>
          </value>
          <value t="str">
            <val>2024/08/15</val>
          </value>
        </values>
      </ddeItem>
      <ddeItem name="1714.TW-ID,Name,CompanyPos,Price,DIndexPtsContributionRate,VolumeRatio,TurnoverRatio,PriceChangeRatio,DLOrderValueDiffRatio,MajorOrderBidAskRatio" advise="1">
        <values cols="10">
          <value t="str">
            <val>1714</val>
          </value>
          <value t="str">
            <val>和桐</val>
          </value>
          <value t="str">
            <val>亞洲最大正烷屬烴供應商</val>
          </value>
          <value>
            <val>10.5</val>
          </value>
          <value>
            <val>0.01</val>
          </value>
          <value>
            <val>2.4300000000000002</val>
          </value>
          <value>
            <val>0.18</val>
          </value>
          <value>
            <val>2.44</val>
          </value>
          <value>
            <val>17.829999999999998</val>
          </value>
          <value>
            <val>88.01</val>
          </value>
        </values>
      </ddeItem>
      <ddeItem name="1714.TW-MajorOrderDif,DXLOrderValueDiffRatio,Low,MonthReturn,QuarterReturn,HalfYearReturn,YearReturn,DLOrderOutValueRatio,DetailIndustry,CompanyNews" advise="1">
        <values cols="10">
          <value t="str">
            <val>844萬</val>
          </value>
          <value>
            <val>27.06</val>
          </value>
          <value>
            <val>10.3</val>
          </value>
          <value>
            <val>4.4800000000000004</val>
          </value>
          <value>
            <val>17.190000000000001</val>
          </value>
          <value>
            <val>17.98</val>
          </value>
          <value>
            <val>24.25</val>
          </value>
          <value>
            <val>24.91</val>
          </value>
          <value t="str">
            <val>烷基苯,正烷屬烴,化學工業,其他化工產品</val>
          </value>
          <value t="str">
            <val>訂8/15為除息交易日</val>
          </value>
        </values>
      </ddeItem>
      <ddeItem name="1714.TW-TotalVolume,PreClose,Capital,AvgPrice,Profit,MarketValue,DateofMeetingofShareHolders,InvestorConferenceDate,ShortBalance,FinanceBalance" advise="1">
        <values cols="10">
          <value>
            <val>1807</val>
          </value>
          <value>
            <val>10.25</val>
          </value>
          <value>
            <val>101.68</val>
          </value>
          <value>
            <val>10.4</val>
          </value>
          <value>
            <val>0.28999999999999998</val>
          </value>
          <value>
            <val>106.8</val>
          </value>
          <value t="str">
            <val>2024/06/19</val>
          </value>
          <value t="str">
            <val>2023/11/22</val>
          </value>
          <value>
            <val>10</val>
          </value>
          <value>
            <val>7685</val>
          </value>
        </values>
      </ddeItem>
      <ddeItem name="1718.TW-ChipsField17,ROE,InOutRatio,RevenueMonth,EstimatedTotalVolume,5DayAvgVol,FinanceUsedRatio,PriceChange,CashAndStockDividend,ChipsField25" advise="1">
        <values cols="10">
          <value>
            <val>0</val>
          </value>
          <value>
            <val>1.98</val>
          </value>
          <value>
            <val>63.7</val>
          </value>
          <value t="str">
            <val>2024/06</val>
          </value>
          <value>
            <val>4549</val>
          </value>
          <value>
            <val>2657</val>
          </value>
          <value>
            <val>5.38</val>
          </value>
          <value>
            <val>0.17</val>
          </value>
          <value>
            <val>0</val>
          </value>
          <value t="str">
            <val>--</val>
          </value>
        </values>
      </ddeItem>
      <ddeItem name="1718.TW-ID,Name,CompanyPos,Price,DIndexPtsContributionRate,VolumeRatio,TurnoverRatio,PriceChangeRatio,DLOrderValueDiffRatio,MajorOrderBidAskRatio" advise="1">
        <values cols="10">
          <value t="str">
            <val>1718</val>
          </value>
          <value t="str">
            <val>中纖</val>
          </value>
          <value t="str">
            <val>台灣化纖及EG重要供應商</val>
          </value>
          <value>
            <val>8.69</val>
          </value>
          <value>
            <val>0.02</val>
          </value>
          <value>
            <val>1.9</val>
          </value>
          <value>
            <val>0.14000000000000001</val>
          </value>
          <value>
            <val>2</val>
          </value>
          <value>
            <val>2.87</val>
          </value>
          <value>
            <val>64.91</val>
          </value>
        </values>
      </ddeItem>
      <ddeItem name="1718.TW-MajorOrderDif,DXLOrderValueDiffRatio,Low,MonthReturn,QuarterReturn,HalfYearReturn,YearReturn,DLOrderOutValueRatio,DetailIndustry,CompanyNews" advise="1">
        <values cols="10">
          <value t="str">
            <val>148萬</val>
          </value>
          <value>
            <val>4.53</val>
          </value>
          <value>
            <val>8.5399999999999991</val>
          </value>
          <value>
            <val>7.28</val>
          </value>
          <value>
            <val>13.45</val>
          </value>
          <value>
            <val>12.13</val>
          </value>
          <value>
            <val>6.36</val>
          </value>
          <value>
            <val>7.22</val>
          </value>
          <value t="str">
            <val>化學工業,其他化工產品,聚酯絲,聚酯加工絲,化纖原料,EG</val>
          </value>
          <value t="str">
            <val>--</val>
          </value>
        </values>
      </ddeItem>
      <ddeItem name="1718.TW-TotalVolume,PreClose,Capital,AvgPrice,Profit,MarketValue,DateofMeetingofShareHolders,InvestorConferenceDate,ShortBalance,FinanceBalance" advise="1">
        <values cols="10">
          <value>
            <val>2307</val>
          </value>
          <value>
            <val>8.52</val>
          </value>
          <value>
            <val>168.59</val>
          </value>
          <value>
            <val>8.65</val>
          </value>
          <value>
            <val>0.01</val>
          </value>
          <value>
            <val>146.5</val>
          </value>
          <value t="str">
            <val>2024/06/12</val>
          </value>
          <value t="str">
            <val>2024/06/12</val>
          </value>
          <value>
            <val>19</val>
          </value>
          <value>
            <val>22677</val>
          </value>
        </values>
      </ddeItem>
      <ddeItem name="2009.TW-ChipsField17,ROE,InOutRatio,RevenueMonth,EstimatedTotalVolume,5DayAvgVol,FinanceUsedRatio,PriceChange,CashAndStockDividend,ChipsField25" advise="1">
        <values cols="10">
          <value>
            <val>151</val>
          </value>
          <value>
            <val>0.01</val>
          </value>
          <value>
            <val>52.67</val>
          </value>
          <value t="str">
            <val>2024/06</val>
          </value>
          <value>
            <val>3191</val>
          </value>
          <value>
            <val>1472</val>
          </value>
          <value>
            <val>6.56</val>
          </value>
          <value>
            <val>1.55</val>
          </value>
          <value>
            <val>0</val>
          </value>
          <value t="str">
            <val>--</val>
          </value>
        </values>
      </ddeItem>
      <ddeItem name="2009.TW-ID,Name,CompanyPos,Price,DIndexPtsContributionRate,VolumeRatio,TurnoverRatio,PriceChangeRatio,DLOrderValueDiffRatio,MajorOrderBidAskRatio" advise="1">
        <values cols="10">
          <value t="str">
            <val>2009</val>
          </value>
          <value t="str">
            <val>第一銅</val>
          </value>
          <value t="str">
            <val>台灣銅產品線最完整的企業</val>
          </value>
          <value>
            <val>46.85</val>
          </value>
          <value>
            <val>0.02</val>
          </value>
          <value>
            <val>3.18</val>
          </value>
          <value>
            <val>0.44</val>
          </value>
          <value>
            <val>3.42</val>
          </value>
          <value>
            <val>2.1</val>
          </value>
          <value>
            <val>51.4</val>
          </value>
        </values>
      </ddeItem>
      <ddeItem name="2009.TW-MajorOrderDif,DXLOrderValueDiffRatio,Low,MonthReturn,QuarterReturn,HalfYearReturn,YearReturn,DLOrderOutValueRatio,DetailIndustry,CompanyNews" advise="1">
        <values cols="10">
          <value t="str">
            <val>72.6萬</val>
          </value>
          <value>
            <val>-1.1200000000000001</val>
          </value>
          <value>
            <val>46.1</val>
          </value>
          <value>
            <val>-5.83</val>
          </value>
          <value>
            <val>-4.97</val>
          </value>
          <value>
            <val>53.36</val>
          </value>
          <value>
            <val>35.799999999999997</val>
          </value>
          <value>
            <val>8.26</val>
          </value>
          <value t="str">
            <val>非鐵金屬,銅</val>
          </value>
          <value t="str">
            <val>--</val>
          </value>
        </values>
      </ddeItem>
      <ddeItem name="2009.TW-TotalVolume,PreClose,Capital,AvgPrice,Profit,MarketValue,DateofMeetingofShareHolders,InvestorConferenceDate,ShortBalance,FinanceBalance" advise="1">
        <values cols="10">
          <value>
            <val>1590</val>
          </value>
          <value>
            <val>45.3</val>
          </value>
          <value>
            <val>35.96</val>
          </value>
          <value>
            <val>46.71</val>
          </value>
          <value>
            <val>0</val>
          </value>
          <value>
            <val>168.5</val>
          </value>
          <value t="str">
            <val>2024/06/20</val>
          </value>
          <value t="str">
            <val>2023/11/17</val>
          </value>
          <value>
            <val>653</val>
          </value>
          <value>
            <val>5901</val>
          </value>
        </values>
      </ddeItem>
      <ddeItem name="2049.TW-ChipsField17,ROE,InOutRatio,RevenueMonth,EstimatedTotalVolume,5DayAvgVol,FinanceUsedRatio,PriceChange,CashAndStockDividend,ChipsField25" advise="1">
        <values cols="10">
          <value>
            <val>121</val>
          </value>
          <value>
            <val>1.03</val>
          </value>
          <value>
            <val>54.33</val>
          </value>
          <value t="str">
            <val>2024/06</val>
          </value>
          <value>
            <val>2666</val>
          </value>
          <value>
            <val>1712</val>
          </value>
          <value>
            <val>3.66</val>
          </value>
          <value>
            <val>6.5</val>
          </value>
          <value>
            <val>2.5</val>
          </value>
          <value t="str">
            <val>2024/07/10</val>
          </value>
        </values>
      </ddeItem>
      <ddeItem name="2049.TW-ID,Name,CompanyPos,Price,DIndexPtsContributionRate,VolumeRatio,TurnoverRatio,PriceChangeRatio,DLOrderValueDiffRatio,MajorOrderBidAskRatio" advise="1">
        <values cols="10">
          <value t="str">
            <val>2049</val>
          </value>
          <value t="str">
            <val>上銀</val>
          </value>
          <value t="str">
            <val>全球前三大滾珠螺桿廠商</val>
          </value>
          <value>
            <val>207</val>
          </value>
          <value>
            <val>0.1</val>
          </value>
          <value>
            <val>2.02</val>
          </value>
          <value>
            <val>0.27</val>
          </value>
          <value>
            <val>3.24</val>
          </value>
          <value>
            <val>8.4499999999999993</val>
          </value>
          <value>
            <val>67.41</val>
          </value>
        </values>
      </ddeItem>
      <ddeItem name="2049.TW-MajorOrderDif,DXLOrderValueDiffRatio,Low,MonthReturn,QuarterReturn,HalfYearReturn,YearReturn,DLOrderOutValueRatio,DetailIndustry,CompanyNews" advise="1">
        <values cols="10">
          <value t="str">
            <val>2248萬</val>
          </value>
          <value>
            <val>2.82</val>
          </value>
          <value>
            <val>204.5</val>
          </value>
          <value>
            <val>0.71</val>
          </value>
          <value>
            <val>-9.51</val>
          </value>
          <value>
            <val>-5.43</val>
          </value>
          <value>
            <val>-3.02</val>
          </value>
          <value>
            <val>16.940000000000001</val>
          </value>
          <value t="str">
            <val>機器人,軸承／滑軌,機械</val>
          </value>
          <value t="str">
            <val>--</val>
          </value>
        </values>
      </ddeItem>
      <ddeItem name="2049.TW-TotalVolume,PreClose,Capital,AvgPrice,Profit,MarketValue,DateofMeetingofShareHolders,InvestorConferenceDate,ShortBalance,FinanceBalance" advise="1">
        <values cols="10">
          <value>
            <val>963</val>
          </value>
          <value>
            <val>200.5</val>
          </value>
          <value>
            <val>35.380000000000003</val>
          </value>
          <value>
            <val>207.11</val>
          </value>
          <value>
            <val>1.1200000000000001</val>
          </value>
          <value>
            <val>732.3</val>
          </value>
          <value t="str">
            <val>2024/05/31</val>
          </value>
          <value t="str">
            <val>2024/05/10</val>
          </value>
          <value>
            <val>29</val>
          </value>
          <value>
            <val>3235</val>
          </value>
        </values>
      </ddeItem>
      <ddeItem name="2070.TW-ChipsField17,ROE,InOutRatio,RevenueMonth,EstimatedTotalVolume,5DayAvgVol,FinanceUsedRatio,PriceChange,CashAndStockDividend,ChipsField25" advise="1">
        <values cols="10">
          <value>
            <val>0</val>
          </value>
          <value>
            <val>2.7</val>
          </value>
          <value>
            <val>52.26</val>
          </value>
          <value t="str">
            <val>2024/06</val>
          </value>
          <value>
            <val>11003</val>
          </value>
          <value>
            <val>2278</val>
          </value>
          <value>
            <val>38.130000000000003</val>
          </value>
          <value>
            <val>2.5</val>
          </value>
          <value>
            <val>1.5</val>
          </value>
          <value t="str">
            <val>2024/04/02</val>
          </value>
        </values>
      </ddeItem>
      <ddeItem name="2070.TW-ID,Name,CompanyPos,Price,DIndexPtsContributionRate,VolumeRatio,TurnoverRatio,PriceChangeRatio,DLOrderValueDiffRatio,MajorOrderBidAskRatio" advise="1">
        <values cols="10">
          <value t="str">
            <val>2070</val>
          </value>
          <value t="str">
            <val>精湛</val>
          </value>
          <value t="str">
            <val>全球扣件篩選設備大廠</val>
          </value>
          <value>
            <val>65.3</val>
          </value>
          <value>
            <val>0</val>
          </value>
          <value>
            <val>2.34</val>
          </value>
          <value>
            <val>12.33</val>
          </value>
          <value>
            <val>3.98</val>
          </value>
          <value>
            <val>0.15</val>
          </value>
          <value>
            <val>62.16</val>
          </value>
        </values>
      </ddeItem>
      <ddeItem name="2070.TW-MajorOrderDif,DXLOrderValueDiffRatio,Low,MonthReturn,QuarterReturn,HalfYearReturn,YearReturn,DLOrderOutValueRatio,DetailIndustry,CompanyNews" advise="1">
        <values cols="10">
          <value t="str">
            <val>1857萬</val>
          </value>
          <value>
            <val>6.14</val>
          </value>
          <value>
            <val>64.099999999999994</val>
          </value>
          <value>
            <val>57.35</val>
          </value>
          <value>
            <val>95.8</val>
          </value>
          <value>
            <val>102.62</val>
          </value>
          <value>
            <val>120.02</val>
          </value>
          <value>
            <val>2.1800000000000002</val>
          </value>
          <value t="str">
            <val>設備儀器廠商</val>
          </value>
          <value t="str">
            <val>--</val>
          </value>
        </values>
      </ddeItem>
      <ddeItem name="2070.TW-TotalVolume,PreClose,Capital,AvgPrice,Profit,MarketValue,DateofMeetingofShareHolders,InvestorConferenceDate,ShortBalance,FinanceBalance" advise="1">
        <values cols="10">
          <value>
            <val>4413</val>
          </value>
          <value>
            <val>62.8</val>
          </value>
          <value>
            <val>3.58</val>
          </value>
          <value>
            <val>66.959999999999994</val>
          </value>
          <value>
            <val>0.67</val>
          </value>
          <value>
            <val>23.4</val>
          </value>
          <value t="str">
            <val>2024/06/06</val>
          </value>
          <value t="str">
            <val>--</val>
          </value>
          <value>
            <val>34</val>
          </value>
          <value>
            <val>3411</val>
          </value>
        </values>
      </ddeItem>
      <ddeItem name="2204.TW-ChipsField17,ROE,InOutRatio,RevenueMonth,EstimatedTotalVolume,5DayAvgVol,FinanceUsedRatio,PriceChange,CashAndStockDividend,ChipsField25" advise="1">
        <values cols="10">
          <value>
            <val>235</val>
          </value>
          <value>
            <val>3.38</val>
          </value>
          <value>
            <val>29.77</val>
          </value>
          <value t="str">
            <val>2024/06</val>
          </value>
          <value>
            <val>26833</val>
          </value>
          <value>
            <val>5047</val>
          </value>
          <value>
            <val>3.53</val>
          </value>
          <value>
            <val>-5.7</val>
          </value>
          <value>
            <val>6</val>
          </value>
          <value t="str">
            <val>2024/07/18</val>
          </value>
        </values>
      </ddeItem>
      <ddeItem name="2204.TW-ID,Name,CompanyPos,Price,DIndexPtsContributionRate,VolumeRatio,TurnoverRatio,PriceChangeRatio,DLOrderValueDiffRatio,MajorOrderBidAskRatio" advise="1">
        <values cols="10">
          <value t="str">
            <val>2204</val>
          </value>
          <value t="str">
            <val>中華</val>
          </value>
          <value t="str">
            <val>裕隆集團與日本三菱技術合作之汽車製造廠</val>
          </value>
          <value>
            <val>92</val>
          </value>
          <value>
            <val>0.08</val>
          </value>
          <value>
            <val>2.06</val>
          </value>
          <value>
            <val>1.54</val>
          </value>
          <value>
            <val>-5.83</val>
          </value>
          <value>
            <val>-2.86</val>
          </value>
          <value>
            <val>22.24</val>
          </value>
        </values>
      </ddeItem>
      <ddeItem name="2204.TW-MajorOrderDif,DXLOrderValueDiffRatio,Low,MonthReturn,QuarterReturn,HalfYearReturn,YearReturn,DLOrderOutValueRatio,DetailIndustry,CompanyNews" advise="1">
        <values cols="10">
          <value t="str">
            <val>-2.47億</val>
          </value>
          <value>
            <val>-27.86</val>
          </value>
          <value>
            <val>91.9</val>
          </value>
          <value>
            <val>-23.12</val>
          </value>
          <value>
            <val>-32.76</val>
          </value>
          <value>
            <val>-15.73</val>
          </value>
          <value>
            <val>7.33</val>
          </value>
          <value>
            <val>5.16</val>
          </value>
          <value t="str">
            <val>汽車製造,電動機車,汽車銷售,汽機車零組件,機車零組件,車輛整車,客貨車輛相關</val>
          </value>
          <value t="str">
            <val>6月營收37.48億元</val>
          </value>
        </values>
      </ddeItem>
      <ddeItem name="2204.TW-TotalVolume,PreClose,Capital,AvgPrice,Profit,MarketValue,DateofMeetingofShareHolders,InvestorConferenceDate,ShortBalance,FinanceBalance" advise="1">
        <values cols="10">
          <value>
            <val>8521</val>
          </value>
          <value>
            <val>97.7</val>
          </value>
          <value>
            <val>55.36</val>
          </value>
          <value>
            <val>94.3</val>
          </value>
          <value>
            <val>2.29</val>
          </value>
          <value>
            <val>509.3</val>
          </value>
          <value t="str">
            <val>2024/05/31</val>
          </value>
          <value t="str">
            <val>2024/05/22</val>
          </value>
          <value>
            <val>251</val>
          </value>
          <value>
            <val>4889</val>
          </value>
        </values>
      </ddeItem>
      <ddeItem name="2301.TW-ChipsField17,ROE,InOutRatio,RevenueMonth,EstimatedTotalVolume,5DayAvgVol,FinanceUsedRatio,PriceChange,CashAndStockDividend,ChipsField25" advise="1">
        <values cols="10">
          <value>
            <val>6537</val>
          </value>
          <value>
            <val>2.83</val>
          </value>
          <value>
            <val>66.959999999999994</val>
          </value>
          <value t="str">
            <val>2024/06</val>
          </value>
          <value>
            <val>61010</val>
          </value>
          <value>
            <val>16966</val>
          </value>
          <value>
            <val>4.5999999999999996</val>
          </value>
          <value>
            <val>8.4</val>
          </value>
          <value>
            <val>2</val>
          </value>
          <value t="str">
            <val>--</val>
          </value>
        </values>
      </ddeItem>
      <ddeItem name="2301.TW-ID,Name,CompanyPos,Price,DIndexPtsContributionRate,VolumeRatio,TurnoverRatio,PriceChangeRatio,DLOrderValueDiffRatio,MajorOrderBidAskRatio" advise="1">
        <values cols="10">
          <value t="str">
            <val>2301</val>
          </value>
          <value t="str">
            <val>光寶科</val>
          </value>
          <value t="str">
            <val>台灣第一家上市電子公司，產品應用涵蓋4C領域</val>
          </value>
          <value>
            <val>107.5</val>
          </value>
          <value>
            <val>0.33</val>
          </value>
          <value>
            <val>4.51</val>
          </value>
          <value>
            <val>0.98</val>
          </value>
          <value>
            <val>8.48</val>
          </value>
          <value>
            <val>0.65</val>
          </value>
          <value>
            <val>69.77</val>
          </value>
        </values>
      </ddeItem>
      <ddeItem name="2301.TW-MajorOrderDif,DXLOrderValueDiffRatio,Low,MonthReturn,QuarterReturn,HalfYearReturn,YearReturn,DLOrderOutValueRatio,DetailIndustry,CompanyNews" advise="1">
        <values cols="10">
          <value t="str">
            <val>5.64億</val>
          </value>
          <value>
            <val>22.43</val>
          </value>
          <value>
            <val>102.5</val>
          </value>
          <value>
            <val>-2.71</val>
          </value>
          <value>
            <val>7.5</val>
          </value>
          <value>
            <val>0.72</val>
          </value>
          <value>
            <val>-27.7</val>
          </value>
          <value>
            <val>1.84</val>
          </value>
          <value t="str">
            <val>汽機車零組件,車用電池,車用電子,LED,LED封裝,LED照明產品,電源供應器,無線充電,機殼,電子其他,電子零件元件,鍵盤,光碟機／燒錄機,無線網路設備系統(WLAN),通訊設備,事務機器,週邊產品,光通訊,太陽能,PV Inverter,電腦系統業,光纖被動元件</val>
          </value>
          <value t="str">
            <val>第二季股利：現金2元</val>
          </value>
        </values>
      </ddeItem>
      <ddeItem name="2301.TW-TotalVolume,PreClose,Capital,AvgPrice,Profit,MarketValue,DateofMeetingofShareHolders,InvestorConferenceDate,ShortBalance,FinanceBalance" advise="1">
        <values cols="10">
          <value>
            <val>23088</val>
          </value>
          <value>
            <val>99.1</val>
          </value>
          <value>
            <val>234.73</val>
          </value>
          <value>
            <val>105.78</val>
          </value>
          <value>
            <val>1.04</val>
          </value>
          <value>
            <val>2523.6</val>
          </value>
          <value t="str">
            <val>2024/05/27</val>
          </value>
          <value t="str">
            <val>2024/07/31</val>
          </value>
          <value>
            <val>265</val>
          </value>
          <value>
            <val>26981</val>
          </value>
        </values>
      </ddeItem>
      <ddeItem name="2303.TW-ChipsField17,ROE,InOutRatio,RevenueMonth,EstimatedTotalVolume,5DayAvgVol,FinanceUsedRatio,PriceChange,CashAndStockDividend,ChipsField25" advise="1">
        <values cols="10">
          <value>
            <val>8512</val>
          </value>
          <value t="str">
            <val>--</val>
          </value>
          <value>
            <val>56.21</val>
          </value>
          <value t="str">
            <val>2024/06</val>
          </value>
          <value>
            <val>277286</val>
          </value>
          <value>
            <val>60476</val>
          </value>
          <value>
            <val>1.22</val>
          </value>
          <value>
            <val>2.8</val>
          </value>
          <value>
            <val>3</val>
          </value>
          <value t="str">
            <val>2024/07/02</val>
          </value>
        </values>
      </ddeItem>
      <ddeItem name="2303.TW-ID,Name,CompanyPos,Price,DIndexPtsContributionRate,VolumeRatio,TurnoverRatio,PriceChangeRatio,DLOrderValueDiffRatio,MajorOrderBidAskRatio" advise="1">
        <values cols="10">
          <value t="str">
            <val>2303</val>
          </value>
          <value t="str">
            <val>聯電</val>
          </value>
          <value t="str">
            <val>全球前十大晶圓代工廠之一</val>
          </value>
          <value>
            <val>53.2</val>
          </value>
          <value>
            <val>0.9</val>
          </value>
          <value>
            <val>5.71</val>
          </value>
          <value>
            <val>0.65</val>
          </value>
          <value>
            <val>5.56</val>
          </value>
          <value>
            <val>-0.78</val>
          </value>
          <value>
            <val>62.33</val>
          </value>
        </values>
      </ddeItem>
      <ddeItem name="2303.TW-MajorOrderDif,DXLOrderValueDiffRatio,Low,MonthReturn,QuarterReturn,HalfYearReturn,YearReturn,DLOrderOutValueRatio,DetailIndustry,CompanyNews" advise="1">
        <values cols="10">
          <value t="str">
            <val>6.77億</val>
          </value>
          <value>
            <val>16.420000000000002</val>
          </value>
          <value>
            <val>52.6</val>
          </value>
          <value>
            <val>-1.3</val>
          </value>
          <value>
            <val>10.77</val>
          </value>
          <value>
            <val>14.5</val>
          </value>
          <value>
            <val>19.489999999999998</val>
          </value>
          <value>
            <val>2.8</val>
          </value>
          <value t="str">
            <val>專業晶圓代工,IC製造</val>
          </value>
          <value t="str">
            <val>6月營收175.48億元</val>
          </value>
        </values>
      </ddeItem>
      <ddeItem name="2303.TW-TotalVolume,PreClose,Capital,AvgPrice,Profit,MarketValue,DateofMeetingofShareHolders,InvestorConferenceDate,ShortBalance,FinanceBalance" advise="1">
        <values cols="10">
          <value>
            <val>81275</val>
          </value>
          <value>
            <val>50.4</val>
          </value>
          <value>
            <val>1252.8599999999999</val>
          </value>
          <value>
            <val>53.25</val>
          </value>
          <value>
            <val>1.1100000000000001</val>
          </value>
          <value>
            <val>6665.2</val>
          </value>
          <value t="str">
            <val>2024/05/30</val>
          </value>
          <value t="str">
            <val>2024/07/31</val>
          </value>
          <value>
            <val>1478</val>
          </value>
          <value>
            <val>38291</val>
          </value>
        </values>
      </ddeItem>
      <ddeItem name="2351.TW-ChipsField17,ROE,InOutRatio,RevenueMonth,EstimatedTotalVolume,5DayAvgVol,FinanceUsedRatio,PriceChange,CashAndStockDividend,ChipsField25" advise="1">
        <values cols="10">
          <value>
            <val>41</val>
          </value>
          <value>
            <val>2.4300000000000002</val>
          </value>
          <value>
            <val>44.72</val>
          </value>
          <value t="str">
            <val>2024/06</val>
          </value>
          <value>
            <val>6236</val>
          </value>
          <value>
            <val>2147</val>
          </value>
          <value>
            <val>7.77</val>
          </value>
          <value>
            <val>6</val>
          </value>
          <value>
            <val>2.6</val>
          </value>
          <value t="str">
            <val>2024/08/01</val>
          </value>
        </values>
      </ddeItem>
      <ddeItem name="2351.TW-ID,Name,CompanyPos,Price,DIndexPtsContributionRate,VolumeRatio,TurnoverRatio,PriceChangeRatio,DLOrderValueDiffRatio,MajorOrderBidAskRatio" advise="1">
        <values cols="10">
          <value t="str">
            <val>2351</val>
          </value>
          <value t="str">
            <val>順德</val>
          </value>
          <value t="str">
            <val>全球導線架前五大供應商之一</val>
          </value>
          <value>
            <val>122.5</val>
          </value>
          <value>
            <val>0.03</val>
          </value>
          <value>
            <val>4.1100000000000003</val>
          </value>
          <value>
            <val>1.41</val>
          </value>
          <value>
            <val>5.15</val>
          </value>
          <value>
            <val>0.69</val>
          </value>
          <value>
            <val>60.52</val>
          </value>
        </values>
      </ddeItem>
      <ddeItem name="2351.TW-MajorOrderDif,DXLOrderValueDiffRatio,Low,MonthReturn,QuarterReturn,HalfYearReturn,YearReturn,DLOrderOutValueRatio,DetailIndustry,CompanyNews" advise="1">
        <values cols="10">
          <value t="str">
            <val>3088萬</val>
          </value>
          <value>
            <val>8.9499999999999993</val>
          </value>
          <value>
            <val>121.5</val>
          </value>
          <value>
            <val>-3.66</val>
          </value>
          <value>
            <val>18.71</val>
          </value>
          <value>
            <val>22.78</val>
          </value>
          <value>
            <val>21.34</val>
          </value>
          <value>
            <val>5.66</val>
          </value>
          <value t="str">
            <val>傳產其他,文具,導線架,封測服務與材料</val>
          </value>
          <value t="str">
            <val>8/1除息2.60元</val>
          </value>
        </values>
      </ddeItem>
      <ddeItem name="2351.TW-TotalVolume,PreClose,Capital,AvgPrice,Profit,MarketValue,DateofMeetingofShareHolders,InvestorConferenceDate,ShortBalance,FinanceBalance" advise="1">
        <values cols="10">
          <value>
            <val>2564</val>
          </value>
          <value>
            <val>116.5</val>
          </value>
          <value>
            <val>18.21</val>
          </value>
          <value>
            <val>124.79</val>
          </value>
          <value>
            <val>0.9</val>
          </value>
          <value>
            <val>223.1</val>
          </value>
          <value t="str">
            <val>2024/05/30</val>
          </value>
          <value t="str">
            <val>2023/09/14</val>
          </value>
          <value>
            <val>0</val>
          </value>
          <value>
            <val>3539</val>
          </value>
        </values>
      </ddeItem>
      <ddeItem name="2355.TW-ChipsField17,ROE,InOutRatio,RevenueMonth,EstimatedTotalVolume,5DayAvgVol,FinanceUsedRatio,PriceChange,CashAndStockDividend,ChipsField25" advise="1">
        <values cols="10">
          <value>
            <val>0</val>
          </value>
          <value>
            <val>1.98</val>
          </value>
          <value>
            <val>62.51</val>
          </value>
          <value t="str">
            <val>2024/06</val>
          </value>
          <value>
            <val>3386</val>
          </value>
          <value>
            <val>3050</val>
          </value>
          <value>
            <val>10.52</val>
          </value>
          <value>
            <val>1.2</val>
          </value>
          <value>
            <val>1.25</val>
          </value>
          <value t="str">
            <val>2024/07/29</val>
          </value>
        </values>
      </ddeItem>
      <ddeItem name="2355.TW-ID,Name,CompanyPos,Price,DIndexPtsContributionRate,VolumeRatio,TurnoverRatio,PriceChangeRatio,DLOrderValueDiffRatio,MajorOrderBidAskRatio" advise="1">
        <values cols="10">
          <value t="str">
            <val>2355</val>
          </value>
          <value t="str">
            <val>敬鵬</val>
          </value>
          <value t="str">
            <val>全球車用PCB龍頭廠商</val>
          </value>
          <value>
            <val>45.85</val>
          </value>
          <value>
            <val>0.03</val>
          </value>
          <value>
            <val>1.74</val>
          </value>
          <value>
            <val>0.42</val>
          </value>
          <value>
            <val>2.69</val>
          </value>
          <value>
            <val>11.8</val>
          </value>
          <value>
            <val>82.88</val>
          </value>
        </values>
      </ddeItem>
      <ddeItem name="2355.TW-MajorOrderDif,DXLOrderValueDiffRatio,Low,MonthReturn,QuarterReturn,HalfYearReturn,YearReturn,DLOrderOutValueRatio,DetailIndustry,CompanyNews" advise="1">
        <values cols="10">
          <value t="str">
            <val>1809萬</val>
          </value>
          <value>
            <val>11.49</val>
          </value>
          <value>
            <val>45.2</val>
          </value>
          <value>
            <val>-3.39</val>
          </value>
          <value>
            <val>14.15</val>
          </value>
          <value>
            <val>4.7699999999999996</val>
          </value>
          <value>
            <val>39.9</val>
          </value>
          <value>
            <val>15.79</val>
          </value>
          <value t="str">
            <val>印刷電路板,印刷電路板相關</val>
          </value>
          <value t="str">
            <val>--</val>
          </value>
        </values>
      </ddeItem>
      <ddeItem name="2355.TW-TotalVolume,PreClose,Capital,AvgPrice,Profit,MarketValue,DateofMeetingofShareHolders,InvestorConferenceDate,ShortBalance,FinanceBalance" advise="1">
        <values cols="10">
          <value>
            <val>1686</val>
          </value>
          <value>
            <val>44.65</val>
          </value>
          <value>
            <val>39.75</val>
          </value>
          <value>
            <val>46.08</val>
          </value>
          <value>
            <val>0.82</val>
          </value>
          <value>
            <val>182.3</val>
          </value>
          <value t="str">
            <val>2024/06/25</val>
          </value>
          <value t="str">
            <val>2024/06/06</val>
          </value>
          <value>
            <val>8</val>
          </value>
          <value>
            <val>10457</val>
          </value>
        </values>
      </ddeItem>
      <ddeItem name="2357.TW-ChipsField17,ROE,InOutRatio,RevenueMonth,EstimatedTotalVolume,5DayAvgVol,FinanceUsedRatio,PriceChange,CashAndStockDividend,ChipsField25" advise="1">
        <values cols="10">
          <value>
            <val>89</val>
          </value>
          <value>
            <val>2.31</val>
          </value>
          <value>
            <val>56.55</val>
          </value>
          <value t="str">
            <val>2024/06</val>
          </value>
          <value>
            <val>9407</val>
          </value>
          <value>
            <val>4099</val>
          </value>
          <value>
            <val>1.35</val>
          </value>
          <value>
            <val>26</val>
          </value>
          <value>
            <val>17</val>
          </value>
          <value t="str">
            <val>2024/07/03</val>
          </value>
        </values>
      </ddeItem>
      <ddeItem name="2357.TW-ID,Name,CompanyPos,Price,DIndexPtsContributionRate,VolumeRatio,TurnoverRatio,PriceChangeRatio,DLOrderValueDiffRatio,MajorOrderBidAskRatio" advise="1">
        <values cols="10">
          <value t="str">
            <val>2357</val>
          </value>
          <value t="str">
            <val>華碩</val>
          </value>
          <value t="str">
            <val>全球最大自有品牌主機板兼NB廠</val>
          </value>
          <value>
            <val>482</val>
          </value>
          <value>
            <val>0.48</val>
          </value>
          <value>
            <val>2.33</val>
          </value>
          <value>
            <val>0.43</val>
          </value>
          <value>
            <val>5.7</val>
          </value>
          <value>
            <val>0.18</val>
          </value>
          <value>
            <val>54.09</val>
          </value>
        </values>
      </ddeItem>
      <ddeItem name="2357.TW-MajorOrderDif,DXLOrderValueDiffRatio,Low,MonthReturn,QuarterReturn,HalfYearReturn,YearReturn,DLOrderOutValueRatio,DetailIndustry,CompanyNews" advise="1">
        <values cols="10">
          <value t="str">
            <val>6389萬</val>
          </value>
          <value>
            <val>4</val>
          </value>
          <value>
            <val>469</val>
          </value>
          <value>
            <val>0.77</val>
          </value>
          <value>
            <val>16.12</val>
          </value>
          <value>
            <val>11.71</val>
          </value>
          <value>
            <val>34.229999999999997</val>
          </value>
          <value>
            <val>5.81</val>
          </value>
          <value t="str">
            <val>桌上型電腦,筆記型電腦,手機,主機板,智慧型手機,繪圖卡,穿戴式裝置,智慧手錶,電腦系統業</val>
          </value>
          <value t="str">
            <val>6月營收584.12億元</val>
          </value>
        </values>
      </ddeItem>
      <ddeItem name="2357.TW-TotalVolume,PreClose,Capital,AvgPrice,Profit,MarketValue,DateofMeetingofShareHolders,InvestorConferenceDate,ShortBalance,FinanceBalance" advise="1">
        <values cols="10">
          <value>
            <val>3190</val>
          </value>
          <value>
            <val>456</val>
          </value>
          <value>
            <val>74.28</val>
          </value>
          <value>
            <val>478.49</val>
          </value>
          <value>
            <val>7.33</val>
          </value>
          <value>
            <val>3580.1</val>
          </value>
          <value t="str">
            <val>2024/06/13</val>
          </value>
          <value t="str">
            <val>2024/05/13</val>
          </value>
          <value>
            <val>20</val>
          </value>
          <value>
            <val>2498</val>
          </value>
        </values>
      </ddeItem>
      <ddeItem name="2359.TW-ChipsField17,ROE,InOutRatio,RevenueMonth,EstimatedTotalVolume,5DayAvgVol,FinanceUsedRatio,PriceChange,CashAndStockDividend,ChipsField25" advise="1">
        <values cols="10">
          <value>
            <val>520</val>
          </value>
          <value>
            <val>0.7</val>
          </value>
          <value>
            <val>74.63</val>
          </value>
          <value t="str">
            <val>2024/06</val>
          </value>
          <value>
            <val>33904</val>
          </value>
          <value>
            <val>15416</val>
          </value>
          <value>
            <val>29.83</val>
          </value>
          <value>
            <val>13</val>
          </value>
          <value>
            <val>1.7</val>
          </value>
          <value t="str">
            <val>2024/07/10</val>
          </value>
        </values>
      </ddeItem>
      <ddeItem name="2359.TW-ID,Name,CompanyPos,Price,DIndexPtsContributionRate,VolumeRatio,TurnoverRatio,PriceChangeRatio,DLOrderValueDiffRatio,MajorOrderBidAskRatio" advise="1">
        <values cols="10">
          <value t="str">
            <val>2359</val>
          </value>
          <value t="str">
            <val>所羅門</val>
          </value>
          <value t="str">
            <val>3D機器視覺及工業用AI領導品牌</val>
          </value>
          <value>
            <val>157</val>
          </value>
          <value>
            <val>0.04</val>
          </value>
          <value>
            <val>3.83</val>
          </value>
          <value>
            <val>9.83</val>
          </value>
          <value>
            <val>9.0299999999999994</val>
          </value>
          <value>
            <val>3.03</val>
          </value>
          <value>
            <val>72.72</val>
          </value>
        </values>
      </ddeItem>
      <ddeItem name="2359.TW-MajorOrderDif,DXLOrderValueDiffRatio,Low,MonthReturn,QuarterReturn,HalfYearReturn,YearReturn,DLOrderOutValueRatio,DetailIndustry,CompanyNews" advise="1">
        <values cols="10">
          <value t="str">
            <val>7.68億</val>
          </value>
          <value>
            <val>26.24</val>
          </value>
          <value>
            <val>149</val>
          </value>
          <value>
            <val>-5</val>
          </value>
          <value>
            <val>55.54</val>
          </value>
          <value>
            <val>303.18</val>
          </value>
          <value>
            <val>305.24</val>
          </value>
          <value>
            <val>5.51</val>
          </value>
          <value t="str">
            <val>面板業,LCM,其他電子元件代理商,電子通路,軟體業,軟體通路／代理,電機,自動化設備,機器人,機械,電力設備</val>
          </value>
          <value t="str">
            <val>--</val>
          </value>
        </values>
      </ddeItem>
      <ddeItem name="2359.TW-TotalVolume,PreClose,Capital,AvgPrice,Profit,MarketValue,DateofMeetingofShareHolders,InvestorConferenceDate,ShortBalance,FinanceBalance" advise="1">
        <values cols="10">
          <value>
            <val>16853</val>
          </value>
          <value>
            <val>144</val>
          </value>
          <value>
            <val>17.149999999999999</val>
          </value>
          <value>
            <val>155.69999999999999</val>
          </value>
          <value>
            <val>0.21</val>
          </value>
          <value>
            <val>269.2</val>
          </value>
          <value t="str">
            <val>2024/06/07</val>
          </value>
          <value t="str">
            <val>2023/11/28</val>
          </value>
          <value>
            <val>2025</val>
          </value>
          <value>
            <val>12787</val>
          </value>
        </values>
      </ddeItem>
      <ddeItem name="2360.TW-ChipsField17,ROE,InOutRatio,RevenueMonth,EstimatedTotalVolume,5DayAvgVol,FinanceUsedRatio,PriceChange,CashAndStockDividend,ChipsField25" advise="1">
        <values cols="10">
          <value>
            <val>1066</val>
          </value>
          <value>
            <val>4.49</val>
          </value>
          <value>
            <val>51.35</val>
          </value>
          <value t="str">
            <val>2024/06</val>
          </value>
          <value>
            <val>5283</val>
          </value>
          <value>
            <val>2721</val>
          </value>
          <value>
            <val>0.67</val>
          </value>
          <value>
            <val>16</val>
          </value>
          <value>
            <val>6.6</val>
          </value>
          <value t="str">
            <val>2024/06/12</val>
          </value>
        </values>
      </ddeItem>
      <ddeItem name="2360.TW-ID,Name,CompanyPos,Price,DIndexPtsContributionRate,VolumeRatio,TurnoverRatio,PriceChangeRatio,DLOrderValueDiffRatio,MajorOrderBidAskRatio" advise="1">
        <values cols="10">
          <value t="str">
            <val>2360</val>
          </value>
          <value t="str">
            <val>致茂</val>
          </value>
          <value t="str">
            <val>全球知名的自動測試設備品牌大廠</val>
          </value>
          <value>
            <val>317</val>
          </value>
          <value>
            <val>0.18</val>
          </value>
          <value>
            <val>2.59</val>
          </value>
          <value>
            <val>0.53</val>
          </value>
          <value>
            <val>5.32</val>
          </value>
          <value>
            <val>3.07</val>
          </value>
          <value>
            <val>48.19</val>
          </value>
        </values>
      </ddeItem>
      <ddeItem name="2360.TW-MajorOrderDif,DXLOrderValueDiffRatio,Low,MonthReturn,QuarterReturn,HalfYearReturn,YearReturn,DLOrderOutValueRatio,DetailIndustry,CompanyNews" advise="1">
        <values cols="10">
          <value t="str">
            <val>-817萬</val>
          </value>
          <value>
            <val>-4.22</val>
          </value>
          <value>
            <val>311</val>
          </value>
          <value>
            <val>-0.16</val>
          </value>
          <value>
            <val>21.67</val>
          </value>
          <value>
            <val>65.010000000000005</val>
          </value>
          <value>
            <val>14.98</val>
          </value>
          <value>
            <val>8.32</val>
          </value>
          <value t="str">
            <val>設備儀器廠商,量測儀器</val>
          </value>
          <value t="str">
            <val>上半年合併獲利23.62億元</val>
          </value>
        </values>
      </ddeItem>
      <ddeItem name="2360.TW-TotalVolume,PreClose,Capital,AvgPrice,Profit,MarketValue,DateofMeetingofShareHolders,InvestorConferenceDate,ShortBalance,FinanceBalance" advise="1">
        <values cols="10">
          <value>
            <val>2244</val>
          </value>
          <value>
            <val>301</val>
          </value>
          <value>
            <val>42.53</val>
          </value>
          <value>
            <val>315.95</val>
          </value>
          <value>
            <val>2.27</val>
          </value>
          <value>
            <val>1348.4</val>
          </value>
          <value t="str">
            <val>2024/06/06</val>
          </value>
          <value t="str">
            <val>2024/07/31</val>
          </value>
          <value>
            <val>51</val>
          </value>
          <value>
            <val>710</val>
          </value>
        </values>
      </ddeItem>
      <ddeItem name="2363.TW-ChipsField17,ROE,InOutRatio,RevenueMonth,EstimatedTotalVolume,5DayAvgVol,FinanceUsedRatio,PriceChange,CashAndStockDividend,ChipsField25" advise="1">
        <values cols="10">
          <value>
            <val>0</val>
          </value>
          <value>
            <val>-0.43</val>
          </value>
          <value>
            <val>43.1</val>
          </value>
          <value t="str">
            <val>2024/06</val>
          </value>
          <value>
            <val>60306</val>
          </value>
          <value>
            <val>22934</val>
          </value>
          <value>
            <val>26.35</val>
          </value>
          <value>
            <val>2.1</val>
          </value>
          <value>
            <val>0.3</val>
          </value>
          <value t="str">
            <val>2024/07/01</val>
          </value>
        </values>
      </ddeItem>
      <ddeItem name="2363.TW-ID,Name,CompanyPos,Price,DIndexPtsContributionRate,VolumeRatio,TurnoverRatio,PriceChangeRatio,DLOrderValueDiffRatio,MajorOrderBidAskRatio" advise="1">
        <values cols="10">
          <value t="str">
            <val>2363</val>
          </value>
          <value t="str">
            <val>矽統</val>
          </value>
          <value t="str">
            <val>轉型為觸控IC設計廠商</val>
          </value>
          <value>
            <val>80.2</val>
          </value>
          <value>
            <val>0.05</val>
          </value>
          <value>
            <val>2.4300000000000002</val>
          </value>
          <value>
            <val>6.87</val>
          </value>
          <value>
            <val>2.69</val>
          </value>
          <value>
            <val>1.76</val>
          </value>
          <value>
            <val>39.299999999999997</val>
          </value>
        </values>
      </ddeItem>
      <ddeItem name="2363.TW-MajorOrderDif,DXLOrderValueDiffRatio,Low,MonthReturn,QuarterReturn,HalfYearReturn,YearReturn,DLOrderOutValueRatio,DetailIndustry,CompanyNews" advise="1">
        <values cols="10">
          <value t="str">
            <val>-2.97億</val>
          </value>
          <value>
            <val>-12.72</val>
          </value>
          <value>
            <val>79</val>
          </value>
          <value>
            <val>0.44</val>
          </value>
          <value>
            <val>-9.81</val>
          </value>
          <value>
            <val>30.53</val>
          </value>
          <value>
            <val>173.23</val>
          </value>
          <value>
            <val>7.41</val>
          </value>
          <value t="str">
            <val>繪圖IC,IC設計,觸控IC,MEMS</val>
          </value>
          <value t="str">
            <val>6月營收0.18億元</val>
          </value>
        </values>
      </ddeItem>
      <ddeItem name="2363.TW-TotalVolume,PreClose,Capital,AvgPrice,Profit,MarketValue,DateofMeetingofShareHolders,InvestorConferenceDate,ShortBalance,FinanceBalance" advise="1">
        <values cols="10">
          <value>
            <val>33451</val>
          </value>
          <value>
            <val>78.099999999999994</val>
          </value>
          <value>
            <val>48.72</val>
          </value>
          <value>
            <val>81.010000000000005</val>
          </value>
          <value>
            <val>-0.1</val>
          </value>
          <value>
            <val>390.8</val>
          </value>
          <value t="str">
            <val>2024/05/27</val>
          </value>
          <value t="str">
            <val>2023/12/14</val>
          </value>
          <value>
            <val>890</val>
          </value>
          <value>
            <val>32092</val>
          </value>
        </values>
      </ddeItem>
      <ddeItem name="2367.TW-ChipsField17,ROE,InOutRatio,RevenueMonth,EstimatedTotalVolume,5DayAvgVol,FinanceUsedRatio,PriceChange,CashAndStockDividend,ChipsField25" advise="1">
        <values cols="10">
          <value>
            <val>389</val>
          </value>
          <value>
            <val>2.74</val>
          </value>
          <value>
            <val>55.36</val>
          </value>
          <value t="str">
            <val>2024/06</val>
          </value>
          <value>
            <val>24993</val>
          </value>
          <value>
            <val>18985</val>
          </value>
          <value>
            <val>26.89</val>
          </value>
          <value>
            <val>1.05</val>
          </value>
          <value>
            <val>0</val>
          </value>
          <value t="str">
            <val>--</val>
          </value>
        </values>
      </ddeItem>
      <ddeItem name="2367.TW-ID,Name,CompanyPos,Price,DIndexPtsContributionRate,VolumeRatio,TurnoverRatio,PriceChangeRatio,DLOrderValueDiffRatio,MajorOrderBidAskRatio" advise="1">
        <values cols="10">
          <value t="str">
            <val>2367</val>
          </value>
          <value t="str">
            <val>燿華</val>
          </value>
          <value t="str">
            <val>台灣前三大手機印刷電路板廠之一</val>
          </value>
          <value>
            <val>36.450000000000003</val>
          </value>
          <value>
            <val>0.03</val>
          </value>
          <value>
            <val>2.79</val>
          </value>
          <value>
            <val>1.67</val>
          </value>
          <value>
            <val>2.97</val>
          </value>
          <value>
            <val>-1.19</val>
          </value>
          <value>
            <val>61.12</val>
          </value>
        </values>
      </ddeItem>
      <ddeItem name="2367.TW-MajorOrderDif,DXLOrderValueDiffRatio,Low,MonthReturn,QuarterReturn,HalfYearReturn,YearReturn,DLOrderOutValueRatio,DetailIndustry,CompanyNews" advise="1">
        <values cols="10">
          <value t="str">
            <val>4497萬</val>
          </value>
          <value>
            <val>12.21</val>
          </value>
          <value>
            <val>35.9</val>
          </value>
          <value>
            <val>0.83</val>
          </value>
          <value>
            <val>39.119999999999997</val>
          </value>
          <value>
            <val>92.35</val>
          </value>
          <value>
            <val>110.56</val>
          </value>
          <value>
            <val>5.83</val>
          </value>
          <value t="str">
            <val>印刷電路板,印刷電路板相關</val>
          </value>
          <value t="str">
            <val>--</val>
          </value>
        </values>
      </ddeItem>
      <ddeItem name="2367.TW-TotalVolume,PreClose,Capital,AvgPrice,Profit,MarketValue,DateofMeetingofShareHolders,InvestorConferenceDate,ShortBalance,FinanceBalance" advise="1">
        <values cols="10">
          <value>
            <val>11199</val>
          </value>
          <value>
            <val>35.4</val>
          </value>
          <value>
            <val>66.94</val>
          </value>
          <value>
            <val>36.43</val>
          </value>
          <value>
            <val>0.41</val>
          </value>
          <value>
            <val>244</val>
          </value>
          <value t="str">
            <val>2024/06/26</val>
          </value>
          <value t="str">
            <val>2024/06/28</val>
          </value>
          <value>
            <val>3222</val>
          </value>
          <value>
            <val>45004</val>
          </value>
        </values>
      </ddeItem>
      <ddeItem name="2368.TW-ChipsField17,ROE,InOutRatio,RevenueMonth,EstimatedTotalVolume,5DayAvgVol,FinanceUsedRatio,PriceChange,CashAndStockDividend,ChipsField25" advise="1">
        <values cols="10">
          <value>
            <val>124</val>
          </value>
          <value>
            <val>7.27</val>
          </value>
          <value>
            <val>61.64</val>
          </value>
          <value t="str">
            <val>2024/06</val>
          </value>
          <value>
            <val>20648</val>
          </value>
          <value>
            <val>6352</val>
          </value>
          <value>
            <val>6.96</val>
          </value>
          <value>
            <val>7.5</val>
          </value>
          <value>
            <val>3.5</val>
          </value>
          <value t="str">
            <val>2024/06/27</val>
          </value>
        </values>
      </ddeItem>
      <ddeItem name="2368.TW-ID,Name,CompanyPos,Price,DIndexPtsContributionRate,VolumeRatio,TurnoverRatio,PriceChangeRatio,DLOrderValueDiffRatio,MajorOrderBidAskRatio" advise="1">
        <values cols="10">
          <value t="str">
            <val>2368</val>
          </value>
          <value t="str">
            <val>金像電</val>
          </value>
          <value t="str">
            <val>全球最大伺服器用板製造商</val>
          </value>
          <value>
            <val>227</val>
          </value>
          <value>
            <val>0.15</val>
          </value>
          <value>
            <val>2.21</val>
          </value>
          <value>
            <val>2</val>
          </value>
          <value>
            <val>3.42</val>
          </value>
          <value>
            <val>-1.47</val>
          </value>
          <value>
            <val>59.22</val>
          </value>
        </values>
      </ddeItem>
      <ddeItem name="2368.TW-MajorOrderDif,DXLOrderValueDiffRatio,Low,MonthReturn,QuarterReturn,HalfYearReturn,YearReturn,DLOrderOutValueRatio,DetailIndustry,CompanyNews" advise="1">
        <values cols="10">
          <value t="str">
            <val>1.92億</val>
          </value>
          <value>
            <val>10</val>
          </value>
          <value>
            <val>223</val>
          </value>
          <value>
            <val>11.55</val>
          </value>
          <value>
            <val>17.27</val>
          </value>
          <value>
            <val>-0.21</val>
          </value>
          <value>
            <val>40.01</val>
          </value>
          <value>
            <val>5.64</val>
          </value>
          <value t="str">
            <val>印刷電路板,印刷電路板相關</val>
          </value>
          <value t="str">
            <val>--</val>
          </value>
        </values>
      </ddeItem>
      <ddeItem name="2368.TW-TotalVolume,PreClose,Capital,AvgPrice,Profit,MarketValue,DateofMeetingofShareHolders,InvestorConferenceDate,ShortBalance,FinanceBalance" advise="1">
        <values cols="10">
          <value>
            <val>9840</val>
          </value>
          <value>
            <val>219.5</val>
          </value>
          <value>
            <val>49.18</val>
          </value>
          <value>
            <val>228.6</val>
          </value>
          <value>
            <val>2.5</val>
          </value>
          <value>
            <val>1116.5</val>
          </value>
          <value t="str">
            <val>2024/05/30</val>
          </value>
          <value t="str">
            <val>2024/03/28</val>
          </value>
          <value>
            <val>464</val>
          </value>
          <value>
            <val>8560</val>
          </value>
        </values>
      </ddeItem>
      <ddeItem name="2374.TW-ChipsField17,ROE,InOutRatio,RevenueMonth,EstimatedTotalVolume,5DayAvgVol,FinanceUsedRatio,PriceChange,CashAndStockDividend,ChipsField25" advise="1">
        <values cols="10">
          <value>
            <val>0</val>
          </value>
          <value>
            <val>2.16</val>
          </value>
          <value>
            <val>53.67</val>
          </value>
          <value t="str">
            <val>2024/06</val>
          </value>
          <value>
            <val>11592</val>
          </value>
          <value>
            <val>5077</val>
          </value>
          <value>
            <val>18.7</val>
          </value>
          <value>
            <val>2.6</val>
          </value>
          <value>
            <val>0.9</val>
          </value>
          <value t="str">
            <val>2024/07/18</val>
          </value>
        </values>
      </ddeItem>
      <ddeItem name="2374.TW-ID,Name,CompanyPos,Price,DIndexPtsContributionRate,VolumeRatio,TurnoverRatio,PriceChangeRatio,DLOrderValueDiffRatio,MajorOrderBidAskRatio" advise="1">
        <values cols="10">
          <value t="str">
            <val>2374</val>
          </value>
          <value t="str">
            <val>佳能</val>
          </value>
          <value t="str">
            <val>以車載鏡頭及AI相機應用為主</val>
          </value>
          <value>
            <val>51.8</val>
          </value>
          <value>
            <val>0.02</val>
          </value>
          <value>
            <val>2.5099999999999998</val>
          </value>
          <value>
            <val>1.76</val>
          </value>
          <value>
            <val>5.28</val>
          </value>
          <value>
            <val>2.71</val>
          </value>
          <value>
            <val>68.06</val>
          </value>
        </values>
      </ddeItem>
      <ddeItem name="2374.TW-MajorOrderDif,DXLOrderValueDiffRatio,Low,MonthReturn,QuarterReturn,HalfYearReturn,YearReturn,DLOrderOutValueRatio,DetailIndustry,CompanyNews" advise="1">
        <values cols="10">
          <value t="str">
            <val>2728萬</val>
          </value>
          <value>
            <val>7.65</val>
          </value>
          <value>
            <val>50.2</val>
          </value>
          <value>
            <val>1.28</val>
          </value>
          <value>
            <val>29.88</val>
          </value>
          <value>
            <val>111.94</val>
          </value>
          <value>
            <val>168.7</val>
          </value>
          <value>
            <val>5.46</val>
          </value>
          <value t="str">
            <val>數位相機,數位相機組裝,光學鏡片/頭,手機相機模組,手機零組件</val>
          </value>
          <value t="str">
            <val>--</val>
          </value>
        </values>
      </ddeItem>
      <ddeItem name="2374.TW-TotalVolume,PreClose,Capital,AvgPrice,Profit,MarketValue,DateofMeetingofShareHolders,InvestorConferenceDate,ShortBalance,FinanceBalance" advise="1">
        <values cols="10">
          <value>
            <val>5071</val>
          </value>
          <value>
            <val>49.2</val>
          </value>
          <value>
            <val>28.75</val>
          </value>
          <value>
            <val>51.95</val>
          </value>
          <value>
            <val>0.53</val>
          </value>
          <value>
            <val>148.9</val>
          </value>
          <value t="str">
            <val>2024/06/20</val>
          </value>
          <value t="str">
            <val>2024/05/13</val>
          </value>
          <value>
            <val>199</val>
          </value>
          <value>
            <val>13444</val>
          </value>
        </values>
      </ddeItem>
      <ddeItem name="2377.TW-ChipsField17,ROE,InOutRatio,RevenueMonth,EstimatedTotalVolume,5DayAvgVol,FinanceUsedRatio,PriceChange,CashAndStockDividend,ChipsField25" advise="1">
        <values cols="10">
          <value>
            <val>0</val>
          </value>
          <value>
            <val>5.0599999999999996</val>
          </value>
          <value>
            <val>52.45</val>
          </value>
          <value t="str">
            <val>2024/06</val>
          </value>
          <value>
            <val>4263</val>
          </value>
          <value>
            <val>3636</val>
          </value>
          <value>
            <val>2.09</val>
          </value>
          <value>
            <val>2</val>
          </value>
          <value>
            <val>5.4</val>
          </value>
          <value t="str">
            <val>--</val>
          </value>
        </values>
      </ddeItem>
      <ddeItem name="2377.TW-ID,Name,CompanyPos,Price,DIndexPtsContributionRate,VolumeRatio,TurnoverRatio,PriceChangeRatio,DLOrderValueDiffRatio,MajorOrderBidAskRatio" advise="1">
        <values cols="10">
          <value t="str">
            <val>2377</val>
          </value>
          <value t="str">
            <val>微星</val>
          </value>
          <value t="str">
            <val>台灣知名主機板及電競筆電廠</val>
          </value>
          <value>
            <val>171.5</val>
          </value>
          <value>
            <val>0.2</val>
          </value>
          <value>
            <val>1.71</val>
          </value>
          <value>
            <val>0.17</val>
          </value>
          <value>
            <val>1.18</val>
          </value>
          <value>
            <val>0.64</val>
          </value>
          <value>
            <val>54.9</val>
          </value>
        </values>
      </ddeItem>
      <ddeItem name="2377.TW-MajorOrderDif,DXLOrderValueDiffRatio,Low,MonthReturn,QuarterReturn,HalfYearReturn,YearReturn,DLOrderOutValueRatio,DetailIndustry,CompanyNews" advise="1">
        <values cols="10">
          <value t="str">
            <val>1412萬</val>
          </value>
          <value>
            <val>5.09</val>
          </value>
          <value>
            <val>171</val>
          </value>
          <value>
            <val>-4.99</val>
          </value>
          <value>
            <val>7.52</val>
          </value>
          <value>
            <val>-6.79</val>
          </value>
          <value>
            <val>-6.37</val>
          </value>
          <value>
            <val>5.74</val>
          </value>
          <value t="str">
            <val>桌上型電腦,伺服器,筆記型電腦,主機板,週邊產品,繪圖卡,電腦系統業</val>
          </value>
          <value t="str">
            <val>--</val>
          </value>
        </values>
      </ddeItem>
      <ddeItem name="2377.TW-TotalVolume,PreClose,Capital,AvgPrice,Profit,MarketValue,DateofMeetingofShareHolders,InvestorConferenceDate,ShortBalance,FinanceBalance" advise="1">
        <values cols="10">
          <value>
            <val>1428</val>
          </value>
          <value>
            <val>169.5</val>
          </value>
          <value>
            <val>84.49</val>
          </value>
          <value>
            <val>172.54</val>
          </value>
          <value>
            <val>2.95</val>
          </value>
          <value>
            <val>1448.9</val>
          </value>
          <value t="str">
            <val>2024/06/14</val>
          </value>
          <value t="str">
            <val>2024/03/15</val>
          </value>
          <value>
            <val>29</val>
          </value>
          <value>
            <val>4418</val>
          </value>
        </values>
      </ddeItem>
      <ddeItem name="2383.TW-ChipsField17,ROE,InOutRatio,RevenueMonth,EstimatedTotalVolume,5DayAvgVol,FinanceUsedRatio,PriceChange,CashAndStockDividend,ChipsField25" advise="1">
        <values cols="10">
          <value>
            <val>207</val>
          </value>
          <value>
            <val>7.49</val>
          </value>
          <value>
            <val>33.15</val>
          </value>
          <value t="str">
            <val>2024/06</val>
          </value>
          <value>
            <val>13584</val>
          </value>
          <value>
            <val>4975</val>
          </value>
          <value>
            <val>10.67</val>
          </value>
          <value>
            <val>-13</val>
          </value>
          <value>
            <val>10</val>
          </value>
          <value t="str">
            <val>2024/08/29</val>
          </value>
        </values>
      </ddeItem>
      <ddeItem name="2383.TW-ID,Name,CompanyPos,Price,DIndexPtsContributionRate,VolumeRatio,TurnoverRatio,PriceChangeRatio,DLOrderValueDiffRatio,MajorOrderBidAskRatio" advise="1">
        <values cols="10">
          <value t="str">
            <val>2383</val>
          </value>
          <value t="str">
            <val>台光電</val>
          </value>
          <value t="str">
            <val>全球第一大無鹵素板廠、台灣第二大CCL廠</val>
          </value>
          <value>
            <val>425</val>
          </value>
          <value>
            <val>0.21</val>
          </value>
          <value>
            <val>2.63</val>
          </value>
          <value>
            <val>1.71</val>
          </value>
          <value>
            <val>-2.97</val>
          </value>
          <value>
            <val>-4.3600000000000003</val>
          </value>
          <value>
            <val>21.84</val>
          </value>
        </values>
      </ddeItem>
      <ddeItem name="2383.TW-MajorOrderDif,DXLOrderValueDiffRatio,Low,MonthReturn,QuarterReturn,HalfYearReturn,YearReturn,DLOrderOutValueRatio,DetailIndustry,CompanyNews" advise="1">
        <values cols="10">
          <value t="str">
            <val>-7.95億</val>
          </value>
          <value>
            <val>-26.47</val>
          </value>
          <value>
            <val>425</val>
          </value>
          <value>
            <val>-8.8000000000000007</val>
          </value>
          <value>
            <val>3.16</val>
          </value>
          <value>
            <val>-5.56</val>
          </value>
          <value>
            <val>7.37</val>
          </value>
          <value>
            <val>4.7</val>
          </value>
          <value t="str">
            <val>銅箔基板,印刷電路板相關</val>
          </value>
          <value t="str">
            <val>訂8/29為除息交易日</val>
          </value>
        </values>
      </ddeItem>
      <ddeItem name="2383.TW-TotalVolume,PreClose,Capital,AvgPrice,Profit,MarketValue,DateofMeetingofShareHolders,InvestorConferenceDate,ShortBalance,FinanceBalance" advise="1">
        <values cols="10">
          <value>
            <val>5904</val>
          </value>
          <value>
            <val>438</val>
          </value>
          <value>
            <val>34.46</val>
          </value>
          <value>
            <val>436.83</val>
          </value>
          <value>
            <val>5.76</val>
          </value>
          <value>
            <val>1463.2</val>
          </value>
          <value t="str">
            <val>2024/05/29</val>
          </value>
          <value t="str">
            <val>2024/05/02</val>
          </value>
          <value>
            <val>88</val>
          </value>
          <value>
            <val>9194</val>
          </value>
        </values>
      </ddeItem>
      <ddeItem name="2392.TW-ChipsField17,ROE,InOutRatio,RevenueMonth,EstimatedTotalVolume,5DayAvgVol,FinanceUsedRatio,PriceChange,CashAndStockDividend,ChipsField25" advise="1">
        <values cols="10">
          <value>
            <val>92</val>
          </value>
          <value>
            <val>1.43</val>
          </value>
          <value>
            <val>49.72</val>
          </value>
          <value t="str">
            <val>2024/06</val>
          </value>
          <value>
            <val>9978</val>
          </value>
          <value>
            <val>8009</val>
          </value>
          <value>
            <val>16.329999999999998</val>
          </value>
          <value>
            <val>2.6</val>
          </value>
          <value>
            <val>2</val>
          </value>
          <value t="str">
            <val>2024/07/18</val>
          </value>
        </values>
      </ddeItem>
      <ddeItem name="2392.TW-ID,Name,CompanyPos,Price,DIndexPtsContributionRate,VolumeRatio,TurnoverRatio,PriceChangeRatio,DLOrderValueDiffRatio,MajorOrderBidAskRatio" advise="1">
        <values cols="10">
          <value t="str">
            <val>2392</val>
          </value>
          <value t="str">
            <val>正崴</val>
          </value>
          <value t="str">
            <val>生產3C產品連接器、電池模組、電源管理模組之廠商</val>
          </value>
          <value>
            <val>72.900000000000006</val>
          </value>
          <value>
            <val>0.05</val>
          </value>
          <value>
            <val>1.88</val>
          </value>
          <value>
            <val>0.89</val>
          </value>
          <value>
            <val>3.7</val>
          </value>
          <value>
            <val>-0.76</val>
          </value>
          <value>
            <val>52.3</val>
          </value>
        </values>
      </ddeItem>
      <ddeItem name="2392.TW-MajorOrderDif,DXLOrderValueDiffRatio,Low,MonthReturn,QuarterReturn,HalfYearReturn,YearReturn,DLOrderOutValueRatio,DetailIndustry,CompanyNews" advise="1">
        <values cols="10">
          <value t="str">
            <val>693萬</val>
          </value>
          <value>
            <val>2.85</val>
          </value>
          <value>
            <val>71.5</val>
          </value>
          <value>
            <val>-4</val>
          </value>
          <value>
            <val>60.27</val>
          </value>
          <value>
            <val>69.55</val>
          </value>
          <value>
            <val>92.99</val>
          </value>
          <value>
            <val>7.61</val>
          </value>
          <value t="str">
            <val>汽機車零組件,車用電池,電源供應器,連接器,消費用電池,電子零件元件,3C通路商,電子通路,週邊產品,連接線材,工業用電池,電力設備</val>
          </value>
          <value t="str">
            <val>--</val>
          </value>
        </values>
      </ddeItem>
      <ddeItem name="2392.TW-TotalVolume,PreClose,Capital,AvgPrice,Profit,MarketValue,DateofMeetingofShareHolders,InvestorConferenceDate,ShortBalance,FinanceBalance" advise="1">
        <values cols="10">
          <value>
            <val>4540</val>
          </value>
          <value>
            <val>70.3</val>
          </value>
          <value>
            <val>51.23</val>
          </value>
          <value>
            <val>72.92</val>
          </value>
          <value>
            <val>0.83</val>
          </value>
          <value>
            <val>373.5</val>
          </value>
          <value t="str">
            <val>2024/05/30</val>
          </value>
          <value t="str">
            <val>2024/06/20</val>
          </value>
          <value>
            <val>130</val>
          </value>
          <value>
            <val>20920</val>
          </value>
        </values>
      </ddeItem>
      <ddeItem name="2393.TW-ChipsField17,ROE,InOutRatio,RevenueMonth,EstimatedTotalVolume,5DayAvgVol,FinanceUsedRatio,PriceChange,CashAndStockDividend,ChipsField25" advise="1">
        <values cols="10">
          <value>
            <val>0</val>
          </value>
          <value>
            <val>3.93</val>
          </value>
          <value>
            <val>37.729999999999997</val>
          </value>
          <value t="str">
            <val>2024/06</val>
          </value>
          <value>
            <val>16324</val>
          </value>
          <value>
            <val>5366</val>
          </value>
          <value>
            <val>2.19</val>
          </value>
          <value>
            <val>-2.2000000000000002</val>
          </value>
          <value>
            <val>3.2</val>
          </value>
          <value t="str">
            <val>2024/08/01</val>
          </value>
        </values>
      </ddeItem>
      <ddeItem name="2393.TW-ID,Name,CompanyPos,Price,DIndexPtsContributionRate,VolumeRatio,TurnoverRatio,PriceChangeRatio,DLOrderValueDiffRatio,MajorOrderBidAskRatio" advise="1">
        <values cols="10">
          <value t="str">
            <val>2393</val>
          </value>
          <value t="str">
            <val>億光</val>
          </value>
          <value t="str">
            <val>全球前十大LED封裝廠</val>
          </value>
          <value>
            <val>72.599999999999994</val>
          </value>
          <value>
            <val>0.05</val>
          </value>
          <value>
            <val>2.74</val>
          </value>
          <value>
            <val>1.47</val>
          </value>
          <value>
            <val>-2.94</val>
          </value>
          <value>
            <val>-1.34</val>
          </value>
          <value>
            <val>38.520000000000003</val>
          </value>
        </values>
      </ddeItem>
      <ddeItem name="2393.TW-MajorOrderDif,DXLOrderValueDiffRatio,Low,MonthReturn,QuarterReturn,HalfYearReturn,YearReturn,DLOrderOutValueRatio,DetailIndustry,CompanyNews" advise="1">
        <values cols="10">
          <value t="str">
            <val>-5970萬</val>
          </value>
          <value>
            <val>-11.1</val>
          </value>
          <value>
            <val>72.3</val>
          </value>
          <value>
            <val>-1.17</val>
          </value>
          <value>
            <val>19.98</val>
          </value>
          <value>
            <val>55.45</val>
          </value>
          <value>
            <val>55.45</val>
          </value>
          <value>
            <val>4.26</val>
          </value>
          <value t="str">
            <val>LED,LED封裝,紅外線傳輸模組,LED照明產品</val>
          </value>
          <value t="str">
            <val>8/1除息3.20元</val>
          </value>
        </values>
      </ddeItem>
      <ddeItem name="2393.TW-TotalVolume,PreClose,Capital,AvgPrice,Profit,MarketValue,DateofMeetingofShareHolders,InvestorConferenceDate,ShortBalance,FinanceBalance" advise="1">
        <values cols="10">
          <value>
            <val>6515</val>
          </value>
          <value>
            <val>74.8</val>
          </value>
          <value>
            <val>44.34</val>
          </value>
          <value>
            <val>73.680000000000007</val>
          </value>
          <value>
            <val>1.67</val>
          </value>
          <value>
            <val>321.89999999999998</val>
          </value>
          <value t="str">
            <val>2024/06/12</val>
          </value>
          <value t="str">
            <val>2024/05/17</val>
          </value>
          <value>
            <val>0</val>
          </value>
          <value>
            <val>2430</val>
          </value>
        </values>
      </ddeItem>
      <ddeItem name="2421.TW-ChipsField17,ROE,InOutRatio,RevenueMonth,EstimatedTotalVolume,5DayAvgVol,FinanceUsedRatio,PriceChange,CashAndStockDividend,ChipsField25" advise="1">
        <values cols="10">
          <value>
            <val>345</val>
          </value>
          <value>
            <val>4.38</val>
          </value>
          <value>
            <val>49.19</val>
          </value>
          <value t="str">
            <val>2024/06</val>
          </value>
          <value>
            <val>8358</val>
          </value>
          <value>
            <val>3317</val>
          </value>
          <value>
            <val>24.77</val>
          </value>
          <value>
            <val>2.9</val>
          </value>
          <value>
            <val>3.5</val>
          </value>
          <value t="str">
            <val>2024/07/03</val>
          </value>
        </values>
      </ddeItem>
      <ddeItem name="2421.TW-ID,Name,CompanyPos,Price,DIndexPtsContributionRate,VolumeRatio,TurnoverRatio,PriceChangeRatio,DLOrderValueDiffRatio,MajorOrderBidAskRatio" advise="1">
        <values cols="10">
          <value t="str">
            <val>2421</val>
          </value>
          <value t="str">
            <val>建準</val>
          </value>
          <value t="str">
            <val>PC散熱風扇知名廠商</val>
          </value>
          <value>
            <val>98</val>
          </value>
          <value>
            <val>0.04</val>
          </value>
          <value>
            <val>4.3899999999999997</val>
          </value>
          <value>
            <val>1.1299999999999999</val>
          </value>
          <value>
            <val>3.05</val>
          </value>
          <value>
            <val>1.19</val>
          </value>
          <value>
            <val>56.73</val>
          </value>
        </values>
      </ddeItem>
      <ddeItem name="2421.TW-MajorOrderDif,DXLOrderValueDiffRatio,Low,MonthReturn,QuarterReturn,HalfYearReturn,YearReturn,DLOrderOutValueRatio,DetailIndustry,CompanyNews" advise="1">
        <values cols="10">
          <value t="str">
            <val>2117萬</val>
          </value>
          <value>
            <val>5.72</val>
          </value>
          <value>
            <val>96.3</val>
          </value>
          <value>
            <val>-10.07</val>
          </value>
          <value>
            <val>-10.07</val>
          </value>
          <value>
            <val>-17.41</val>
          </value>
          <value>
            <val>-22.17</val>
          </value>
          <value>
            <val>7.93</val>
          </value>
          <value t="str">
            <val>散熱風扇馬達,電子零件元件,散熱模組</val>
          </value>
          <value t="str">
            <val>--</val>
          </value>
        </values>
      </ddeItem>
      <ddeItem name="2421.TW-TotalVolume,PreClose,Capital,AvgPrice,Profit,MarketValue,DateofMeetingofShareHolders,InvestorConferenceDate,ShortBalance,FinanceBalance" advise="1">
        <values cols="10">
          <value>
            <val>3092</val>
          </value>
          <value>
            <val>95.1</val>
          </value>
          <value>
            <val>27.34</val>
          </value>
          <value>
            <val>99.21</val>
          </value>
          <value>
            <val>1.19</val>
          </value>
          <value>
            <val>268</val>
          </value>
          <value t="str">
            <val>2024/06/14</val>
          </value>
          <value t="str">
            <val>2023/11/03</val>
          </value>
          <value>
            <val>84</val>
          </value>
          <value>
            <val>16934</val>
          </value>
        </values>
      </ddeItem>
      <ddeItem name="2449.TW-ChipsField17,ROE,InOutRatio,RevenueMonth,EstimatedTotalVolume,5DayAvgVol,FinanceUsedRatio,PriceChange,CashAndStockDividend,ChipsField25" advise="1">
        <values cols="10">
          <value>
            <val>5272</val>
          </value>
          <value>
            <val>3.43</val>
          </value>
          <value>
            <val>64.09</val>
          </value>
          <value t="str">
            <val>2024/06</val>
          </value>
          <value>
            <val>47171</val>
          </value>
          <value>
            <val>21186</val>
          </value>
          <value>
            <val>8.4499999999999993</val>
          </value>
          <value>
            <val>8.5</val>
          </value>
          <value>
            <val>3.2</val>
          </value>
          <value t="str">
            <val>2024/07/16</val>
          </value>
        </values>
      </ddeItem>
      <ddeItem name="2449.TW-ID,Name,CompanyPos,Price,DIndexPtsContributionRate,VolumeRatio,TurnoverRatio,PriceChangeRatio,DLOrderValueDiffRatio,MajorOrderBidAskRatio" advise="1">
        <values cols="10">
          <value t="str">
            <val>2449</val>
          </value>
          <value t="str">
            <val>京元電子</val>
          </value>
          <value t="str">
            <val>全球最大IC測試廠之一</val>
          </value>
          <value>
            <val>113.5</val>
          </value>
          <value>
            <val>0.18</val>
          </value>
          <value>
            <val>3.2</val>
          </value>
          <value>
            <val>1.75</val>
          </value>
          <value>
            <val>8.1</val>
          </value>
          <value>
            <val>2.12</val>
          </value>
          <value>
            <val>56.51</val>
          </value>
        </values>
      </ddeItem>
      <ddeItem name="2449.TW-MajorOrderDif,DXLOrderValueDiffRatio,Low,MonthReturn,QuarterReturn,HalfYearReturn,YearReturn,DLOrderOutValueRatio,DetailIndustry,CompanyNews" advise="1">
        <values cols="10">
          <value t="str">
            <val>2.01億</val>
          </value>
          <value>
            <val>6.26</val>
          </value>
          <value>
            <val>108.5</val>
          </value>
          <value>
            <val>-0.09</val>
          </value>
          <value>
            <val>21.5</val>
          </value>
          <value>
            <val>40.75</val>
          </value>
          <value>
            <val>88.96</val>
          </value>
          <value>
            <val>3.57</val>
          </value>
          <value t="str">
            <val>IC封裝,IC測試,IC封裝測試</val>
          </value>
          <value t="str">
            <val>--</val>
          </value>
        </values>
      </ddeItem>
      <ddeItem name="2449.TW-TotalVolume,PreClose,Capital,AvgPrice,Profit,MarketValue,DateofMeetingofShareHolders,InvestorConferenceDate,ShortBalance,FinanceBalance" advise="1">
        <values cols="10">
          <value>
            <val>21454</val>
          </value>
          <value>
            <val>105</val>
          </value>
          <value>
            <val>122.27</val>
          </value>
          <value>
            <val>111.86</val>
          </value>
          <value>
            <val>1.1200000000000001</val>
          </value>
          <value>
            <val>1387.8</val>
          </value>
          <value t="str">
            <val>2024/05/31</val>
          </value>
          <value t="str">
            <val>--</val>
          </value>
          <value>
            <val>131</val>
          </value>
          <value>
            <val>25821</val>
          </value>
        </values>
      </ddeItem>
      <ddeItem name="2454.TW-ChipsField17,ROE,InOutRatio,RevenueMonth,EstimatedTotalVolume,5DayAvgVol,FinanceUsedRatio,PriceChange,CashAndStockDividend,ChipsField25" advise="1">
        <values cols="10">
          <value>
            <val>47</val>
          </value>
          <value>
            <val>8.4499999999999993</val>
          </value>
          <value>
            <val>33.83</val>
          </value>
          <value t="str">
            <val>2024/06</val>
          </value>
          <value>
            <val>14665</val>
          </value>
          <value>
            <val>6915</val>
          </value>
          <value>
            <val>1.36</val>
          </value>
          <value>
            <val>-30</val>
          </value>
          <value>
            <val>30.41</val>
          </value>
          <value t="str">
            <val>2024/07/04</val>
          </value>
        </values>
      </ddeItem>
      <ddeItem name="2454.TW-ID,Name,CompanyPos,Price,DIndexPtsContributionRate,VolumeRatio,TurnoverRatio,PriceChangeRatio,DLOrderValueDiffRatio,MajorOrderBidAskRatio" advise="1">
        <values cols="10">
          <value t="str">
            <val>2454</val>
          </value>
          <value t="str">
            <val>聯發科</val>
          </value>
          <value t="str">
            <val>全球智慧型手機晶片大廠</val>
          </value>
          <value>
            <val>1190</val>
          </value>
          <value>
            <val>2.77</val>
          </value>
          <value>
            <val>1.92</val>
          </value>
          <value>
            <val>0.36</val>
          </value>
          <value>
            <val>-2.46</val>
          </value>
          <value>
            <val>-0.87</val>
          </value>
          <value>
            <val>25.34</val>
          </value>
        </values>
      </ddeItem>
      <ddeItem name="2454.TW-MajorOrderDif,DXLOrderValueDiffRatio,Low,MonthReturn,QuarterReturn,HalfYearReturn,YearReturn,DLOrderOutValueRatio,DetailIndustry,CompanyNews" advise="1">
        <values cols="10">
          <value t="str">
            <val>-20.5億</val>
          </value>
          <value>
            <val>-28.75</val>
          </value>
          <value>
            <val>1185</val>
          </value>
          <value>
            <val>-14.04</val>
          </value>
          <value>
            <val>22.61</val>
          </value>
          <value>
            <val>30.79</val>
          </value>
          <value>
            <val>75.11</val>
          </value>
          <value>
            <val>1.1499999999999999</val>
          </value>
          <value t="str">
            <val>DSL晶片組,無線網路IC,衛星導航晶片組,數據機晶片組,CPU,IC設計,網路通訊IC,消費性IC,光碟機驅動IC,LCD控制IC,影音IC,數位電視IC,手機晶片相關,手機零組件</val>
          </value>
          <value t="str">
            <val>Q3財測：單季營收變動 -3~4%；EPS 13.13~16.0</val>
          </value>
        </values>
      </ddeItem>
      <ddeItem name="2454.TW-TotalVolume,PreClose,Capital,AvgPrice,Profit,MarketValue,DateofMeetingofShareHolders,InvestorConferenceDate,ShortBalance,FinanceBalance" advise="1">
        <values cols="10">
          <value>
            <val>5774</val>
          </value>
          <value>
            <val>1220</val>
          </value>
          <value>
            <val>159.93</val>
          </value>
          <value>
            <val>1200.8699999999999</val>
          </value>
          <value>
            <val>19.850000000000001</val>
          </value>
          <value>
            <val>19032.2</val>
          </value>
          <value t="str">
            <val>2024/05/27</val>
          </value>
          <value t="str">
            <val>2024/07/31</val>
          </value>
          <value>
            <val>118</val>
          </value>
          <value>
            <val>5442</val>
          </value>
        </values>
      </ddeItem>
      <ddeItem name="2464.TW-ChipsField17,ROE,InOutRatio,RevenueMonth,EstimatedTotalVolume,5DayAvgVol,FinanceUsedRatio,PriceChange,CashAndStockDividend,ChipsField25" advise="1">
        <values cols="10">
          <value>
            <val>0</val>
          </value>
          <value>
            <val>0.35</val>
          </value>
          <value>
            <val>53.18</val>
          </value>
          <value t="str">
            <val>2024/06</val>
          </value>
          <value>
            <val>29636</val>
          </value>
          <value>
            <val>16011</val>
          </value>
          <value>
            <val>26.87</val>
          </value>
          <value>
            <val>6.1</val>
          </value>
          <value>
            <val>0.5</val>
          </value>
          <value t="str">
            <val>2024/07/03</val>
          </value>
        </values>
      </ddeItem>
      <ddeItem name="2464.TW-ID,Name,CompanyPos,Price,DIndexPtsContributionRate,VolumeRatio,TurnoverRatio,PriceChangeRatio,DLOrderValueDiffRatio,MajorOrderBidAskRatio" advise="1">
        <values cols="10">
          <value t="str">
            <val>2464</val>
          </value>
          <value t="str">
            <val>盟立</val>
          </value>
          <value t="str">
            <val>台灣工業自動化設備廠</val>
          </value>
          <value>
            <val>83.6</val>
          </value>
          <value>
            <val>0.02</val>
          </value>
          <value>
            <val>2.34</val>
          </value>
          <value>
            <val>8.31</val>
          </value>
          <value>
            <val>7.87</val>
          </value>
          <value>
            <val>2.35</val>
          </value>
          <value>
            <val>55.98</val>
          </value>
        </values>
      </ddeItem>
      <ddeItem name="2464.TW-MajorOrderDif,DXLOrderValueDiffRatio,Low,MonthReturn,QuarterReturn,HalfYearReturn,YearReturn,DLOrderOutValueRatio,DetailIndustry,CompanyNews" advise="1">
        <values cols="10">
          <value t="str">
            <val>8396萬</val>
          </value>
          <value>
            <val>3.84</val>
          </value>
          <value>
            <val>79.2</val>
          </value>
          <value>
            <val>20.46</val>
          </value>
          <value>
            <val>73.069999999999993</val>
          </value>
          <value>
            <val>133.57</val>
          </value>
          <value>
            <val>115.62</val>
          </value>
          <value>
            <val>7.27</val>
          </value>
          <value t="str">
            <val>半導體設備,軟體業,軟體通路／代理,設備儀器廠商,面板設備,自動化設備,機器人,機械</val>
          </value>
          <value t="str">
            <val>--</val>
          </value>
        </values>
      </ddeItem>
      <ddeItem name="2464.TW-TotalVolume,PreClose,Capital,AvgPrice,Profit,MarketValue,DateofMeetingofShareHolders,InvestorConferenceDate,ShortBalance,FinanceBalance" advise="1">
        <values cols="10">
          <value>
            <val>16248</val>
          </value>
          <value>
            <val>77.5</val>
          </value>
          <value>
            <val>19.55</val>
          </value>
          <value>
            <val>83.51</val>
          </value>
          <value>
            <val>0.06</val>
          </value>
          <value>
            <val>163.5</val>
          </value>
          <value t="str">
            <val>2024/05/29</val>
          </value>
          <value t="str">
            <val>2023/12/27</val>
          </value>
          <value>
            <val>527</val>
          </value>
          <value>
            <val>13134</val>
          </value>
        </values>
      </ddeItem>
      <ddeItem name="2489.TW-ChipsField17,ROE,InOutRatio,RevenueMonth,EstimatedTotalVolume,5DayAvgVol,FinanceUsedRatio,PriceChange,CashAndStockDividend,ChipsField25" advise="1">
        <values cols="10">
          <value>
            <val>3500</val>
          </value>
          <value>
            <val>4.24</val>
          </value>
          <value>
            <val>58.59</val>
          </value>
          <value t="str">
            <val>2024/06</val>
          </value>
          <value>
            <val>29768</val>
          </value>
          <value>
            <val>20969</val>
          </value>
          <value>
            <val>14.83</val>
          </value>
          <value>
            <val>0.55000000000000004</val>
          </value>
          <value>
            <val>0.54</val>
          </value>
          <value t="str">
            <val>--</val>
          </value>
        </values>
      </ddeItem>
      <ddeItem name="2489.TW-ID,Name,CompanyPos,Price,DIndexPtsContributionRate,VolumeRatio,TurnoverRatio,PriceChangeRatio,DLOrderValueDiffRatio,MajorOrderBidAskRatio" advise="1">
        <values cols="10">
          <value t="str">
            <val>2489</val>
          </value>
          <value t="str">
            <val>瑞軒</val>
          </value>
          <value t="str">
            <val>台灣知名液晶電視及顯示器代工廠</val>
          </value>
          <value>
            <val>21.85</val>
          </value>
          <value>
            <val>0.02</val>
          </value>
          <value>
            <val>1.77</val>
          </value>
          <value>
            <val>2.14</val>
          </value>
          <value>
            <val>2.58</val>
          </value>
          <value>
            <val>2.39</val>
          </value>
          <value>
            <val>62.21</val>
          </value>
        </values>
      </ddeItem>
      <ddeItem name="2489.TW-MajorOrderDif,DXLOrderValueDiffRatio,Low,MonthReturn,QuarterReturn,HalfYearReturn,YearReturn,DLOrderOutValueRatio,DetailIndustry,CompanyNews" advise="1">
        <values cols="10">
          <value t="str">
            <val>5200萬</val>
          </value>
          <value>
            <val>12.58</val>
          </value>
          <value>
            <val>21.55</val>
          </value>
          <value>
            <val>7.11</val>
          </value>
          <value>
            <val>43.28</val>
          </value>
          <value>
            <val>64.290000000000006</val>
          </value>
          <value>
            <val>55.29</val>
          </value>
          <value>
            <val>7.93</val>
          </value>
          <value t="str">
            <val>顯示器,LCD顯示器,週邊產品,家電,液晶電視</val>
          </value>
          <value t="str">
            <val>--</val>
          </value>
        </values>
      </ddeItem>
      <ddeItem name="2489.TW-TotalVolume,PreClose,Capital,AvgPrice,Profit,MarketValue,DateofMeetingofShareHolders,InvestorConferenceDate,ShortBalance,FinanceBalance" advise="1">
        <values cols="10">
          <value>
            <val>15831</val>
          </value>
          <value>
            <val>21.3</val>
          </value>
          <value>
            <val>74.010000000000005</val>
          </value>
          <value>
            <val>21.95</val>
          </value>
          <value>
            <val>0.77</val>
          </value>
          <value>
            <val>161.69999999999999</val>
          </value>
          <value t="str">
            <val>2024/06/12</val>
          </value>
          <value t="str">
            <val>2023/12/21</val>
          </value>
          <value>
            <val>595</val>
          </value>
          <value>
            <val>27440</val>
          </value>
        </values>
      </ddeItem>
      <ddeItem name="2501.TW-ChipsField17,ROE,InOutRatio,RevenueMonth,EstimatedTotalVolume,5DayAvgVol,FinanceUsedRatio,PriceChange,CashAndStockDividend,ChipsField25" advise="1">
        <values cols="10">
          <value>
            <val>0</val>
          </value>
          <value>
            <val>1.93</val>
          </value>
          <value>
            <val>65.900000000000006</val>
          </value>
          <value t="str">
            <val>2024/06</val>
          </value>
          <value>
            <val>14865</val>
          </value>
          <value>
            <val>6882</val>
          </value>
          <value>
            <val>6.66</val>
          </value>
          <value>
            <val>1.6</val>
          </value>
          <value>
            <val>1</val>
          </value>
          <value t="str">
            <val>2024/07/16</val>
          </value>
        </values>
      </ddeItem>
      <ddeItem name="2501.TW-ID,Name,CompanyPos,Price,DIndexPtsContributionRate,VolumeRatio,TurnoverRatio,PriceChangeRatio,DLOrderValueDiffRatio,MajorOrderBidAskRatio" advise="1">
        <values cols="10">
          <value t="str">
            <val>2501</val>
          </value>
          <value t="str">
            <val>國建</val>
          </value>
          <value t="str">
            <val>屬霖園集團之台灣老牌營建開發業者</val>
          </value>
          <value>
            <val>32.700000000000003</val>
          </value>
          <value>
            <val>0.05</val>
          </value>
          <value>
            <val>2.72</val>
          </value>
          <value>
            <val>0.73</val>
          </value>
          <value>
            <val>5.14</val>
          </value>
          <value>
            <val>6.08</val>
          </value>
          <value>
            <val>84</val>
          </value>
        </values>
      </ddeItem>
      <ddeItem name="2501.TW-MajorOrderDif,DXLOrderValueDiffRatio,Low,MonthReturn,QuarterReturn,HalfYearReturn,YearReturn,DLOrderOutValueRatio,DetailIndustry,CompanyNews" advise="1">
        <values cols="10">
          <value t="str">
            <val>9691萬</val>
          </value>
          <value>
            <val>29.43</val>
          </value>
          <value>
            <val>30.95</val>
          </value>
          <value>
            <val>8.9499999999999993</val>
          </value>
          <value>
            <val>-11.81</val>
          </value>
          <value>
            <val>74.55</val>
          </value>
          <value>
            <val>113.77</val>
          </value>
          <value>
            <val>11.19</val>
          </value>
          <value t="str">
            <val>營建,地產</val>
          </value>
          <value t="str">
            <val>--</val>
          </value>
        </values>
      </ddeItem>
      <ddeItem name="2501.TW-TotalVolume,PreClose,Capital,AvgPrice,Profit,MarketValue,DateofMeetingofShareHolders,InvestorConferenceDate,ShortBalance,FinanceBalance" advise="1">
        <values cols="10">
          <value>
            <val>8440</val>
          </value>
          <value>
            <val>31.1</val>
          </value>
          <value>
            <val>115.96</val>
          </value>
          <value>
            <val>32.33</val>
          </value>
          <value>
            <val>0.47</val>
          </value>
          <value>
            <val>379.2</val>
          </value>
          <value t="str">
            <val>2024/06/14</val>
          </value>
          <value t="str">
            <val>2024/04/19</val>
          </value>
          <value>
            <val>237</val>
          </value>
          <value>
            <val>19307</val>
          </value>
        </values>
      </ddeItem>
      <ddeItem name="2506.TW-ChipsField17,ROE,InOutRatio,RevenueMonth,EstimatedTotalVolume,5DayAvgVol,FinanceUsedRatio,PriceChange,CashAndStockDividend,ChipsField25" advise="1">
        <values cols="10">
          <value>
            <val>0</val>
          </value>
          <value>
            <val>-0.67</val>
          </value>
          <value>
            <val>66.06</val>
          </value>
          <value t="str">
            <val>2024/06</val>
          </value>
          <value>
            <val>2412</val>
          </value>
          <value>
            <val>1869</val>
          </value>
          <value>
            <val>5.26</val>
          </value>
          <value>
            <val>0.35</val>
          </value>
          <value>
            <val>0.2</val>
          </value>
          <value t="str">
            <val>2024/06/14</val>
          </value>
        </values>
      </ddeItem>
      <ddeItem name="2506.TW-ID,Name,CompanyPos,Price,DIndexPtsContributionRate,VolumeRatio,TurnoverRatio,PriceChangeRatio,DLOrderValueDiffRatio,MajorOrderBidAskRatio" advise="1">
        <values cols="10">
          <value t="str">
            <val>2506</val>
          </value>
          <value t="str">
            <val>太設</val>
          </value>
          <value t="str">
            <val>多角化經營建設、百貨及休閒等事業</val>
          </value>
          <value>
            <val>12.55</val>
          </value>
          <value>
            <val>0.01</val>
          </value>
          <value>
            <val>2.12</val>
          </value>
          <value>
            <val>0.38</val>
          </value>
          <value>
            <val>2.87</val>
          </value>
          <value>
            <val>13.24</val>
          </value>
          <value>
            <val>83.34</val>
          </value>
        </values>
      </ddeItem>
      <ddeItem name="2506.TW-MajorOrderDif,DXLOrderValueDiffRatio,Low,MonthReturn,QuarterReturn,HalfYearReturn,YearReturn,DLOrderOutValueRatio,DetailIndustry,CompanyNews" advise="1">
        <values cols="10">
          <value t="str">
            <val>542萬</val>
          </value>
          <value>
            <val>16.239999999999998</val>
          </value>
          <value>
            <val>12.15</val>
          </value>
          <value>
            <val>3.72</val>
          </value>
          <value>
            <val>0.06</val>
          </value>
          <value>
            <val>26.32</val>
          </value>
          <value>
            <val>40.020000000000003</val>
          </value>
          <value>
            <val>13.24</val>
          </value>
          <value t="str">
            <val>營建,地產,物業投資發展</val>
          </value>
          <value t="str">
            <val>--</val>
          </value>
        </values>
      </ddeItem>
      <ddeItem name="2506.TW-TotalVolume,PreClose,Capital,AvgPrice,Profit,MarketValue,DateofMeetingofShareHolders,InvestorConferenceDate,ShortBalance,FinanceBalance" advise="1">
        <values cols="10">
          <value>
            <val>1478</val>
          </value>
          <value>
            <val>12.2</val>
          </value>
          <value>
            <val>38.700000000000003</val>
          </value>
          <value>
            <val>12.44</val>
          </value>
          <value>
            <val>-0.17</val>
          </value>
          <value>
            <val>48.6</val>
          </value>
          <value t="str">
            <val>2024/06/14</val>
          </value>
          <value t="str">
            <val>2023/12/21</val>
          </value>
          <value>
            <val>2</val>
          </value>
          <value>
            <val>3953</val>
          </value>
        </values>
      </ddeItem>
      <ddeItem name="2511.TW-ChipsField17,ROE,InOutRatio,RevenueMonth,EstimatedTotalVolume,5DayAvgVol,FinanceUsedRatio,PriceChange,CashAndStockDividend,ChipsField25" advise="1">
        <values cols="10">
          <value>
            <val>0</val>
          </value>
          <value>
            <val>0.47</val>
          </value>
          <value>
            <val>64.45</val>
          </value>
          <value t="str">
            <val>2024/06</val>
          </value>
          <value>
            <val>10923</val>
          </value>
          <value>
            <val>5385</val>
          </value>
          <value>
            <val>2.66</val>
          </value>
          <value>
            <val>0.45</val>
          </value>
          <value>
            <val>0.36</val>
          </value>
          <value t="str">
            <val>2024/07/26</val>
          </value>
        </values>
      </ddeItem>
      <ddeItem name="2511.TW-ID,Name,CompanyPos,Price,DIndexPtsContributionRate,VolumeRatio,TurnoverRatio,PriceChangeRatio,DLOrderValueDiffRatio,MajorOrderBidAskRatio" advise="1">
        <values cols="10">
          <value t="str">
            <val>2511</val>
          </value>
          <value t="str">
            <val>太子</val>
          </value>
          <value t="str">
            <val>統一集團旗下建商</val>
          </value>
          <value>
            <val>12.9</val>
          </value>
          <value>
            <val>0.03</val>
          </value>
          <value>
            <val>2.96</val>
          </value>
          <value>
            <val>0.36</val>
          </value>
          <value>
            <val>3.61</val>
          </value>
          <value>
            <val>8.5500000000000007</val>
          </value>
          <value>
            <val>74.3</val>
          </value>
        </values>
      </ddeItem>
      <ddeItem name="2511.TW-MajorOrderDif,DXLOrderValueDiffRatio,Low,MonthReturn,QuarterReturn,HalfYearReturn,YearReturn,DLOrderOutValueRatio,DetailIndustry,CompanyNews" advise="1">
        <values cols="10">
          <value t="str">
            <val>1853萬</val>
          </value>
          <value>
            <val>16.29</val>
          </value>
          <value>
            <val>12.45</val>
          </value>
          <value>
            <val>9.27</val>
          </value>
          <value>
            <val>4.54</val>
          </value>
          <value>
            <val>25.84</val>
          </value>
          <value>
            <val>15.45</val>
          </value>
          <value>
            <val>16.600000000000001</val>
          </value>
          <value t="str">
            <val>營建,住宅建設,地產,營造工程,旅館、餐飲,飯店</val>
          </value>
          <value t="str">
            <val>--</val>
          </value>
        </values>
      </ddeItem>
      <ddeItem name="2511.TW-TotalVolume,PreClose,Capital,AvgPrice,Profit,MarketValue,DateofMeetingofShareHolders,InvestorConferenceDate,ShortBalance,FinanceBalance" advise="1">
        <values cols="10">
          <value>
            <val>5795</val>
          </value>
          <value>
            <val>12.45</val>
          </value>
          <value>
            <val>162.33000000000001</val>
          </value>
          <value>
            <val>12.87</val>
          </value>
          <value>
            <val>0.08</val>
          </value>
          <value>
            <val>209.4</val>
          </value>
          <value t="str">
            <val>2024/06/19</val>
          </value>
          <value t="str">
            <val>2024/03/27</val>
          </value>
          <value>
            <val>1</val>
          </value>
          <value>
            <val>10810</val>
          </value>
        </values>
      </ddeItem>
      <ddeItem name="2528.TW-ChipsField17,ROE,InOutRatio,RevenueMonth,EstimatedTotalVolume,5DayAvgVol,FinanceUsedRatio,PriceChange,CashAndStockDividend,ChipsField25" advise="1">
        <values cols="10">
          <value>
            <val>0</val>
          </value>
          <value>
            <val>-0.77</val>
          </value>
          <value>
            <val>68.44</val>
          </value>
          <value t="str">
            <val>2024/06</val>
          </value>
          <value>
            <val>2636</val>
          </value>
          <value>
            <val>1758</val>
          </value>
          <value>
            <val>7.31</val>
          </value>
          <value>
            <val>2.0499999999999998</val>
          </value>
          <value>
            <val>0.5</val>
          </value>
          <value t="str">
            <val>2024/04/02</val>
          </value>
        </values>
      </ddeItem>
      <ddeItem name="2528.TW-ID,Name,CompanyPos,Price,DIndexPtsContributionRate,VolumeRatio,TurnoverRatio,PriceChangeRatio,DLOrderValueDiffRatio,MajorOrderBidAskRatio" advise="1">
        <values cols="10">
          <value t="str">
            <val>2528</val>
          </value>
          <value t="str">
            <val>皇普</val>
          </value>
          <value t="str">
            <val>以大台北地區推案為主的建商</val>
          </value>
          <value>
            <val>51.7</val>
          </value>
          <value>
            <val>0.02</val>
          </value>
          <value>
            <val>2.12</val>
          </value>
          <value>
            <val>0.47</val>
          </value>
          <value>
            <val>4.13</val>
          </value>
          <value>
            <val>9.3699999999999992</val>
          </value>
          <value>
            <val>82.15</val>
          </value>
        </values>
      </ddeItem>
      <ddeItem name="2528.TW-MajorOrderDif,DXLOrderValueDiffRatio,Low,MonthReturn,QuarterReturn,HalfYearReturn,YearReturn,DLOrderOutValueRatio,DetailIndustry,CompanyNews" advise="1">
        <values cols="10">
          <value t="str">
            <val>2378萬</val>
          </value>
          <value>
            <val>19.809999999999999</val>
          </value>
          <value>
            <val>49.4</val>
          </value>
          <value>
            <val>13.88</val>
          </value>
          <value>
            <val>3.4</val>
          </value>
          <value>
            <val>38.6</val>
          </value>
          <value>
            <val>94.24</val>
          </value>
          <value>
            <val>14.77</val>
          </value>
          <value t="str">
            <val>營建,地產</val>
          </value>
          <value t="str">
            <val>--</val>
          </value>
        </values>
      </ddeItem>
      <ddeItem name="2528.TW-TotalVolume,PreClose,Capital,AvgPrice,Profit,MarketValue,DateofMeetingofShareHolders,InvestorConferenceDate,ShortBalance,FinanceBalance" advise="1">
        <values cols="10">
          <value>
            <val>1581</val>
          </value>
          <value>
            <val>49.65</val>
          </value>
          <value>
            <val>40.85</val>
          </value>
          <value>
            <val>51.55</val>
          </value>
          <value>
            <val>-0.1</val>
          </value>
          <value>
            <val>174.9</val>
          </value>
          <value t="str">
            <val>2024/06/06</val>
          </value>
          <value t="str">
            <val>2024/07/18</val>
          </value>
          <value>
            <val>60</val>
          </value>
          <value>
            <val>6549</val>
          </value>
        </values>
      </ddeItem>
      <ddeItem name="2543.TW-ChipsField17,ROE,InOutRatio,RevenueMonth,EstimatedTotalVolume,5DayAvgVol,FinanceUsedRatio,PriceChange,CashAndStockDividend,ChipsField25" advise="1">
        <values cols="10">
          <value>
            <val>1277</val>
          </value>
          <value>
            <val>3.21</val>
          </value>
          <value>
            <val>61.06</val>
          </value>
          <value t="str">
            <val>2024/06</val>
          </value>
          <value>
            <val>14604</val>
          </value>
          <value>
            <val>11596</val>
          </value>
          <value>
            <val>17.63</val>
          </value>
          <value>
            <val>1.6</val>
          </value>
          <value>
            <val>1.8</val>
          </value>
          <value t="str">
            <val>2024/05/30</val>
          </value>
        </values>
      </ddeItem>
      <ddeItem name="2543.TW-ID,Name,CompanyPos,Price,DIndexPtsContributionRate,VolumeRatio,TurnoverRatio,PriceChangeRatio,DLOrderValueDiffRatio,MajorOrderBidAskRatio" advise="1">
        <values cols="10">
          <value t="str">
            <val>2543</val>
          </value>
          <value t="str">
            <val>皇昌</val>
          </value>
          <value t="str">
            <val>主要承攬公共工程之營造廠</val>
          </value>
          <value>
            <val>64.099999999999994</val>
          </value>
          <value>
            <val>0.03</val>
          </value>
          <value>
            <val>1.77</val>
          </value>
          <value>
            <val>2.33</val>
          </value>
          <value>
            <val>2.56</val>
          </value>
          <value>
            <val>1.03</val>
          </value>
          <value>
            <val>70.41</val>
          </value>
        </values>
      </ddeItem>
      <ddeItem name="2543.TW-MajorOrderDif,DXLOrderValueDiffRatio,Low,MonthReturn,QuarterReturn,HalfYearReturn,YearReturn,DLOrderOutValueRatio,DetailIndustry,CompanyNews" advise="1">
        <values cols="10">
          <value t="str">
            <val>8998萬</val>
          </value>
          <value>
            <val>17.12</val>
          </value>
          <value>
            <val>62.5</val>
          </value>
          <value>
            <val>35.520000000000003</val>
          </value>
          <value>
            <val>48.92</val>
          </value>
          <value>
            <val>169.97</val>
          </value>
          <value>
            <val>659.48</val>
          </value>
          <value>
            <val>7.33</val>
          </value>
          <value t="str">
            <val>基礎建設,營造工程</val>
          </value>
          <value t="str">
            <val>--</val>
          </value>
        </values>
      </ddeItem>
      <ddeItem name="2543.TW-TotalVolume,PreClose,Capital,AvgPrice,Profit,MarketValue,DateofMeetingofShareHolders,InvestorConferenceDate,ShortBalance,FinanceBalance" advise="1">
        <values cols="10">
          <value>
            <val>7701</val>
          </value>
          <value>
            <val>62.5</val>
          </value>
          <value>
            <val>33.07</val>
          </value>
          <value>
            <val>64.37</val>
          </value>
          <value>
            <val>0.39</val>
          </value>
          <value>
            <val>212</val>
          </value>
          <value t="str">
            <val>2024/04/30</val>
          </value>
          <value t="str">
            <val>2023/11/21</val>
          </value>
          <value>
            <val>1603</val>
          </value>
          <value>
            <val>14577</val>
          </value>
        </values>
      </ddeItem>
      <ddeItem name="2547.TW-ChipsField17,ROE,InOutRatio,RevenueMonth,EstimatedTotalVolume,5DayAvgVol,FinanceUsedRatio,PriceChange,CashAndStockDividend,ChipsField25" advise="1">
        <values cols="10">
          <value>
            <val>0</val>
          </value>
          <value>
            <val>-0.66</val>
          </value>
          <value>
            <val>64.72</val>
          </value>
          <value t="str">
            <val>2024/06</val>
          </value>
          <value>
            <val>9395</val>
          </value>
          <value>
            <val>7366</val>
          </value>
          <value>
            <val>7.1</val>
          </value>
          <value>
            <val>0.15</val>
          </value>
          <value>
            <val>0.25</val>
          </value>
          <value t="str">
            <val>2024/08/15</val>
          </value>
        </values>
      </ddeItem>
      <ddeItem name="2547.TW-ID,Name,CompanyPos,Price,DIndexPtsContributionRate,VolumeRatio,TurnoverRatio,PriceChangeRatio,DLOrderValueDiffRatio,MajorOrderBidAskRatio" advise="1">
        <values cols="10">
          <value t="str">
            <val>2547</val>
          </value>
          <value t="str">
            <val>日勝生</val>
          </value>
          <value t="str">
            <val>以政府開發案起家，橫跨建築、百貨及觀光的中型建商</val>
          </value>
          <value>
            <val>11.8</val>
          </value>
          <value>
            <val>0.02</val>
          </value>
          <value>
            <val>2.34</val>
          </value>
          <value>
            <val>0.49</val>
          </value>
          <value>
            <val>1.29</val>
          </value>
          <value>
            <val>7.13</val>
          </value>
          <value>
            <val>67.28</val>
          </value>
        </values>
      </ddeItem>
      <ddeItem name="2547.TW-MajorOrderDif,DXLOrderValueDiffRatio,Low,MonthReturn,QuarterReturn,HalfYearReturn,YearReturn,DLOrderOutValueRatio,DetailIndustry,CompanyNews" advise="1">
        <values cols="10">
          <value t="str">
            <val>1280萬</val>
          </value>
          <value>
            <val>16.21</val>
          </value>
          <value>
            <val>11.55</val>
          </value>
          <value>
            <val>8.76</val>
          </value>
          <value>
            <val>-0.84</val>
          </value>
          <value>
            <val>25</val>
          </value>
          <value>
            <val>29.81</val>
          </value>
          <value>
            <val>17.899999999999999</val>
          </value>
          <value t="str">
            <val>流通業,百貨公司,營建,地產,物業投資發展</val>
          </value>
          <value t="str">
            <val>訂8/15為除息交易日</val>
          </value>
        </values>
      </ddeItem>
      <ddeItem name="2547.TW-TotalVolume,PreClose,Capital,AvgPrice,Profit,MarketValue,DateofMeetingofShareHolders,InvestorConferenceDate,ShortBalance,FinanceBalance" advise="1">
        <values cols="10">
          <value>
            <val>4664</val>
          </value>
          <value>
            <val>11.65</val>
          </value>
          <value>
            <val>95.51</val>
          </value>
          <value>
            <val>11.76</val>
          </value>
          <value>
            <val>-0.11</val>
          </value>
          <value>
            <val>112.7</val>
          </value>
          <value t="str">
            <val>2024/05/27</val>
          </value>
          <value t="str">
            <val>2024/05/15</val>
          </value>
          <value>
            <val>177</val>
          </value>
          <value>
            <val>16953</val>
          </value>
        </values>
      </ddeItem>
      <ddeItem name="2603.TW-ChipsField17,ROE,InOutRatio,RevenueMonth,EstimatedTotalVolume,5DayAvgVol,FinanceUsedRatio,PriceChange,CashAndStockDividend,ChipsField25" advise="1">
        <values cols="10">
          <value>
            <val>227</val>
          </value>
          <value>
            <val>3.73</val>
          </value>
          <value>
            <val>63.77</val>
          </value>
          <value t="str">
            <val>2024/06</val>
          </value>
          <value>
            <val>32351</val>
          </value>
          <value>
            <val>18331</val>
          </value>
          <value>
            <val>6.06</val>
          </value>
          <value>
            <val>3</val>
          </value>
          <value>
            <val>9.9700000000000006</val>
          </value>
          <value t="str">
            <val>2024/06/27</val>
          </value>
        </values>
      </ddeItem>
      <ddeItem name="2603.TW-ID,Name,CompanyPos,Price,DIndexPtsContributionRate,VolumeRatio,TurnoverRatio,PriceChangeRatio,DLOrderValueDiffRatio,MajorOrderBidAskRatio" advise="1">
        <values cols="10">
          <value t="str">
            <val>2603</val>
          </value>
          <value t="str">
            <val>長榮</val>
          </value>
          <value t="str">
            <val>全球前七大貨櫃航商，且為台灣最大</val>
          </value>
          <value>
            <val>173.5</val>
          </value>
          <value>
            <val>0.52</val>
          </value>
          <value>
            <val>2.11</val>
          </value>
          <value>
            <val>0.59</val>
          </value>
          <value>
            <val>1.76</val>
          </value>
          <value>
            <val>2.4300000000000002</val>
          </value>
          <value>
            <val>64.069999999999993</val>
          </value>
        </values>
      </ddeItem>
      <ddeItem name="2603.TW-MajorOrderDif,DXLOrderValueDiffRatio,Low,MonthReturn,QuarterReturn,HalfYearReturn,YearReturn,DLOrderOutValueRatio,DetailIndustry,CompanyNews" advise="1">
        <values cols="10">
          <value t="str">
            <val>4.26億</val>
          </value>
          <value>
            <val>17.12</val>
          </value>
          <value>
            <val>170</val>
          </value>
          <value>
            <val>-9.64</val>
          </value>
          <value>
            <val>-3.64</val>
          </value>
          <value>
            <val>16.3</val>
          </value>
          <value>
            <val>73.08</val>
          </value>
          <value>
            <val>5.81</val>
          </value>
          <value t="str">
            <val>貨櫃航運,運輸事業</val>
          </value>
          <value t="str">
            <val>--</val>
          </value>
        </values>
      </ddeItem>
      <ddeItem name="2603.TW-TotalVolume,PreClose,Capital,AvgPrice,Profit,MarketValue,DateofMeetingofShareHolders,InvestorConferenceDate,ShortBalance,FinanceBalance" advise="1">
        <values cols="10">
          <value>
            <val>12616</val>
          </value>
          <value>
            <val>170.5</val>
          </value>
          <value>
            <val>216.54</val>
          </value>
          <value>
            <val>172.83</val>
          </value>
          <value>
            <val>8.14</val>
          </value>
          <value>
            <val>3706.5</val>
          </value>
          <value t="str">
            <val>2024/05/28</val>
          </value>
          <value t="str">
            <val>2024/04/18</val>
          </value>
          <value>
            <val>1165</val>
          </value>
          <value>
            <val>32608</val>
          </value>
        </values>
      </ddeItem>
      <ddeItem name="2606.TW-ChipsField17,ROE,InOutRatio,RevenueMonth,EstimatedTotalVolume,5DayAvgVol,FinanceUsedRatio,PriceChange,CashAndStockDividend,ChipsField25" advise="1">
        <values cols="10">
          <value>
            <val>78</val>
          </value>
          <value>
            <val>2.74</val>
          </value>
          <value>
            <val>62.2</val>
          </value>
          <value t="str">
            <val>2024/06</val>
          </value>
          <value>
            <val>5088</val>
          </value>
          <value>
            <val>2412</val>
          </value>
          <value>
            <val>4.04</val>
          </value>
          <value>
            <val>1</val>
          </value>
          <value>
            <val>2.4</val>
          </value>
          <value t="str">
            <val>2024/06/27</val>
          </value>
        </values>
      </ddeItem>
      <ddeItem name="2606.TW-ID,Name,CompanyPos,Price,DIndexPtsContributionRate,VolumeRatio,TurnoverRatio,PriceChangeRatio,DLOrderValueDiffRatio,MajorOrderBidAskRatio" advise="1">
        <values cols="10">
          <value t="str">
            <val>2606</val>
          </value>
          <value t="str">
            <val>裕民</val>
          </value>
          <value t="str">
            <val>台灣最大散裝航運公司之一</val>
          </value>
          <value>
            <val>52.6</val>
          </value>
          <value>
            <val>0.06</val>
          </value>
          <value>
            <val>2.58</val>
          </value>
          <value>
            <val>0.26</val>
          </value>
          <value>
            <val>1.94</val>
          </value>
          <value>
            <val>-1.52</val>
          </value>
          <value>
            <val>64.72</val>
          </value>
        </values>
      </ddeItem>
      <ddeItem name="2606.TW-MajorOrderDif,DXLOrderValueDiffRatio,Low,MonthReturn,QuarterReturn,HalfYearReturn,YearReturn,DLOrderOutValueRatio,DetailIndustry,CompanyNews" advise="1">
        <values cols="10">
          <value t="str">
            <val>1900萬</val>
          </value>
          <value>
            <val>18.010000000000002</val>
          </value>
          <value>
            <val>51.5</val>
          </value>
          <value>
            <val>-6.9</val>
          </value>
          <value>
            <val>1.23</val>
          </value>
          <value>
            <val>12.89</val>
          </value>
          <value>
            <val>26.28</val>
          </value>
          <value>
            <val>8.09</val>
          </value>
          <value t="str">
            <val>散裝航運,油輪,運輸事業</val>
          </value>
          <value t="str">
            <val>--</val>
          </value>
        </values>
      </ddeItem>
      <ddeItem name="2606.TW-TotalVolume,PreClose,Capital,AvgPrice,Profit,MarketValue,DateofMeetingofShareHolders,InvestorConferenceDate,ShortBalance,FinanceBalance" advise="1">
        <values cols="10">
          <value>
            <val>2204</val>
          </value>
          <value>
            <val>51.6</val>
          </value>
          <value>
            <val>84.51</val>
          </value>
          <value>
            <val>52.28</val>
          </value>
          <value>
            <val>1.17</val>
          </value>
          <value>
            <val>444.5</val>
          </value>
          <value t="str">
            <val>2024/06/03</val>
          </value>
          <value t="str">
            <val>2023/11/16</val>
          </value>
          <value>
            <val>19</val>
          </value>
          <value>
            <val>8531</val>
          </value>
        </values>
      </ddeItem>
      <ddeItem name="2614.TW-ChipsField17,ROE,InOutRatio,RevenueMonth,EstimatedTotalVolume,5DayAvgVol,FinanceUsedRatio,PriceChange,CashAndStockDividend,ChipsField25" advise="1">
        <values cols="10">
          <value>
            <val>0</val>
          </value>
          <value>
            <val>-0.2</val>
          </value>
          <value>
            <val>64.42</val>
          </value>
          <value t="str">
            <val>2024/06</val>
          </value>
          <value>
            <val>3350</val>
          </value>
          <value>
            <val>684</val>
          </value>
          <value>
            <val>5.27</val>
          </value>
          <value>
            <val>0.5</val>
          </value>
          <value>
            <val>0</val>
          </value>
          <value t="str">
            <val>--</val>
          </value>
        </values>
      </ddeItem>
      <ddeItem name="2614.TW-ID,Name,CompanyPos,Price,DIndexPtsContributionRate,VolumeRatio,TurnoverRatio,PriceChangeRatio,DLOrderValueDiffRatio,MajorOrderBidAskRatio" advise="1">
        <values cols="10">
          <value t="str">
            <val>2614</val>
          </value>
          <value t="str">
            <val>東森</val>
          </value>
          <value t="str">
            <val>主要從事寵物用品通路、新聞網站、倉儲業務</val>
          </value>
          <value>
            <val>22.3</val>
          </value>
          <value>
            <val>0.01</val>
          </value>
          <value>
            <val>3.04</val>
          </value>
          <value>
            <val>0.49</val>
          </value>
          <value>
            <val>2.29</val>
          </value>
          <value>
            <val>10.16</val>
          </value>
          <value>
            <val>79.37</val>
          </value>
        </values>
      </ddeItem>
      <ddeItem name="2614.TW-MajorOrderDif,DXLOrderValueDiffRatio,Low,MonthReturn,QuarterReturn,HalfYearReturn,YearReturn,DLOrderOutValueRatio,DetailIndustry,CompanyNews" advise="1">
        <values cols="10">
          <value t="str">
            <val>626萬</val>
          </value>
          <value>
            <val>8.9499999999999993</val>
          </value>
          <value>
            <val>21.8</val>
          </value>
          <value>
            <val>11.22</val>
          </value>
          <value>
            <val>12.91</val>
          </value>
          <value>
            <val>5.69</val>
          </value>
          <value>
            <val>-17.71</val>
          </value>
          <value>
            <val>16.87</val>
          </value>
          <value t="str">
            <val>傳產其他,寵物用品,傳播事業,平面媒體,倉儲/貨櫃場,運輸事業</val>
          </value>
          <value t="str">
            <val>--</val>
          </value>
        </values>
      </ddeItem>
      <ddeItem name="2614.TW-TotalVolume,PreClose,Capital,AvgPrice,Profit,MarketValue,DateofMeetingofShareHolders,InvestorConferenceDate,ShortBalance,FinanceBalance" advise="1">
        <values cols="10">
          <value>
            <val>1477</val>
          </value>
          <value>
            <val>21.8</val>
          </value>
          <value>
            <val>30.02</val>
          </value>
          <value>
            <val>22.18</val>
          </value>
          <value>
            <val>0.02</val>
          </value>
          <value>
            <val>67</val>
          </value>
          <value t="str">
            <val>2024/05/27</val>
          </value>
          <value t="str">
            <val>2023/12/26</val>
          </value>
          <value>
            <val>12</val>
          </value>
          <value>
            <val>3959</val>
          </value>
        </values>
      </ddeItem>
      <ddeItem name="2615.TW-ChipsField17,ROE,InOutRatio,RevenueMonth,EstimatedTotalVolume,5DayAvgVol,FinanceUsedRatio,PriceChange,CashAndStockDividend,ChipsField25" advise="1">
        <values cols="10">
          <value>
            <val>660</val>
          </value>
          <value>
            <val>2.1800000000000002</val>
          </value>
          <value>
            <val>58.7</val>
          </value>
          <value t="str">
            <val>2024/06</val>
          </value>
          <value>
            <val>32397</val>
          </value>
          <value>
            <val>19646</val>
          </value>
          <value>
            <val>3.24</val>
          </value>
          <value>
            <val>1.9</val>
          </value>
          <value>
            <val>1.5</val>
          </value>
          <value t="str">
            <val>2024/06/13</val>
          </value>
        </values>
      </ddeItem>
      <ddeItem name="2615.TW-ID,Name,CompanyPos,Price,DIndexPtsContributionRate,VolumeRatio,TurnoverRatio,PriceChangeRatio,DLOrderValueDiffRatio,MajorOrderBidAskRatio" advise="1">
        <values cols="10">
          <value t="str">
            <val>2615</val>
          </value>
          <value t="str">
            <val>萬海</val>
          </value>
          <value t="str">
            <val>亞洲大型貨櫃輪航商</val>
          </value>
          <value>
            <val>79.8</val>
          </value>
          <value>
            <val>0.31</val>
          </value>
          <value>
            <val>1.77</val>
          </value>
          <value>
            <val>0.52</val>
          </value>
          <value>
            <val>2.44</val>
          </value>
          <value>
            <val>1.78</val>
          </value>
          <value>
            <val>61.45</val>
          </value>
        </values>
      </ddeItem>
      <ddeItem name="2615.TW-MajorOrderDif,DXLOrderValueDiffRatio,Low,MonthReturn,QuarterReturn,HalfYearReturn,YearReturn,DLOrderOutValueRatio,DetailIndustry,CompanyNews" advise="1">
        <values cols="10">
          <value t="str">
            <val>1.55億</val>
          </value>
          <value>
            <val>11.72</val>
          </value>
          <value>
            <val>77.3</val>
          </value>
          <value>
            <val>-7.21</val>
          </value>
          <value>
            <val>60.29</val>
          </value>
          <value>
            <val>63.68</val>
          </value>
          <value>
            <val>59.04</val>
          </value>
          <value>
            <val>8.42</val>
          </value>
          <value t="str">
            <val>貨櫃航運,運輸事業</val>
          </value>
          <value t="str">
            <val>--</val>
          </value>
        </values>
      </ddeItem>
      <ddeItem name="2615.TW-TotalVolume,PreClose,Capital,AvgPrice,Profit,MarketValue,DateofMeetingofShareHolders,InvestorConferenceDate,ShortBalance,FinanceBalance" advise="1">
        <values cols="10">
          <value>
            <val>14567</val>
          </value>
          <value>
            <val>77.900000000000006</val>
          </value>
          <value>
            <val>280.61</val>
          </value>
          <value>
            <val>79.08</val>
          </value>
          <value>
            <val>1.65</val>
          </value>
          <value>
            <val>2239.3000000000002</val>
          </value>
          <value t="str">
            <val>2024/05/28</val>
          </value>
          <value t="str">
            <val>2024/05/23</val>
          </value>
          <value>
            <val>3045</val>
          </value>
          <value>
            <val>22716</val>
          </value>
        </values>
      </ddeItem>
      <ddeItem name="2634.TW-ChipsField17,ROE,InOutRatio,RevenueMonth,EstimatedTotalVolume,5DayAvgVol,FinanceUsedRatio,PriceChange,CashAndStockDividend,ChipsField25" advise="1">
        <values cols="10">
          <value>
            <val>176</val>
          </value>
          <value>
            <val>4.59</val>
          </value>
          <value>
            <val>70.45</val>
          </value>
          <value t="str">
            <val>2024/06</val>
          </value>
          <value>
            <val>5860</val>
          </value>
          <value>
            <val>6588</val>
          </value>
          <value>
            <val>9.19</val>
          </value>
          <value>
            <val>1</val>
          </value>
          <value>
            <val>1.42</val>
          </value>
          <value t="str">
            <val>2024/07/10</val>
          </value>
        </values>
      </ddeItem>
      <ddeItem name="2634.TW-ID,Name,CompanyPos,Price,DIndexPtsContributionRate,VolumeRatio,TurnoverRatio,PriceChangeRatio,DLOrderValueDiffRatio,MajorOrderBidAskRatio" advise="1">
        <values cols="10">
          <value t="str">
            <val>2634</val>
          </value>
          <value t="str">
            <val>漢翔</val>
          </value>
          <value t="str">
            <val>台灣航太產業領導者</val>
          </value>
          <value>
            <val>52.4</val>
          </value>
          <value>
            <val>7.0000000000000007E-2</val>
          </value>
          <value>
            <val>2.0299999999999998</val>
          </value>
          <value>
            <val>0.3</val>
          </value>
          <value>
            <val>1.95</val>
          </value>
          <value>
            <val>5.0999999999999996</val>
          </value>
          <value>
            <val>84.14</val>
          </value>
        </values>
      </ddeItem>
      <ddeItem name="2634.TW-MajorOrderDif,DXLOrderValueDiffRatio,Low,MonthReturn,QuarterReturn,HalfYearReturn,YearReturn,DLOrderOutValueRatio,DetailIndustry,CompanyNews" advise="1">
        <values cols="10">
          <value t="str">
            <val>5168萬</val>
          </value>
          <value>
            <val>29.52</val>
          </value>
          <value>
            <val>51.5</val>
          </value>
          <value>
            <val>-0.26</val>
          </value>
          <value>
            <val>-5.83</val>
          </value>
          <value>
            <val>10.26</val>
          </value>
          <value>
            <val>-1.71</val>
          </value>
          <value>
            <val>8.01</val>
          </value>
          <value t="str">
            <val>航天軍工,航天機械零組件,飛機零件/製造,機械</val>
          </value>
          <value t="str">
            <val>--</val>
          </value>
        </values>
      </ddeItem>
      <ddeItem name="2634.TW-TotalVolume,PreClose,Capital,AvgPrice,Profit,MarketValue,DateofMeetingofShareHolders,InvestorConferenceDate,ShortBalance,FinanceBalance" advise="1">
        <values cols="10">
          <value>
            <val>2852</val>
          </value>
          <value>
            <val>51.4</val>
          </value>
          <value>
            <val>94.19</val>
          </value>
          <value>
            <val>52.34</val>
          </value>
          <value>
            <val>0.85</val>
          </value>
          <value>
            <val>493.5</val>
          </value>
          <value t="str">
            <val>2024/05/27</val>
          </value>
          <value t="str">
            <val>2024/06/19</val>
          </value>
          <value>
            <val>41</val>
          </value>
          <value>
            <val>21632</val>
          </value>
        </values>
      </ddeItem>
      <ddeItem name="2641.TW-ChipsField17,ROE,InOutRatio,RevenueMonth,EstimatedTotalVolume,5DayAvgVol,FinanceUsedRatio,PriceChange,CashAndStockDividend,ChipsField25" advise="1">
        <values cols="10">
          <value>
            <val>0</val>
          </value>
          <value>
            <val>2.39</val>
          </value>
          <value>
            <val>57.02</val>
          </value>
          <value t="str">
            <val>2024/06</val>
          </value>
          <value>
            <val>1865</val>
          </value>
          <value>
            <val>1614</val>
          </value>
          <value>
            <val>20.9</val>
          </value>
          <value>
            <val>0.3</val>
          </value>
          <value>
            <val>0.48</val>
          </value>
          <value t="str">
            <val>2024/06/25</val>
          </value>
        </values>
      </ddeItem>
      <ddeItem name="2641.TW-ID,Name,CompanyPos,Price,DIndexPtsContributionRate,VolumeRatio,TurnoverRatio,PriceChangeRatio,DLOrderValueDiffRatio,MajorOrderBidAskRatio" advise="1">
        <values cols="10">
          <value t="str">
            <val>2641</val>
          </value>
          <value t="str">
            <val>正德</val>
          </value>
          <value t="str">
            <val>以亞洲近洋航線為主力之散裝航運業者</val>
          </value>
          <value>
            <val>19.8</val>
          </value>
          <value>
            <val>0</val>
          </value>
          <value>
            <val>1.8</val>
          </value>
          <value>
            <val>0.28000000000000003</val>
          </value>
          <value>
            <val>1.54</val>
          </value>
          <value>
            <val>-8.08</val>
          </value>
          <value>
            <val>52.28</val>
          </value>
        </values>
      </ddeItem>
      <ddeItem name="2641.TW-MajorOrderDif,DXLOrderValueDiffRatio,Low,MonthReturn,QuarterReturn,HalfYearReturn,YearReturn,DLOrderOutValueRatio,DetailIndustry,CompanyNews" advise="1">
        <values cols="10">
          <value t="str">
            <val>33.0萬</val>
          </value>
          <value>
            <val>10.050000000000001</val>
          </value>
          <value>
            <val>19.55</val>
          </value>
          <value>
            <val>-6.16</val>
          </value>
          <value>
            <val>1.5</val>
          </value>
          <value>
            <val>3.58</val>
          </value>
          <value>
            <val>21.61</val>
          </value>
          <value>
            <val>6.01</val>
          </value>
          <value t="str">
            <val>散裝航運,運輸事業</val>
          </value>
          <value t="str">
            <val>--</val>
          </value>
        </values>
      </ddeItem>
      <ddeItem name="2641.TW-TotalVolume,PreClose,Capital,AvgPrice,Profit,MarketValue,DateofMeetingofShareHolders,InvestorConferenceDate,ShortBalance,FinanceBalance" advise="1">
        <values cols="10">
          <value>
            <val>850</val>
          </value>
          <value>
            <val>19.5</val>
          </value>
          <value>
            <val>30.39</val>
          </value>
          <value>
            <val>19.72</val>
          </value>
          <value>
            <val>0.52</val>
          </value>
          <value>
            <val>61.2</val>
          </value>
          <value t="str">
            <val>2024/05/30</val>
          </value>
          <value t="str">
            <val>2023/11/23</val>
          </value>
          <value>
            <val>891</val>
          </value>
          <value>
            <val>16145</val>
          </value>
        </values>
      </ddeItem>
      <ddeItem name="2880.TW-ChipsField17,ROE,InOutRatio,RevenueMonth,EstimatedTotalVolume,5DayAvgVol,FinanceUsedRatio,PriceChange,CashAndStockDividend,ChipsField25" advise="1">
        <values cols="10">
          <value>
            <val>0</val>
          </value>
          <value>
            <val>2.65</val>
          </value>
          <value>
            <val>71.09</val>
          </value>
          <value t="str">
            <val>2024/06</val>
          </value>
          <value>
            <val>64595</val>
          </value>
          <value>
            <val>14090</val>
          </value>
          <value>
            <val>0.09</val>
          </value>
          <value>
            <val>0.75</val>
          </value>
          <value>
            <val>1.3</val>
          </value>
          <value t="str">
            <val>2024/08/13</val>
          </value>
        </values>
      </ddeItem>
      <ddeItem name="2880.TW-ID,Name,CompanyPos,Price,DIndexPtsContributionRate,VolumeRatio,TurnoverRatio,PriceChangeRatio,DLOrderValueDiffRatio,MajorOrderBidAskRatio" advise="1">
        <values cols="10">
          <value t="str">
            <val>2880</val>
          </value>
          <value t="str">
            <val>華南金</val>
          </value>
          <value t="str">
            <val>以銀行為主體公營金控公司，為台灣銀行界歷史悠久的三商銀之一</val>
          </value>
          <value>
            <val>28.5</val>
          </value>
          <value>
            <val>0.54</val>
          </value>
          <value>
            <val>4.28</val>
          </value>
          <value>
            <val>0.15</val>
          </value>
          <value>
            <val>2.7</val>
          </value>
          <value>
            <val>0.77</val>
          </value>
          <value>
            <val>76.290000000000006</val>
          </value>
        </values>
      </ddeItem>
      <ddeItem name="2880.TW-MajorOrderDif,DXLOrderValueDiffRatio,Low,MonthReturn,QuarterReturn,HalfYearReturn,YearReturn,DLOrderOutValueRatio,DetailIndustry,CompanyNews" advise="1">
        <values cols="10">
          <value t="str">
            <val>2.29億</val>
          </value>
          <value>
            <val>40.01</val>
          </value>
          <value>
            <val>27.95</val>
          </value>
          <value>
            <val>7.14</val>
          </value>
          <value>
            <val>20.51</val>
          </value>
          <value>
            <val>30.43</val>
          </value>
          <value>
            <val>29.94</val>
          </value>
          <value>
            <val>3.93</val>
          </value>
          <value t="str">
            <val>銀行,產險,證券,投信,金控,金融其他,資產管理,金融業</val>
          </value>
          <value t="str">
            <val>8/13除權0.10元，除息1.20元</val>
          </value>
        </values>
      </ddeItem>
      <ddeItem name="2880.TW-TotalVolume,PreClose,Capital,AvgPrice,Profit,MarketValue,DateofMeetingofShareHolders,InvestorConferenceDate,ShortBalance,FinanceBalance" advise="1">
        <values cols="10">
          <value>
            <val>19797</val>
          </value>
          <value>
            <val>27.75</val>
          </value>
          <value>
            <val>1364.27</val>
          </value>
          <value>
            <val>28.31</val>
          </value>
          <value>
            <val>0.41</val>
          </value>
          <value>
            <val>3888.2</val>
          </value>
          <value t="str">
            <val>2024/06/21</val>
          </value>
          <value t="str">
            <val>2024/05/24</val>
          </value>
          <value>
            <val>86</val>
          </value>
          <value>
            <val>2925</val>
          </value>
        </values>
      </ddeItem>
      <ddeItem name="2915.TW-ChipsField17,ROE,InOutRatio,RevenueMonth,EstimatedTotalVolume,5DayAvgVol,FinanceUsedRatio,PriceChange,CashAndStockDividend,ChipsField25" advise="1">
        <values cols="10">
          <value>
            <val>359</val>
          </value>
          <value>
            <val>4.4000000000000004</val>
          </value>
          <value>
            <val>55.17</val>
          </value>
          <value t="str">
            <val>2024/06</val>
          </value>
          <value>
            <val>6952</val>
          </value>
          <value>
            <val>6259</val>
          </value>
          <value>
            <val>2.75</val>
          </value>
          <value>
            <val>0.7</val>
          </value>
          <value>
            <val>2.5</val>
          </value>
          <value t="str">
            <val>2024/07/29</val>
          </value>
        </values>
      </ddeItem>
      <ddeItem name="2915.TW-ID,Name,CompanyPos,Price,DIndexPtsContributionRate,VolumeRatio,TurnoverRatio,PriceChangeRatio,DLOrderValueDiffRatio,MajorOrderBidAskRatio" advise="1">
        <values cols="10">
          <value t="str">
            <val>2915</val>
          </value>
          <value t="str">
            <val>潤泰全</val>
          </value>
          <value t="str">
            <val>潤泰集團旗下，經營紡織貿易、零售事業之控股公司</val>
          </value>
          <value>
            <val>81</val>
          </value>
          <value>
            <val>0.13</val>
          </value>
          <value>
            <val>1.91</val>
          </value>
          <value>
            <val>0.26</val>
          </value>
          <value>
            <val>0.87</val>
          </value>
          <value>
            <val>3.58</val>
          </value>
          <value>
            <val>57.04</val>
          </value>
        </values>
      </ddeItem>
      <ddeItem name="2915.TW-MajorOrderDif,DXLOrderValueDiffRatio,Low,MonthReturn,QuarterReturn,HalfYearReturn,YearReturn,DLOrderOutValueRatio,DetailIndustry,CompanyNews" advise="1">
        <values cols="10">
          <value t="str">
            <val>1904萬</val>
          </value>
          <value>
            <val>4.5</val>
          </value>
          <value>
            <val>79.900000000000006</val>
          </value>
          <value>
            <val>20.28</val>
          </value>
          <value>
            <val>38.86</val>
          </value>
          <value>
            <val>37.26</val>
          </value>
          <value>
            <val>37.78</val>
          </value>
          <value>
            <val>10.54</val>
          </value>
          <value t="str">
            <val>流通業,貿易,成衣,成衣銷售/零售,織布,紡織中游,控股公司</val>
          </value>
          <value t="str">
            <val>--</val>
          </value>
        </values>
      </ddeItem>
      <ddeItem name="2915.TW-TotalVolume,PreClose,Capital,AvgPrice,Profit,MarketValue,DateofMeetingofShareHolders,InvestorConferenceDate,ShortBalance,FinanceBalance" advise="1">
        <values cols="10">
          <value>
            <val>2914</val>
          </value>
          <value>
            <val>80.3</val>
          </value>
          <value>
            <val>110.43</val>
          </value>
          <value>
            <val>80.78</val>
          </value>
          <value>
            <val>4.28</val>
          </value>
          <value>
            <val>894.5</val>
          </value>
          <value t="str">
            <val>2024/06/27</val>
          </value>
          <value t="str">
            <val>2024/07/23</val>
          </value>
          <value>
            <val>8</val>
          </value>
          <value>
            <val>7585</val>
          </value>
        </values>
      </ddeItem>
      <ddeItem name="3019.TW-ChipsField17,ROE,InOutRatio,RevenueMonth,EstimatedTotalVolume,5DayAvgVol,FinanceUsedRatio,PriceChange,CashAndStockDividend,ChipsField25" advise="1">
        <values cols="10">
          <value>
            <val>1389</val>
          </value>
          <value>
            <val>1.3</val>
          </value>
          <value>
            <val>51.58</val>
          </value>
          <value t="str">
            <val>2024/06</val>
          </value>
          <value>
            <val>10387</val>
          </value>
          <value>
            <val>6721</val>
          </value>
          <value>
            <val>19.84</val>
          </value>
          <value>
            <val>1.3</val>
          </value>
          <value>
            <val>1.8</val>
          </value>
          <value t="str">
            <val>2024/06/20</val>
          </value>
        </values>
      </ddeItem>
      <ddeItem name="3019.TW-ID,Name,CompanyPos,Price,DIndexPtsContributionRate,VolumeRatio,TurnoverRatio,PriceChangeRatio,DLOrderValueDiffRatio,MajorOrderBidAskRatio" advise="1">
        <values cols="10">
          <value t="str">
            <val>3019</val>
          </value>
          <value t="str">
            <val>亞光</val>
          </value>
          <value t="str">
            <val>台灣光學鏡頭大廠，專注於玻璃鏡片與非球面模造玻璃</val>
          </value>
          <value>
            <val>91</val>
          </value>
          <value>
            <val>0.04</val>
          </value>
          <value>
            <val>1.76</val>
          </value>
          <value>
            <val>1.78</val>
          </value>
          <value>
            <val>1.45</val>
          </value>
          <value>
            <val>-0.23</val>
          </value>
          <value>
            <val>50.91</val>
          </value>
        </values>
      </ddeItem>
      <ddeItem name="3019.TW-MajorOrderDif,DXLOrderValueDiffRatio,Low,MonthReturn,QuarterReturn,HalfYearReturn,YearReturn,DLOrderOutValueRatio,DetailIndustry,CompanyNews" advise="1">
        <values cols="10">
          <value t="str">
            <val>303萬</val>
          </value>
          <value>
            <val>0.89</val>
          </value>
          <value>
            <val>90.7</val>
          </value>
          <value>
            <val>32.46</val>
          </value>
          <value>
            <val>45.44</val>
          </value>
          <value>
            <val>40.619999999999997</val>
          </value>
          <value>
            <val>44.54</val>
          </value>
          <value>
            <val>8.3800000000000008</val>
          </value>
          <value t="str">
            <val>傳產其他,光學,影像感測元件,數位相機,數位相機組裝,光學鏡片/頭</val>
          </value>
          <value t="str">
            <val>6月營收21.10億元</val>
          </value>
        </values>
      </ddeItem>
      <ddeItem name="3019.TW-TotalVolume,PreClose,Capital,AvgPrice,Profit,MarketValue,DateofMeetingofShareHolders,InvestorConferenceDate,ShortBalance,FinanceBalance" advise="1">
        <values cols="10">
          <value>
            <val>4979</val>
          </value>
          <value>
            <val>89.7</val>
          </value>
          <value>
            <val>27.92</val>
          </value>
          <value>
            <val>91.91</val>
          </value>
          <value>
            <val>0.4</val>
          </value>
          <value>
            <val>254.1</val>
          </value>
          <value t="str">
            <val>2024/05/31</val>
          </value>
          <value t="str">
            <val>2024/05/08</val>
          </value>
          <value>
            <val>289</val>
          </value>
          <value>
            <val>13851</val>
          </value>
        </values>
      </ddeItem>
      <ddeItem name="3045.TW-ChipsField17,ROE,InOutRatio,RevenueMonth,EstimatedTotalVolume,5DayAvgVol,FinanceUsedRatio,PriceChange,CashAndStockDividend,ChipsField25" advise="1">
        <values cols="10">
          <value>
            <val>0</val>
          </value>
          <value>
            <val>3.66</val>
          </value>
          <value>
            <val>77.45</val>
          </value>
          <value t="str">
            <val>2024/06</val>
          </value>
          <value>
            <val>11754</val>
          </value>
          <value>
            <val>7945</val>
          </value>
          <value>
            <val>0.02</val>
          </value>
          <value>
            <val>0.5</val>
          </value>
          <value>
            <val>4.3</val>
          </value>
          <value t="str">
            <val>2024/07/08</val>
          </value>
        </values>
      </ddeItem>
      <ddeItem name="3045.TW-ID,Name,CompanyPos,Price,DIndexPtsContributionRate,VolumeRatio,TurnoverRatio,PriceChangeRatio,DLOrderValueDiffRatio,MajorOrderBidAskRatio" advise="1">
        <values cols="10">
          <value t="str">
            <val>3045</val>
          </value>
          <value t="str">
            <val>台灣大</val>
          </value>
          <value t="str">
            <val>台灣前三大電信業者之一</val>
          </value>
          <value>
            <val>106</val>
          </value>
          <value>
            <val>0.56000000000000005</val>
          </value>
          <value>
            <val>2.2000000000000002</val>
          </value>
          <value>
            <val>0.08</val>
          </value>
          <value>
            <val>0.47</val>
          </value>
          <value>
            <val>-0.2</val>
          </value>
          <value>
            <val>76.45</val>
          </value>
        </values>
      </ddeItem>
      <ddeItem name="3045.TW-MajorOrderDif,DXLOrderValueDiffRatio,Low,MonthReturn,QuarterReturn,HalfYearReturn,YearReturn,DLOrderOutValueRatio,DetailIndustry,CompanyNews" advise="1">
        <values cols="10">
          <value t="str">
            <val>1.39億</val>
          </value>
          <value>
            <val>45.79</val>
          </value>
          <value>
            <val>104.5</val>
          </value>
          <value>
            <val>0.99</val>
          </value>
          <value>
            <val>5.85</val>
          </value>
          <value>
            <val>11.53</val>
          </value>
          <value>
            <val>16</val>
          </value>
          <value>
            <val>0.41</val>
          </value>
          <value t="str">
            <val>無店舖販售,電視購物,傳播事業,有線電視,電信/數據服務,通訊服務,Internet應用與服務,電商平台,行動通訊</val>
          </value>
          <value t="str">
            <val>8/6法說會</val>
          </value>
        </values>
      </ddeItem>
      <ddeItem name="3045.TW-TotalVolume,PreClose,Capital,AvgPrice,Profit,MarketValue,DateofMeetingofShareHolders,InvestorConferenceDate,ShortBalance,FinanceBalance" advise="1">
        <values cols="10">
          <value>
            <val>2910</val>
          </value>
          <value>
            <val>105.5</val>
          </value>
          <value>
            <val>372.33</val>
          </value>
          <value>
            <val>105.15</val>
          </value>
          <value>
            <val>0.98</val>
          </value>
          <value>
            <val>3946.7</val>
          </value>
          <value t="str">
            <val>2024/06/21</val>
          </value>
          <value t="str">
            <val>2024/11/12</val>
          </value>
          <value>
            <val>12</val>
          </value>
          <value>
            <val>174</val>
          </value>
        </values>
      </ddeItem>
      <ddeItem name="3048.TW-ChipsField17,ROE,InOutRatio,RevenueMonth,EstimatedTotalVolume,5DayAvgVol,FinanceUsedRatio,PriceChange,CashAndStockDividend,ChipsField25" advise="1">
        <values cols="10">
          <value>
            <val>120</val>
          </value>
          <value>
            <val>1.47</val>
          </value>
          <value>
            <val>84.12</val>
          </value>
          <value t="str">
            <val>2024/06</val>
          </value>
          <value>
            <val>5870</val>
          </value>
          <value>
            <val>4944</val>
          </value>
          <value>
            <val>13.88</val>
          </value>
          <value>
            <val>4.25</val>
          </value>
          <value>
            <val>1</val>
          </value>
          <value t="str">
            <val>2024/07/30</val>
          </value>
        </values>
      </ddeItem>
      <ddeItem name="3048.TW-ID,Name,CompanyPos,Price,DIndexPtsContributionRate,VolumeRatio,TurnoverRatio,PriceChangeRatio,DLOrderValueDiffRatio,MajorOrderBidAskRatio" advise="1">
        <values cols="10">
          <value t="str">
            <val>3048</val>
          </value>
          <value t="str">
            <val>益登</val>
          </value>
          <value t="str">
            <val>全球第十大半導體代理商</val>
          </value>
          <value>
            <val>46.85</val>
          </value>
          <value>
            <val>0.01</val>
          </value>
          <value>
            <val>2.89</val>
          </value>
          <value>
            <val>1.24</val>
          </value>
          <value>
            <val>9.98</val>
          </value>
          <value>
            <val>9.1999999999999993</val>
          </value>
          <value>
            <val>98.58</val>
          </value>
        </values>
      </ddeItem>
      <ddeItem name="3048.TW-MajorOrderDif,DXLOrderValueDiffRatio,Low,MonthReturn,QuarterReturn,HalfYearReturn,YearReturn,DLOrderOutValueRatio,DetailIndustry,CompanyNews" advise="1">
        <values cols="10">
          <value t="str">
            <val>5772萬</val>
          </value>
          <value>
            <val>31.84</val>
          </value>
          <value>
            <val>44</val>
          </value>
          <value>
            <val>15.16</val>
          </value>
          <value>
            <val>105.41</val>
          </value>
          <value>
            <val>94.18</val>
          </value>
          <value>
            <val>88.83</val>
          </value>
          <value>
            <val>9.8000000000000007</val>
          </value>
          <value t="str">
            <val>IC零組件通路商,電子通路</val>
          </value>
          <value t="str">
            <val>--</val>
          </value>
        </values>
      </ddeItem>
      <ddeItem name="3048.TW-TotalVolume,PreClose,Capital,AvgPrice,Profit,MarketValue,DateofMeetingofShareHolders,InvestorConferenceDate,ShortBalance,FinanceBalance" advise="1">
        <values cols="10">
          <value>
            <val>3036</val>
          </value>
          <value>
            <val>42.6</val>
          </value>
          <value>
            <val>26.98</val>
          </value>
          <value>
            <val>46.33</val>
          </value>
          <value>
            <val>0.28000000000000003</val>
          </value>
          <value>
            <val>114.7</val>
          </value>
          <value t="str">
            <val>2024/06/27</val>
          </value>
          <value t="str">
            <val>2023/11/15</val>
          </value>
          <value>
            <val>59</val>
          </value>
          <value>
            <val>8495</val>
          </value>
        </values>
      </ddeItem>
      <ddeItem name="3209.TW-ChipsField17,ROE,InOutRatio,RevenueMonth,EstimatedTotalVolume,5DayAvgVol,FinanceUsedRatio,PriceChange,CashAndStockDividend,ChipsField25" advise="1">
        <values cols="10">
          <value>
            <val>0</val>
          </value>
          <value>
            <val>2.5</val>
          </value>
          <value>
            <val>59.26</val>
          </value>
          <value t="str">
            <val>2024/06</val>
          </value>
          <value>
            <val>6371</val>
          </value>
          <value>
            <val>1542</val>
          </value>
          <value>
            <val>2.23</val>
          </value>
          <value>
            <val>0.5</val>
          </value>
          <value>
            <val>2.1</val>
          </value>
          <value t="str">
            <val>2024/08/01</val>
          </value>
        </values>
      </ddeItem>
      <ddeItem name="3209.TW-ID,Name,CompanyPos,Price,DIndexPtsContributionRate,VolumeRatio,TurnoverRatio,PriceChangeRatio,DLOrderValueDiffRatio,MajorOrderBidAskRatio" advise="1">
        <values cols="10">
          <value t="str">
            <val>3209</val>
          </value>
          <value t="str">
            <val>全科</val>
          </value>
          <value t="str">
            <val>為專業通訊元件設計及通路商</val>
          </value>
          <value>
            <val>34.85</val>
          </value>
          <value>
            <val>0.01</val>
          </value>
          <value>
            <val>2.13</val>
          </value>
          <value>
            <val>1.27</val>
          </value>
          <value>
            <val>1.46</val>
          </value>
          <value>
            <val>-0.17</val>
          </value>
          <value>
            <val>54.11</val>
          </value>
        </values>
      </ddeItem>
      <ddeItem name="3209.TW-MajorOrderDif,DXLOrderValueDiffRatio,Low,MonthReturn,QuarterReturn,HalfYearReturn,YearReturn,DLOrderOutValueRatio,DetailIndustry,CompanyNews" advise="1">
        <values cols="10">
          <value t="str">
            <val>82.8萬</val>
          </value>
          <value>
            <val>1.04</val>
          </value>
          <value>
            <val>34.200000000000003</val>
          </value>
          <value>
            <val>1.17</val>
          </value>
          <value>
            <val>6.88</val>
          </value>
          <value>
            <val>3.73</val>
          </value>
          <value>
            <val>2.98</val>
          </value>
          <value>
            <val>3.24</val>
          </value>
          <value t="str">
            <val>無線網路IC,類比IC,IC設計,網路通訊IC,IC零組件通路商,電子通路,光通訊晶片</val>
          </value>
          <value t="str">
            <val>8/1除息2.10元</val>
          </value>
        </values>
      </ddeItem>
      <ddeItem name="3209.TW-TotalVolume,PreClose,Capital,AvgPrice,Profit,MarketValue,DateofMeetingofShareHolders,InvestorConferenceDate,ShortBalance,FinanceBalance" advise="1">
        <values cols="10">
          <value>
            <val>2759</val>
          </value>
          <value>
            <val>34.35</val>
          </value>
          <value>
            <val>23.25</val>
          </value>
          <value>
            <val>34.5</val>
          </value>
          <value>
            <val>0.51</val>
          </value>
          <value>
            <val>75.5</val>
          </value>
          <value t="str">
            <val>2024/06/18</val>
          </value>
          <value t="str">
            <val>2024/05/08</val>
          </value>
          <value>
            <val>0</val>
          </value>
          <value>
            <val>1298</val>
          </value>
        </values>
      </ddeItem>
      <ddeItem name="3498.TW-ChipsField17,ROE,InOutRatio,RevenueMonth,EstimatedTotalVolume,5DayAvgVol,FinanceUsedRatio,PriceChange,CashAndStockDividend,ChipsField25" advise="1">
        <values cols="10">
          <value>
            <val>0</val>
          </value>
          <value>
            <val>-4.0599999999999996</val>
          </value>
          <value>
            <val>48.76</val>
          </value>
          <value t="str">
            <val>2024/06</val>
          </value>
          <value>
            <val>7501</val>
          </value>
          <value>
            <val>1890</val>
          </value>
          <value>
            <val>24.58</val>
          </value>
          <value>
            <val>1.55</val>
          </value>
          <value>
            <val>0</val>
          </value>
          <value t="str">
            <val>--</val>
          </value>
        </values>
      </ddeItem>
      <ddeItem name="3498.TW-ID,Name,CompanyPos,Price,DIndexPtsContributionRate,VolumeRatio,TurnoverRatio,PriceChangeRatio,DLOrderValueDiffRatio,MajorOrderBidAskRatio" advise="1">
        <values cols="10">
          <value t="str">
            <val>3498</val>
          </value>
          <value t="str">
            <val>陽程</val>
          </value>
          <value t="str">
            <val>台灣PCB暨CCL、環境工程及物流等自動化設備廠</val>
          </value>
          <value>
            <val>48.55</val>
          </value>
          <value>
            <val>0</val>
          </value>
          <value>
            <val>2.19</val>
          </value>
          <value>
            <val>6.22</val>
          </value>
          <value>
            <val>3.3</val>
          </value>
          <value>
            <val>0.6</val>
          </value>
          <value>
            <val>54.8</val>
          </value>
        </values>
      </ddeItem>
      <ddeItem name="3498.TW-MajorOrderDif,DXLOrderValueDiffRatio,Low,MonthReturn,QuarterReturn,HalfYearReturn,YearReturn,DLOrderOutValueRatio,DetailIndustry,CompanyNews" advise="1">
        <values cols="10">
          <value t="str">
            <val>518萬</val>
          </value>
          <value>
            <val>2.08</val>
          </value>
          <value>
            <val>47.3</val>
          </value>
          <value>
            <val>8.3699999999999992</val>
          </value>
          <value>
            <val>50.31</val>
          </value>
          <value>
            <val>58.92</val>
          </value>
          <value>
            <val>26.93</val>
          </value>
          <value>
            <val>8.01</val>
          </value>
          <value t="str">
            <val>PCB其他設備,設備儀器廠商,面板設備,觸控面板設備,自動化設備,機械</val>
          </value>
          <value t="str">
            <val>--</val>
          </value>
        </values>
      </ddeItem>
      <ddeItem name="3498.TW-TotalVolume,PreClose,Capital,AvgPrice,Profit,MarketValue,DateofMeetingofShareHolders,InvestorConferenceDate,ShortBalance,FinanceBalance" advise="1">
        <values cols="10">
          <value>
            <val>3912</val>
          </value>
          <value>
            <val>47</val>
          </value>
          <value>
            <val>6.29</val>
          </value>
          <value>
            <val>49.3</val>
          </value>
          <value>
            <val>-1.54</val>
          </value>
          <value>
            <val>30.5</val>
          </value>
          <value t="str">
            <val>2024/06/14</val>
          </value>
          <value t="str">
            <val>2023/12/14</val>
          </value>
          <value>
            <val>303</val>
          </value>
          <value>
            <val>3261</val>
          </value>
        </values>
      </ddeItem>
      <ddeItem name="3535.TW-ChipsField17,ROE,InOutRatio,RevenueMonth,EstimatedTotalVolume,5DayAvgVol,FinanceUsedRatio,PriceChange,CashAndStockDividend,ChipsField25" advise="1">
        <values cols="10">
          <value>
            <val>35</val>
          </value>
          <value>
            <val>-0.91</val>
          </value>
          <value>
            <val>46.11</val>
          </value>
          <value t="str">
            <val>2024/06</val>
          </value>
          <value>
            <val>60826</val>
          </value>
          <value>
            <val>4172</val>
          </value>
          <value>
            <val>42.65</val>
          </value>
          <value>
            <val>-1.7</val>
          </value>
          <value>
            <val>0</val>
          </value>
          <value t="str">
            <val>--</val>
          </value>
        </values>
      </ddeItem>
      <ddeItem name="3535.TW-ID,Name,CompanyPos,Price,DIndexPtsContributionRate,VolumeRatio,TurnoverRatio,PriceChangeRatio,DLOrderValueDiffRatio,MajorOrderBidAskRatio" advise="1">
        <values cols="10">
          <value t="str">
            <val>3535</val>
          </value>
          <value t="str">
            <val>晶彩科</val>
          </value>
          <value t="str">
            <val>國內面板前段自動光學檢測設備大廠</val>
          </value>
          <value>
            <val>79.7</val>
          </value>
          <value>
            <val>0.01</val>
          </value>
          <value>
            <val>7.67</val>
          </value>
          <value>
            <val>34.75</val>
          </value>
          <value>
            <val>-2.09</val>
          </value>
          <value>
            <val>-2.19</val>
          </value>
          <value>
            <val>41.39</val>
          </value>
        </values>
      </ddeItem>
      <ddeItem name="3535.TW-MajorOrderDif,DXLOrderValueDiffRatio,Low,MonthReturn,QuarterReturn,HalfYearReturn,YearReturn,DLOrderOutValueRatio,DetailIndustry,CompanyNews" advise="1">
        <values cols="10">
          <value t="str">
            <val>-1.56億</val>
          </value>
          <value>
            <val>-4.5999999999999996</val>
          </value>
          <value>
            <val>78.3</val>
          </value>
          <value>
            <val>65.87</val>
          </value>
          <value>
            <val>245.02</val>
          </value>
          <value>
            <val>226.64</val>
          </value>
          <value>
            <val>323.94</val>
          </value>
          <value>
            <val>7.26</val>
          </value>
          <value t="str">
            <val>設備儀器廠商,面板設備</val>
          </value>
          <value t="str">
            <val>--</val>
          </value>
        </values>
      </ddeItem>
      <ddeItem name="3535.TW-TotalVolume,PreClose,Capital,AvgPrice,Profit,MarketValue,DateofMeetingofShareHolders,InvestorConferenceDate,ShortBalance,FinanceBalance" advise="1">
        <values cols="10">
          <value>
            <val>27474</val>
          </value>
          <value>
            <val>81.400000000000006</val>
          </value>
          <value>
            <val>7.91</val>
          </value>
          <value>
            <val>83.57</val>
          </value>
          <value>
            <val>-0.13</val>
          </value>
          <value>
            <val>63</val>
          </value>
          <value t="str">
            <val>2024/05/31</val>
          </value>
          <value t="str">
            <val>2023/11/23</val>
          </value>
          <value>
            <val>2337</val>
          </value>
          <value>
            <val>8429</val>
          </value>
        </values>
      </ddeItem>
      <ddeItem name="3624.TW-ChipsField17,ROE,InOutRatio,RevenueMonth,EstimatedTotalVolume,5DayAvgVol,FinanceUsedRatio,PriceChange,CashAndStockDividend,ChipsField25" advise="1">
        <values cols="10">
          <value>
            <val>0</val>
          </value>
          <value>
            <val>1.68</val>
          </value>
          <value>
            <val>48.56</val>
          </value>
          <value t="str">
            <val>2024/06</val>
          </value>
          <value>
            <val>7801</val>
          </value>
          <value>
            <val>738</val>
          </value>
          <value>
            <val>17.399999999999999</val>
          </value>
          <value>
            <val>0.5</val>
          </value>
          <value>
            <val>1.2</val>
          </value>
          <value t="str">
            <val>2024/07/12</val>
          </value>
        </values>
      </ddeItem>
      <ddeItem name="3624.TW-ID,Name,CompanyPos,Price,DIndexPtsContributionRate,VolumeRatio,TurnoverRatio,PriceChangeRatio,DLOrderValueDiffRatio,MajorOrderBidAskRatio" advise="1">
        <values cols="10">
          <value t="str">
            <val>3624</val>
          </value>
          <value t="str">
            <val>光頡</val>
          </value>
          <value t="str">
            <val>利基型薄膜電阻廠</val>
          </value>
          <value>
            <val>54.6</val>
          </value>
          <value>
            <val>0</val>
          </value>
          <value>
            <val>3.61</val>
          </value>
          <value>
            <val>2.89</val>
          </value>
          <value>
            <val>0.92</val>
          </value>
          <value>
            <val>0.91</val>
          </value>
          <value>
            <val>45.52</val>
          </value>
        </values>
      </ddeItem>
      <ddeItem name="3624.TW-MajorOrderDif,DXLOrderValueDiffRatio,Low,MonthReturn,QuarterReturn,HalfYearReturn,YearReturn,DLOrderOutValueRatio,DetailIndustry,CompanyNews" advise="1">
        <values cols="10">
          <value t="str">
            <val>-393萬</val>
          </value>
          <value>
            <val>-3.02</val>
          </value>
          <value>
            <val>53.6</val>
          </value>
          <value>
            <val>2.94</val>
          </value>
          <value>
            <val>16.73</val>
          </value>
          <value>
            <val>7.71</val>
          </value>
          <value>
            <val>7.3</val>
          </value>
          <value>
            <val>6.51</val>
          </value>
          <value t="str">
            <val>被動元件,晶片電阻,電阻</val>
          </value>
          <value t="str">
            <val>--</val>
          </value>
        </values>
      </ddeItem>
      <ddeItem name="3624.TW-TotalVolume,PreClose,Capital,AvgPrice,Profit,MarketValue,DateofMeetingofShareHolders,InvestorConferenceDate,ShortBalance,FinanceBalance" advise="1">
        <values cols="10">
          <value>
            <val>3388</val>
          </value>
          <value>
            <val>54.1</val>
          </value>
          <value>
            <val>11.73</val>
          </value>
          <value>
            <val>54.96</val>
          </value>
          <value>
            <val>0.48</val>
          </value>
          <value>
            <val>64.099999999999994</val>
          </value>
          <value t="str">
            <val>2024/06/25</val>
          </value>
          <value t="str">
            <val>2023/12/13</val>
          </value>
          <value>
            <val>55</val>
          </value>
          <value>
            <val>5103</val>
          </value>
        </values>
      </ddeItem>
      <ddeItem name="3665.TW-ChipsField17,ROE,InOutRatio,RevenueMonth,EstimatedTotalVolume,5DayAvgVol,FinanceUsedRatio,PriceChange,CashAndStockDividend,ChipsField25" advise="1">
        <values cols="10">
          <value>
            <val>332</val>
          </value>
          <value>
            <val>2.37</val>
          </value>
          <value>
            <val>66.13</val>
          </value>
          <value t="str">
            <val>2024/06</val>
          </value>
          <value>
            <val>9560</val>
          </value>
          <value>
            <val>4125</val>
          </value>
          <value>
            <val>12.05</val>
          </value>
          <value>
            <val>30.5</val>
          </value>
          <value>
            <val>8.7799999999999994</val>
          </value>
          <value t="str">
            <val>2024/07/23</val>
          </value>
        </values>
      </ddeItem>
      <ddeItem name="3665.TW-ID,Name,CompanyPos,Price,DIndexPtsContributionRate,VolumeRatio,TurnoverRatio,PriceChangeRatio,DLOrderValueDiffRatio,MajorOrderBidAskRatio" advise="1">
        <values cols="10">
          <value t="str">
            <val>3665</val>
          </value>
          <value t="str">
            <val>貿聯-KY</val>
          </value>
          <value t="str">
            <val>Tesla電池線束主力供應商</val>
          </value>
          <value>
            <val>409.5</val>
          </value>
          <value>
            <val>0.09</val>
          </value>
          <value>
            <val>3.57</val>
          </value>
          <value>
            <val>2.58</val>
          </value>
          <value>
            <val>8.0500000000000007</val>
          </value>
          <value>
            <val>4.29</val>
          </value>
          <value>
            <val>68.34</val>
          </value>
        </values>
      </ddeItem>
      <ddeItem name="3665.TW-MajorOrderDif,DXLOrderValueDiffRatio,Low,MonthReturn,QuarterReturn,HalfYearReturn,YearReturn,DLOrderOutValueRatio,DetailIndustry,CompanyNews" advise="1">
        <values cols="10">
          <value t="str">
            <val>3.29億</val>
          </value>
          <value>
            <val>15</val>
          </value>
          <value>
            <val>390</val>
          </value>
          <value>
            <val>14.63</val>
          </value>
          <value>
            <val>81.77</val>
          </value>
          <value>
            <val>79.819999999999993</val>
          </value>
          <value>
            <val>37.82</val>
          </value>
          <value>
            <val>11.59</val>
          </value>
          <value t="str">
            <val>連接器,電子零件元件,連接線材,電線電纜,電子線</val>
          </value>
          <value t="str">
            <val>--</val>
          </value>
        </values>
      </ddeItem>
      <ddeItem name="3665.TW-TotalVolume,PreClose,Capital,AvgPrice,Profit,MarketValue,DateofMeetingofShareHolders,InvestorConferenceDate,ShortBalance,FinanceBalance" advise="1">
        <values cols="10">
          <value>
            <val>4223</val>
          </value>
          <value>
            <val>379</val>
          </value>
          <value>
            <val>17.3</val>
          </value>
          <value>
            <val>404.3</val>
          </value>
          <value>
            <val>3.56</val>
          </value>
          <value>
            <val>669.2</val>
          </value>
          <value t="str">
            <val>2024/05/30</val>
          </value>
          <value t="str">
            <val>2024/05/14</val>
          </value>
          <value>
            <val>64</val>
          </value>
          <value>
            <val>5214</val>
          </value>
        </values>
      </ddeItem>
      <ddeItem name="3689.TW-ChipsField17,ROE,InOutRatio,RevenueMonth,EstimatedTotalVolume,5DayAvgVol,FinanceUsedRatio,PriceChange,CashAndStockDividend,ChipsField25" advise="1">
        <values cols="10">
          <value>
            <val>28</val>
          </value>
          <value>
            <val>1.18</val>
          </value>
          <value>
            <val>59.6</val>
          </value>
          <value t="str">
            <val>2024/06</val>
          </value>
          <value>
            <val>5588</val>
          </value>
          <value>
            <val>3900</val>
          </value>
          <value>
            <val>72.53</val>
          </value>
          <value>
            <val>6.1</val>
          </value>
          <value>
            <val>2.4500000000000002</val>
          </value>
          <value t="str">
            <val>2024/08/01</val>
          </value>
        </values>
      </ddeItem>
      <ddeItem name="3689.TW-ID,Name,CompanyPos,Price,DIndexPtsContributionRate,VolumeRatio,TurnoverRatio,PriceChangeRatio,DLOrderValueDiffRatio,MajorOrderBidAskRatio" advise="1">
        <values cols="10">
          <value t="str">
            <val>3689</val>
          </value>
          <value t="str">
            <val>湧德</val>
          </value>
          <value t="str">
            <val>主要生產DT、網通及消費電子用連接器</val>
          </value>
          <value>
            <val>76.900000000000006</val>
          </value>
          <value>
            <val>0</val>
          </value>
          <value>
            <val>3.61</val>
          </value>
          <value>
            <val>3.93</val>
          </value>
          <value>
            <val>8.6199999999999992</val>
          </value>
          <value>
            <val>-3.06</val>
          </value>
          <value>
            <val>67.489999999999995</val>
          </value>
        </values>
      </ddeItem>
      <ddeItem name="3689.TW-MajorOrderDif,DXLOrderValueDiffRatio,Low,MonthReturn,QuarterReturn,HalfYearReturn,YearReturn,DLOrderOutValueRatio,DetailIndustry,CompanyNews" advise="1">
        <values cols="10">
          <value t="str">
            <val>3978萬</val>
          </value>
          <value>
            <val>19.98</val>
          </value>
          <value>
            <val>73</val>
          </value>
          <value>
            <val>1.35</val>
          </value>
          <value>
            <val>25.49</val>
          </value>
          <value>
            <val>39.57</val>
          </value>
          <value>
            <val>31.94</val>
          </value>
          <value>
            <val>8.3699999999999992</val>
          </value>
          <value t="str">
            <val>連接器,電子零件元件</val>
          </value>
          <value t="str">
            <val>8/1除息2.45元</val>
          </value>
        </values>
      </ddeItem>
      <ddeItem name="3689.TW-TotalVolume,PreClose,Capital,AvgPrice,Profit,MarketValue,DateofMeetingofShareHolders,InvestorConferenceDate,ShortBalance,FinanceBalance" advise="1">
        <values cols="10">
          <value>
            <val>3093</val>
          </value>
          <value>
            <val>70.8</val>
          </value>
          <value>
            <val>7.94</val>
          </value>
          <value>
            <val>76.010000000000005</val>
          </value>
          <value>
            <val>0.55000000000000004</val>
          </value>
          <value>
            <val>60.5</val>
          </value>
          <value t="str">
            <val>2024/06/18</val>
          </value>
          <value t="str">
            <val>2024/03/27</val>
          </value>
          <value>
            <val>0</val>
          </value>
          <value>
            <val>14392</val>
          </value>
        </values>
      </ddeItem>
      <ddeItem name="3703.TW-ChipsField17,ROE,InOutRatio,RevenueMonth,EstimatedTotalVolume,5DayAvgVol,FinanceUsedRatio,PriceChange,CashAndStockDividend,ChipsField25" advise="1">
        <values cols="10">
          <value>
            <val>99</val>
          </value>
          <value t="str">
            <val>--</val>
          </value>
          <value>
            <val>61.46</val>
          </value>
          <value t="str">
            <val>2024/06</val>
          </value>
          <value>
            <val>5157</val>
          </value>
          <value>
            <val>2733</val>
          </value>
          <value>
            <val>2.23</val>
          </value>
          <value>
            <val>0.2</val>
          </value>
          <value>
            <val>1.5</val>
          </value>
          <value t="str">
            <val>2024/07/04</val>
          </value>
        </values>
      </ddeItem>
      <ddeItem name="3703.TW-ID,Name,CompanyPos,Price,DIndexPtsContributionRate,VolumeRatio,TurnoverRatio,PriceChangeRatio,DLOrderValueDiffRatio,MajorOrderBidAskRatio" advise="1">
        <values cols="10">
          <value t="str">
            <val>3703</val>
          </value>
          <value t="str">
            <val>欣陸</val>
          </value>
          <value t="str">
            <val>由大陸建設換股成立之建設、營造控股公司</val>
          </value>
          <value>
            <val>35.65</val>
          </value>
          <value>
            <val>0.04</val>
          </value>
          <value>
            <val>2.62</val>
          </value>
          <value>
            <val>0.27</val>
          </value>
          <value>
            <val>0.56000000000000005</val>
          </value>
          <value>
            <val>12.69</val>
          </value>
          <value>
            <val>72.150000000000006</val>
          </value>
        </values>
      </ddeItem>
      <ddeItem name="3703.TW-MajorOrderDif,DXLOrderValueDiffRatio,Low,MonthReturn,QuarterReturn,HalfYearReturn,YearReturn,DLOrderOutValueRatio,DetailIndustry,CompanyNews" advise="1">
        <values cols="10">
          <value t="str">
            <val>1503萬</val>
          </value>
          <value>
            <val>6.48</val>
          </value>
          <value>
            <val>34.799999999999997</val>
          </value>
          <value>
            <val>-0.28000000000000003</val>
          </value>
          <value>
            <val>-2.25</val>
          </value>
          <value>
            <val>36.06</val>
          </value>
          <value>
            <val>37.32</val>
          </value>
          <value>
            <val>20.079999999999998</val>
          </value>
          <value t="str">
            <val>控股公司,營建,住宅建設,基礎建設,地產,營造工程,環保工程</val>
          </value>
          <value t="str">
            <val>新任財務主管及發言人名單</val>
          </value>
        </values>
      </ddeItem>
      <ddeItem name="3703.TW-TotalVolume,PreClose,Capital,AvgPrice,Profit,MarketValue,DateofMeetingofShareHolders,InvestorConferenceDate,ShortBalance,FinanceBalance" advise="1">
        <values cols="10">
          <value>
            <val>2217</val>
          </value>
          <value>
            <val>35.450000000000003</val>
          </value>
          <value>
            <val>82.32</val>
          </value>
          <value>
            <val>35.380000000000003</val>
          </value>
          <value>
            <val>0.79</val>
          </value>
          <value>
            <val>293.5</val>
          </value>
          <value t="str">
            <val>2024/06/03</val>
          </value>
          <value t="str">
            <val>2024/08/01</val>
          </value>
          <value>
            <val>31</val>
          </value>
          <value>
            <val>4582</val>
          </value>
        </values>
      </ddeItem>
      <ddeItem name="3706.TW-ChipsField17,ROE,InOutRatio,RevenueMonth,EstimatedTotalVolume,5DayAvgVol,FinanceUsedRatio,PriceChange,CashAndStockDividend,ChipsField25" advise="1">
        <values cols="10">
          <value>
            <val>717</val>
          </value>
          <value>
            <val>1.1399999999999999</val>
          </value>
          <value>
            <val>62.83</val>
          </value>
          <value t="str">
            <val>2024/06</val>
          </value>
          <value>
            <val>8303</val>
          </value>
          <value>
            <val>7580</val>
          </value>
          <value>
            <val>10.35</val>
          </value>
          <value>
            <val>1.25</val>
          </value>
          <value>
            <val>1.3</val>
          </value>
          <value t="str">
            <val>2024/03/28</val>
          </value>
        </values>
      </ddeItem>
      <ddeItem name="3706.TW-ID,Name,CompanyPos,Price,DIndexPtsContributionRate,VolumeRatio,TurnoverRatio,PriceChangeRatio,DLOrderValueDiffRatio,MajorOrderBidAskRatio" advise="1">
        <values cols="10">
          <value t="str">
            <val>3706</val>
          </value>
          <value t="str">
            <val>神達</val>
          </value>
          <value t="str">
            <val>控股子公司從事伺服器、儲存設備、GPS等業務</val>
          </value>
          <value>
            <val>43.5</val>
          </value>
          <value>
            <val>7.0000000000000007E-2</val>
          </value>
          <value>
            <val>1.98</val>
          </value>
          <value>
            <val>0.27</val>
          </value>
          <value>
            <val>2.96</val>
          </value>
          <value>
            <val>3.01</val>
          </value>
          <value>
            <val>75.56</val>
          </value>
        </values>
      </ddeItem>
      <ddeItem name="3706.TW-MajorOrderDif,DXLOrderValueDiffRatio,Low,MonthReturn,QuarterReturn,HalfYearReturn,YearReturn,DLOrderOutValueRatio,DetailIndustry,CompanyNews" advise="1">
        <values cols="10">
          <value t="str">
            <val>3021萬</val>
          </value>
          <value>
            <val>18.29</val>
          </value>
          <value>
            <val>43.05</val>
          </value>
          <value>
            <val>-1.36</val>
          </value>
          <value>
            <val>-4.1900000000000004</val>
          </value>
          <value>
            <val>-0.28999999999999998</val>
          </value>
          <value>
            <val>-8.39</val>
          </value>
          <value>
            <val>7.84</val>
          </value>
          <value t="str">
            <val>控股公司,車用電子,行車紀錄器,伺服器,通訊設備,衛星導航,週邊產品,儲存設備,工業電腦,電腦系統業</val>
          </value>
          <value t="str">
            <val>--</val>
          </value>
        </values>
      </ddeItem>
      <ddeItem name="3706.TW-TotalVolume,PreClose,Capital,AvgPrice,Profit,MarketValue,DateofMeetingofShareHolders,InvestorConferenceDate,ShortBalance,FinanceBalance" advise="1">
        <values cols="10">
          <value>
            <val>3263</val>
          </value>
          <value>
            <val>42.25</val>
          </value>
          <value>
            <val>120.66</val>
          </value>
          <value>
            <val>43.46</val>
          </value>
          <value>
            <val>0.56999999999999995</val>
          </value>
          <value>
            <val>524.9</val>
          </value>
          <value t="str">
            <val>2024/05/28</val>
          </value>
          <value t="str">
            <val>2024/05/21</val>
          </value>
          <value>
            <val>127</val>
          </value>
          <value>
            <val>31221</val>
          </value>
        </values>
      </ddeItem>
      <ddeItem name="4303.TW-ChipsField17,ROE,InOutRatio,RevenueMonth,EstimatedTotalVolume,5DayAvgVol,FinanceUsedRatio,PriceChange,CashAndStockDividend,ChipsField25" advise="1">
        <values cols="10">
          <value>
            <val>0</val>
          </value>
          <value>
            <val>38.9</val>
          </value>
          <value>
            <val>75.19</val>
          </value>
          <value t="str">
            <val>2024/06</val>
          </value>
          <value>
            <val>30023</val>
          </value>
          <value>
            <val>4935</val>
          </value>
          <value>
            <val>53.78</val>
          </value>
          <value>
            <val>4.7</val>
          </value>
          <value>
            <val>1.1599999999999999</val>
          </value>
          <value t="str">
            <val>2024/08/01</val>
          </value>
        </values>
      </ddeItem>
      <ddeItem name="4303.TW-ID,Name,CompanyPos,Price,DIndexPtsContributionRate,VolumeRatio,TurnoverRatio,PriceChangeRatio,DLOrderValueDiffRatio,MajorOrderBidAskRatio" advise="1">
        <values cols="10">
          <value t="str">
            <val>4303</val>
          </value>
          <value t="str">
            <val>信立</val>
          </value>
          <value t="str">
            <val>台灣知名PU合成皮及PVC皮廠商</val>
          </value>
          <value>
            <val>51.9</val>
          </value>
          <value>
            <val>0</val>
          </value>
          <value>
            <val>5.37</val>
          </value>
          <value>
            <val>15.93</val>
          </value>
          <value>
            <val>9.9600000000000009</val>
          </value>
          <value>
            <val>4.7</val>
          </value>
          <value>
            <val>82.2</val>
          </value>
        </values>
      </ddeItem>
      <ddeItem name="4303.TW-MajorOrderDif,DXLOrderValueDiffRatio,Low,MonthReturn,QuarterReturn,HalfYearReturn,YearReturn,DLOrderOutValueRatio,DetailIndustry,CompanyNews" advise="1">
        <values cols="10">
          <value t="str">
            <val>2.59億</val>
          </value>
          <value>
            <val>36.06</val>
          </value>
          <value>
            <val>48.5</val>
          </value>
          <value>
            <val>22.96</val>
          </value>
          <value>
            <val>-0.6</val>
          </value>
          <value>
            <val>91.99</val>
          </value>
          <value>
            <val>189.02</val>
          </value>
          <value>
            <val>10.84</val>
          </value>
          <value t="str">
            <val>塑膠皮布,石化業</val>
          </value>
          <value t="str">
            <val>8/1除息1.16元</val>
          </value>
        </values>
      </ddeItem>
      <ddeItem name="4303.TW-TotalVolume,PreClose,Capital,AvgPrice,Profit,MarketValue,DateofMeetingofShareHolders,InvestorConferenceDate,ShortBalance,FinanceBalance" advise="1">
        <values cols="10">
          <value>
            <val>12535</val>
          </value>
          <value>
            <val>47.2</val>
          </value>
          <value>
            <val>7.88</val>
          </value>
          <value>
            <val>50.67</val>
          </value>
          <value>
            <val>7.35</val>
          </value>
          <value>
            <val>40.799999999999997</val>
          </value>
          <value t="str">
            <val>2024/05/27</val>
          </value>
          <value t="str">
            <val>2023/11/23</val>
          </value>
          <value>
            <val>0</val>
          </value>
          <value>
            <val>10595</val>
          </value>
        </values>
      </ddeItem>
      <ddeItem name="4306.TW-ChipsField17,ROE,InOutRatio,RevenueMonth,EstimatedTotalVolume,5DayAvgVol,FinanceUsedRatio,PriceChange,CashAndStockDividend,ChipsField25" advise="1">
        <values cols="10">
          <value>
            <val>0</val>
          </value>
          <value>
            <val>1.63</val>
          </value>
          <value>
            <val>61.35</val>
          </value>
          <value t="str">
            <val>2024/06</val>
          </value>
          <value>
            <val>6661</val>
          </value>
          <value>
            <val>5178</val>
          </value>
          <value>
            <val>7.04</val>
          </value>
          <value>
            <val>0.45</val>
          </value>
          <value>
            <val>0.98</val>
          </value>
          <value t="str">
            <val>2024/07/18</val>
          </value>
        </values>
      </ddeItem>
      <ddeItem name="4306.TW-ID,Name,CompanyPos,Price,DIndexPtsContributionRate,VolumeRatio,TurnoverRatio,PriceChangeRatio,DLOrderValueDiffRatio,MajorOrderBidAskRatio" advise="1">
        <values cols="10">
          <value t="str">
            <val>4306</val>
          </value>
          <value t="str">
            <val>炎洲</val>
          </value>
          <value t="str">
            <val>全球第一大PVC膠帶生產商</val>
          </value>
          <value>
            <val>22.45</val>
          </value>
          <value>
            <val>0.02</val>
          </value>
          <value>
            <val>1.81</val>
          </value>
          <value>
            <val>0.53</val>
          </value>
          <value>
            <val>2.0499999999999998</val>
          </value>
          <value>
            <val>-1.71</val>
          </value>
          <value>
            <val>65.41</val>
          </value>
        </values>
      </ddeItem>
      <ddeItem name="4306.TW-MajorOrderDif,DXLOrderValueDiffRatio,Low,MonthReturn,QuarterReturn,HalfYearReturn,YearReturn,DLOrderOutValueRatio,DetailIndustry,CompanyNews" advise="1">
        <values cols="10">
          <value t="str">
            <val>1198萬</val>
          </value>
          <value>
            <val>16.71</val>
          </value>
          <value>
            <val>22</val>
          </value>
          <value>
            <val>14.05</val>
          </value>
          <value>
            <val>12.42</val>
          </value>
          <value>
            <val>38.200000000000003</val>
          </value>
          <value>
            <val>59.29</val>
          </value>
          <value>
            <val>10.65</val>
          </value>
          <value t="str">
            <val>膠帶,化學工業,塑膠加工,石化業</val>
          </value>
          <value t="str">
            <val>自結6月合併稅前獲利2.48億元</val>
          </value>
        </values>
      </ddeItem>
      <ddeItem name="4306.TW-TotalVolume,PreClose,Capital,AvgPrice,Profit,MarketValue,DateofMeetingofShareHolders,InvestorConferenceDate,ShortBalance,FinanceBalance" advise="1">
        <values cols="10">
          <value>
            <val>3580</val>
          </value>
          <value>
            <val>22</val>
          </value>
          <value>
            <val>67.92</val>
          </value>
          <value>
            <val>22.3</val>
          </value>
          <value>
            <val>0.3</val>
          </value>
          <value>
            <val>152.5</val>
          </value>
          <value t="str">
            <val>2024/06/21</val>
          </value>
          <value t="str">
            <val>2023/12/26</val>
          </value>
          <value>
            <val>19</val>
          </value>
          <value>
            <val>11962</val>
          </value>
        </values>
      </ddeItem>
      <ddeItem name="4533.TW-ChipsField17,ROE,InOutRatio,RevenueMonth,EstimatedTotalVolume,5DayAvgVol,FinanceUsedRatio,PriceChange,CashAndStockDividend,ChipsField25" advise="1">
        <values cols="10">
          <value>
            <val>0</val>
          </value>
          <value>
            <val>4.7699999999999996</val>
          </value>
          <value>
            <val>61.23</val>
          </value>
          <value t="str">
            <val>2024/06</val>
          </value>
          <value>
            <val>6980</val>
          </value>
          <value>
            <val>3292</val>
          </value>
          <value>
            <val>40.68</val>
          </value>
          <value>
            <val>2.35</val>
          </value>
          <value>
            <val>1.1599999999999999</val>
          </value>
          <value t="str">
            <val>2024/07/09</val>
          </value>
        </values>
      </ddeItem>
      <ddeItem name="4533.TW-ID,Name,CompanyPos,Price,DIndexPtsContributionRate,VolumeRatio,TurnoverRatio,PriceChangeRatio,DLOrderValueDiffRatio,MajorOrderBidAskRatio" advise="1">
        <values cols="10">
          <value t="str">
            <val>4533</val>
          </value>
          <value t="str">
            <val>協易機</val>
          </value>
          <value t="str">
            <val>台灣沖床大廠</val>
          </value>
          <value>
            <val>44.85</val>
          </value>
          <value>
            <val>0</val>
          </value>
          <value>
            <val>3.96</val>
          </value>
          <value>
            <val>1.89</val>
          </value>
          <value>
            <val>5.53</val>
          </value>
          <value>
            <val>5.34</val>
          </value>
          <value>
            <val>76.13</val>
          </value>
        </values>
      </ddeItem>
      <ddeItem name="4533.TW-MajorOrderDif,DXLOrderValueDiffRatio,Low,MonthReturn,QuarterReturn,HalfYearReturn,YearReturn,DLOrderOutValueRatio,DetailIndustry,CompanyNews" advise="1">
        <values cols="10">
          <value t="str">
            <val>1972萬</val>
          </value>
          <value>
            <val>9.39</val>
          </value>
          <value>
            <val>43.45</val>
          </value>
          <value>
            <val>-4.9800000000000004</val>
          </value>
          <value>
            <val>30.1</val>
          </value>
          <value>
            <val>92.03</val>
          </value>
          <value>
            <val>51.63</val>
          </value>
          <value>
            <val>8.3699999999999992</val>
          </value>
          <value t="str">
            <val>工具機,機械</val>
          </value>
          <value t="str">
            <val>--</val>
          </value>
        </values>
      </ddeItem>
      <ddeItem name="4533.TW-TotalVolume,PreClose,Capital,AvgPrice,Profit,MarketValue,DateofMeetingofShareHolders,InvestorConferenceDate,ShortBalance,FinanceBalance" advise="1">
        <values cols="10">
          <value>
            <val>2988</val>
          </value>
          <value>
            <val>42.5</val>
          </value>
          <value>
            <val>15.84</val>
          </value>
          <value>
            <val>44.78</val>
          </value>
          <value>
            <val>0.77</val>
          </value>
          <value>
            <val>71.099999999999994</val>
          </value>
          <value t="str">
            <val>2024/06/13</val>
          </value>
          <value t="str">
            <val>2023/09/25</val>
          </value>
          <value>
            <val>165</val>
          </value>
          <value>
            <val>16111</val>
          </value>
        </values>
      </ddeItem>
      <ddeItem name="4566.TW-ChipsField17,ROE,InOutRatio,RevenueMonth,EstimatedTotalVolume,5DayAvgVol,FinanceUsedRatio,PriceChange,CashAndStockDividend,ChipsField25" advise="1">
        <values cols="10">
          <value>
            <val>0</val>
          </value>
          <value>
            <val>3.4</val>
          </value>
          <value>
            <val>53.19</val>
          </value>
          <value t="str">
            <val>2024/06</val>
          </value>
          <value>
            <val>9405</val>
          </value>
          <value>
            <val>9388</val>
          </value>
          <value>
            <val>34.47</val>
          </value>
          <value>
            <val>2.9</val>
          </value>
          <value>
            <val>1.43</val>
          </value>
          <value t="str">
            <val>2024/04/25</val>
          </value>
        </values>
      </ddeItem>
      <ddeItem name="4566.TW-ID,Name,CompanyPos,Price,DIndexPtsContributionRate,VolumeRatio,TurnoverRatio,PriceChangeRatio,DLOrderValueDiffRatio,MajorOrderBidAskRatio" advise="1">
        <values cols="10">
          <value t="str">
            <val>4566</val>
          </value>
          <value t="str">
            <val>時碩工業</val>
          </value>
          <value t="str">
            <val>台灣精密金屬零件加工廠商</val>
          </value>
          <value>
            <val>92.4</val>
          </value>
          <value>
            <val>0.01</val>
          </value>
          <value>
            <val>1.8</val>
          </value>
          <value>
            <val>6.96</val>
          </value>
          <value>
            <val>3.24</val>
          </value>
          <value>
            <val>0.56999999999999995</val>
          </value>
          <value>
            <val>61.15</val>
          </value>
        </values>
      </ddeItem>
      <ddeItem name="4566.TW-MajorOrderDif,DXLOrderValueDiffRatio,Low,MonthReturn,QuarterReturn,HalfYearReturn,YearReturn,DLOrderOutValueRatio,DetailIndustry,CompanyNews" advise="1">
        <values cols="10">
          <value t="str">
            <val>7317萬</val>
          </value>
          <value>
            <val>11.64</val>
          </value>
          <value>
            <val>91.5</val>
          </value>
          <value>
            <val>-3.14</val>
          </value>
          <value>
            <val>84.8</val>
          </value>
          <value>
            <val>84.95</val>
          </value>
          <value>
            <val>64.180000000000007</val>
          </value>
          <value>
            <val>9.42</val>
          </value>
          <value t="str">
            <val>汽機車零組件,傳產其他,金屬加工/製品</val>
          </value>
          <value t="str">
            <val>--</val>
          </value>
        </values>
      </ddeItem>
      <ddeItem name="4566.TW-TotalVolume,PreClose,Capital,AvgPrice,Profit,MarketValue,DateofMeetingofShareHolders,InvestorConferenceDate,ShortBalance,FinanceBalance" advise="1">
        <values cols="10">
          <value>
            <val>6355</val>
          </value>
          <value>
            <val>89.5</val>
          </value>
          <value>
            <val>10.25</val>
          </value>
          <value>
            <val>94.31</val>
          </value>
          <value>
            <val>1.47</val>
          </value>
          <value>
            <val>84.4</val>
          </value>
          <value t="str">
            <val>2024/06/27</val>
          </value>
          <value t="str">
            <val>2024/06/17</val>
          </value>
          <value>
            <val>634</val>
          </value>
          <value>
            <val>8831</val>
          </value>
        </values>
      </ddeItem>
      <ddeItem name="4714.TW-ChipsField17,ROE,InOutRatio,RevenueMonth,EstimatedTotalVolume,5DayAvgVol,FinanceUsedRatio,PriceChange,CashAndStockDividend,ChipsField25" advise="1">
        <values cols="10">
          <value>
            <val>0</val>
          </value>
          <value>
            <val>12.18</val>
          </value>
          <value>
            <val>78.569999999999993</val>
          </value>
          <value t="str">
            <val>2024/06</val>
          </value>
          <value>
            <val>12552</val>
          </value>
          <value>
            <val>2020</val>
          </value>
          <value>
            <val>24.66</val>
          </value>
          <value>
            <val>1.95</val>
          </value>
          <value>
            <val>0</val>
          </value>
          <value t="str">
            <val>--</val>
          </value>
        </values>
      </ddeItem>
      <ddeItem name="4714.TW-ID,Name,CompanyPos,Price,DIndexPtsContributionRate,VolumeRatio,TurnoverRatio,PriceChangeRatio,DLOrderValueDiffRatio,MajorOrderBidAskRatio" advise="1">
        <values cols="10">
          <value t="str">
            <val>4714</val>
          </value>
          <value t="str">
            <val>永捷</val>
          </value>
          <value t="str">
            <val>台灣PU樹脂大廠</val>
          </value>
          <value>
            <val>22.1</val>
          </value>
          <value>
            <val>0</val>
          </value>
          <value>
            <val>9.9</val>
          </value>
          <value>
            <val>3.01</val>
          </value>
          <value>
            <val>9.68</val>
          </value>
          <value>
            <val>7.95</val>
          </value>
          <value>
            <val>95.59</val>
          </value>
        </values>
      </ddeItem>
      <ddeItem name="4714.TW-MajorOrderDif,DXLOrderValueDiffRatio,Low,MonthReturn,QuarterReturn,HalfYearReturn,YearReturn,DLOrderOutValueRatio,DetailIndustry,CompanyNews" advise="1">
        <values cols="10">
          <value t="str">
            <val>4029萬</val>
          </value>
          <value>
            <val>28.83</val>
          </value>
          <value>
            <val>20.5</val>
          </value>
          <value>
            <val>5.24</val>
          </value>
          <value>
            <val>4.49</val>
          </value>
          <value>
            <val>58.42</val>
          </value>
          <value>
            <val>67.42</val>
          </value>
          <value>
            <val>8.98</val>
          </value>
          <value t="str">
            <val>PU樹脂,化學工業</val>
          </value>
          <value t="str">
            <val>6月營收0.56億元</val>
          </value>
        </values>
      </ddeItem>
      <ddeItem name="4714.TW-TotalVolume,PreClose,Capital,AvgPrice,Profit,MarketValue,DateofMeetingofShareHolders,InvestorConferenceDate,ShortBalance,FinanceBalance" advise="1">
        <values cols="10">
          <value>
            <val>5062</val>
          </value>
          <value>
            <val>20.149999999999999</val>
          </value>
          <value>
            <val>17.309999999999999</val>
          </value>
          <value>
            <val>21.64</val>
          </value>
          <value>
            <val>0.59</val>
          </value>
          <value>
            <val>37.200000000000003</val>
          </value>
          <value t="str">
            <val>2024/05/31</val>
          </value>
          <value t="str">
            <val>2023/11/23</val>
          </value>
          <value>
            <val>127</val>
          </value>
          <value>
            <val>10674</val>
          </value>
        </values>
      </ddeItem>
      <ddeItem name="4906.TW-ChipsField17,ROE,InOutRatio,RevenueMonth,EstimatedTotalVolume,5DayAvgVol,FinanceUsedRatio,PriceChange,CashAndStockDividend,ChipsField25" advise="1">
        <values cols="10">
          <value>
            <val>1484</val>
          </value>
          <value>
            <val>0.56000000000000005</val>
          </value>
          <value>
            <val>61.46</val>
          </value>
          <value t="str">
            <val>2024/06</val>
          </value>
          <value>
            <val>13158</val>
          </value>
          <value>
            <val>9203</val>
          </value>
          <value>
            <val>16.97</val>
          </value>
          <value>
            <val>1.25</val>
          </value>
          <value>
            <val>1.48</val>
          </value>
          <value t="str">
            <val>2024/06/26</val>
          </value>
        </values>
      </ddeItem>
      <ddeItem name="4906.TW-ID,Name,CompanyPos,Price,DIndexPtsContributionRate,VolumeRatio,TurnoverRatio,PriceChangeRatio,DLOrderValueDiffRatio,MajorOrderBidAskRatio" advise="1">
        <values cols="10">
          <value t="str">
            <val>4906</val>
          </value>
          <value t="str">
            <val>正文</val>
          </value>
          <value t="str">
            <val>台灣無線區域網路代工大廠</val>
          </value>
          <value>
            <val>43.8</val>
          </value>
          <value>
            <val>0.02</val>
          </value>
          <value>
            <val>2.08</val>
          </value>
          <value>
            <val>1.57</val>
          </value>
          <value>
            <val>2.94</val>
          </value>
          <value>
            <val>4.99</val>
          </value>
          <value>
            <val>69.510000000000005</val>
          </value>
        </values>
      </ddeItem>
      <ddeItem name="4906.TW-MajorOrderDif,DXLOrderValueDiffRatio,Low,MonthReturn,QuarterReturn,HalfYearReturn,YearReturn,DLOrderOutValueRatio,DetailIndustry,CompanyNews" advise="1">
        <values cols="10">
          <value t="str">
            <val>4141萬</val>
          </value>
          <value>
            <val>9.5299999999999994</val>
          </value>
          <value>
            <val>43.05</val>
          </value>
          <value>
            <val>18.54</val>
          </value>
          <value>
            <val>37.08</val>
          </value>
          <value>
            <val>25.91</val>
          </value>
          <value>
            <val>42.22</val>
          </value>
          <value>
            <val>9.84</val>
          </value>
          <value t="str">
            <val>無線網路設備系統(WLAN),通訊設備,電信設備,區域網路,通訊設備零組件</val>
          </value>
          <value t="str">
            <val>--</val>
          </value>
        </values>
      </ddeItem>
      <ddeItem name="4906.TW-TotalVolume,PreClose,Capital,AvgPrice,Profit,MarketValue,DateofMeetingofShareHolders,InvestorConferenceDate,ShortBalance,FinanceBalance" advise="1">
        <values cols="10">
          <value>
            <val>6487</val>
          </value>
          <value>
            <val>42.55</val>
          </value>
          <value>
            <val>41.57</val>
          </value>
          <value>
            <val>43.96</val>
          </value>
          <value>
            <val>0.18</val>
          </value>
          <value>
            <val>180.5</val>
          </value>
          <value t="str">
            <val>2024/05/29</val>
          </value>
          <value t="str">
            <val>2023/12/20</val>
          </value>
          <value>
            <val>853</val>
          </value>
          <value>
            <val>17640</val>
          </value>
        </values>
      </ddeItem>
      <ddeItem name="5351.TW-ChipsField17,ROE,InOutRatio,RevenueMonth,EstimatedTotalVolume,5DayAvgVol,FinanceUsedRatio,PriceChange,CashAndStockDividend,ChipsField25" advise="1">
        <values cols="10">
          <value>
            <val>0</val>
          </value>
          <value>
            <val>-6.2</val>
          </value>
          <value>
            <val>41.33</val>
          </value>
          <value t="str">
            <val>2024/06</val>
          </value>
          <value>
            <val>2541</val>
          </value>
          <value>
            <val>1812</val>
          </value>
          <value>
            <val>18.72</val>
          </value>
          <value>
            <val>0.3</val>
          </value>
          <value>
            <val>0</val>
          </value>
          <value t="str">
            <val>--</val>
          </value>
        </values>
      </ddeItem>
      <ddeItem name="5351.TW-ID,Name,CompanyPos,Price,DIndexPtsContributionRate,VolumeRatio,TurnoverRatio,PriceChangeRatio,DLOrderValueDiffRatio,MajorOrderBidAskRatio" advise="1">
        <values cols="10">
          <value t="str">
            <val>5351</val>
          </value>
          <value t="str">
            <val>鈺創</val>
          </value>
          <value t="str">
            <val>台灣利基型記憶體IC設計廠商</val>
          </value>
          <value>
            <val>41.55</val>
          </value>
          <value>
            <val>0</val>
          </value>
          <value>
            <val>1.72</val>
          </value>
          <value>
            <val>0.33</val>
          </value>
          <value>
            <val>0.73</val>
          </value>
          <value>
            <val>2.62</val>
          </value>
          <value>
            <val>28.74</val>
          </value>
        </values>
      </ddeItem>
      <ddeItem name="5351.TW-MajorOrderDif,DXLOrderValueDiffRatio,Low,MonthReturn,QuarterReturn,HalfYearReturn,YearReturn,DLOrderOutValueRatio,DetailIndustry,CompanyNews" advise="1">
        <values cols="10">
          <value t="str">
            <val>-735萬</val>
          </value>
          <value>
            <val>-19.010000000000002</val>
          </value>
          <value>
            <val>41.45</val>
          </value>
          <value>
            <val>-15.55</val>
          </value>
          <value>
            <val>-13.26</val>
          </value>
          <value>
            <val>-18.21</val>
          </value>
          <value>
            <val>-0.24</val>
          </value>
          <value>
            <val>8.3000000000000007</val>
          </value>
          <value t="str">
            <val>DRAM記憶體IC,SRAM記憶體IC,IC設計,高速傳輸介面IC</val>
          </value>
          <value t="str">
            <val>--</val>
          </value>
        </values>
      </ddeItem>
      <ddeItem name="5351.TW-TotalVolume,PreClose,Capital,AvgPrice,Profit,MarketValue,DateofMeetingofShareHolders,InvestorConferenceDate,ShortBalance,FinanceBalance" advise="1">
        <values cols="10">
          <value>
            <val>1075</val>
          </value>
          <value>
            <val>41.25</val>
          </value>
          <value>
            <val>32.56</val>
          </value>
          <value>
            <val>41.71</val>
          </value>
          <value>
            <val>-0.65</val>
          </value>
          <value>
            <val>135.30000000000001</val>
          </value>
          <value t="str">
            <val>2024/06/25</val>
          </value>
          <value t="str">
            <val>2023/11/09</val>
          </value>
          <value>
            <val>2453</val>
          </value>
          <value>
            <val>13598</val>
          </value>
        </values>
      </ddeItem>
      <ddeItem name="5371.TW-ChipsField17,ROE,InOutRatio,RevenueMonth,EstimatedTotalVolume,5DayAvgVol,FinanceUsedRatio,PriceChange,CashAndStockDividend,ChipsField25" advise="1">
        <values cols="10">
          <value>
            <val>0</val>
          </value>
          <value>
            <val>0.89</val>
          </value>
          <value>
            <val>60.71</val>
          </value>
          <value t="str">
            <val>2024/06</val>
          </value>
          <value>
            <val>3955</val>
          </value>
          <value>
            <val>3243</val>
          </value>
          <value>
            <val>11.9</val>
          </value>
          <value>
            <val>2.1</val>
          </value>
          <value>
            <val>3</val>
          </value>
          <value t="str">
            <val>2024/07/11</val>
          </value>
        </values>
      </ddeItem>
      <ddeItem name="5371.TW-ID,Name,CompanyPos,Price,DIndexPtsContributionRate,VolumeRatio,TurnoverRatio,PriceChangeRatio,DLOrderValueDiffRatio,MajorOrderBidAskRatio" advise="1">
        <values cols="10">
          <value t="str">
            <val>5371</val>
          </value>
          <value t="str">
            <val>中光電</val>
          </value>
          <value t="str">
            <val>背光模組及投影機製造大廠</val>
          </value>
          <value>
            <val>77.099999999999994</val>
          </value>
          <value>
            <val>0</val>
          </value>
          <value>
            <val>2.02</val>
          </value>
          <value>
            <val>0.39</val>
          </value>
          <value>
            <val>2.8</val>
          </value>
          <value>
            <val>15.67</val>
          </value>
          <value>
            <val>70.06</val>
          </value>
        </values>
      </ddeItem>
      <ddeItem name="5371.TW-MajorOrderDif,DXLOrderValueDiffRatio,Low,MonthReturn,QuarterReturn,HalfYearReturn,YearReturn,DLOrderOutValueRatio,DetailIndustry,CompanyNews" advise="1">
        <values cols="10">
          <value t="str">
            <val>1793萬</val>
          </value>
          <value>
            <val>-0.17</val>
          </value>
          <value>
            <val>75.7</val>
          </value>
          <value>
            <val>-12.21</val>
          </value>
          <value>
            <val>-22.44</val>
          </value>
          <value>
            <val>10.8</val>
          </value>
          <value>
            <val>5.95</val>
          </value>
          <value>
            <val>20.77</val>
          </value>
          <value t="str">
            <val>面板零組件,背光模組,顯示器,投影機</val>
          </value>
          <value t="str">
            <val>6月營收34.87億元</val>
          </value>
        </values>
      </ddeItem>
      <ddeItem name="5371.TW-TotalVolume,PreClose,Capital,AvgPrice,Profit,MarketValue,DateofMeetingofShareHolders,InvestorConferenceDate,ShortBalance,FinanceBalance" advise="1">
        <values cols="10">
          <value>
            <val>1508</val>
          </value>
          <value>
            <val>75</val>
          </value>
          <value>
            <val>39.1</val>
          </value>
          <value>
            <val>76.7</val>
          </value>
          <value>
            <val>0.72</val>
          </value>
          <value>
            <val>301.39999999999998</val>
          </value>
          <value t="str">
            <val>2024/06/14</val>
          </value>
          <value t="str">
            <val>2024/07/30</val>
          </value>
          <value>
            <val>49</val>
          </value>
          <value>
            <val>11635</val>
          </value>
        </values>
      </ddeItem>
      <ddeItem name="5392.TW-ChipsField17,ROE,InOutRatio,RevenueMonth,EstimatedTotalVolume,5DayAvgVol,FinanceUsedRatio,PriceChange,CashAndStockDividend,ChipsField25" advise="1">
        <values cols="10">
          <value>
            <val>0</val>
          </value>
          <value>
            <val>0.02</val>
          </value>
          <value>
            <val>46.62</val>
          </value>
          <value t="str">
            <val>2024/06</val>
          </value>
          <value>
            <val>4749</val>
          </value>
          <value>
            <val>1419</val>
          </value>
          <value>
            <val>18.739999999999998</val>
          </value>
          <value>
            <val>1.9</val>
          </value>
          <value>
            <val>0.3</val>
          </value>
          <value t="str">
            <val>--</val>
          </value>
        </values>
      </ddeItem>
      <ddeItem name="5392.TW-ID,Name,CompanyPos,Price,DIndexPtsContributionRate,VolumeRatio,TurnoverRatio,PriceChangeRatio,DLOrderValueDiffRatio,MajorOrderBidAskRatio" advise="1">
        <values cols="10">
          <value t="str">
            <val>5392</val>
          </value>
          <value t="str">
            <val>能率</val>
          </value>
          <value t="str">
            <val>3C、手工具機、汽車等應用之零組件廠</val>
          </value>
          <value>
            <val>33.700000000000003</val>
          </value>
          <value>
            <val>0</val>
          </value>
          <value>
            <val>3.85</val>
          </value>
          <value>
            <val>1.2</val>
          </value>
          <value>
            <val>5.97</val>
          </value>
          <value>
            <val>-3.92</val>
          </value>
          <value>
            <val>44.24</val>
          </value>
        </values>
      </ddeItem>
      <ddeItem name="5392.TW-MajorOrderDif,DXLOrderValueDiffRatio,Low,MonthReturn,QuarterReturn,HalfYearReturn,YearReturn,DLOrderOutValueRatio,DetailIndustry,CompanyNews" advise="1">
        <values cols="10">
          <value t="str">
            <val>-97.5萬</val>
          </value>
          <value>
            <val>2.4900000000000002</val>
          </value>
          <value>
            <val>32.25</val>
          </value>
          <value>
            <val>-6.39</val>
          </value>
          <value>
            <val>23.44</val>
          </value>
          <value>
            <val>42.8</val>
          </value>
          <value>
            <val>36.96</val>
          </value>
          <value>
            <val>2.99</val>
          </value>
          <value t="str">
            <val>汽機車零組件,控股公司,其他電子零件,電子零件元件,機械零組件,機械</val>
          </value>
          <value t="str">
            <val>--</val>
          </value>
        </values>
      </ddeItem>
      <ddeItem name="5392.TW-TotalVolume,PreClose,Capital,AvgPrice,Profit,MarketValue,DateofMeetingofShareHolders,InvestorConferenceDate,ShortBalance,FinanceBalance" advise="1">
        <values cols="10">
          <value>
            <val>2026</val>
          </value>
          <value>
            <val>31.8</val>
          </value>
          <value>
            <val>16.899999999999999</val>
          </value>
          <value>
            <val>33.75</val>
          </value>
          <value>
            <val>-0.04</val>
          </value>
          <value>
            <val>56.9</val>
          </value>
          <value t="str">
            <val>2024/06/21</val>
          </value>
          <value t="str">
            <val>2023/11/21</val>
          </value>
          <value>
            <val>134</val>
          </value>
          <value>
            <val>7914</val>
          </value>
        </values>
      </ddeItem>
      <ddeItem name="5469.TW-ChipsField17,ROE,InOutRatio,RevenueMonth,EstimatedTotalVolume,5DayAvgVol,FinanceUsedRatio,PriceChange,CashAndStockDividend,ChipsField25" advise="1">
        <values cols="10">
          <value>
            <val>0</val>
          </value>
          <value>
            <val>1.9</val>
          </value>
          <value>
            <val>67.53</val>
          </value>
          <value t="str">
            <val>2024/06</val>
          </value>
          <value>
            <val>11431</val>
          </value>
          <value>
            <val>2248</val>
          </value>
          <value>
            <val>10.28</val>
          </value>
          <value>
            <val>3.1</val>
          </value>
          <value>
            <val>1.61</val>
          </value>
          <value t="str">
            <val>2024/07/09</val>
          </value>
        </values>
      </ddeItem>
      <ddeItem name="5469.TW-ID,Name,CompanyPos,Price,DIndexPtsContributionRate,VolumeRatio,TurnoverRatio,PriceChangeRatio,DLOrderValueDiffRatio,MajorOrderBidAskRatio" advise="1">
        <values cols="10">
          <value t="str">
            <val>5469</val>
          </value>
          <value t="str">
            <val>瀚宇博</val>
          </value>
          <value t="str">
            <val>全球前三大NB板與STB板廠之一</val>
          </value>
          <value>
            <val>52</val>
          </value>
          <value>
            <val>0.04</val>
          </value>
          <value>
            <val>4.6900000000000004</val>
          </value>
          <value>
            <val>0.9</val>
          </value>
          <value>
            <val>6.34</val>
          </value>
          <value>
            <val>4.92</val>
          </value>
          <value>
            <val>79.64</val>
          </value>
        </values>
      </ddeItem>
      <ddeItem name="5469.TW-MajorOrderDif,DXLOrderValueDiffRatio,Low,MonthReturn,QuarterReturn,HalfYearReturn,YearReturn,DLOrderOutValueRatio,DetailIndustry,CompanyNews" advise="1">
        <values cols="10">
          <value t="str">
            <val>5591萬</val>
          </value>
          <value>
            <val>17.54</val>
          </value>
          <value>
            <val>51.4</val>
          </value>
          <value>
            <val>-4.66</val>
          </value>
          <value>
            <val>-4.49</val>
          </value>
          <value>
            <val>-6.82</val>
          </value>
          <value>
            <val>9.4600000000000009</val>
          </value>
          <value>
            <val>9.07</val>
          </value>
          <value t="str">
            <val>印刷電路板,印刷電路板相關,電子製造服務,電腦系統業</val>
          </value>
          <value t="str">
            <val>--</val>
          </value>
        </values>
      </ddeItem>
      <ddeItem name="5469.TW-TotalVolume,PreClose,Capital,AvgPrice,Profit,MarketValue,DateofMeetingofShareHolders,InvestorConferenceDate,ShortBalance,FinanceBalance" advise="1">
        <values cols="10">
          <value>
            <val>4770</val>
          </value>
          <value>
            <val>48.9</val>
          </value>
          <value>
            <val>52.84</val>
          </value>
          <value>
            <val>52.17</val>
          </value>
          <value>
            <val>1</val>
          </value>
          <value>
            <val>274.8</val>
          </value>
          <value t="str">
            <val>2024/06/18</val>
          </value>
          <value t="str">
            <val>2023/05/30</val>
          </value>
          <value>
            <val>25</val>
          </value>
          <value>
            <val>13587</val>
          </value>
        </values>
      </ddeItem>
      <ddeItem name="5531.TW-ChipsField17,ROE,InOutRatio,RevenueMonth,EstimatedTotalVolume,5DayAvgVol,FinanceUsedRatio,PriceChange,CashAndStockDividend,ChipsField25" advise="1">
        <values cols="10">
          <value>
            <val>123</val>
          </value>
          <value>
            <val>-3.62</val>
          </value>
          <value>
            <val>67.209999999999994</val>
          </value>
          <value t="str">
            <val>2024/06</val>
          </value>
          <value>
            <val>5265</val>
          </value>
          <value>
            <val>2236</val>
          </value>
          <value>
            <val>3.23</val>
          </value>
          <value>
            <val>0.25</val>
          </value>
          <value>
            <val>0</val>
          </value>
          <value t="str">
            <val>--</val>
          </value>
        </values>
      </ddeItem>
      <ddeItem name="5531.TW-ID,Name,CompanyPos,Price,DIndexPtsContributionRate,VolumeRatio,TurnoverRatio,PriceChangeRatio,DLOrderValueDiffRatio,MajorOrderBidAskRatio" advise="1">
        <values cols="10">
          <value t="str">
            <val>5531</val>
          </value>
          <value t="str">
            <val>鄉林</val>
          </value>
          <value t="str">
            <val>推案以中部地區為主之建商，並跨足觀光旅館經營</val>
          </value>
          <value>
            <val>11.85</val>
          </value>
          <value>
            <val>0.02</val>
          </value>
          <value>
            <val>2.14</val>
          </value>
          <value>
            <val>0.32</val>
          </value>
          <value>
            <val>2.16</val>
          </value>
          <value>
            <val>12.18</val>
          </value>
          <value>
            <val>84.46</val>
          </value>
        </values>
      </ddeItem>
      <ddeItem name="5531.TW-MajorOrderDif,DXLOrderValueDiffRatio,Low,MonthReturn,QuarterReturn,HalfYearReturn,YearReturn,DLOrderOutValueRatio,DetailIndustry,CompanyNews" advise="1">
        <values cols="10">
          <value t="str">
            <val>1281萬</val>
          </value>
          <value>
            <val>22.64</val>
          </value>
          <value>
            <val>11.45</val>
          </value>
          <value>
            <val>6.28</val>
          </value>
          <value>
            <val>-3.27</val>
          </value>
          <value>
            <val>15.05</val>
          </value>
          <value>
            <val>16.18</val>
          </value>
          <value>
            <val>15.27</val>
          </value>
          <value t="str">
            <val>營建,地產,旅館、餐飲,飯店</val>
          </value>
          <value t="str">
            <val>--</val>
          </value>
        </values>
      </ddeItem>
      <ddeItem name="5531.TW-TotalVolume,PreClose,Capital,AvgPrice,Profit,MarketValue,DateofMeetingofShareHolders,InvestorConferenceDate,ShortBalance,FinanceBalance" advise="1">
        <values cols="10">
          <value>
            <val>3127</val>
          </value>
          <value>
            <val>11.6</val>
          </value>
          <value>
            <val>97.76</val>
          </value>
          <value>
            <val>11.76</val>
          </value>
          <value>
            <val>-0.31</val>
          </value>
          <value>
            <val>115.8</val>
          </value>
          <value t="str">
            <val>2024/06/27</val>
          </value>
          <value t="str">
            <val>2023/12/19</val>
          </value>
          <value>
            <val>214</val>
          </value>
          <value>
            <val>7891</val>
          </value>
        </values>
      </ddeItem>
      <ddeItem name="5880.TW-ChipsField17,ROE,InOutRatio,RevenueMonth,EstimatedTotalVolume,5DayAvgVol,FinanceUsedRatio,PriceChange,CashAndStockDividend,ChipsField25" advise="1">
        <values cols="10">
          <value>
            <val>0</val>
          </value>
          <value>
            <val>2.16</val>
          </value>
          <value>
            <val>75.61</val>
          </value>
          <value t="str">
            <val>2024/06</val>
          </value>
          <value>
            <val>19283</val>
          </value>
          <value>
            <val>9973</val>
          </value>
          <value>
            <val>0.06</val>
          </value>
          <value>
            <val>0.25</val>
          </value>
          <value>
            <val>1</val>
          </value>
          <value t="str">
            <val>2024/08/14</val>
          </value>
        </values>
      </ddeItem>
      <ddeItem name="5880.TW-ID,Name,CompanyPos,Price,DIndexPtsContributionRate,VolumeRatio,TurnoverRatio,PriceChangeRatio,DLOrderValueDiffRatio,MajorOrderBidAskRatio" advise="1">
        <values cols="10">
          <value t="str">
            <val>5880</val>
          </value>
          <value t="str">
            <val>合庫金</val>
          </value>
          <value t="str">
            <val>具有國營背景的金控公司，金融資產規模排名前六大</val>
          </value>
          <value>
            <val>27.1</val>
          </value>
          <value>
            <val>0.56000000000000005</val>
          </value>
          <value>
            <val>2.2799999999999998</val>
          </value>
          <value>
            <val>0.05</val>
          </value>
          <value>
            <val>0.93</val>
          </value>
          <value>
            <val>6</val>
          </value>
          <value>
            <val>77.12</val>
          </value>
        </values>
      </ddeItem>
      <ddeItem name="5880.TW-MajorOrderDif,DXLOrderValueDiffRatio,Low,MonthReturn,QuarterReturn,HalfYearReturn,YearReturn,DLOrderOutValueRatio,DetailIndustry,CompanyNews" advise="1">
        <values cols="10">
          <value t="str">
            <val>8184萬</val>
          </value>
          <value>
            <val>34.799999999999997</val>
          </value>
          <value>
            <val>26.85</val>
          </value>
          <value>
            <val>4.2300000000000004</val>
          </value>
          <value>
            <val>3.44</val>
          </value>
          <value>
            <val>4.84</val>
          </value>
          <value>
            <val>-1.87</val>
          </value>
          <value>
            <val>7.7</val>
          </value>
          <value t="str">
            <val>銀行,壽險,票券,證券,投信,金控,資產管理,金融業</val>
          </value>
          <value t="str">
            <val>8/14除權0.35元，除息0.65元</val>
          </value>
        </values>
      </ddeItem>
      <ddeItem name="5880.TW-TotalVolume,PreClose,Capital,AvgPrice,Profit,MarketValue,DateofMeetingofShareHolders,InvestorConferenceDate,ShortBalance,FinanceBalance" advise="1">
        <values cols="10">
          <value>
            <val>7427</val>
          </value>
          <value>
            <val>26.85</val>
          </value>
          <value>
            <val>1470.94</val>
          </value>
          <value>
            <val>27.01</val>
          </value>
          <value>
            <val>0.36</val>
          </value>
          <value>
            <val>3986.2</val>
          </value>
          <value t="str">
            <val>2024/06/21</val>
          </value>
          <value t="str">
            <val>2024/05/21</val>
          </value>
          <value>
            <val>5</val>
          </value>
          <value>
            <val>2173</val>
          </value>
        </values>
      </ddeItem>
      <ddeItem name="6153.TW-ChipsField17,ROE,InOutRatio,RevenueMonth,EstimatedTotalVolume,5DayAvgVol,FinanceUsedRatio,PriceChange,CashAndStockDividend,ChipsField25" advise="1">
        <values cols="10">
          <value>
            <val>0</val>
          </value>
          <value>
            <val>-4.3499999999999996</val>
          </value>
          <value>
            <val>66.58</val>
          </value>
          <value t="str">
            <val>2024/06</val>
          </value>
          <value>
            <val>5209</val>
          </value>
          <value>
            <val>2064</val>
          </value>
          <value>
            <val>11.52</val>
          </value>
          <value>
            <val>0.85</val>
          </value>
          <value>
            <val>0</val>
          </value>
          <value t="str">
            <val>--</val>
          </value>
        </values>
      </ddeItem>
      <ddeItem name="6153.TW-ID,Name,CompanyPos,Price,DIndexPtsContributionRate,VolumeRatio,TurnoverRatio,PriceChangeRatio,DLOrderValueDiffRatio,MajorOrderBidAskRatio" advise="1">
        <values cols="10">
          <value t="str">
            <val>6153</val>
          </value>
          <value t="str">
            <val>嘉聯益</val>
          </value>
          <value t="str">
            <val>台灣前三大軟板廠之一</val>
          </value>
          <value>
            <val>23.65</val>
          </value>
          <value>
            <val>0.02</val>
          </value>
          <value>
            <val>1.92</val>
          </value>
          <value>
            <val>0.39</val>
          </value>
          <value>
            <val>3.73</val>
          </value>
          <value>
            <val>4.2300000000000004</val>
          </value>
          <value>
            <val>91.61</val>
          </value>
        </values>
      </ddeItem>
      <ddeItem name="6153.TW-MajorOrderDif,DXLOrderValueDiffRatio,Low,MonthReturn,QuarterReturn,HalfYearReturn,YearReturn,DLOrderOutValueRatio,DetailIndustry,CompanyNews" advise="1">
        <values cols="10">
          <value t="str">
            <val>1486萬</val>
          </value>
          <value>
            <val>22.52</val>
          </value>
          <value>
            <val>22.9</val>
          </value>
          <value>
            <val>12.35</val>
          </value>
          <value>
            <val>19.14</val>
          </value>
          <value>
            <val>13.7</val>
          </value>
          <value>
            <val>-1.99</val>
          </value>
          <value>
            <val>6.93</val>
          </value>
          <value t="str">
            <val>軟板,印刷電路板相關</val>
          </value>
          <value t="str">
            <val>上半年合併虧損9.11億元</val>
          </value>
        </values>
      </ddeItem>
      <ddeItem name="6153.TW-TotalVolume,PreClose,Capital,AvgPrice,Profit,MarketValue,DateofMeetingofShareHolders,InvestorConferenceDate,ShortBalance,FinanceBalance" advise="1">
        <values cols="10">
          <value>
            <val>2343</val>
          </value>
          <value>
            <val>22.8</val>
          </value>
          <value>
            <val>59.62</val>
          </value>
          <value>
            <val>23.72</val>
          </value>
          <value>
            <val>-0.96</val>
          </value>
          <value>
            <val>141</val>
          </value>
          <value t="str">
            <val>2024/06/14</val>
          </value>
          <value t="str">
            <val>2023/11/08</val>
          </value>
          <value>
            <val>834</val>
          </value>
          <value>
            <val>14613</val>
          </value>
        </values>
      </ddeItem>
      <ddeItem name="6182.TW-ChipsField17,ROE,InOutRatio,RevenueMonth,EstimatedTotalVolume,5DayAvgVol,FinanceUsedRatio,PriceChange,CashAndStockDividend,ChipsField25" advise="1">
        <values cols="10">
          <value>
            <val>99</val>
          </value>
          <value>
            <val>0.1</val>
          </value>
          <value>
            <val>46.59</val>
          </value>
          <value t="str">
            <val>2024/06</val>
          </value>
          <value>
            <val>2576</val>
          </value>
          <value>
            <val>1943</val>
          </value>
          <value>
            <val>11.62</val>
          </value>
          <value>
            <val>0.7</val>
          </value>
          <value>
            <val>0.65</val>
          </value>
          <value t="str">
            <val>2024/07/23</val>
          </value>
        </values>
      </ddeItem>
      <ddeItem name="6182.TW-ID,Name,CompanyPos,Price,DIndexPtsContributionRate,VolumeRatio,TurnoverRatio,PriceChangeRatio,DLOrderValueDiffRatio,MajorOrderBidAskRatio" advise="1">
        <values cols="10">
          <value t="str">
            <val>6182</val>
          </value>
          <value t="str">
            <val>合晶</val>
          </value>
          <value t="str">
            <val>台灣6吋及8吋矽晶圓製造商</val>
          </value>
          <value>
            <val>37.5</val>
          </value>
          <value>
            <val>0</val>
          </value>
          <value>
            <val>1.75</val>
          </value>
          <value>
            <val>0.16</val>
          </value>
          <value>
            <val>1.9</val>
          </value>
          <value>
            <val>2.7</val>
          </value>
          <value>
            <val>43.01</val>
          </value>
        </values>
      </ddeItem>
      <ddeItem name="6182.TW-MajorOrderDif,DXLOrderValueDiffRatio,Low,MonthReturn,QuarterReturn,HalfYearReturn,YearReturn,DLOrderOutValueRatio,DetailIndustry,CompanyNews" advise="1">
        <values cols="10">
          <value t="str">
            <val>-140萬</val>
          </value>
          <value>
            <val>-6.93</val>
          </value>
          <value>
            <val>37.4</val>
          </value>
          <value>
            <val>-1.28</val>
          </value>
          <value>
            <val>-3.41</val>
          </value>
          <value>
            <val>-6.94</val>
          </value>
          <value>
            <val>-11.37</val>
          </value>
          <value>
            <val>8.6300000000000008</val>
          </value>
          <value t="str">
            <val>磊晶,矽晶圓,IC製造</val>
          </value>
          <value t="str">
            <val>--</val>
          </value>
        </values>
      </ddeItem>
      <ddeItem name="6182.TW-TotalVolume,PreClose,Capital,AvgPrice,Profit,MarketValue,DateofMeetingofShareHolders,InvestorConferenceDate,ShortBalance,FinanceBalance" advise="1">
        <values cols="10">
          <value>
            <val>878</val>
          </value>
          <value>
            <val>36.799999999999997</val>
          </value>
          <value>
            <val>54.27</val>
          </value>
          <value>
            <val>37.71</val>
          </value>
          <value>
            <val>0</val>
          </value>
          <value>
            <val>203.5</val>
          </value>
          <value t="str">
            <val>2024/06/21</val>
          </value>
          <value t="str">
            <val>2024/07/05</val>
          </value>
          <value>
            <val>36</val>
          </value>
          <value>
            <val>15769</val>
          </value>
        </values>
      </ddeItem>
      <ddeItem name="6188.TW-ChipsField17,ROE,InOutRatio,RevenueMonth,EstimatedTotalVolume,5DayAvgVol,FinanceUsedRatio,PriceChange,CashAndStockDividend,ChipsField25" advise="1">
        <values cols="10">
          <value>
            <val>408</val>
          </value>
          <value>
            <val>2.33</val>
          </value>
          <value>
            <val>53.11</val>
          </value>
          <value t="str">
            <val>2024/06</val>
          </value>
          <value>
            <val>11875</val>
          </value>
          <value>
            <val>3399</val>
          </value>
          <value>
            <val>17.91</val>
          </value>
          <value>
            <val>2.6</val>
          </value>
          <value>
            <val>3.2</val>
          </value>
          <value t="str">
            <val>2024/04/03</val>
          </value>
        </values>
      </ddeItem>
      <ddeItem name="6188.TW-ID,Name,CompanyPos,Price,DIndexPtsContributionRate,VolumeRatio,TurnoverRatio,PriceChangeRatio,DLOrderValueDiffRatio,MajorOrderBidAskRatio" advise="1">
        <values cols="10">
          <value t="str">
            <val>6188</val>
          </value>
          <value t="str">
            <val>廣明</val>
          </value>
          <value t="str">
            <val>廣達集團旗下的硬碟產品代工廠</val>
          </value>
          <value>
            <val>102.5</val>
          </value>
          <value>
            <val>0</val>
          </value>
          <value>
            <val>5.03</val>
          </value>
          <value>
            <val>2.06</val>
          </value>
          <value>
            <val>2.6</val>
          </value>
          <value>
            <val>-0.69</val>
          </value>
          <value>
            <val>52.89</val>
          </value>
        </values>
      </ddeItem>
      <ddeItem name="6188.TW-MajorOrderDif,DXLOrderValueDiffRatio,Low,MonthReturn,QuarterReturn,HalfYearReturn,YearReturn,DLOrderOutValueRatio,DetailIndustry,CompanyNews" advise="1">
        <values cols="10">
          <value t="str">
            <val>1518萬</val>
          </value>
          <value>
            <val>3.23</val>
          </value>
          <value>
            <val>101</val>
          </value>
          <value>
            <val>-8.48</val>
          </value>
          <value>
            <val>13.76</val>
          </value>
          <value>
            <val>34.28</val>
          </value>
          <value>
            <val>3.36</val>
          </value>
          <value>
            <val>2.38</val>
          </value>
          <value t="str">
            <val>週邊產品,硬碟相關,機器人,機械</val>
          </value>
          <value t="str">
            <val>上半年合併獲利3.52億元</val>
          </value>
        </values>
      </ddeItem>
      <ddeItem name="6188.TW-TotalVolume,PreClose,Capital,AvgPrice,Profit,MarketValue,DateofMeetingofShareHolders,InvestorConferenceDate,ShortBalance,FinanceBalance" advise="1">
        <values cols="10">
          <value>
            <val>5728</val>
          </value>
          <value>
            <val>99.9</val>
          </value>
          <value>
            <val>27.84</val>
          </value>
          <value>
            <val>104.41</val>
          </value>
          <value>
            <val>0.78</val>
          </value>
          <value>
            <val>285.3</val>
          </value>
          <value t="str">
            <val>2024/06/07</val>
          </value>
          <value t="str">
            <val>2023/11/14</val>
          </value>
          <value>
            <val>453</val>
          </value>
          <value>
            <val>12460</val>
          </value>
        </values>
      </ddeItem>
      <ddeItem name="6189.TW-ChipsField17,ROE,InOutRatio,RevenueMonth,EstimatedTotalVolume,5DayAvgVol,FinanceUsedRatio,PriceChange,CashAndStockDividend,ChipsField25" advise="1">
        <values cols="10">
          <value>
            <val>122</val>
          </value>
          <value>
            <val>8.33</val>
          </value>
          <value>
            <val>64.83</val>
          </value>
          <value t="str">
            <val>2024/06</val>
          </value>
          <value>
            <val>5930</val>
          </value>
          <value>
            <val>2370</val>
          </value>
          <value>
            <val>9.67</val>
          </value>
          <value>
            <val>3.2</val>
          </value>
          <value>
            <val>3.46</val>
          </value>
          <value t="str">
            <val>2024/07/17</val>
          </value>
        </values>
      </ddeItem>
      <ddeItem name="6189.TW-ID,Name,CompanyPos,Price,DIndexPtsContributionRate,VolumeRatio,TurnoverRatio,PriceChangeRatio,DLOrderValueDiffRatio,MajorOrderBidAskRatio" advise="1">
        <values cols="10">
          <value t="str">
            <val>6189</val>
          </value>
          <value t="str">
            <val>豐藝</val>
          </value>
          <value t="str">
            <val>國內專業的電子零組件經銷通路商</val>
          </value>
          <value>
            <val>91.8</val>
          </value>
          <value>
            <val>0.03</val>
          </value>
          <value>
            <val>3.15</val>
          </value>
          <value>
            <val>1.3</val>
          </value>
          <value>
            <val>3.61</val>
          </value>
          <value>
            <val>4.84</val>
          </value>
          <value>
            <val>82.79</val>
          </value>
        </values>
      </ddeItem>
      <ddeItem name="6189.TW-MajorOrderDif,DXLOrderValueDiffRatio,Low,MonthReturn,QuarterReturn,HalfYearReturn,YearReturn,DLOrderOutValueRatio,DetailIndustry,CompanyNews" advise="1">
        <values cols="10">
          <value t="str">
            <val>6827萬</val>
          </value>
          <value>
            <val>21.56</val>
          </value>
          <value>
            <val>90.1</val>
          </value>
          <value>
            <val>-3.57</val>
          </value>
          <value>
            <val>10.42</val>
          </value>
          <value>
            <val>55.52</val>
          </value>
          <value>
            <val>130.97</val>
          </value>
          <value>
            <val>8.1999999999999993</val>
          </value>
          <value t="str">
            <val>顯示器,LCD顯示器,IC零組件通路商,其他電子元件代理商,電子通路</val>
          </value>
          <value t="str">
            <val>--</val>
          </value>
        </values>
      </ddeItem>
      <ddeItem name="6189.TW-TotalVolume,PreClose,Capital,AvgPrice,Profit,MarketValue,DateofMeetingofShareHolders,InvestorConferenceDate,ShortBalance,FinanceBalance" advise="1">
        <values cols="10">
          <value>
            <val>2804</val>
          </value>
          <value>
            <val>88.6</val>
          </value>
          <value>
            <val>21.75</val>
          </value>
          <value>
            <val>92.21</val>
          </value>
          <value>
            <val>2.27</val>
          </value>
          <value>
            <val>197.9</val>
          </value>
          <value t="str">
            <val>2024/05/28</val>
          </value>
          <value t="str">
            <val>2023/11/16</val>
          </value>
          <value>
            <val>63</val>
          </value>
          <value>
            <val>5257</val>
          </value>
        </values>
      </ddeItem>
      <ddeItem name="6191.TW-ChipsField17,ROE,InOutRatio,RevenueMonth,EstimatedTotalVolume,5DayAvgVol,FinanceUsedRatio,PriceChange,CashAndStockDividend,ChipsField25" advise="1">
        <values cols="10">
          <value>
            <val>20</val>
          </value>
          <value>
            <val>2.71</val>
          </value>
          <value>
            <val>57.54</val>
          </value>
          <value t="str">
            <val>2024/06</val>
          </value>
          <value>
            <val>6530</val>
          </value>
          <value>
            <val>2074</val>
          </value>
          <value>
            <val>5.04</val>
          </value>
          <value>
            <val>2.7</val>
          </value>
          <value>
            <val>3.3</val>
          </value>
          <value t="str">
            <val>2024/07/09</val>
          </value>
        </values>
      </ddeItem>
      <ddeItem name="6191.TW-ID,Name,CompanyPos,Price,DIndexPtsContributionRate,VolumeRatio,TurnoverRatio,PriceChangeRatio,DLOrderValueDiffRatio,MajorOrderBidAskRatio" advise="1">
        <values cols="10">
          <value t="str">
            <val>6191</val>
          </value>
          <value t="str">
            <val>精成科</val>
          </value>
          <value t="str">
            <val>瀚宇博轉投資印刷電路板暨組裝代工廠</val>
          </value>
          <value>
            <val>64.5</val>
          </value>
          <value>
            <val>0.04</val>
          </value>
          <value>
            <val>3.31</val>
          </value>
          <value>
            <val>0.45</val>
          </value>
          <value>
            <val>4.37</val>
          </value>
          <value>
            <val>3.63</val>
          </value>
          <value>
            <val>65.709999999999994</val>
          </value>
        </values>
      </ddeItem>
      <ddeItem name="6191.TW-MajorOrderDif,DXLOrderValueDiffRatio,Low,MonthReturn,QuarterReturn,HalfYearReturn,YearReturn,DLOrderOutValueRatio,DetailIndustry,CompanyNews" advise="1">
        <values cols="10">
          <value t="str">
            <val>1594萬</val>
          </value>
          <value>
            <val>7.83</val>
          </value>
          <value>
            <val>63.9</val>
          </value>
          <value>
            <val>-7.78</val>
          </value>
          <value>
            <val>-7.53</val>
          </value>
          <value>
            <val>4.1500000000000004</val>
          </value>
          <value>
            <val>34.119999999999997</val>
          </value>
          <value>
            <val>10.17</val>
          </value>
          <value t="str">
            <val>印刷電路板,印刷電路板相關,電子製造服務,電腦系統業</val>
          </value>
          <value t="str">
            <val>上半年合併獲利14.47億元</val>
          </value>
        </values>
      </ddeItem>
      <ddeItem name="6191.TW-TotalVolume,PreClose,Capital,AvgPrice,Profit,MarketValue,DateofMeetingofShareHolders,InvestorConferenceDate,ShortBalance,FinanceBalance" advise="1">
        <values cols="10">
          <value>
            <val>2157</val>
          </value>
          <value>
            <val>61.8</val>
          </value>
          <value>
            <val>47.43</val>
          </value>
          <value>
            <val>64.47</val>
          </value>
          <value>
            <val>1.24</val>
          </value>
          <value>
            <val>305.89999999999998</val>
          </value>
          <value t="str">
            <val>2024/06/18</val>
          </value>
          <value t="str">
            <val>2023/05/30</val>
          </value>
          <value>
            <val>9</val>
          </value>
          <value>
            <val>5982</val>
          </value>
        </values>
      </ddeItem>
      <ddeItem name="6215.TW-ChipsField17,ROE,InOutRatio,RevenueMonth,EstimatedTotalVolume,5DayAvgVol,FinanceUsedRatio,PriceChange,CashAndStockDividend,ChipsField25" advise="1">
        <values cols="10">
          <value>
            <val>19</val>
          </value>
          <value>
            <val>1.98</val>
          </value>
          <value>
            <val>84.19</val>
          </value>
          <value t="str">
            <val>2024/06</val>
          </value>
          <value>
            <val>20251</val>
          </value>
          <value>
            <val>4883</val>
          </value>
          <value>
            <val>21.17</val>
          </value>
          <value>
            <val>5.8</val>
          </value>
          <value>
            <val>1</val>
          </value>
          <value t="str">
            <val>2024/07/09</val>
          </value>
        </values>
      </ddeItem>
      <ddeItem name="6215.TW-ID,Name,CompanyPos,Price,DIndexPtsContributionRate,VolumeRatio,TurnoverRatio,PriceChangeRatio,DLOrderValueDiffRatio,MajorOrderBidAskRatio" advise="1">
        <values cols="10">
          <value t="str">
            <val>6215</val>
          </value>
          <value t="str">
            <val>和椿</val>
          </value>
          <value t="str">
            <val>專業的自動化設備零組件、光電製程之工業製造商</val>
          </value>
          <value>
            <val>63.8</val>
          </value>
          <value>
            <val>0.01</val>
          </value>
          <value>
            <val>8.2100000000000009</val>
          </value>
          <value>
            <val>10.95</val>
          </value>
          <value>
            <val>10</val>
          </value>
          <value>
            <val>4.87</val>
          </value>
          <value>
            <val>92.15</val>
          </value>
        </values>
      </ddeItem>
      <ddeItem name="6215.TW-MajorOrderDif,DXLOrderValueDiffRatio,Low,MonthReturn,QuarterReturn,HalfYearReturn,YearReturn,DLOrderOutValueRatio,DetailIndustry,CompanyNews" advise="1">
        <values cols="10">
          <value t="str">
            <val>2.99億</val>
          </value>
          <value>
            <val>47.08</val>
          </value>
          <value>
            <val>60.3</val>
          </value>
          <value>
            <val>8.3699999999999992</val>
          </value>
          <value>
            <val>48.12</val>
          </value>
          <value>
            <val>144.08000000000001</val>
          </value>
          <value>
            <val>143.62</val>
          </value>
          <value>
            <val>5.38</val>
          </value>
          <value t="str">
            <val>自動化設備,叉車／輸送設備,軸承／滑軌,機械</val>
          </value>
          <value t="str">
            <val>--</val>
          </value>
        </values>
      </ddeItem>
      <ddeItem name="6215.TW-TotalVolume,PreClose,Capital,AvgPrice,Profit,MarketValue,DateofMeetingofShareHolders,InvestorConferenceDate,ShortBalance,FinanceBalance" advise="1">
        <values cols="10">
          <value>
            <val>9067</val>
          </value>
          <value>
            <val>58</val>
          </value>
          <value>
            <val>8.2799999999999994</val>
          </value>
          <value>
            <val>63.41</val>
          </value>
          <value>
            <val>0.36</val>
          </value>
          <value>
            <val>52.8</val>
          </value>
          <value t="str">
            <val>2024/06/18</val>
          </value>
          <value t="str">
            <val>2023/11/20</val>
          </value>
          <value>
            <val>179</val>
          </value>
          <value>
            <val>4381</val>
          </value>
        </values>
      </ddeItem>
      <ddeItem name="6239.TW-ChipsField17,ROE,InOutRatio,RevenueMonth,EstimatedTotalVolume,5DayAvgVol,FinanceUsedRatio,PriceChange,CashAndStockDividend,ChipsField25" advise="1">
        <values cols="10">
          <value>
            <val>0</val>
          </value>
          <value>
            <val>3</val>
          </value>
          <value>
            <val>41.07</val>
          </value>
          <value t="str">
            <val>2024/06</val>
          </value>
          <value>
            <val>20075</val>
          </value>
          <value>
            <val>8970</val>
          </value>
          <value>
            <val>1.46</val>
          </value>
          <value>
            <val>-3</val>
          </value>
          <value>
            <val>7</val>
          </value>
          <value t="str">
            <val>2024/08/01</val>
          </value>
        </values>
      </ddeItem>
      <ddeItem name="6239.TW-ID,Name,CompanyPos,Price,DIndexPtsContributionRate,VolumeRatio,TurnoverRatio,PriceChangeRatio,DLOrderValueDiffRatio,MajorOrderBidAskRatio" advise="1">
        <values cols="10">
          <value t="str">
            <val>6239</val>
          </value>
          <value t="str">
            <val>力成</val>
          </value>
          <value t="str">
            <val>全球前五大封測廠</val>
          </value>
          <value>
            <val>153.5</val>
          </value>
          <value>
            <val>0.17</val>
          </value>
          <value>
            <val>1.89</val>
          </value>
          <value>
            <val>0.76</val>
          </value>
          <value>
            <val>-1.92</val>
          </value>
          <value>
            <val>-1.07</val>
          </value>
          <value>
            <val>36.61</val>
          </value>
        </values>
      </ddeItem>
      <ddeItem name="6239.TW-MajorOrderDif,DXLOrderValueDiffRatio,Low,MonthReturn,QuarterReturn,HalfYearReturn,YearReturn,DLOrderOutValueRatio,DetailIndustry,CompanyNews" advise="1">
        <values cols="10">
          <value t="str">
            <val>-1.11億</val>
          </value>
          <value>
            <val>-11.35</val>
          </value>
          <value>
            <val>153.5</val>
          </value>
          <value>
            <val>-14.24</val>
          </value>
          <value>
            <val>-8.1</val>
          </value>
          <value>
            <val>10.220000000000001</val>
          </value>
          <value>
            <val>65.150000000000006</val>
          </value>
          <value>
            <val>3.94</val>
          </value>
          <value t="str">
            <val>IC封裝,IC測試,IC封裝測試</val>
          </value>
          <value t="str">
            <val>6月營收65.30億元</val>
          </value>
        </values>
      </ddeItem>
      <ddeItem name="6239.TW-TotalVolume,PreClose,Capital,AvgPrice,Profit,MarketValue,DateofMeetingofShareHolders,InvestorConferenceDate,ShortBalance,FinanceBalance" advise="1">
        <values cols="10">
          <value>
            <val>5746</val>
          </value>
          <value>
            <val>156.5</val>
          </value>
          <value>
            <val>75.91</val>
          </value>
          <value>
            <val>154.88999999999999</val>
          </value>
          <value>
            <val>2.3199999999999998</val>
          </value>
          <value>
            <val>1165.3</val>
          </value>
          <value t="str">
            <val>2024/05/30</val>
          </value>
          <value t="str">
            <val>2024/07/30</val>
          </value>
          <value>
            <val>0</val>
          </value>
          <value>
            <val>2778</val>
          </value>
        </values>
      </ddeItem>
      <ddeItem name="6274.TW-ChipsField17,ROE,InOutRatio,RevenueMonth,EstimatedTotalVolume,5DayAvgVol,FinanceUsedRatio,PriceChange,CashAndStockDividend,ChipsField25" advise="1">
        <values cols="10">
          <value>
            <val>781</val>
          </value>
          <value t="str">
            <val>--</val>
          </value>
          <value>
            <val>50.86</val>
          </value>
          <value t="str">
            <val>2024/06</val>
          </value>
          <value>
            <val>18673</val>
          </value>
          <value>
            <val>5400</val>
          </value>
          <value>
            <val>32.96</val>
          </value>
          <value>
            <val>3</val>
          </value>
          <value>
            <val>4.01</val>
          </value>
          <value t="str">
            <val>2024/04/18</val>
          </value>
        </values>
      </ddeItem>
      <ddeItem name="6274.TW-ID,Name,CompanyPos,Price,DIndexPtsContributionRate,VolumeRatio,TurnoverRatio,PriceChangeRatio,DLOrderValueDiffRatio,MajorOrderBidAskRatio" advise="1">
        <values cols="10">
          <value t="str">
            <val>6274</val>
          </value>
          <value t="str">
            <val>台燿</val>
          </value>
          <value t="str">
            <val>台灣前五大銅箔基板廠之一</val>
          </value>
          <value>
            <val>163</val>
          </value>
          <value>
            <val>0</val>
          </value>
          <value>
            <val>2.61</val>
          </value>
          <value>
            <val>3.22</val>
          </value>
          <value>
            <val>1.88</val>
          </value>
          <value>
            <val>-0.8</val>
          </value>
          <value>
            <val>55.22</val>
          </value>
        </values>
      </ddeItem>
      <ddeItem name="6274.TW-MajorOrderDif,DXLOrderValueDiffRatio,Low,MonthReturn,QuarterReturn,HalfYearReturn,YearReturn,DLOrderOutValueRatio,DetailIndustry,CompanyNews" advise="1">
        <values cols="10">
          <value t="str">
            <val>9436萬</val>
          </value>
          <value>
            <val>7.31</val>
          </value>
          <value>
            <val>162</val>
          </value>
          <value>
            <val>0.31</val>
          </value>
          <value>
            <val>-12.13</val>
          </value>
          <value>
            <val>20.13</val>
          </value>
          <value>
            <val>36.31</val>
          </value>
          <value>
            <val>3.74</val>
          </value>
          <value t="str">
            <val>銅箔基板,印刷電路板相關</val>
          </value>
          <value t="str">
            <val>上半年合併獲利11.45億元</val>
          </value>
        </values>
      </ddeItem>
      <ddeItem name="6274.TW-TotalVolume,PreClose,Capital,AvgPrice,Profit,MarketValue,DateofMeetingofShareHolders,InvestorConferenceDate,ShortBalance,FinanceBalance" advise="1">
        <values cols="10">
          <value>
            <val>8746</val>
          </value>
          <value>
            <val>160</val>
          </value>
          <value>
            <val>27.2</val>
          </value>
          <value>
            <val>165.78</val>
          </value>
          <value>
            <val>2.5499999999999998</val>
          </value>
          <value>
            <val>443.3</val>
          </value>
          <value t="str">
            <val>2024/06/19</val>
          </value>
          <value t="str">
            <val>2024/05/09</val>
          </value>
          <value>
            <val>176</val>
          </value>
          <value>
            <val>22416</val>
          </value>
        </values>
      </ddeItem>
      <ddeItem name="6425.TW-ChipsField17,ROE,InOutRatio,RevenueMonth,EstimatedTotalVolume,5DayAvgVol,FinanceUsedRatio,PriceChange,CashAndStockDividend,ChipsField25" advise="1">
        <values cols="10">
          <value>
            <val>0</val>
          </value>
          <value>
            <val>3.37</val>
          </value>
          <value>
            <val>37.79</val>
          </value>
          <value t="str">
            <val>2024/06</val>
          </value>
          <value>
            <val>3465</val>
          </value>
          <value>
            <val>889</val>
          </value>
          <value>
            <val>25.54</val>
          </value>
          <value>
            <val>1.7</val>
          </value>
          <value>
            <val>0.5</val>
          </value>
          <value t="str">
            <val>2024/06/14</val>
          </value>
        </values>
      </ddeItem>
      <ddeItem name="6425.TW-ID,Name,CompanyPos,Price,DIndexPtsContributionRate,VolumeRatio,TurnoverRatio,PriceChangeRatio,DLOrderValueDiffRatio,MajorOrderBidAskRatio" advise="1">
        <values cols="10">
          <value t="str">
            <val>6425</val>
          </value>
          <value t="str">
            <val>易發</val>
          </value>
          <value t="str">
            <val>深耕面板製程設備，並跨足半導體及動力電池設備之廠商</val>
          </value>
          <value>
            <val>67</val>
          </value>
          <value>
            <val>0</val>
          </value>
          <value>
            <val>1.92</val>
          </value>
          <value>
            <val>3.52</val>
          </value>
          <value>
            <val>2.6</val>
          </value>
          <value>
            <val>-4.99</val>
          </value>
          <value>
            <val>12.58</val>
          </value>
        </values>
      </ddeItem>
      <ddeItem name="6425.TW-MajorOrderDif,DXLOrderValueDiffRatio,Low,MonthReturn,QuarterReturn,HalfYearReturn,YearReturn,DLOrderOutValueRatio,DetailIndustry,CompanyNews" advise="1">
        <values cols="10">
          <value t="str">
            <val>-1275萬</val>
          </value>
          <value>
            <val>-7.28</val>
          </value>
          <value>
            <val>65.599999999999994</val>
          </value>
          <value>
            <val>-7.59</val>
          </value>
          <value>
            <val>-27.47</val>
          </value>
          <value>
            <val>53.31</val>
          </value>
          <value>
            <val>215.21</val>
          </value>
          <value>
            <val>0.78</val>
          </value>
          <value t="str">
            <val>半導體設備,IC檢測設備,設備儀器廠商,面板設備,其他產業機械,機械</val>
          </value>
          <value t="str">
            <val>--</val>
          </value>
        </values>
      </ddeItem>
      <ddeItem name="6425.TW-TotalVolume,PreClose,Capital,AvgPrice,Profit,MarketValue,DateofMeetingofShareHolders,InvestorConferenceDate,ShortBalance,FinanceBalance" advise="1">
        <values cols="10">
          <value>
            <val>1535</val>
          </value>
          <value>
            <val>65.3</val>
          </value>
          <value>
            <val>4.3600000000000003</val>
          </value>
          <value>
            <val>67.66</val>
          </value>
          <value>
            <val>0.7</val>
          </value>
          <value>
            <val>29.2</val>
          </value>
          <value t="str">
            <val>2024/05/16</val>
          </value>
          <value t="str">
            <val>--</val>
          </value>
          <value>
            <val>352</val>
          </value>
          <value>
            <val>2784</val>
          </value>
        </values>
      </ddeItem>
      <ddeItem name="6446.TW-ChipsField17,ROE,InOutRatio,RevenueMonth,EstimatedTotalVolume,5DayAvgVol,FinanceUsedRatio,PriceChange,CashAndStockDividend,ChipsField25" advise="1">
        <values cols="10">
          <value>
            <val>623</val>
          </value>
          <value>
            <val>1.37</val>
          </value>
          <value>
            <val>41.61</val>
          </value>
          <value t="str">
            <val>2024/06</val>
          </value>
          <value>
            <val>4014</val>
          </value>
          <value>
            <val>3880</val>
          </value>
          <value>
            <val>7.6</val>
          </value>
          <value>
            <val>5</val>
          </value>
          <value>
            <val>0</val>
          </value>
          <value t="str">
            <val>--</val>
          </value>
        </values>
      </ddeItem>
      <ddeItem name="6446.TW-ID,Name,CompanyPos,Price,DIndexPtsContributionRate,VolumeRatio,TurnoverRatio,PriceChangeRatio,DLOrderValueDiffRatio,MajorOrderBidAskRatio" advise="1">
        <values cols="10">
          <value t="str">
            <val>6446</val>
          </value>
          <value t="str">
            <val>藥華藥</val>
          </value>
          <value t="str">
            <val>罕見真性紅血球增生症藥物研發廠商</val>
          </value>
          <value>
            <val>661</val>
          </value>
          <value>
            <val>0.28000000000000003</val>
          </value>
          <value>
            <val>1.77</val>
          </value>
          <value>
            <val>0.73</val>
          </value>
          <value>
            <val>0.76</val>
          </value>
          <value>
            <val>-3.65</val>
          </value>
          <value>
            <val>36.56</val>
          </value>
        </values>
      </ddeItem>
      <ddeItem name="6446.TW-MajorOrderDif,DXLOrderValueDiffRatio,Low,MonthReturn,QuarterReturn,HalfYearReturn,YearReturn,DLOrderOutValueRatio,DetailIndustry,CompanyNews" advise="1">
        <values cols="10">
          <value t="str">
            <val>-1.93億</val>
          </value>
          <value>
            <val>-9.85</val>
          </value>
          <value>
            <val>654</val>
          </value>
          <value>
            <val>13.57</val>
          </value>
          <value>
            <val>125.21</val>
          </value>
          <value>
            <val>110.51</val>
          </value>
          <value>
            <val>91.59</val>
          </value>
          <value>
            <val>5.14</val>
          </value>
          <value t="str">
            <val>醫藥產業,新藥研發,生物製劑</val>
          </value>
          <value t="str">
            <val>--</val>
          </value>
        </values>
      </ddeItem>
      <ddeItem name="6446.TW-TotalVolume,PreClose,Capital,AvgPrice,Profit,MarketValue,DateofMeetingofShareHolders,InvestorConferenceDate,ShortBalance,FinanceBalance" advise="1">
        <values cols="10">
          <value>
            <val>2159</val>
          </value>
          <value>
            <val>656</val>
          </value>
          <value>
            <val>34.14</val>
          </value>
          <value>
            <val>663.23</val>
          </value>
          <value>
            <val>1</val>
          </value>
          <value>
            <val>1965.2</val>
          </value>
          <value t="str">
            <val>2024/05/27</val>
          </value>
          <value t="str">
            <val>2024/05/15</val>
          </value>
          <value>
            <val>573</val>
          </value>
          <value>
            <val>5664</val>
          </value>
        </values>
      </ddeItem>
      <ddeItem name="6546.TW-ChipsField17,ROE,InOutRatio,RevenueMonth,EstimatedTotalVolume,5DayAvgVol,FinanceUsedRatio,PriceChange,CashAndStockDividend,ChipsField25" advise="1">
        <values cols="10">
          <value>
            <val>0</val>
          </value>
          <value>
            <val>3.46</val>
          </value>
          <value>
            <val>47.82</val>
          </value>
          <value t="str">
            <val>2024/06</val>
          </value>
          <value>
            <val>3718</val>
          </value>
          <value>
            <val>2744</val>
          </value>
          <value>
            <val>58.43</val>
          </value>
          <value>
            <val>3.5</val>
          </value>
          <value>
            <val>3.5</val>
          </value>
          <value t="str">
            <val>2024/06/13</val>
          </value>
        </values>
      </ddeItem>
      <ddeItem name="6546.TW-ID,Name,CompanyPos,Price,DIndexPtsContributionRate,VolumeRatio,TurnoverRatio,PriceChangeRatio,DLOrderValueDiffRatio,MajorOrderBidAskRatio" advise="1">
        <values cols="10">
          <value t="str">
            <val>6546</val>
          </value>
          <value t="str">
            <val>正基</val>
          </value>
          <value t="str">
            <val>正文轉投資的無線通訊模組廠</val>
          </value>
          <value>
            <val>175</val>
          </value>
          <value>
            <val>0</val>
          </value>
          <value>
            <val>1.95</val>
          </value>
          <value>
            <val>2.68</val>
          </value>
          <value>
            <val>2.04</val>
          </value>
          <value>
            <val>-3.65</val>
          </value>
          <value>
            <val>52.86</val>
          </value>
        </values>
      </ddeItem>
      <ddeItem name="6546.TW-MajorOrderDif,DXLOrderValueDiffRatio,Low,MonthReturn,QuarterReturn,HalfYearReturn,YearReturn,DLOrderOutValueRatio,DetailIndustry,CompanyNews" advise="1">
        <values cols="10">
          <value t="str">
            <val>695萬</val>
          </value>
          <value>
            <val>5.84</val>
          </value>
          <value>
            <val>174.5</val>
          </value>
          <value>
            <val>26.81</val>
          </value>
          <value>
            <val>45.42</val>
          </value>
          <value>
            <val>30.56</val>
          </value>
          <value>
            <val>80.67</val>
          </value>
          <value>
            <val>4.6100000000000003</val>
          </value>
          <value t="str">
            <val>通訊設備,通訊設備零組件</val>
          </value>
          <value t="str">
            <val>--</val>
          </value>
        </values>
      </ddeItem>
      <ddeItem name="6546.TW-TotalVolume,PreClose,Capital,AvgPrice,Profit,MarketValue,DateofMeetingofShareHolders,InvestorConferenceDate,ShortBalance,FinanceBalance" advise="1">
        <values cols="10">
          <value>
            <val>1775</val>
          </value>
          <value>
            <val>171.5</val>
          </value>
          <value>
            <val>6.62</val>
          </value>
          <value>
            <val>178.73</val>
          </value>
          <value>
            <val>0.98</val>
          </value>
          <value>
            <val>115.9</val>
          </value>
          <value t="str">
            <val>2024/05/24</val>
          </value>
          <value t="str">
            <val>2024/03/19</val>
          </value>
          <value>
            <val>228</val>
          </value>
          <value>
            <val>9673</val>
          </value>
        </values>
      </ddeItem>
      <ddeItem name="6603.TW-ChipsField17,ROE,InOutRatio,RevenueMonth,EstimatedTotalVolume,5DayAvgVol,FinanceUsedRatio,PriceChange,CashAndStockDividend,ChipsField25" advise="1">
        <values cols="10">
          <value>
            <val>0</val>
          </value>
          <value>
            <val>-0.1</val>
          </value>
          <value>
            <val>66.87</val>
          </value>
          <value t="str">
            <val>2024/06</val>
          </value>
          <value>
            <val>3464</val>
          </value>
          <value>
            <val>2328</val>
          </value>
          <value>
            <val>16.350000000000001</val>
          </value>
          <value>
            <val>0.75</val>
          </value>
          <value>
            <val>0.15</val>
          </value>
          <value t="str">
            <val>--</val>
          </value>
        </values>
      </ddeItem>
      <ddeItem name="6603.TW-ID,Name,CompanyPos,Price,DIndexPtsContributionRate,VolumeRatio,TurnoverRatio,PriceChangeRatio,DLOrderValueDiffRatio,MajorOrderBidAskRatio" advise="1">
        <values cols="10">
          <value t="str">
            <val>6603</val>
          </value>
          <value t="str">
            <val>富強鑫</val>
          </value>
          <value t="str">
            <val>台灣塑膠射出機領導廠商</val>
          </value>
          <value>
            <val>19.7</val>
          </value>
          <value>
            <val>0</val>
          </value>
          <value>
            <val>3.33</val>
          </value>
          <value>
            <val>1.1599999999999999</val>
          </value>
          <value>
            <val>3.96</val>
          </value>
          <value>
            <val>9.91</val>
          </value>
          <value>
            <val>92.71</val>
          </value>
        </values>
      </ddeItem>
      <ddeItem name="6603.TW-MajorOrderDif,DXLOrderValueDiffRatio,Low,MonthReturn,QuarterReturn,HalfYearReturn,YearReturn,DLOrderOutValueRatio,DetailIndustry,CompanyNews" advise="1">
        <values cols="10">
          <value t="str">
            <val>577萬</val>
          </value>
          <value>
            <val>6.15</val>
          </value>
          <value>
            <val>19.100000000000001</val>
          </value>
          <value>
            <val>11.61</val>
          </value>
          <value>
            <val>14.2</val>
          </value>
          <value>
            <val>21.6</val>
          </value>
          <value>
            <val>27.22</val>
          </value>
          <value>
            <val>11.28</val>
          </value>
          <value t="str">
            <val>塑膠機械,機械</val>
          </value>
          <value t="str">
            <val>--</val>
          </value>
        </values>
      </ddeItem>
      <ddeItem name="6603.TW-TotalVolume,PreClose,Capital,AvgPrice,Profit,MarketValue,DateofMeetingofShareHolders,InvestorConferenceDate,ShortBalance,FinanceBalance" advise="1">
        <values cols="10">
          <value>
            <val>1820</val>
          </value>
          <value>
            <val>18.95</val>
          </value>
          <value>
            <val>15.7</val>
          </value>
          <value>
            <val>19.72</val>
          </value>
          <value>
            <val>0.02</val>
          </value>
          <value>
            <val>30.9</val>
          </value>
          <value t="str">
            <val>2024/06/18</val>
          </value>
          <value t="str">
            <val>2023/12/12</val>
          </value>
          <value>
            <val>2505</val>
          </value>
          <value>
            <val>6417</val>
          </value>
        </values>
      </ddeItem>
      <ddeItem name="8011.TW-ChipsField17,ROE,InOutRatio,RevenueMonth,EstimatedTotalVolume,5DayAvgVol,FinanceUsedRatio,PriceChange,CashAndStockDividend,ChipsField25" advise="1">
        <values cols="10">
          <value>
            <val>0</val>
          </value>
          <value>
            <val>1.48</val>
          </value>
          <value>
            <val>59.97</val>
          </value>
          <value t="str">
            <val>2024/06</val>
          </value>
          <value>
            <val>14931</val>
          </value>
          <value>
            <val>3395</val>
          </value>
          <value>
            <val>21.06</val>
          </value>
          <value>
            <val>2.15</val>
          </value>
          <value>
            <val>0</val>
          </value>
          <value t="str">
            <val>--</val>
          </value>
        </values>
      </ddeItem>
      <ddeItem name="8011.TW-ID,Name,CompanyPos,Price,DIndexPtsContributionRate,VolumeRatio,TurnoverRatio,PriceChangeRatio,DLOrderValueDiffRatio,MajorOrderBidAskRatio" advise="1">
        <values cols="10">
          <value t="str">
            <val>8011</val>
          </value>
          <value t="str">
            <val>台通</val>
          </value>
          <value t="str">
            <val>台灣光纖線纜與光纖被動元件製造商</val>
          </value>
          <value>
            <val>29.9</val>
          </value>
          <value>
            <val>0.01</val>
          </value>
          <value>
            <val>5.16</val>
          </value>
          <value>
            <val>4.07</val>
          </value>
          <value>
            <val>7.75</val>
          </value>
          <value>
            <val>1.06</val>
          </value>
          <value>
            <val>72.41</val>
          </value>
        </values>
      </ddeItem>
      <ddeItem name="8011.TW-MajorOrderDif,DXLOrderValueDiffRatio,Low,MonthReturn,QuarterReturn,HalfYearReturn,YearReturn,DLOrderOutValueRatio,DetailIndustry,CompanyNews" advise="1">
        <values cols="10">
          <value t="str">
            <val>4139萬</val>
          </value>
          <value>
            <val>19.04</val>
          </value>
          <value>
            <val>28.1</val>
          </value>
          <value>
            <val>20.56</val>
          </value>
          <value>
            <val>36.840000000000003</val>
          </value>
          <value>
            <val>32.299999999999997</val>
          </value>
          <value>
            <val>71.84</val>
          </value>
          <value>
            <val>8.07</val>
          </value>
          <value t="str">
            <val>光纖光纜,通訊服務,光通訊,光纖被動元件,電線電纜,通訊電纜</val>
          </value>
          <value t="str">
            <val>--</val>
          </value>
        </values>
      </ddeItem>
      <ddeItem name="8011.TW-TotalVolume,PreClose,Capital,AvgPrice,Profit,MarketValue,DateofMeetingofShareHolders,InvestorConferenceDate,ShortBalance,FinanceBalance" advise="1">
        <values cols="10">
          <value>
            <val>6948</val>
          </value>
          <value>
            <val>27.75</val>
          </value>
          <value>
            <val>16.59</val>
          </value>
          <value>
            <val>29.64</val>
          </value>
          <value>
            <val>0.25</val>
          </value>
          <value>
            <val>51.1</val>
          </value>
          <value t="str">
            <val>2024/05/31</val>
          </value>
          <value t="str">
            <val>2023/12/06</val>
          </value>
          <value>
            <val>123</val>
          </value>
          <value>
            <val>9001</val>
          </value>
        </values>
      </ddeItem>
      <ddeItem name="8096.TW-ChipsField17,ROE,InOutRatio,RevenueMonth,EstimatedTotalVolume,5DayAvgVol,FinanceUsedRatio,PriceChange,CashAndStockDividend,ChipsField25" advise="1">
        <values cols="10">
          <value>
            <val>59</val>
          </value>
          <value>
            <val>0.92</val>
          </value>
          <value>
            <val>48.9</val>
          </value>
          <value t="str">
            <val>2024/06</val>
          </value>
          <value>
            <val>43210</val>
          </value>
          <value>
            <val>9952</val>
          </value>
          <value>
            <val>39.08</val>
          </value>
          <value>
            <val>0.65</val>
          </value>
          <value>
            <val>0</val>
          </value>
          <value t="str">
            <val>--</val>
          </value>
        </values>
      </ddeItem>
      <ddeItem name="8096.TW-ID,Name,CompanyPos,Price,DIndexPtsContributionRate,VolumeRatio,TurnoverRatio,PriceChangeRatio,DLOrderValueDiffRatio,MajorOrderBidAskRatio" advise="1">
        <values cols="10">
          <value t="str">
            <val>8096</val>
          </value>
          <value t="str">
            <val>擎亞</val>
          </value>
          <value t="str">
            <val>為韓國三星在台之主要合作夥伴</val>
          </value>
          <value>
            <val>43.45</val>
          </value>
          <value>
            <val>0</val>
          </value>
          <value>
            <val>3.57</val>
          </value>
          <value>
            <val>14.16</val>
          </value>
          <value>
            <val>1.52</val>
          </value>
          <value>
            <val>-2.35</val>
          </value>
          <value>
            <val>45.51</val>
          </value>
        </values>
      </ddeItem>
      <ddeItem name="8096.TW-MajorOrderDif,DXLOrderValueDiffRatio,Low,MonthReturn,QuarterReturn,HalfYearReturn,YearReturn,DLOrderOutValueRatio,DetailIndustry,CompanyNews" advise="1">
        <values cols="10">
          <value t="str">
            <val>-4385萬</val>
          </value>
          <value>
            <val>-2.31</val>
          </value>
          <value>
            <val>43</val>
          </value>
          <value>
            <val>6.63</val>
          </value>
          <value>
            <val>47.79</val>
          </value>
          <value>
            <val>78.44</val>
          </value>
          <value>
            <val>262.69</val>
          </value>
          <value>
            <val>5.12</val>
          </value>
          <value t="str">
            <val>IC零組件通路商,其他電子元件代理商,電子通路</val>
          </value>
          <value t="str">
            <val>--</val>
          </value>
        </values>
      </ddeItem>
      <ddeItem name="8096.TW-TotalVolume,PreClose,Capital,AvgPrice,Profit,MarketValue,DateofMeetingofShareHolders,InvestorConferenceDate,ShortBalance,FinanceBalance" advise="1">
        <values cols="10">
          <value>
            <val>21140</val>
          </value>
          <value>
            <val>42.8</val>
          </value>
          <value>
            <val>14.93</val>
          </value>
          <value>
            <val>44.55</val>
          </value>
          <value>
            <val>0.13</val>
          </value>
          <value>
            <val>64.900000000000006</val>
          </value>
          <value t="str">
            <val>2024/06/26</val>
          </value>
          <value t="str">
            <val>2024/06/19</val>
          </value>
          <value>
            <val>1774</val>
          </value>
          <value>
            <val>14591</val>
          </value>
        </values>
      </ddeItem>
      <ddeItem name="9902.TW-ChipsField17,ROE,InOutRatio,RevenueMonth,EstimatedTotalVolume,5DayAvgVol,FinanceUsedRatio,PriceChange,CashAndStockDividend,ChipsField25" advise="1">
        <values cols="10">
          <value>
            <val>0</val>
          </value>
          <value>
            <val>2.97</val>
          </value>
          <value>
            <val>49.63</val>
          </value>
          <value t="str">
            <val>2024/06</val>
          </value>
          <value>
            <val>22531</val>
          </value>
          <value>
            <val>4764</val>
          </value>
          <value>
            <val>10.26</val>
          </value>
          <value>
            <val>1.4</val>
          </value>
          <value>
            <val>0.3</val>
          </value>
          <value t="str">
            <val>2024/07/02</val>
          </value>
        </values>
      </ddeItem>
      <ddeItem name="9902.TW-ID,Name,CompanyPos,Price,DIndexPtsContributionRate,VolumeRatio,TurnoverRatio,PriceChangeRatio,DLOrderValueDiffRatio,MajorOrderBidAskRatio" advise="1">
        <values cols="10">
          <value t="str">
            <val>9902</val>
          </value>
          <value t="str">
            <val>台火</val>
          </value>
          <value t="str">
            <val>進口轎車、垃圾車、建材貿易商，亦從事小客車租賃及建營開發</val>
          </value>
          <value>
            <val>24.5</val>
          </value>
          <value>
            <val>0</val>
          </value>
          <value>
            <val>2.88</val>
          </value>
          <value>
            <val>8.3699999999999992</val>
          </value>
          <value>
            <val>6.06</val>
          </value>
          <value>
            <val>-2.2999999999999998</val>
          </value>
          <value>
            <val>43.66</val>
          </value>
        </values>
      </ddeItem>
      <ddeItem name="9902.TW-MajorOrderDif,DXLOrderValueDiffRatio,Low,MonthReturn,QuarterReturn,HalfYearReturn,YearReturn,DLOrderOutValueRatio,DetailIndustry,CompanyNews" advise="1">
        <values cols="10">
          <value t="str">
            <val>-551萬</val>
          </value>
          <value>
            <val>-0.53</val>
          </value>
          <value>
            <val>22.85</val>
          </value>
          <value>
            <val>51.23</val>
          </value>
          <value>
            <val>50.78</val>
          </value>
          <value>
            <val>93.43</val>
          </value>
          <value>
            <val>100.43</val>
          </value>
          <value>
            <val>5.72</val>
          </value>
          <value t="str">
            <val>流通業,貿易,汽車服務相關,車輛整車,特種車輛相關,資產股</val>
          </value>
          <value t="str">
            <val>--</val>
          </value>
        </values>
      </ddeItem>
      <ddeItem name="9902.TW-TotalVolume,PreClose,Capital,AvgPrice,Profit,MarketValue,DateofMeetingofShareHolders,InvestorConferenceDate,ShortBalance,FinanceBalance" advise="1">
        <values cols="10">
          <value>
            <val>8209</val>
          </value>
          <value>
            <val>23.1</val>
          </value>
          <value>
            <val>9.8000000000000007</val>
          </value>
          <value>
            <val>23.74</val>
          </value>
          <value>
            <val>0.39</val>
          </value>
          <value>
            <val>24</val>
          </value>
          <value t="str">
            <val>2024/06/14</val>
          </value>
          <value t="str">
            <val>2024/05/22</val>
          </value>
          <value>
            <val>132</val>
          </value>
          <value>
            <val>2515</val>
          </value>
        </values>
      </ddeItem>
      <ddeItem name="9904.TW-ChipsField17,ROE,InOutRatio,RevenueMonth,EstimatedTotalVolume,5DayAvgVol,FinanceUsedRatio,PriceChange,CashAndStockDividend,ChipsField25" advise="1">
        <values cols="10">
          <value>
            <val>0</val>
          </value>
          <value>
            <val>3.11</val>
          </value>
          <value>
            <val>64.430000000000007</val>
          </value>
          <value t="str">
            <val>2024/06</val>
          </value>
          <value>
            <val>17315</val>
          </value>
          <value>
            <val>10939</val>
          </value>
          <value>
            <val>2.0299999999999998</val>
          </value>
          <value>
            <val>0.95</val>
          </value>
          <value>
            <val>1.1000000000000001</val>
          </value>
          <value t="str">
            <val>2024/06/27</val>
          </value>
        </values>
      </ddeItem>
      <ddeItem name="9904.TW-ID,Name,CompanyPos,Price,DIndexPtsContributionRate,VolumeRatio,TurnoverRatio,PriceChangeRatio,DLOrderValueDiffRatio,MajorOrderBidAskRatio" advise="1">
        <values cols="10">
          <value t="str">
            <val>9904</val>
          </value>
          <value t="str">
            <val>寶成</val>
          </value>
          <value t="str">
            <val>全球運動鞋及休閒鞋代工龍頭</val>
          </value>
          <value>
            <val>37.049999999999997</val>
          </value>
          <value>
            <val>0.15</val>
          </value>
          <value>
            <val>2.16</val>
          </value>
          <value>
            <val>0.25</val>
          </value>
          <value>
            <val>2.63</val>
          </value>
          <value>
            <val>1.06</val>
          </value>
          <value>
            <val>74.12</val>
          </value>
        </values>
      </ddeItem>
      <ddeItem name="9904.TW-MajorOrderDif,DXLOrderValueDiffRatio,Low,MonthReturn,QuarterReturn,HalfYearReturn,YearReturn,DLOrderOutValueRatio,DetailIndustry,CompanyNews" advise="1">
        <values cols="10">
          <value t="str">
            <val>8084萬</val>
          </value>
          <value>
            <val>28.71</val>
          </value>
          <value>
            <val>36.450000000000003</val>
          </value>
          <value>
            <val>8.49</val>
          </value>
          <value>
            <val>5.65</val>
          </value>
          <value>
            <val>20.67</val>
          </value>
          <value>
            <val>21.63</val>
          </value>
          <value>
            <val>7.75</val>
          </value>
          <value t="str">
            <val>控股公司,傳產其他,鞋業,鞋材</val>
          </value>
          <value t="str">
            <val>--</val>
          </value>
        </values>
      </ddeItem>
      <ddeItem name="9904.TW-TotalVolume,PreClose,Capital,AvgPrice,Profit,MarketValue,DateofMeetingofShareHolders,InvestorConferenceDate,ShortBalance,FinanceBalance" advise="1">
        <values cols="10">
          <value>
            <val>7353</val>
          </value>
          <value>
            <val>36.1</val>
          </value>
          <value>
            <val>294.68</val>
          </value>
          <value>
            <val>36.93</val>
          </value>
          <value>
            <val>1.58</val>
          </value>
          <value>
            <val>1091.8</val>
          </value>
          <value t="str">
            <val>2024/05/31</val>
          </value>
          <value t="str">
            <val>2024/06/07</val>
          </value>
          <value>
            <val>20</val>
          </value>
          <value>
            <val>14970</val>
          </value>
        </values>
      </ddeItem>
      <ddeItem name="9907.TW-ChipsField17,ROE,InOutRatio,RevenueMonth,EstimatedTotalVolume,5DayAvgVol,FinanceUsedRatio,PriceChange,CashAndStockDividend,ChipsField25" advise="1">
        <values cols="10">
          <value>
            <val>0</val>
          </value>
          <value>
            <val>0.67</val>
          </value>
          <value>
            <val>80.37</val>
          </value>
          <value t="str">
            <val>2024/06</val>
          </value>
          <value>
            <val>3263</val>
          </value>
          <value>
            <val>3137</val>
          </value>
          <value>
            <val>1.87</val>
          </value>
          <value>
            <val>0.35</val>
          </value>
          <value>
            <val>0.3</val>
          </value>
          <value t="str">
            <val>2024/07/12</val>
          </value>
        </values>
      </ddeItem>
      <ddeItem name="9907.TW-ID,Name,CompanyPos,Price,DIndexPtsContributionRate,VolumeRatio,TurnoverRatio,PriceChangeRatio,DLOrderValueDiffRatio,MajorOrderBidAskRatio" advise="1">
        <values cols="10">
          <value t="str">
            <val>9907</val>
          </value>
          <value t="str">
            <val>統一實</val>
          </value>
          <value t="str">
            <val>台灣馬口鐵第一大廠</val>
          </value>
          <value>
            <val>15.2</val>
          </value>
          <value>
            <val>0.03</val>
          </value>
          <value>
            <val>2.11</val>
          </value>
          <value>
            <val>7.0000000000000007E-2</val>
          </value>
          <value>
            <val>2.36</val>
          </value>
          <value>
            <val>17.75</val>
          </value>
          <value>
            <val>100</val>
          </value>
        </values>
      </ddeItem>
      <ddeItem name="9907.TW-MajorOrderDif,DXLOrderValueDiffRatio,Low,MonthReturn,QuarterReturn,HalfYearReturn,YearReturn,DLOrderOutValueRatio,DetailIndustry,CompanyNews" advise="1">
        <values cols="10">
          <value t="str">
            <val>702萬</val>
          </value>
          <value>
            <val>25.03</val>
          </value>
          <value>
            <val>14.95</val>
          </value>
          <value>
            <val>1.63</val>
          </value>
          <value>
            <val>3.67</val>
          </value>
          <value>
            <val>-0.65</val>
          </value>
          <value>
            <val>-12.19</val>
          </value>
          <value>
            <val>17.75</val>
          </value>
          <value t="str">
            <val>寶特瓶,化纖原料,傳產其他,製罐,冷軋鋼捲,板鋼</val>
          </value>
          <value t="str">
            <val>--</val>
          </value>
        </values>
      </ddeItem>
      <ddeItem name="9907.TW-TotalVolume,PreClose,Capital,AvgPrice,Profit,MarketValue,DateofMeetingofShareHolders,InvestorConferenceDate,ShortBalance,FinanceBalance" advise="1">
        <values cols="10">
          <value>
            <val>1086</val>
          </value>
          <value>
            <val>14.85</val>
          </value>
          <value>
            <val>157.91</val>
          </value>
          <value>
            <val>15.1</val>
          </value>
          <value>
            <val>0.1</val>
          </value>
          <value>
            <val>240</val>
          </value>
          <value t="str">
            <val>2024/06/21</val>
          </value>
          <value t="str">
            <val>2024/03/15</val>
          </value>
          <value>
            <val>0</val>
          </value>
          <value>
            <val>7396</val>
          </value>
        </values>
      </ddeItem>
      <ddeItem name="9934.TW-ChipsField17,ROE,InOutRatio,RevenueMonth,EstimatedTotalVolume,5DayAvgVol,FinanceUsedRatio,PriceChange,CashAndStockDividend,ChipsField25" advise="1">
        <values cols="10">
          <value>
            <val>0</val>
          </value>
          <value>
            <val>2.02</val>
          </value>
          <value>
            <val>58.3</val>
          </value>
          <value t="str">
            <val>2024/06</val>
          </value>
          <value>
            <val>7600</val>
          </value>
          <value>
            <val>1906</val>
          </value>
          <value>
            <val>6.67</val>
          </value>
          <value>
            <val>0.7</val>
          </value>
          <value>
            <val>1.2</val>
          </value>
          <value t="str">
            <val>2024/07/01</val>
          </value>
        </values>
      </ddeItem>
      <ddeItem name="9934.TW-ID,Name,CompanyPos,Price,DIndexPtsContributionRate,VolumeRatio,TurnoverRatio,PriceChangeRatio,DLOrderValueDiffRatio,MajorOrderBidAskRatio" advise="1">
        <values cols="10">
          <value t="str">
            <val>9934</val>
          </value>
          <value t="str">
            <val>成霖</val>
          </value>
          <value t="str">
            <val>亞洲最大水龍頭專業製造廠商</val>
          </value>
          <value>
            <val>19.5</val>
          </value>
          <value>
            <val>0.01</val>
          </value>
          <value>
            <val>2.02</val>
          </value>
          <value>
            <val>0.76</val>
          </value>
          <value>
            <val>3.72</val>
          </value>
          <value>
            <val>4.07</val>
          </value>
          <value>
            <val>79.349999999999994</val>
          </value>
        </values>
      </ddeItem>
      <ddeItem name="9934.TW-MajorOrderDif,DXLOrderValueDiffRatio,Low,MonthReturn,QuarterReturn,HalfYearReturn,YearReturn,DLOrderOutValueRatio,DetailIndustry,CompanyNews" advise="1">
        <values cols="10">
          <value t="str">
            <val>1017萬</val>
          </value>
          <value>
            <val>12.86</val>
          </value>
          <value>
            <val>18.95</val>
          </value>
          <value>
            <val>8.0299999999999994</val>
          </value>
          <value>
            <val>12.7</val>
          </value>
          <value>
            <val>35.9</val>
          </value>
          <value>
            <val>53.45</val>
          </value>
          <value>
            <val>10.029999999999999</val>
          </value>
          <value t="str">
            <val>家居用品,衛浴設備,水龍頭</val>
          </value>
          <value t="str">
            <val>--</val>
          </value>
        </values>
      </ddeItem>
      <ddeItem name="9934.TW-TotalVolume,PreClose,Capital,AvgPrice,Profit,MarketValue,DateofMeetingofShareHolders,InvestorConferenceDate,ShortBalance,FinanceBalance" advise="1">
        <values cols="10">
          <value>
            <val>3107</val>
          </value>
          <value>
            <val>18.8</val>
          </value>
          <value>
            <val>40.950000000000003</val>
          </value>
          <value>
            <val>19.34</val>
          </value>
          <value>
            <val>0.3</val>
          </value>
          <value>
            <val>79.8</val>
          </value>
          <value t="str">
            <val>2024/05/30</val>
          </value>
          <value t="str">
            <val>2023/12/20</val>
          </value>
          <value>
            <val>15</val>
          </value>
          <value>
            <val>6825</val>
          </value>
        </values>
      </ddeItem>
      <ddeItem name="9940.TW-ChipsField17,ROE,InOutRatio,RevenueMonth,EstimatedTotalVolume,5DayAvgVol,FinanceUsedRatio,PriceChange,CashAndStockDividend,ChipsField25" advise="1">
        <values cols="10">
          <value>
            <val>0</val>
          </value>
          <value>
            <val>3.58</val>
          </value>
          <value>
            <val>54.82</val>
          </value>
          <value t="str">
            <val>2024/06</val>
          </value>
          <value>
            <val>5529</val>
          </value>
          <value>
            <val>784</val>
          </value>
          <value>
            <val>0.36</val>
          </value>
          <value>
            <val>2.0499999999999998</val>
          </value>
          <value>
            <val>1.6</val>
          </value>
          <value t="str">
            <val>2024/06/07</val>
          </value>
        </values>
      </ddeItem>
      <ddeItem name="9940.TW-ID,Name,CompanyPos,Price,DIndexPtsContributionRate,VolumeRatio,TurnoverRatio,PriceChangeRatio,DLOrderValueDiffRatio,MajorOrderBidAskRatio" advise="1">
        <values cols="10">
          <value t="str">
            <val>9940</val>
          </value>
          <value t="str">
            <val>信義</val>
          </value>
          <value t="str">
            <val>台灣主要房仲業者</val>
          </value>
          <value>
            <val>36.299999999999997</val>
          </value>
          <value>
            <val>0.04</val>
          </value>
          <value>
            <val>2.44</val>
          </value>
          <value>
            <val>0.36</val>
          </value>
          <value>
            <val>5.99</val>
          </value>
          <value>
            <val>0.66</val>
          </value>
          <value>
            <val>84.11</val>
          </value>
        </values>
      </ddeItem>
      <ddeItem name="9940.TW-MajorOrderDif,DXLOrderValueDiffRatio,Low,MonthReturn,QuarterReturn,HalfYearReturn,YearReturn,DLOrderOutValueRatio,DetailIndustry,CompanyNews" advise="1">
        <values cols="10">
          <value t="str">
            <val>1490萬</val>
          </value>
          <value>
            <val>14.97</val>
          </value>
          <value>
            <val>34.15</val>
          </value>
          <value>
            <val>13.79</val>
          </value>
          <value>
            <val>14.99</val>
          </value>
          <value>
            <val>30.09</val>
          </value>
          <value>
            <val>30.99</val>
          </value>
          <value>
            <val>4.3</val>
          </value>
          <value t="str">
            <val>營建,房屋仲介,地產</val>
          </value>
          <value t="str">
            <val>發言人改由陳志桓擔任</val>
          </value>
        </values>
      </ddeItem>
      <ddeItem name="9940.TW-TotalVolume,PreClose,Capital,AvgPrice,Profit,MarketValue,DateofMeetingofShareHolders,InvestorConferenceDate,ShortBalance,FinanceBalance" advise="1">
        <values cols="10">
          <value>
            <val>2661</val>
          </value>
          <value>
            <val>34.25</val>
          </value>
          <value>
            <val>73.680000000000007</val>
          </value>
          <value>
            <val>35.85</val>
          </value>
          <value>
            <val>0.62</val>
          </value>
          <value>
            <val>267.5</val>
          </value>
          <value t="str">
            <val>2024/05/22</val>
          </value>
          <value t="str">
            <val>2024/05/13</val>
          </value>
          <value>
            <val>4</val>
          </value>
          <value>
            <val>664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038E-2505-40AE-85E6-1D9BDB44DEBE}">
  <dimension ref="A1:AN101"/>
  <sheetViews>
    <sheetView tabSelected="1" workbookViewId="0">
      <selection activeCell="F5" sqref="F5"/>
    </sheetView>
  </sheetViews>
  <sheetFormatPr defaultRowHeight="16.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tr">
        <f t="array" ref="A2:J2">[1]!'9907.TW-ID,Name,CompanyPos,Price,DIndexPtsContributionRate,VolumeRatio,TurnoverRatio,PriceChangeRatio,DLOrderValueDiffRatio,MajorOrderBidAskRatio'</f>
        <v>9907</v>
      </c>
      <c r="B2" t="str">
        <v>統一實</v>
      </c>
      <c r="C2" t="str">
        <v>台灣馬口鐵第一大廠</v>
      </c>
      <c r="D2">
        <v>15.2</v>
      </c>
      <c r="E2">
        <v>0.03</v>
      </c>
      <c r="F2">
        <v>2.11</v>
      </c>
      <c r="G2">
        <v>7.0000000000000007E-2</v>
      </c>
      <c r="H2">
        <v>2.36</v>
      </c>
      <c r="I2">
        <v>17.75</v>
      </c>
      <c r="J2">
        <v>100</v>
      </c>
      <c r="K2" t="str">
        <f t="array" ref="K2:T2">[1]!'9907.TW-MajorOrderDif,DXLOrderValueDiffRatio,Low,MonthReturn,QuarterReturn,HalfYearReturn,YearReturn,DLOrderOutValueRatio,DetailIndustry,CompanyNews'</f>
        <v>702萬</v>
      </c>
      <c r="L2">
        <v>25.03</v>
      </c>
      <c r="M2">
        <v>14.95</v>
      </c>
      <c r="N2">
        <v>1.63</v>
      </c>
      <c r="O2">
        <v>3.67</v>
      </c>
      <c r="P2">
        <v>-0.65</v>
      </c>
      <c r="Q2">
        <v>-12.19</v>
      </c>
      <c r="R2">
        <v>17.75</v>
      </c>
      <c r="S2" t="str">
        <v>寶特瓶,化纖原料,傳產其他,製罐,冷軋鋼捲,板鋼</v>
      </c>
      <c r="T2" t="str">
        <v>--</v>
      </c>
      <c r="U2">
        <f t="array" ref="U2:AD2">[1]!'9907.TW-ChipsField17,ROE,InOutRatio,RevenueMonth,EstimatedTotalVolume,5DayAvgVol,FinanceUsedRatio,PriceChange,CashAndStockDividend,ChipsField25'</f>
        <v>0</v>
      </c>
      <c r="V2">
        <v>0.67</v>
      </c>
      <c r="W2">
        <v>80.37</v>
      </c>
      <c r="X2" t="str">
        <v>2024/06</v>
      </c>
      <c r="Y2">
        <v>3263</v>
      </c>
      <c r="Z2">
        <v>3137</v>
      </c>
      <c r="AA2">
        <v>1.87</v>
      </c>
      <c r="AB2">
        <v>0.35</v>
      </c>
      <c r="AC2">
        <v>0.3</v>
      </c>
      <c r="AD2" t="str">
        <v>2024/07/12</v>
      </c>
      <c r="AE2">
        <f t="array" ref="AE2:AN2">[1]!'9907.TW-TotalVolume,PreClose,Capital,AvgPrice,Profit,MarketValue,DateofMeetingofShareHolders,InvestorConferenceDate,ShortBalance,FinanceBalance'</f>
        <v>1086</v>
      </c>
      <c r="AF2">
        <v>14.85</v>
      </c>
      <c r="AG2">
        <v>157.91</v>
      </c>
      <c r="AH2">
        <v>15.1</v>
      </c>
      <c r="AI2">
        <v>0.1</v>
      </c>
      <c r="AJ2">
        <v>240</v>
      </c>
      <c r="AK2" t="str">
        <v>2024/06/21</v>
      </c>
      <c r="AL2" t="str">
        <v>2024/03/15</v>
      </c>
      <c r="AM2">
        <v>0</v>
      </c>
      <c r="AN2">
        <v>7396</v>
      </c>
    </row>
    <row r="3" spans="1:40" x14ac:dyDescent="0.25">
      <c r="A3" t="str">
        <f t="array" ref="A3:J3">[1]!'1313.TW-ID,Name,CompanyPos,Price,DIndexPtsContributionRate,VolumeRatio,TurnoverRatio,PriceChangeRatio,DLOrderValueDiffRatio,MajorOrderBidAskRatio'</f>
        <v>1313</v>
      </c>
      <c r="B3" t="str">
        <v>聯成</v>
      </c>
      <c r="C3" t="str">
        <v>全球最大可塑劑及苯酐供應商</v>
      </c>
      <c r="D3">
        <v>12.7</v>
      </c>
      <c r="E3">
        <v>0.02</v>
      </c>
      <c r="F3">
        <v>1.93</v>
      </c>
      <c r="G3">
        <v>0.06</v>
      </c>
      <c r="H3">
        <v>1.2</v>
      </c>
      <c r="I3">
        <v>15.37</v>
      </c>
      <c r="J3">
        <v>100</v>
      </c>
      <c r="K3" t="str">
        <f t="array" ref="K3:T3">[1]!'1313.TW-MajorOrderDif,DXLOrderValueDiffRatio,Low,MonthReturn,QuarterReturn,HalfYearReturn,YearReturn,DLOrderOutValueRatio,DetailIndustry,CompanyNews'</f>
        <v>350萬</v>
      </c>
      <c r="L3">
        <v>17.95</v>
      </c>
      <c r="M3">
        <v>12.55</v>
      </c>
      <c r="N3">
        <v>3.25</v>
      </c>
      <c r="O3">
        <v>-7.64</v>
      </c>
      <c r="P3">
        <v>-14.91</v>
      </c>
      <c r="Q3">
        <v>-25.91</v>
      </c>
      <c r="R3">
        <v>15.37</v>
      </c>
      <c r="S3" t="str">
        <v>PVC,DOP,PA,石化業</v>
      </c>
      <c r="T3" t="str">
        <v>--</v>
      </c>
      <c r="U3">
        <f t="array" ref="U3:AD3">[1]!'1313.TW-ChipsField17,ROE,InOutRatio,RevenueMonth,EstimatedTotalVolume,5DayAvgVol,FinanceUsedRatio,PriceChange,CashAndStockDividend,ChipsField25'</f>
        <v>0</v>
      </c>
      <c r="V3">
        <v>-2.56</v>
      </c>
      <c r="W3">
        <v>74</v>
      </c>
      <c r="X3" t="str">
        <v>2024/06</v>
      </c>
      <c r="Y3">
        <v>1971</v>
      </c>
      <c r="Z3">
        <v>1118</v>
      </c>
      <c r="AA3">
        <v>2.4900000000000002</v>
      </c>
      <c r="AB3">
        <v>0.15</v>
      </c>
      <c r="AC3">
        <v>0.2</v>
      </c>
      <c r="AD3" t="str">
        <v>2024/03/22</v>
      </c>
      <c r="AE3">
        <f t="array" ref="AE3:AN3">[1]!'1313.TW-TotalVolume,PreClose,Capital,AvgPrice,Profit,MarketValue,DateofMeetingofShareHolders,InvestorConferenceDate,ShortBalance,FinanceBalance'</f>
        <v>831</v>
      </c>
      <c r="AF3">
        <v>12.55</v>
      </c>
      <c r="AG3">
        <v>136.74</v>
      </c>
      <c r="AH3">
        <v>12.64</v>
      </c>
      <c r="AI3">
        <v>-0.59</v>
      </c>
      <c r="AJ3">
        <v>173.5</v>
      </c>
      <c r="AK3" t="str">
        <v>2024/05/24</v>
      </c>
      <c r="AL3" t="str">
        <v>2024/06/06</v>
      </c>
      <c r="AM3">
        <v>86</v>
      </c>
      <c r="AN3">
        <v>8499</v>
      </c>
    </row>
    <row r="4" spans="1:40" x14ac:dyDescent="0.25">
      <c r="A4" t="str">
        <f t="array" ref="A4:J4">[1]!'3048.TW-ID,Name,CompanyPos,Price,DIndexPtsContributionRate,VolumeRatio,TurnoverRatio,PriceChangeRatio,DLOrderValueDiffRatio,MajorOrderBidAskRatio'</f>
        <v>3048</v>
      </c>
      <c r="B4" t="str">
        <v>益登</v>
      </c>
      <c r="C4" t="str">
        <v>全球第十大半導體代理商</v>
      </c>
      <c r="D4">
        <v>46.85</v>
      </c>
      <c r="E4">
        <v>0.01</v>
      </c>
      <c r="F4">
        <v>2.89</v>
      </c>
      <c r="G4">
        <v>1.24</v>
      </c>
      <c r="H4">
        <v>9.98</v>
      </c>
      <c r="I4">
        <v>9.1999999999999993</v>
      </c>
      <c r="J4">
        <v>98.58</v>
      </c>
      <c r="K4" t="str">
        <f t="array" ref="K4:T4">[1]!'3048.TW-MajorOrderDif,DXLOrderValueDiffRatio,Low,MonthReturn,QuarterReturn,HalfYearReturn,YearReturn,DLOrderOutValueRatio,DetailIndustry,CompanyNews'</f>
        <v>5772萬</v>
      </c>
      <c r="L4">
        <v>31.84</v>
      </c>
      <c r="M4">
        <v>44</v>
      </c>
      <c r="N4">
        <v>15.16</v>
      </c>
      <c r="O4">
        <v>105.41</v>
      </c>
      <c r="P4">
        <v>94.18</v>
      </c>
      <c r="Q4">
        <v>88.83</v>
      </c>
      <c r="R4">
        <v>9.8000000000000007</v>
      </c>
      <c r="S4" t="str">
        <v>IC零組件通路商,電子通路</v>
      </c>
      <c r="T4" t="str">
        <v>--</v>
      </c>
      <c r="U4">
        <f t="array" ref="U4:AD4">[1]!'3048.TW-ChipsField17,ROE,InOutRatio,RevenueMonth,EstimatedTotalVolume,5DayAvgVol,FinanceUsedRatio,PriceChange,CashAndStockDividend,ChipsField25'</f>
        <v>120</v>
      </c>
      <c r="V4">
        <v>1.47</v>
      </c>
      <c r="W4">
        <v>84.12</v>
      </c>
      <c r="X4" t="str">
        <v>2024/06</v>
      </c>
      <c r="Y4">
        <v>5870</v>
      </c>
      <c r="Z4">
        <v>4944</v>
      </c>
      <c r="AA4">
        <v>13.88</v>
      </c>
      <c r="AB4">
        <v>4.25</v>
      </c>
      <c r="AC4">
        <v>1</v>
      </c>
      <c r="AD4" t="str">
        <v>2024/07/30</v>
      </c>
      <c r="AE4">
        <f t="array" ref="AE4:AN4">[1]!'3048.TW-TotalVolume,PreClose,Capital,AvgPrice,Profit,MarketValue,DateofMeetingofShareHolders,InvestorConferenceDate,ShortBalance,FinanceBalance'</f>
        <v>3036</v>
      </c>
      <c r="AF4">
        <v>42.6</v>
      </c>
      <c r="AG4">
        <v>26.98</v>
      </c>
      <c r="AH4">
        <v>46.33</v>
      </c>
      <c r="AI4">
        <v>0.28000000000000003</v>
      </c>
      <c r="AJ4">
        <v>114.7</v>
      </c>
      <c r="AK4" t="str">
        <v>2024/06/27</v>
      </c>
      <c r="AL4" t="str">
        <v>2023/11/15</v>
      </c>
      <c r="AM4">
        <v>59</v>
      </c>
      <c r="AN4">
        <v>8495</v>
      </c>
    </row>
    <row r="5" spans="1:40" x14ac:dyDescent="0.25">
      <c r="A5" t="str">
        <f t="array" ref="A5:J5">[1]!'1440.TW-ID,Name,CompanyPos,Price,DIndexPtsContributionRate,VolumeRatio,TurnoverRatio,PriceChangeRatio,DLOrderValueDiffRatio,MajorOrderBidAskRatio'</f>
        <v>1440</v>
      </c>
      <c r="B5" t="str">
        <v>南紡</v>
      </c>
      <c r="C5" t="str">
        <v>台灣最大的聚酯棉與紡紗廠，並經營夢時代購物中心</v>
      </c>
      <c r="D5">
        <v>18.149999999999999</v>
      </c>
      <c r="E5">
        <v>0.04</v>
      </c>
      <c r="F5">
        <v>2.81</v>
      </c>
      <c r="G5">
        <v>0.11</v>
      </c>
      <c r="H5">
        <v>2.83</v>
      </c>
      <c r="I5">
        <v>13.42</v>
      </c>
      <c r="J5">
        <v>92.08</v>
      </c>
      <c r="K5" t="str">
        <f t="array" ref="K5:T5">[1]!'1440.TW-MajorOrderDif,DXLOrderValueDiffRatio,Low,MonthReturn,QuarterReturn,HalfYearReturn,YearReturn,DLOrderOutValueRatio,DetailIndustry,CompanyNews'</f>
        <v>1098萬</v>
      </c>
      <c r="L5">
        <v>18.88</v>
      </c>
      <c r="M5">
        <v>17.8</v>
      </c>
      <c r="N5">
        <v>0.83</v>
      </c>
      <c r="O5">
        <v>-7.87</v>
      </c>
      <c r="P5">
        <v>21.4</v>
      </c>
      <c r="Q5">
        <v>16.72</v>
      </c>
      <c r="R5">
        <v>16.46</v>
      </c>
      <c r="S5" t="str">
        <v>聚酯絲,聚酯棉,紡織用聚酯粒,瓶用聚酯粒,化纖原料,棉紡,紡織中游,資產股</v>
      </c>
      <c r="T5" t="str">
        <v>8/13除息0.35元</v>
      </c>
      <c r="U5">
        <f t="array" ref="U5:AD5">[1]!'1440.TW-ChipsField17,ROE,InOutRatio,RevenueMonth,EstimatedTotalVolume,5DayAvgVol,FinanceUsedRatio,PriceChange,CashAndStockDividend,ChipsField25'</f>
        <v>0</v>
      </c>
      <c r="V5">
        <v>-0.3</v>
      </c>
      <c r="W5">
        <v>72.2</v>
      </c>
      <c r="X5" t="str">
        <v>2024/06</v>
      </c>
      <c r="Y5">
        <v>3571</v>
      </c>
      <c r="Z5">
        <v>2161</v>
      </c>
      <c r="AA5">
        <v>2.5299999999999998</v>
      </c>
      <c r="AB5">
        <v>0.5</v>
      </c>
      <c r="AC5">
        <v>0.35</v>
      </c>
      <c r="AD5" t="str">
        <v>2024/08/13</v>
      </c>
      <c r="AE5">
        <f t="array" ref="AE5:AN5">[1]!'1440.TW-TotalVolume,PreClose,Capital,AvgPrice,Profit,MarketValue,DateofMeetingofShareHolders,InvestorConferenceDate,ShortBalance,FinanceBalance'</f>
        <v>1880</v>
      </c>
      <c r="AF5">
        <v>17.649999999999999</v>
      </c>
      <c r="AG5">
        <v>165.68</v>
      </c>
      <c r="AH5">
        <v>18.079999999999998</v>
      </c>
      <c r="AI5">
        <v>-0.06</v>
      </c>
      <c r="AJ5">
        <v>300.7</v>
      </c>
      <c r="AK5" t="str">
        <v>2024/05/29</v>
      </c>
      <c r="AL5" t="str">
        <v>2024/03/20</v>
      </c>
      <c r="AM5">
        <v>14</v>
      </c>
      <c r="AN5">
        <v>10500</v>
      </c>
    </row>
    <row r="6" spans="1:40" x14ac:dyDescent="0.25">
      <c r="A6" t="str">
        <f t="array" ref="A6:J6">[1]!'4714.TW-ID,Name,CompanyPos,Price,DIndexPtsContributionRate,VolumeRatio,TurnoverRatio,PriceChangeRatio,DLOrderValueDiffRatio,MajorOrderBidAskRatio'</f>
        <v>4714</v>
      </c>
      <c r="B6" t="str">
        <v>永捷</v>
      </c>
      <c r="C6" t="str">
        <v>台灣PU樹脂大廠</v>
      </c>
      <c r="D6">
        <v>22.1</v>
      </c>
      <c r="E6">
        <v>0</v>
      </c>
      <c r="F6">
        <v>9.9</v>
      </c>
      <c r="G6">
        <v>3.01</v>
      </c>
      <c r="H6">
        <v>9.68</v>
      </c>
      <c r="I6">
        <v>7.95</v>
      </c>
      <c r="J6">
        <v>95.59</v>
      </c>
      <c r="K6" t="str">
        <f t="array" ref="K6:T6">[1]!'4714.TW-MajorOrderDif,DXLOrderValueDiffRatio,Low,MonthReturn,QuarterReturn,HalfYearReturn,YearReturn,DLOrderOutValueRatio,DetailIndustry,CompanyNews'</f>
        <v>4029萬</v>
      </c>
      <c r="L6">
        <v>28.83</v>
      </c>
      <c r="M6">
        <v>20.5</v>
      </c>
      <c r="N6">
        <v>5.24</v>
      </c>
      <c r="O6">
        <v>4.49</v>
      </c>
      <c r="P6">
        <v>58.42</v>
      </c>
      <c r="Q6">
        <v>67.42</v>
      </c>
      <c r="R6">
        <v>8.98</v>
      </c>
      <c r="S6" t="str">
        <v>PU樹脂,化學工業</v>
      </c>
      <c r="T6" t="str">
        <v>6月營收0.56億元</v>
      </c>
      <c r="U6">
        <f t="array" ref="U6:AD6">[1]!'4714.TW-ChipsField17,ROE,InOutRatio,RevenueMonth,EstimatedTotalVolume,5DayAvgVol,FinanceUsedRatio,PriceChange,CashAndStockDividend,ChipsField25'</f>
        <v>0</v>
      </c>
      <c r="V6">
        <v>12.18</v>
      </c>
      <c r="W6">
        <v>78.569999999999993</v>
      </c>
      <c r="X6" t="str">
        <v>2024/06</v>
      </c>
      <c r="Y6">
        <v>12552</v>
      </c>
      <c r="Z6">
        <v>2020</v>
      </c>
      <c r="AA6">
        <v>24.66</v>
      </c>
      <c r="AB6">
        <v>1.95</v>
      </c>
      <c r="AC6">
        <v>0</v>
      </c>
      <c r="AD6" t="str">
        <v>--</v>
      </c>
      <c r="AE6">
        <f t="array" ref="AE6:AN6">[1]!'4714.TW-TotalVolume,PreClose,Capital,AvgPrice,Profit,MarketValue,DateofMeetingofShareHolders,InvestorConferenceDate,ShortBalance,FinanceBalance'</f>
        <v>5062</v>
      </c>
      <c r="AF6">
        <v>20.149999999999999</v>
      </c>
      <c r="AG6">
        <v>17.309999999999999</v>
      </c>
      <c r="AH6">
        <v>21.64</v>
      </c>
      <c r="AI6">
        <v>0.59</v>
      </c>
      <c r="AJ6">
        <v>37.200000000000003</v>
      </c>
      <c r="AK6" t="str">
        <v>2024/05/31</v>
      </c>
      <c r="AL6" t="str">
        <v>2023/11/23</v>
      </c>
      <c r="AM6">
        <v>127</v>
      </c>
      <c r="AN6">
        <v>10674</v>
      </c>
    </row>
    <row r="7" spans="1:40" x14ac:dyDescent="0.25">
      <c r="A7" t="str">
        <f t="array" ref="A7:J7">[1]!'1305.TW-ID,Name,CompanyPos,Price,DIndexPtsContributionRate,VolumeRatio,TurnoverRatio,PriceChangeRatio,DLOrderValueDiffRatio,MajorOrderBidAskRatio'</f>
        <v>1305</v>
      </c>
      <c r="B7" t="str">
        <v>華夏</v>
      </c>
      <c r="C7" t="str">
        <v>台灣第二大PVC廠，轉投資台氯</v>
      </c>
      <c r="D7">
        <v>18.25</v>
      </c>
      <c r="E7">
        <v>0.01</v>
      </c>
      <c r="F7">
        <v>2.0299999999999998</v>
      </c>
      <c r="G7">
        <v>0.21</v>
      </c>
      <c r="H7">
        <v>2.82</v>
      </c>
      <c r="I7">
        <v>24.46</v>
      </c>
      <c r="J7">
        <v>92.83</v>
      </c>
      <c r="K7" t="str">
        <f t="array" ref="K7:T7">[1]!'1305.TW-MajorOrderDif,DXLOrderValueDiffRatio,Low,MonthReturn,QuarterReturn,HalfYearReturn,YearReturn,DLOrderOutValueRatio,DetailIndustry,CompanyNews'</f>
        <v>659萬</v>
      </c>
      <c r="L7">
        <v>5.84</v>
      </c>
      <c r="M7">
        <v>17.75</v>
      </c>
      <c r="N7">
        <v>12.08</v>
      </c>
      <c r="O7">
        <v>1.67</v>
      </c>
      <c r="P7">
        <v>-10.34</v>
      </c>
      <c r="Q7">
        <v>-24.37</v>
      </c>
      <c r="R7">
        <v>27</v>
      </c>
      <c r="S7" t="str">
        <v>PVC,塑膠皮布,塑膠加工,石化業</v>
      </c>
      <c r="T7" t="str">
        <v>8/16法說會</v>
      </c>
      <c r="U7">
        <f t="array" ref="U7:AD7">[1]!'1305.TW-ChipsField17,ROE,InOutRatio,RevenueMonth,EstimatedTotalVolume,5DayAvgVol,FinanceUsedRatio,PriceChange,CashAndStockDividend,ChipsField25'</f>
        <v>0</v>
      </c>
      <c r="V7">
        <v>-0.41</v>
      </c>
      <c r="W7">
        <v>66.41</v>
      </c>
      <c r="X7" t="str">
        <v>2024/06</v>
      </c>
      <c r="Y7">
        <v>2200</v>
      </c>
      <c r="Z7">
        <v>1586</v>
      </c>
      <c r="AA7">
        <v>2.72</v>
      </c>
      <c r="AB7">
        <v>0.5</v>
      </c>
      <c r="AC7">
        <v>0.35</v>
      </c>
      <c r="AD7" t="str">
        <v>2024/07/26</v>
      </c>
      <c r="AE7">
        <f t="array" ref="AE7:AN7">[1]!'1305.TW-TotalVolume,PreClose,Capital,AvgPrice,Profit,MarketValue,DateofMeetingofShareHolders,InvestorConferenceDate,ShortBalance,FinanceBalance'</f>
        <v>1201</v>
      </c>
      <c r="AF7">
        <v>17.75</v>
      </c>
      <c r="AG7">
        <v>58.11</v>
      </c>
      <c r="AH7">
        <v>18.12</v>
      </c>
      <c r="AI7">
        <v>-0.05</v>
      </c>
      <c r="AJ7">
        <v>106</v>
      </c>
      <c r="AK7" t="str">
        <v>2024/05/28</v>
      </c>
      <c r="AL7" t="str">
        <v>2024/08/16</v>
      </c>
      <c r="AM7">
        <v>3</v>
      </c>
      <c r="AN7">
        <v>3951</v>
      </c>
    </row>
    <row r="8" spans="1:40" x14ac:dyDescent="0.25">
      <c r="A8" t="str">
        <f t="array" ref="A8:J8">[1]!'6603.TW-ID,Name,CompanyPos,Price,DIndexPtsContributionRate,VolumeRatio,TurnoverRatio,PriceChangeRatio,DLOrderValueDiffRatio,MajorOrderBidAskRatio'</f>
        <v>6603</v>
      </c>
      <c r="B8" t="str">
        <v>富強鑫</v>
      </c>
      <c r="C8" t="str">
        <v>台灣塑膠射出機領導廠商</v>
      </c>
      <c r="D8">
        <v>19.7</v>
      </c>
      <c r="E8">
        <v>0</v>
      </c>
      <c r="F8">
        <v>3.33</v>
      </c>
      <c r="G8">
        <v>1.1599999999999999</v>
      </c>
      <c r="H8">
        <v>3.96</v>
      </c>
      <c r="I8">
        <v>9.91</v>
      </c>
      <c r="J8">
        <v>92.71</v>
      </c>
      <c r="K8" t="str">
        <f t="array" ref="K8:T8">[1]!'6603.TW-MajorOrderDif,DXLOrderValueDiffRatio,Low,MonthReturn,QuarterReturn,HalfYearReturn,YearReturn,DLOrderOutValueRatio,DetailIndustry,CompanyNews'</f>
        <v>577萬</v>
      </c>
      <c r="L8">
        <v>6.15</v>
      </c>
      <c r="M8">
        <v>19.100000000000001</v>
      </c>
      <c r="N8">
        <v>11.61</v>
      </c>
      <c r="O8">
        <v>14.2</v>
      </c>
      <c r="P8">
        <v>21.6</v>
      </c>
      <c r="Q8">
        <v>27.22</v>
      </c>
      <c r="R8">
        <v>11.28</v>
      </c>
      <c r="S8" t="str">
        <v>塑膠機械,機械</v>
      </c>
      <c r="T8" t="str">
        <v>--</v>
      </c>
      <c r="U8">
        <f t="array" ref="U8:AD8">[1]!'6603.TW-ChipsField17,ROE,InOutRatio,RevenueMonth,EstimatedTotalVolume,5DayAvgVol,FinanceUsedRatio,PriceChange,CashAndStockDividend,ChipsField25'</f>
        <v>0</v>
      </c>
      <c r="V8">
        <v>-0.1</v>
      </c>
      <c r="W8">
        <v>66.87</v>
      </c>
      <c r="X8" t="str">
        <v>2024/06</v>
      </c>
      <c r="Y8">
        <v>3464</v>
      </c>
      <c r="Z8">
        <v>2328</v>
      </c>
      <c r="AA8">
        <v>16.350000000000001</v>
      </c>
      <c r="AB8">
        <v>0.75</v>
      </c>
      <c r="AC8">
        <v>0.15</v>
      </c>
      <c r="AD8" t="str">
        <v>--</v>
      </c>
      <c r="AE8">
        <f t="array" ref="AE8:AN8">[1]!'6603.TW-TotalVolume,PreClose,Capital,AvgPrice,Profit,MarketValue,DateofMeetingofShareHolders,InvestorConferenceDate,ShortBalance,FinanceBalance'</f>
        <v>1820</v>
      </c>
      <c r="AF8">
        <v>18.95</v>
      </c>
      <c r="AG8">
        <v>15.7</v>
      </c>
      <c r="AH8">
        <v>19.72</v>
      </c>
      <c r="AI8">
        <v>0.02</v>
      </c>
      <c r="AJ8">
        <v>30.9</v>
      </c>
      <c r="AK8" t="str">
        <v>2024/06/18</v>
      </c>
      <c r="AL8" t="str">
        <v>2023/12/12</v>
      </c>
      <c r="AM8">
        <v>2505</v>
      </c>
      <c r="AN8">
        <v>6417</v>
      </c>
    </row>
    <row r="9" spans="1:40" x14ac:dyDescent="0.25">
      <c r="A9" t="str">
        <f t="array" ref="A9:J9">[1]!'6215.TW-ID,Name,CompanyPos,Price,DIndexPtsContributionRate,VolumeRatio,TurnoverRatio,PriceChangeRatio,DLOrderValueDiffRatio,MajorOrderBidAskRatio'</f>
        <v>6215</v>
      </c>
      <c r="B9" t="str">
        <v>和椿</v>
      </c>
      <c r="C9" t="str">
        <v>專業的自動化設備零組件、光電製程之工業製造商</v>
      </c>
      <c r="D9">
        <v>63.8</v>
      </c>
      <c r="E9">
        <v>0.01</v>
      </c>
      <c r="F9">
        <v>8.2100000000000009</v>
      </c>
      <c r="G9">
        <v>10.95</v>
      </c>
      <c r="H9">
        <v>10</v>
      </c>
      <c r="I9">
        <v>4.87</v>
      </c>
      <c r="J9">
        <v>92.15</v>
      </c>
      <c r="K9" t="str">
        <f t="array" ref="K9:T9">[1]!'6215.TW-MajorOrderDif,DXLOrderValueDiffRatio,Low,MonthReturn,QuarterReturn,HalfYearReturn,YearReturn,DLOrderOutValueRatio,DetailIndustry,CompanyNews'</f>
        <v>2.99億</v>
      </c>
      <c r="L9">
        <v>47.08</v>
      </c>
      <c r="M9">
        <v>60.3</v>
      </c>
      <c r="N9">
        <v>8.3699999999999992</v>
      </c>
      <c r="O9">
        <v>48.12</v>
      </c>
      <c r="P9">
        <v>144.08000000000001</v>
      </c>
      <c r="Q9">
        <v>143.62</v>
      </c>
      <c r="R9">
        <v>5.38</v>
      </c>
      <c r="S9" t="str">
        <v>自動化設備,叉車／輸送設備,軸承／滑軌,機械</v>
      </c>
      <c r="T9" t="str">
        <v>--</v>
      </c>
      <c r="U9">
        <f t="array" ref="U9:AD9">[1]!'6215.TW-ChipsField17,ROE,InOutRatio,RevenueMonth,EstimatedTotalVolume,5DayAvgVol,FinanceUsedRatio,PriceChange,CashAndStockDividend,ChipsField25'</f>
        <v>19</v>
      </c>
      <c r="V9">
        <v>1.98</v>
      </c>
      <c r="W9">
        <v>84.19</v>
      </c>
      <c r="X9" t="str">
        <v>2024/06</v>
      </c>
      <c r="Y9">
        <v>20251</v>
      </c>
      <c r="Z9">
        <v>4883</v>
      </c>
      <c r="AA9">
        <v>21.17</v>
      </c>
      <c r="AB9">
        <v>5.8</v>
      </c>
      <c r="AC9">
        <v>1</v>
      </c>
      <c r="AD9" t="str">
        <v>2024/07/09</v>
      </c>
      <c r="AE9">
        <f t="array" ref="AE9:AN9">[1]!'6215.TW-TotalVolume,PreClose,Capital,AvgPrice,Profit,MarketValue,DateofMeetingofShareHolders,InvestorConferenceDate,ShortBalance,FinanceBalance'</f>
        <v>9067</v>
      </c>
      <c r="AF9">
        <v>58</v>
      </c>
      <c r="AG9">
        <v>8.2799999999999994</v>
      </c>
      <c r="AH9">
        <v>63.41</v>
      </c>
      <c r="AI9">
        <v>0.36</v>
      </c>
      <c r="AJ9">
        <v>52.8</v>
      </c>
      <c r="AK9" t="str">
        <v>2024/06/18</v>
      </c>
      <c r="AL9" t="str">
        <v>2023/11/20</v>
      </c>
      <c r="AM9">
        <v>179</v>
      </c>
      <c r="AN9">
        <v>4381</v>
      </c>
    </row>
    <row r="10" spans="1:40" x14ac:dyDescent="0.25">
      <c r="A10" t="str">
        <f t="array" ref="A10:J10">[1]!'6153.TW-ID,Name,CompanyPos,Price,DIndexPtsContributionRate,VolumeRatio,TurnoverRatio,PriceChangeRatio,DLOrderValueDiffRatio,MajorOrderBidAskRatio'</f>
        <v>6153</v>
      </c>
      <c r="B10" t="str">
        <v>嘉聯益</v>
      </c>
      <c r="C10" t="str">
        <v>台灣前三大軟板廠之一</v>
      </c>
      <c r="D10">
        <v>23.65</v>
      </c>
      <c r="E10">
        <v>0.02</v>
      </c>
      <c r="F10">
        <v>1.92</v>
      </c>
      <c r="G10">
        <v>0.39</v>
      </c>
      <c r="H10">
        <v>3.73</v>
      </c>
      <c r="I10">
        <v>4.2300000000000004</v>
      </c>
      <c r="J10">
        <v>91.61</v>
      </c>
      <c r="K10" t="str">
        <f t="array" ref="K10:T10">[1]!'6153.TW-MajorOrderDif,DXLOrderValueDiffRatio,Low,MonthReturn,QuarterReturn,HalfYearReturn,YearReturn,DLOrderOutValueRatio,DetailIndustry,CompanyNews'</f>
        <v>1486萬</v>
      </c>
      <c r="L10">
        <v>22.52</v>
      </c>
      <c r="M10">
        <v>22.9</v>
      </c>
      <c r="N10">
        <v>12.35</v>
      </c>
      <c r="O10">
        <v>19.14</v>
      </c>
      <c r="P10">
        <v>13.7</v>
      </c>
      <c r="Q10">
        <v>-1.99</v>
      </c>
      <c r="R10">
        <v>6.93</v>
      </c>
      <c r="S10" t="str">
        <v>軟板,印刷電路板相關</v>
      </c>
      <c r="T10" t="str">
        <v>上半年合併虧損9.11億元</v>
      </c>
      <c r="U10">
        <f t="array" ref="U10:AD10">[1]!'6153.TW-ChipsField17,ROE,InOutRatio,RevenueMonth,EstimatedTotalVolume,5DayAvgVol,FinanceUsedRatio,PriceChange,CashAndStockDividend,ChipsField25'</f>
        <v>0</v>
      </c>
      <c r="V10">
        <v>-4.3499999999999996</v>
      </c>
      <c r="W10">
        <v>66.58</v>
      </c>
      <c r="X10" t="str">
        <v>2024/06</v>
      </c>
      <c r="Y10">
        <v>5209</v>
      </c>
      <c r="Z10">
        <v>2064</v>
      </c>
      <c r="AA10">
        <v>11.52</v>
      </c>
      <c r="AB10">
        <v>0.85</v>
      </c>
      <c r="AC10">
        <v>0</v>
      </c>
      <c r="AD10" t="str">
        <v>--</v>
      </c>
      <c r="AE10">
        <f t="array" ref="AE10:AN10">[1]!'6153.TW-TotalVolume,PreClose,Capital,AvgPrice,Profit,MarketValue,DateofMeetingofShareHolders,InvestorConferenceDate,ShortBalance,FinanceBalance'</f>
        <v>2343</v>
      </c>
      <c r="AF10">
        <v>22.8</v>
      </c>
      <c r="AG10">
        <v>59.62</v>
      </c>
      <c r="AH10">
        <v>23.72</v>
      </c>
      <c r="AI10">
        <v>-0.96</v>
      </c>
      <c r="AJ10">
        <v>141</v>
      </c>
      <c r="AK10" t="str">
        <v>2024/06/14</v>
      </c>
      <c r="AL10" t="str">
        <v>2023/11/08</v>
      </c>
      <c r="AM10">
        <v>834</v>
      </c>
      <c r="AN10">
        <v>14613</v>
      </c>
    </row>
    <row r="11" spans="1:40" x14ac:dyDescent="0.25">
      <c r="A11" t="str">
        <f t="array" ref="A11:J11">[1]!'1714.TW-ID,Name,CompanyPos,Price,DIndexPtsContributionRate,VolumeRatio,TurnoverRatio,PriceChangeRatio,DLOrderValueDiffRatio,MajorOrderBidAskRatio'</f>
        <v>1714</v>
      </c>
      <c r="B11" t="str">
        <v>和桐</v>
      </c>
      <c r="C11" t="str">
        <v>亞洲最大正烷屬烴供應商</v>
      </c>
      <c r="D11">
        <v>10.5</v>
      </c>
      <c r="E11">
        <v>0.01</v>
      </c>
      <c r="F11">
        <v>2.4300000000000002</v>
      </c>
      <c r="G11">
        <v>0.18</v>
      </c>
      <c r="H11">
        <v>2.44</v>
      </c>
      <c r="I11">
        <v>17.829999999999998</v>
      </c>
      <c r="J11">
        <v>88.01</v>
      </c>
      <c r="K11" t="str">
        <f t="array" ref="K11:T11">[1]!'1714.TW-MajorOrderDif,DXLOrderValueDiffRatio,Low,MonthReturn,QuarterReturn,HalfYearReturn,YearReturn,DLOrderOutValueRatio,DetailIndustry,CompanyNews'</f>
        <v>844萬</v>
      </c>
      <c r="L11">
        <v>27.06</v>
      </c>
      <c r="M11">
        <v>10.3</v>
      </c>
      <c r="N11">
        <v>4.4800000000000004</v>
      </c>
      <c r="O11">
        <v>17.190000000000001</v>
      </c>
      <c r="P11">
        <v>17.98</v>
      </c>
      <c r="Q11">
        <v>24.25</v>
      </c>
      <c r="R11">
        <v>24.91</v>
      </c>
      <c r="S11" t="str">
        <v>烷基苯,正烷屬烴,化學工業,其他化工產品</v>
      </c>
      <c r="T11" t="str">
        <v>訂8/15為除息交易日</v>
      </c>
      <c r="U11">
        <f t="array" ref="U11:AD11">[1]!'1714.TW-ChipsField17,ROE,InOutRatio,RevenueMonth,EstimatedTotalVolume,5DayAvgVol,FinanceUsedRatio,PriceChange,CashAndStockDividend,ChipsField25'</f>
        <v>0</v>
      </c>
      <c r="V11">
        <v>2.08</v>
      </c>
      <c r="W11">
        <v>72.239999999999995</v>
      </c>
      <c r="X11" t="str">
        <v>2024/06</v>
      </c>
      <c r="Y11">
        <v>4280</v>
      </c>
      <c r="Z11">
        <v>2409</v>
      </c>
      <c r="AA11">
        <v>3.02</v>
      </c>
      <c r="AB11">
        <v>0.25</v>
      </c>
      <c r="AC11">
        <v>0.3</v>
      </c>
      <c r="AD11" t="str">
        <v>2024/08/15</v>
      </c>
      <c r="AE11">
        <f t="array" ref="AE11:AN11">[1]!'1714.TW-TotalVolume,PreClose,Capital,AvgPrice,Profit,MarketValue,DateofMeetingofShareHolders,InvestorConferenceDate,ShortBalance,FinanceBalance'</f>
        <v>1807</v>
      </c>
      <c r="AF11">
        <v>10.25</v>
      </c>
      <c r="AG11">
        <v>101.68</v>
      </c>
      <c r="AH11">
        <v>10.4</v>
      </c>
      <c r="AI11">
        <v>0.28999999999999998</v>
      </c>
      <c r="AJ11">
        <v>106.8</v>
      </c>
      <c r="AK11" t="str">
        <v>2024/06/19</v>
      </c>
      <c r="AL11" t="str">
        <v>2023/11/22</v>
      </c>
      <c r="AM11">
        <v>10</v>
      </c>
      <c r="AN11">
        <v>7685</v>
      </c>
    </row>
    <row r="12" spans="1:40" x14ac:dyDescent="0.25">
      <c r="A12" t="str">
        <f t="array" ref="A12:J12">[1]!'1316.TW-ID,Name,CompanyPos,Price,DIndexPtsContributionRate,VolumeRatio,TurnoverRatio,PriceChangeRatio,DLOrderValueDiffRatio,MajorOrderBidAskRatio'</f>
        <v>1316</v>
      </c>
      <c r="B12" t="str">
        <v>上曜</v>
      </c>
      <c r="C12" t="str">
        <v>主要經營PU合成皮樹脂及營建業務</v>
      </c>
      <c r="D12">
        <v>22.85</v>
      </c>
      <c r="E12">
        <v>0.01</v>
      </c>
      <c r="F12">
        <v>4.95</v>
      </c>
      <c r="G12">
        <v>13.33</v>
      </c>
      <c r="H12">
        <v>9.86</v>
      </c>
      <c r="I12">
        <v>3.9</v>
      </c>
      <c r="J12">
        <v>87.08</v>
      </c>
      <c r="K12" t="str">
        <f t="array" ref="K12:T12">[1]!'1316.TW-MajorOrderDif,DXLOrderValueDiffRatio,Low,MonthReturn,QuarterReturn,HalfYearReturn,YearReturn,DLOrderOutValueRatio,DetailIndustry,CompanyNews'</f>
        <v>4.17億</v>
      </c>
      <c r="L12">
        <v>46.19</v>
      </c>
      <c r="M12">
        <v>20.75</v>
      </c>
      <c r="N12">
        <v>21.22</v>
      </c>
      <c r="O12">
        <v>12.56</v>
      </c>
      <c r="P12">
        <v>66.180000000000007</v>
      </c>
      <c r="Q12">
        <v>104.9</v>
      </c>
      <c r="R12">
        <v>8.14</v>
      </c>
      <c r="S12" t="str">
        <v>PU樹脂,化學工業,營建,地產</v>
      </c>
      <c r="T12" t="str">
        <v>6月營收1.57億元</v>
      </c>
      <c r="U12">
        <f t="array" ref="U12:AD12">[1]!'1316.TW-ChipsField17,ROE,InOutRatio,RevenueMonth,EstimatedTotalVolume,5DayAvgVol,FinanceUsedRatio,PriceChange,CashAndStockDividend,ChipsField25'</f>
        <v>0</v>
      </c>
      <c r="V12">
        <v>-0.04</v>
      </c>
      <c r="W12">
        <v>78.31</v>
      </c>
      <c r="X12" t="str">
        <v>2024/06</v>
      </c>
      <c r="Y12">
        <v>68108</v>
      </c>
      <c r="Z12">
        <v>14590</v>
      </c>
      <c r="AA12">
        <v>44.63</v>
      </c>
      <c r="AB12">
        <v>2.0499999999999998</v>
      </c>
      <c r="AC12">
        <v>0</v>
      </c>
      <c r="AD12" t="str">
        <v>--</v>
      </c>
      <c r="AE12">
        <f t="array" ref="AE12:AN12">[1]!'1316.TW-TotalVolume,PreClose,Capital,AvgPrice,Profit,MarketValue,DateofMeetingofShareHolders,InvestorConferenceDate,ShortBalance,FinanceBalance'</f>
        <v>37392</v>
      </c>
      <c r="AF12">
        <v>20.8</v>
      </c>
      <c r="AG12">
        <v>30.03</v>
      </c>
      <c r="AH12">
        <v>22.26</v>
      </c>
      <c r="AI12">
        <v>-0.27</v>
      </c>
      <c r="AJ12">
        <v>64.099999999999994</v>
      </c>
      <c r="AK12" t="str">
        <v>2024/05/29</v>
      </c>
      <c r="AL12" t="str">
        <v>2023/12/19</v>
      </c>
      <c r="AM12">
        <v>1881</v>
      </c>
      <c r="AN12">
        <v>33472</v>
      </c>
    </row>
    <row r="13" spans="1:40" x14ac:dyDescent="0.25">
      <c r="A13" t="str">
        <f t="array" ref="A13:J13">[1]!'1540.TW-ID,Name,CompanyPos,Price,DIndexPtsContributionRate,VolumeRatio,TurnoverRatio,PriceChangeRatio,DLOrderValueDiffRatio,MajorOrderBidAskRatio'</f>
        <v>1540</v>
      </c>
      <c r="B13" t="str">
        <v>喬福</v>
      </c>
      <c r="C13" t="str">
        <v>台灣中大型工具機製造大廠，以客製化為主</v>
      </c>
      <c r="D13">
        <v>33.9</v>
      </c>
      <c r="E13">
        <v>0</v>
      </c>
      <c r="F13">
        <v>3.17</v>
      </c>
      <c r="G13">
        <v>11.89</v>
      </c>
      <c r="H13">
        <v>9.89</v>
      </c>
      <c r="I13">
        <v>4.6500000000000004</v>
      </c>
      <c r="J13">
        <v>86.86</v>
      </c>
      <c r="K13" t="str">
        <f t="array" ref="K13:T13">[1]!'1540.TW-MajorOrderDif,DXLOrderValueDiffRatio,Low,MonthReturn,QuarterReturn,HalfYearReturn,YearReturn,DLOrderOutValueRatio,DetailIndustry,CompanyNews'</f>
        <v>1.31億</v>
      </c>
      <c r="L13">
        <v>34.020000000000003</v>
      </c>
      <c r="M13">
        <v>31.15</v>
      </c>
      <c r="N13">
        <v>59.37</v>
      </c>
      <c r="O13">
        <v>72.260000000000005</v>
      </c>
      <c r="P13">
        <v>98.54</v>
      </c>
      <c r="Q13">
        <v>102.55</v>
      </c>
      <c r="R13">
        <v>8.6999999999999993</v>
      </c>
      <c r="S13" t="str">
        <v>工具機,機械</v>
      </c>
      <c r="T13" t="str">
        <v>--</v>
      </c>
      <c r="U13">
        <f t="array" ref="U13:AD13">[1]!'1540.TW-ChipsField17,ROE,InOutRatio,RevenueMonth,EstimatedTotalVolume,5DayAvgVol,FinanceUsedRatio,PriceChange,CashAndStockDividend,ChipsField25'</f>
        <v>47</v>
      </c>
      <c r="V13">
        <v>3.86</v>
      </c>
      <c r="W13">
        <v>76.349999999999994</v>
      </c>
      <c r="X13" t="str">
        <v>2024/06</v>
      </c>
      <c r="Y13">
        <v>16861</v>
      </c>
      <c r="Z13">
        <v>12111</v>
      </c>
      <c r="AA13">
        <v>24.85</v>
      </c>
      <c r="AB13">
        <v>3.05</v>
      </c>
      <c r="AC13">
        <v>1.1000000000000001</v>
      </c>
      <c r="AD13" t="str">
        <v>2024/07/30</v>
      </c>
      <c r="AE13">
        <f t="array" ref="AE13:AN13">[1]!'1540.TW-TotalVolume,PreClose,Capital,AvgPrice,Profit,MarketValue,DateofMeetingofShareHolders,InvestorConferenceDate,ShortBalance,FinanceBalance'</f>
        <v>10160</v>
      </c>
      <c r="AF13">
        <v>30.85</v>
      </c>
      <c r="AG13">
        <v>8.5500000000000007</v>
      </c>
      <c r="AH13">
        <v>33.36</v>
      </c>
      <c r="AI13">
        <v>0.66</v>
      </c>
      <c r="AJ13">
        <v>29</v>
      </c>
      <c r="AK13" t="str">
        <v>2024/06/25</v>
      </c>
      <c r="AL13" t="str">
        <v>2023/10/30</v>
      </c>
      <c r="AM13">
        <v>112</v>
      </c>
      <c r="AN13">
        <v>5311</v>
      </c>
    </row>
    <row r="14" spans="1:40" x14ac:dyDescent="0.25">
      <c r="A14" t="str">
        <f t="array" ref="A14:J14">[1]!'5531.TW-ID,Name,CompanyPos,Price,DIndexPtsContributionRate,VolumeRatio,TurnoverRatio,PriceChangeRatio,DLOrderValueDiffRatio,MajorOrderBidAskRatio'</f>
        <v>5531</v>
      </c>
      <c r="B14" t="str">
        <v>鄉林</v>
      </c>
      <c r="C14" t="str">
        <v>推案以中部地區為主之建商，並跨足觀光旅館經營</v>
      </c>
      <c r="D14">
        <v>11.85</v>
      </c>
      <c r="E14">
        <v>0.02</v>
      </c>
      <c r="F14">
        <v>2.14</v>
      </c>
      <c r="G14">
        <v>0.32</v>
      </c>
      <c r="H14">
        <v>2.16</v>
      </c>
      <c r="I14">
        <v>12.18</v>
      </c>
      <c r="J14">
        <v>84.46</v>
      </c>
      <c r="K14" t="str">
        <f t="array" ref="K14:T14">[1]!'5531.TW-MajorOrderDif,DXLOrderValueDiffRatio,Low,MonthReturn,QuarterReturn,HalfYearReturn,YearReturn,DLOrderOutValueRatio,DetailIndustry,CompanyNews'</f>
        <v>1281萬</v>
      </c>
      <c r="L14">
        <v>22.64</v>
      </c>
      <c r="M14">
        <v>11.45</v>
      </c>
      <c r="N14">
        <v>6.28</v>
      </c>
      <c r="O14">
        <v>-3.27</v>
      </c>
      <c r="P14">
        <v>15.05</v>
      </c>
      <c r="Q14">
        <v>16.18</v>
      </c>
      <c r="R14">
        <v>15.27</v>
      </c>
      <c r="S14" t="str">
        <v>營建,地產,旅館、餐飲,飯店</v>
      </c>
      <c r="T14" t="str">
        <v>--</v>
      </c>
      <c r="U14">
        <f t="array" ref="U14:AD14">[1]!'5531.TW-ChipsField17,ROE,InOutRatio,RevenueMonth,EstimatedTotalVolume,5DayAvgVol,FinanceUsedRatio,PriceChange,CashAndStockDividend,ChipsField25'</f>
        <v>123</v>
      </c>
      <c r="V14">
        <v>-3.62</v>
      </c>
      <c r="W14">
        <v>67.209999999999994</v>
      </c>
      <c r="X14" t="str">
        <v>2024/06</v>
      </c>
      <c r="Y14">
        <v>5265</v>
      </c>
      <c r="Z14">
        <v>2236</v>
      </c>
      <c r="AA14">
        <v>3.23</v>
      </c>
      <c r="AB14">
        <v>0.25</v>
      </c>
      <c r="AC14">
        <v>0</v>
      </c>
      <c r="AD14" t="str">
        <v>--</v>
      </c>
      <c r="AE14">
        <f t="array" ref="AE14:AN14">[1]!'5531.TW-TotalVolume,PreClose,Capital,AvgPrice,Profit,MarketValue,DateofMeetingofShareHolders,InvestorConferenceDate,ShortBalance,FinanceBalance'</f>
        <v>3127</v>
      </c>
      <c r="AF14">
        <v>11.6</v>
      </c>
      <c r="AG14">
        <v>97.76</v>
      </c>
      <c r="AH14">
        <v>11.76</v>
      </c>
      <c r="AI14">
        <v>-0.31</v>
      </c>
      <c r="AJ14">
        <v>115.8</v>
      </c>
      <c r="AK14" t="str">
        <v>2024/06/27</v>
      </c>
      <c r="AL14" t="str">
        <v>2023/12/19</v>
      </c>
      <c r="AM14">
        <v>214</v>
      </c>
      <c r="AN14">
        <v>7891</v>
      </c>
    </row>
    <row r="15" spans="1:40" x14ac:dyDescent="0.25">
      <c r="A15" t="str">
        <f t="array" ref="A15:J15">[1]!'2634.TW-ID,Name,CompanyPos,Price,DIndexPtsContributionRate,VolumeRatio,TurnoverRatio,PriceChangeRatio,DLOrderValueDiffRatio,MajorOrderBidAskRatio'</f>
        <v>2634</v>
      </c>
      <c r="B15" t="str">
        <v>漢翔</v>
      </c>
      <c r="C15" t="str">
        <v>台灣航太產業領導者</v>
      </c>
      <c r="D15">
        <v>52.4</v>
      </c>
      <c r="E15">
        <v>7.0000000000000007E-2</v>
      </c>
      <c r="F15">
        <v>2.0299999999999998</v>
      </c>
      <c r="G15">
        <v>0.3</v>
      </c>
      <c r="H15">
        <v>1.95</v>
      </c>
      <c r="I15">
        <v>5.0999999999999996</v>
      </c>
      <c r="J15">
        <v>84.14</v>
      </c>
      <c r="K15" t="str">
        <f t="array" ref="K15:T15">[1]!'2634.TW-MajorOrderDif,DXLOrderValueDiffRatio,Low,MonthReturn,QuarterReturn,HalfYearReturn,YearReturn,DLOrderOutValueRatio,DetailIndustry,CompanyNews'</f>
        <v>5168萬</v>
      </c>
      <c r="L15">
        <v>29.52</v>
      </c>
      <c r="M15">
        <v>51.5</v>
      </c>
      <c r="N15">
        <v>-0.26</v>
      </c>
      <c r="O15">
        <v>-5.83</v>
      </c>
      <c r="P15">
        <v>10.26</v>
      </c>
      <c r="Q15">
        <v>-1.71</v>
      </c>
      <c r="R15">
        <v>8.01</v>
      </c>
      <c r="S15" t="str">
        <v>航天軍工,航天機械零組件,飛機零件/製造,機械</v>
      </c>
      <c r="T15" t="str">
        <v>--</v>
      </c>
      <c r="U15">
        <f t="array" ref="U15:AD15">[1]!'2634.TW-ChipsField17,ROE,InOutRatio,RevenueMonth,EstimatedTotalVolume,5DayAvgVol,FinanceUsedRatio,PriceChange,CashAndStockDividend,ChipsField25'</f>
        <v>176</v>
      </c>
      <c r="V15">
        <v>4.59</v>
      </c>
      <c r="W15">
        <v>70.45</v>
      </c>
      <c r="X15" t="str">
        <v>2024/06</v>
      </c>
      <c r="Y15">
        <v>5860</v>
      </c>
      <c r="Z15">
        <v>6588</v>
      </c>
      <c r="AA15">
        <v>9.19</v>
      </c>
      <c r="AB15">
        <v>1</v>
      </c>
      <c r="AC15">
        <v>1.42</v>
      </c>
      <c r="AD15" t="str">
        <v>2024/07/10</v>
      </c>
      <c r="AE15">
        <f t="array" ref="AE15:AN15">[1]!'2634.TW-TotalVolume,PreClose,Capital,AvgPrice,Profit,MarketValue,DateofMeetingofShareHolders,InvestorConferenceDate,ShortBalance,FinanceBalance'</f>
        <v>2852</v>
      </c>
      <c r="AF15">
        <v>51.4</v>
      </c>
      <c r="AG15">
        <v>94.19</v>
      </c>
      <c r="AH15">
        <v>52.34</v>
      </c>
      <c r="AI15">
        <v>0.85</v>
      </c>
      <c r="AJ15">
        <v>493.5</v>
      </c>
      <c r="AK15" t="str">
        <v>2024/05/27</v>
      </c>
      <c r="AL15" t="str">
        <v>2024/06/19</v>
      </c>
      <c r="AM15">
        <v>41</v>
      </c>
      <c r="AN15">
        <v>21632</v>
      </c>
    </row>
    <row r="16" spans="1:40" x14ac:dyDescent="0.25">
      <c r="A16" t="str">
        <f t="array" ref="A16:J16">[1]!'9940.TW-ID,Name,CompanyPos,Price,DIndexPtsContributionRate,VolumeRatio,TurnoverRatio,PriceChangeRatio,DLOrderValueDiffRatio,MajorOrderBidAskRatio'</f>
        <v>9940</v>
      </c>
      <c r="B16" t="str">
        <v>信義</v>
      </c>
      <c r="C16" t="str">
        <v>台灣主要房仲業者</v>
      </c>
      <c r="D16">
        <v>36.299999999999997</v>
      </c>
      <c r="E16">
        <v>0.04</v>
      </c>
      <c r="F16">
        <v>2.44</v>
      </c>
      <c r="G16">
        <v>0.36</v>
      </c>
      <c r="H16">
        <v>5.99</v>
      </c>
      <c r="I16">
        <v>0.66</v>
      </c>
      <c r="J16">
        <v>84.11</v>
      </c>
      <c r="K16" t="str">
        <f t="array" ref="K16:T16">[1]!'9940.TW-MajorOrderDif,DXLOrderValueDiffRatio,Low,MonthReturn,QuarterReturn,HalfYearReturn,YearReturn,DLOrderOutValueRatio,DetailIndustry,CompanyNews'</f>
        <v>1490萬</v>
      </c>
      <c r="L16">
        <v>14.97</v>
      </c>
      <c r="M16">
        <v>34.15</v>
      </c>
      <c r="N16">
        <v>13.79</v>
      </c>
      <c r="O16">
        <v>14.99</v>
      </c>
      <c r="P16">
        <v>30.09</v>
      </c>
      <c r="Q16">
        <v>30.99</v>
      </c>
      <c r="R16">
        <v>4.3</v>
      </c>
      <c r="S16" t="str">
        <v>營建,房屋仲介,地產</v>
      </c>
      <c r="T16" t="str">
        <v>發言人改由陳志桓擔任</v>
      </c>
      <c r="U16">
        <f t="array" ref="U16:AD16">[1]!'9940.TW-ChipsField17,ROE,InOutRatio,RevenueMonth,EstimatedTotalVolume,5DayAvgVol,FinanceUsedRatio,PriceChange,CashAndStockDividend,ChipsField25'</f>
        <v>0</v>
      </c>
      <c r="V16">
        <v>3.58</v>
      </c>
      <c r="W16">
        <v>54.82</v>
      </c>
      <c r="X16" t="str">
        <v>2024/06</v>
      </c>
      <c r="Y16">
        <v>5529</v>
      </c>
      <c r="Z16">
        <v>784</v>
      </c>
      <c r="AA16">
        <v>0.36</v>
      </c>
      <c r="AB16">
        <v>2.0499999999999998</v>
      </c>
      <c r="AC16">
        <v>1.6</v>
      </c>
      <c r="AD16" t="str">
        <v>2024/06/07</v>
      </c>
      <c r="AE16">
        <f t="array" ref="AE16:AN16">[1]!'9940.TW-TotalVolume,PreClose,Capital,AvgPrice,Profit,MarketValue,DateofMeetingofShareHolders,InvestorConferenceDate,ShortBalance,FinanceBalance'</f>
        <v>2661</v>
      </c>
      <c r="AF16">
        <v>34.25</v>
      </c>
      <c r="AG16">
        <v>73.680000000000007</v>
      </c>
      <c r="AH16">
        <v>35.85</v>
      </c>
      <c r="AI16">
        <v>0.62</v>
      </c>
      <c r="AJ16">
        <v>267.5</v>
      </c>
      <c r="AK16" t="str">
        <v>2024/05/22</v>
      </c>
      <c r="AL16" t="str">
        <v>2024/05/13</v>
      </c>
      <c r="AM16">
        <v>4</v>
      </c>
      <c r="AN16">
        <v>664</v>
      </c>
    </row>
    <row r="17" spans="1:40" x14ac:dyDescent="0.25">
      <c r="A17" t="str">
        <f t="array" ref="A17:J17">[1]!'2501.TW-ID,Name,CompanyPos,Price,DIndexPtsContributionRate,VolumeRatio,TurnoverRatio,PriceChangeRatio,DLOrderValueDiffRatio,MajorOrderBidAskRatio'</f>
        <v>2501</v>
      </c>
      <c r="B17" t="str">
        <v>國建</v>
      </c>
      <c r="C17" t="str">
        <v>屬霖園集團之台灣老牌營建開發業者</v>
      </c>
      <c r="D17">
        <v>32.700000000000003</v>
      </c>
      <c r="E17">
        <v>0.05</v>
      </c>
      <c r="F17">
        <v>2.72</v>
      </c>
      <c r="G17">
        <v>0.73</v>
      </c>
      <c r="H17">
        <v>5.14</v>
      </c>
      <c r="I17">
        <v>6.08</v>
      </c>
      <c r="J17">
        <v>84</v>
      </c>
      <c r="K17" t="str">
        <f t="array" ref="K17:T17">[1]!'2501.TW-MajorOrderDif,DXLOrderValueDiffRatio,Low,MonthReturn,QuarterReturn,HalfYearReturn,YearReturn,DLOrderOutValueRatio,DetailIndustry,CompanyNews'</f>
        <v>9691萬</v>
      </c>
      <c r="L17">
        <v>29.43</v>
      </c>
      <c r="M17">
        <v>30.95</v>
      </c>
      <c r="N17">
        <v>8.9499999999999993</v>
      </c>
      <c r="O17">
        <v>-11.81</v>
      </c>
      <c r="P17">
        <v>74.55</v>
      </c>
      <c r="Q17">
        <v>113.77</v>
      </c>
      <c r="R17">
        <v>11.19</v>
      </c>
      <c r="S17" t="str">
        <v>營建,地產</v>
      </c>
      <c r="T17" t="str">
        <v>--</v>
      </c>
      <c r="U17">
        <f t="array" ref="U17:AD17">[1]!'2501.TW-ChipsField17,ROE,InOutRatio,RevenueMonth,EstimatedTotalVolume,5DayAvgVol,FinanceUsedRatio,PriceChange,CashAndStockDividend,ChipsField25'</f>
        <v>0</v>
      </c>
      <c r="V17">
        <v>1.93</v>
      </c>
      <c r="W17">
        <v>65.900000000000006</v>
      </c>
      <c r="X17" t="str">
        <v>2024/06</v>
      </c>
      <c r="Y17">
        <v>14865</v>
      </c>
      <c r="Z17">
        <v>6882</v>
      </c>
      <c r="AA17">
        <v>6.66</v>
      </c>
      <c r="AB17">
        <v>1.6</v>
      </c>
      <c r="AC17">
        <v>1</v>
      </c>
      <c r="AD17" t="str">
        <v>2024/07/16</v>
      </c>
      <c r="AE17">
        <f t="array" ref="AE17:AN17">[1]!'2501.TW-TotalVolume,PreClose,Capital,AvgPrice,Profit,MarketValue,DateofMeetingofShareHolders,InvestorConferenceDate,ShortBalance,FinanceBalance'</f>
        <v>8440</v>
      </c>
      <c r="AF17">
        <v>31.1</v>
      </c>
      <c r="AG17">
        <v>115.96</v>
      </c>
      <c r="AH17">
        <v>32.33</v>
      </c>
      <c r="AI17">
        <v>0.47</v>
      </c>
      <c r="AJ17">
        <v>379.2</v>
      </c>
      <c r="AK17" t="str">
        <v>2024/06/14</v>
      </c>
      <c r="AL17" t="str">
        <v>2024/04/19</v>
      </c>
      <c r="AM17">
        <v>237</v>
      </c>
      <c r="AN17">
        <v>19307</v>
      </c>
    </row>
    <row r="18" spans="1:40" x14ac:dyDescent="0.25">
      <c r="A18" t="str">
        <f t="array" ref="A18:J18">[1]!'2528.TW-ID,Name,CompanyPos,Price,DIndexPtsContributionRate,VolumeRatio,TurnoverRatio,PriceChangeRatio,DLOrderValueDiffRatio,MajorOrderBidAskRatio'</f>
        <v>2528</v>
      </c>
      <c r="B18" t="str">
        <v>皇普</v>
      </c>
      <c r="C18" t="str">
        <v>以大台北地區推案為主的建商</v>
      </c>
      <c r="D18">
        <v>51.7</v>
      </c>
      <c r="E18">
        <v>0.02</v>
      </c>
      <c r="F18">
        <v>2.12</v>
      </c>
      <c r="G18">
        <v>0.47</v>
      </c>
      <c r="H18">
        <v>4.13</v>
      </c>
      <c r="I18">
        <v>9.3699999999999992</v>
      </c>
      <c r="J18">
        <v>82.15</v>
      </c>
      <c r="K18" t="str">
        <f t="array" ref="K18:T18">[1]!'2528.TW-MajorOrderDif,DXLOrderValueDiffRatio,Low,MonthReturn,QuarterReturn,HalfYearReturn,YearReturn,DLOrderOutValueRatio,DetailIndustry,CompanyNews'</f>
        <v>2378萬</v>
      </c>
      <c r="L18">
        <v>19.809999999999999</v>
      </c>
      <c r="M18">
        <v>49.4</v>
      </c>
      <c r="N18">
        <v>13.88</v>
      </c>
      <c r="O18">
        <v>3.4</v>
      </c>
      <c r="P18">
        <v>38.6</v>
      </c>
      <c r="Q18">
        <v>94.24</v>
      </c>
      <c r="R18">
        <v>14.77</v>
      </c>
      <c r="S18" t="str">
        <v>營建,地產</v>
      </c>
      <c r="T18" t="str">
        <v>--</v>
      </c>
      <c r="U18">
        <f t="array" ref="U18:AD18">[1]!'2528.TW-ChipsField17,ROE,InOutRatio,RevenueMonth,EstimatedTotalVolume,5DayAvgVol,FinanceUsedRatio,PriceChange,CashAndStockDividend,ChipsField25'</f>
        <v>0</v>
      </c>
      <c r="V18">
        <v>-0.77</v>
      </c>
      <c r="W18">
        <v>68.44</v>
      </c>
      <c r="X18" t="str">
        <v>2024/06</v>
      </c>
      <c r="Y18">
        <v>2636</v>
      </c>
      <c r="Z18">
        <v>1758</v>
      </c>
      <c r="AA18">
        <v>7.31</v>
      </c>
      <c r="AB18">
        <v>2.0499999999999998</v>
      </c>
      <c r="AC18">
        <v>0.5</v>
      </c>
      <c r="AD18" t="str">
        <v>2024/04/02</v>
      </c>
      <c r="AE18">
        <f t="array" ref="AE18:AN18">[1]!'2528.TW-TotalVolume,PreClose,Capital,AvgPrice,Profit,MarketValue,DateofMeetingofShareHolders,InvestorConferenceDate,ShortBalance,FinanceBalance'</f>
        <v>1581</v>
      </c>
      <c r="AF18">
        <v>49.65</v>
      </c>
      <c r="AG18">
        <v>40.85</v>
      </c>
      <c r="AH18">
        <v>51.55</v>
      </c>
      <c r="AI18">
        <v>-0.1</v>
      </c>
      <c r="AJ18">
        <v>174.9</v>
      </c>
      <c r="AK18" t="str">
        <v>2024/06/06</v>
      </c>
      <c r="AL18" t="str">
        <v>2024/07/18</v>
      </c>
      <c r="AM18">
        <v>60</v>
      </c>
      <c r="AN18">
        <v>6549</v>
      </c>
    </row>
    <row r="19" spans="1:40" x14ac:dyDescent="0.25">
      <c r="A19" t="str">
        <f t="array" ref="A19:J19">[1]!'2506.TW-ID,Name,CompanyPos,Price,DIndexPtsContributionRate,VolumeRatio,TurnoverRatio,PriceChangeRatio,DLOrderValueDiffRatio,MajorOrderBidAskRatio'</f>
        <v>2506</v>
      </c>
      <c r="B19" t="str">
        <v>太設</v>
      </c>
      <c r="C19" t="str">
        <v>多角化經營建設、百貨及休閒等事業</v>
      </c>
      <c r="D19">
        <v>12.55</v>
      </c>
      <c r="E19">
        <v>0.01</v>
      </c>
      <c r="F19">
        <v>2.12</v>
      </c>
      <c r="G19">
        <v>0.38</v>
      </c>
      <c r="H19">
        <v>2.87</v>
      </c>
      <c r="I19">
        <v>13.24</v>
      </c>
      <c r="J19">
        <v>83.34</v>
      </c>
      <c r="K19" t="str">
        <f t="array" ref="K19:T19">[1]!'2506.TW-MajorOrderDif,DXLOrderValueDiffRatio,Low,MonthReturn,QuarterReturn,HalfYearReturn,YearReturn,DLOrderOutValueRatio,DetailIndustry,CompanyNews'</f>
        <v>542萬</v>
      </c>
      <c r="L19">
        <v>16.239999999999998</v>
      </c>
      <c r="M19">
        <v>12.15</v>
      </c>
      <c r="N19">
        <v>3.72</v>
      </c>
      <c r="O19">
        <v>0.06</v>
      </c>
      <c r="P19">
        <v>26.32</v>
      </c>
      <c r="Q19">
        <v>40.020000000000003</v>
      </c>
      <c r="R19">
        <v>13.24</v>
      </c>
      <c r="S19" t="str">
        <v>營建,地產,物業投資發展</v>
      </c>
      <c r="T19" t="str">
        <v>--</v>
      </c>
      <c r="U19">
        <f t="array" ref="U19:AD19">[1]!'2506.TW-ChipsField17,ROE,InOutRatio,RevenueMonth,EstimatedTotalVolume,5DayAvgVol,FinanceUsedRatio,PriceChange,CashAndStockDividend,ChipsField25'</f>
        <v>0</v>
      </c>
      <c r="V19">
        <v>-0.67</v>
      </c>
      <c r="W19">
        <v>66.06</v>
      </c>
      <c r="X19" t="str">
        <v>2024/06</v>
      </c>
      <c r="Y19">
        <v>2412</v>
      </c>
      <c r="Z19">
        <v>1869</v>
      </c>
      <c r="AA19">
        <v>5.26</v>
      </c>
      <c r="AB19">
        <v>0.35</v>
      </c>
      <c r="AC19">
        <v>0.2</v>
      </c>
      <c r="AD19" t="str">
        <v>2024/06/14</v>
      </c>
      <c r="AE19">
        <f t="array" ref="AE19:AN19">[1]!'2506.TW-TotalVolume,PreClose,Capital,AvgPrice,Profit,MarketValue,DateofMeetingofShareHolders,InvestorConferenceDate,ShortBalance,FinanceBalance'</f>
        <v>1478</v>
      </c>
      <c r="AF19">
        <v>12.2</v>
      </c>
      <c r="AG19">
        <v>38.700000000000003</v>
      </c>
      <c r="AH19">
        <v>12.44</v>
      </c>
      <c r="AI19">
        <v>-0.17</v>
      </c>
      <c r="AJ19">
        <v>48.6</v>
      </c>
      <c r="AK19" t="str">
        <v>2024/06/14</v>
      </c>
      <c r="AL19" t="str">
        <v>2023/12/21</v>
      </c>
      <c r="AM19">
        <v>2</v>
      </c>
      <c r="AN19">
        <v>3953</v>
      </c>
    </row>
    <row r="20" spans="1:40" x14ac:dyDescent="0.25">
      <c r="A20" t="str">
        <f t="array" ref="A20:J20">[1]!'1309.TW-ID,Name,CompanyPos,Price,DIndexPtsContributionRate,VolumeRatio,TurnoverRatio,PriceChangeRatio,DLOrderValueDiffRatio,MajorOrderBidAskRatio'</f>
        <v>1309</v>
      </c>
      <c r="B20" t="str">
        <v>台達化</v>
      </c>
      <c r="C20" t="str">
        <v>台灣第三大PS廠</v>
      </c>
      <c r="D20">
        <v>18.7</v>
      </c>
      <c r="E20">
        <v>0.01</v>
      </c>
      <c r="F20">
        <v>1.8</v>
      </c>
      <c r="G20">
        <v>0.44</v>
      </c>
      <c r="H20">
        <v>2.4700000000000002</v>
      </c>
      <c r="I20">
        <v>2.95</v>
      </c>
      <c r="J20">
        <v>82.91</v>
      </c>
      <c r="K20" t="str">
        <f t="array" ref="K20:T20">[1]!'1309.TW-MajorOrderDif,DXLOrderValueDiffRatio,Low,MonthReturn,QuarterReturn,HalfYearReturn,YearReturn,DLOrderOutValueRatio,DetailIndustry,CompanyNews'</f>
        <v>1167萬</v>
      </c>
      <c r="L20">
        <v>32.92</v>
      </c>
      <c r="M20">
        <v>18.2</v>
      </c>
      <c r="N20">
        <v>9.81</v>
      </c>
      <c r="O20">
        <v>23.36</v>
      </c>
      <c r="P20">
        <v>13.42</v>
      </c>
      <c r="Q20">
        <v>-6.42</v>
      </c>
      <c r="R20">
        <v>6.58</v>
      </c>
      <c r="S20" t="str">
        <v>ABS,PS,石化業</v>
      </c>
      <c r="T20" t="str">
        <v>--</v>
      </c>
      <c r="U20">
        <f t="array" ref="U20:AD20">[1]!'1309.TW-ChipsField17,ROE,InOutRatio,RevenueMonth,EstimatedTotalVolume,5DayAvgVol,FinanceUsedRatio,PriceChange,CashAndStockDividend,ChipsField25'</f>
        <v>0</v>
      </c>
      <c r="V20">
        <v>-1.54</v>
      </c>
      <c r="W20">
        <v>70.94</v>
      </c>
      <c r="X20" t="str">
        <v>2024/06</v>
      </c>
      <c r="Y20">
        <v>3224</v>
      </c>
      <c r="Z20">
        <v>2447</v>
      </c>
      <c r="AA20">
        <v>3.31</v>
      </c>
      <c r="AB20">
        <v>0.45</v>
      </c>
      <c r="AC20">
        <v>0.3</v>
      </c>
      <c r="AD20" t="str">
        <v>2024/07/26</v>
      </c>
      <c r="AE20">
        <f t="array" ref="AE20:AN20">[1]!'1309.TW-TotalVolume,PreClose,Capital,AvgPrice,Profit,MarketValue,DateofMeetingofShareHolders,InvestorConferenceDate,ShortBalance,FinanceBalance'</f>
        <v>1761</v>
      </c>
      <c r="AF20">
        <v>18.25</v>
      </c>
      <c r="AG20">
        <v>39.76</v>
      </c>
      <c r="AH20">
        <v>18.48</v>
      </c>
      <c r="AI20">
        <v>-0.26</v>
      </c>
      <c r="AJ20">
        <v>74.3</v>
      </c>
      <c r="AK20" t="str">
        <v>2024/05/31</v>
      </c>
      <c r="AL20" t="str">
        <v>2024/05/14</v>
      </c>
      <c r="AM20">
        <v>28</v>
      </c>
      <c r="AN20">
        <v>3286</v>
      </c>
    </row>
    <row r="21" spans="1:40" x14ac:dyDescent="0.25">
      <c r="A21" t="str">
        <f t="array" ref="A21:J21">[1]!'2355.TW-ID,Name,CompanyPos,Price,DIndexPtsContributionRate,VolumeRatio,TurnoverRatio,PriceChangeRatio,DLOrderValueDiffRatio,MajorOrderBidAskRatio'</f>
        <v>2355</v>
      </c>
      <c r="B21" t="str">
        <v>敬鵬</v>
      </c>
      <c r="C21" t="str">
        <v>全球車用PCB龍頭廠商</v>
      </c>
      <c r="D21">
        <v>45.85</v>
      </c>
      <c r="E21">
        <v>0.03</v>
      </c>
      <c r="F21">
        <v>1.74</v>
      </c>
      <c r="G21">
        <v>0.42</v>
      </c>
      <c r="H21">
        <v>2.69</v>
      </c>
      <c r="I21">
        <v>11.8</v>
      </c>
      <c r="J21">
        <v>82.88</v>
      </c>
      <c r="K21" t="str">
        <f t="array" ref="K21:T21">[1]!'2355.TW-MajorOrderDif,DXLOrderValueDiffRatio,Low,MonthReturn,QuarterReturn,HalfYearReturn,YearReturn,DLOrderOutValueRatio,DetailIndustry,CompanyNews'</f>
        <v>1809萬</v>
      </c>
      <c r="L21">
        <v>11.49</v>
      </c>
      <c r="M21">
        <v>45.2</v>
      </c>
      <c r="N21">
        <v>-3.39</v>
      </c>
      <c r="O21">
        <v>14.15</v>
      </c>
      <c r="P21">
        <v>4.7699999999999996</v>
      </c>
      <c r="Q21">
        <v>39.9</v>
      </c>
      <c r="R21">
        <v>15.79</v>
      </c>
      <c r="S21" t="str">
        <v>印刷電路板,印刷電路板相關</v>
      </c>
      <c r="T21" t="str">
        <v>--</v>
      </c>
      <c r="U21">
        <f t="array" ref="U21:AD21">[1]!'2355.TW-ChipsField17,ROE,InOutRatio,RevenueMonth,EstimatedTotalVolume,5DayAvgVol,FinanceUsedRatio,PriceChange,CashAndStockDividend,ChipsField25'</f>
        <v>0</v>
      </c>
      <c r="V21">
        <v>1.98</v>
      </c>
      <c r="W21">
        <v>62.51</v>
      </c>
      <c r="X21" t="str">
        <v>2024/06</v>
      </c>
      <c r="Y21">
        <v>3386</v>
      </c>
      <c r="Z21">
        <v>3050</v>
      </c>
      <c r="AA21">
        <v>10.52</v>
      </c>
      <c r="AB21">
        <v>1.2</v>
      </c>
      <c r="AC21">
        <v>1.25</v>
      </c>
      <c r="AD21" t="str">
        <v>2024/07/29</v>
      </c>
      <c r="AE21">
        <f t="array" ref="AE21:AN21">[1]!'2355.TW-TotalVolume,PreClose,Capital,AvgPrice,Profit,MarketValue,DateofMeetingofShareHolders,InvestorConferenceDate,ShortBalance,FinanceBalance'</f>
        <v>1686</v>
      </c>
      <c r="AF21">
        <v>44.65</v>
      </c>
      <c r="AG21">
        <v>39.75</v>
      </c>
      <c r="AH21">
        <v>46.08</v>
      </c>
      <c r="AI21">
        <v>0.82</v>
      </c>
      <c r="AJ21">
        <v>182.3</v>
      </c>
      <c r="AK21" t="str">
        <v>2024/06/25</v>
      </c>
      <c r="AL21" t="str">
        <v>2024/06/06</v>
      </c>
      <c r="AM21">
        <v>8</v>
      </c>
      <c r="AN21">
        <v>10457</v>
      </c>
    </row>
    <row r="22" spans="1:40" x14ac:dyDescent="0.25">
      <c r="A22" t="str">
        <f t="array" ref="A22:J22">[1]!'6189.TW-ID,Name,CompanyPos,Price,DIndexPtsContributionRate,VolumeRatio,TurnoverRatio,PriceChangeRatio,DLOrderValueDiffRatio,MajorOrderBidAskRatio'</f>
        <v>6189</v>
      </c>
      <c r="B22" t="str">
        <v>豐藝</v>
      </c>
      <c r="C22" t="str">
        <v>國內專業的電子零組件經銷通路商</v>
      </c>
      <c r="D22">
        <v>91.8</v>
      </c>
      <c r="E22">
        <v>0.03</v>
      </c>
      <c r="F22">
        <v>3.15</v>
      </c>
      <c r="G22">
        <v>1.3</v>
      </c>
      <c r="H22">
        <v>3.61</v>
      </c>
      <c r="I22">
        <v>4.84</v>
      </c>
      <c r="J22">
        <v>82.79</v>
      </c>
      <c r="K22" t="str">
        <f t="array" ref="K22:T22">[1]!'6189.TW-MajorOrderDif,DXLOrderValueDiffRatio,Low,MonthReturn,QuarterReturn,HalfYearReturn,YearReturn,DLOrderOutValueRatio,DetailIndustry,CompanyNews'</f>
        <v>6827萬</v>
      </c>
      <c r="L22">
        <v>21.56</v>
      </c>
      <c r="M22">
        <v>90.1</v>
      </c>
      <c r="N22">
        <v>-3.57</v>
      </c>
      <c r="O22">
        <v>10.42</v>
      </c>
      <c r="P22">
        <v>55.52</v>
      </c>
      <c r="Q22">
        <v>130.97</v>
      </c>
      <c r="R22">
        <v>8.1999999999999993</v>
      </c>
      <c r="S22" t="str">
        <v>顯示器,LCD顯示器,IC零組件通路商,其他電子元件代理商,電子通路</v>
      </c>
      <c r="T22" t="str">
        <v>--</v>
      </c>
      <c r="U22">
        <f t="array" ref="U22:AD22">[1]!'6189.TW-ChipsField17,ROE,InOutRatio,RevenueMonth,EstimatedTotalVolume,5DayAvgVol,FinanceUsedRatio,PriceChange,CashAndStockDividend,ChipsField25'</f>
        <v>122</v>
      </c>
      <c r="V22">
        <v>8.33</v>
      </c>
      <c r="W22">
        <v>64.83</v>
      </c>
      <c r="X22" t="str">
        <v>2024/06</v>
      </c>
      <c r="Y22">
        <v>5930</v>
      </c>
      <c r="Z22">
        <v>2370</v>
      </c>
      <c r="AA22">
        <v>9.67</v>
      </c>
      <c r="AB22">
        <v>3.2</v>
      </c>
      <c r="AC22">
        <v>3.46</v>
      </c>
      <c r="AD22" t="str">
        <v>2024/07/17</v>
      </c>
      <c r="AE22">
        <f t="array" ref="AE22:AN22">[1]!'6189.TW-TotalVolume,PreClose,Capital,AvgPrice,Profit,MarketValue,DateofMeetingofShareHolders,InvestorConferenceDate,ShortBalance,FinanceBalance'</f>
        <v>2804</v>
      </c>
      <c r="AF22">
        <v>88.6</v>
      </c>
      <c r="AG22">
        <v>21.75</v>
      </c>
      <c r="AH22">
        <v>92.21</v>
      </c>
      <c r="AI22">
        <v>2.27</v>
      </c>
      <c r="AJ22">
        <v>197.9</v>
      </c>
      <c r="AK22" t="str">
        <v>2024/05/28</v>
      </c>
      <c r="AL22" t="str">
        <v>2023/11/16</v>
      </c>
      <c r="AM22">
        <v>63</v>
      </c>
      <c r="AN22">
        <v>5257</v>
      </c>
    </row>
    <row r="23" spans="1:40" x14ac:dyDescent="0.25">
      <c r="A23" t="str">
        <f t="array" ref="A23:J23">[1]!'2614.TW-ID,Name,CompanyPos,Price,DIndexPtsContributionRate,VolumeRatio,TurnoverRatio,PriceChangeRatio,DLOrderValueDiffRatio,MajorOrderBidAskRatio'</f>
        <v>2614</v>
      </c>
      <c r="B23" t="str">
        <v>東森</v>
      </c>
      <c r="C23" t="str">
        <v>主要從事寵物用品通路、新聞網站、倉儲業務</v>
      </c>
      <c r="D23">
        <v>22.3</v>
      </c>
      <c r="E23">
        <v>0.01</v>
      </c>
      <c r="F23">
        <v>3.04</v>
      </c>
      <c r="G23">
        <v>0.49</v>
      </c>
      <c r="H23">
        <v>2.29</v>
      </c>
      <c r="I23">
        <v>10.16</v>
      </c>
      <c r="J23">
        <v>79.37</v>
      </c>
      <c r="K23" t="str">
        <f t="array" ref="K23:T23">[1]!'2614.TW-MajorOrderDif,DXLOrderValueDiffRatio,Low,MonthReturn,QuarterReturn,HalfYearReturn,YearReturn,DLOrderOutValueRatio,DetailIndustry,CompanyNews'</f>
        <v>626萬</v>
      </c>
      <c r="L23">
        <v>8.9499999999999993</v>
      </c>
      <c r="M23">
        <v>21.8</v>
      </c>
      <c r="N23">
        <v>11.22</v>
      </c>
      <c r="O23">
        <v>12.91</v>
      </c>
      <c r="P23">
        <v>5.69</v>
      </c>
      <c r="Q23">
        <v>-17.71</v>
      </c>
      <c r="R23">
        <v>16.87</v>
      </c>
      <c r="S23" t="str">
        <v>傳產其他,寵物用品,傳播事業,平面媒體,倉儲/貨櫃場,運輸事業</v>
      </c>
      <c r="T23" t="str">
        <v>--</v>
      </c>
      <c r="U23">
        <f t="array" ref="U23:AD23">[1]!'2614.TW-ChipsField17,ROE,InOutRatio,RevenueMonth,EstimatedTotalVolume,5DayAvgVol,FinanceUsedRatio,PriceChange,CashAndStockDividend,ChipsField25'</f>
        <v>0</v>
      </c>
      <c r="V23">
        <v>-0.2</v>
      </c>
      <c r="W23">
        <v>64.42</v>
      </c>
      <c r="X23" t="str">
        <v>2024/06</v>
      </c>
      <c r="Y23">
        <v>3350</v>
      </c>
      <c r="Z23">
        <v>684</v>
      </c>
      <c r="AA23">
        <v>5.27</v>
      </c>
      <c r="AB23">
        <v>0.5</v>
      </c>
      <c r="AC23">
        <v>0</v>
      </c>
      <c r="AD23" t="str">
        <v>--</v>
      </c>
      <c r="AE23">
        <f t="array" ref="AE23:AN23">[1]!'2614.TW-TotalVolume,PreClose,Capital,AvgPrice,Profit,MarketValue,DateofMeetingofShareHolders,InvestorConferenceDate,ShortBalance,FinanceBalance'</f>
        <v>1477</v>
      </c>
      <c r="AF23">
        <v>21.8</v>
      </c>
      <c r="AG23">
        <v>30.02</v>
      </c>
      <c r="AH23">
        <v>22.18</v>
      </c>
      <c r="AI23">
        <v>0.02</v>
      </c>
      <c r="AJ23">
        <v>67</v>
      </c>
      <c r="AK23" t="str">
        <v>2024/05/27</v>
      </c>
      <c r="AL23" t="str">
        <v>2023/12/26</v>
      </c>
      <c r="AM23">
        <v>12</v>
      </c>
      <c r="AN23">
        <v>3959</v>
      </c>
    </row>
    <row r="24" spans="1:40" x14ac:dyDescent="0.25">
      <c r="A24" t="str">
        <f t="array" ref="A24:J24">[1]!'1582.TW-ID,Name,CompanyPos,Price,DIndexPtsContributionRate,VolumeRatio,TurnoverRatio,PriceChangeRatio,DLOrderValueDiffRatio,MajorOrderBidAskRatio'</f>
        <v>1582</v>
      </c>
      <c r="B24" t="str">
        <v>信錦</v>
      </c>
      <c r="C24" t="str">
        <v>全球最大監視器軸承及底座廠商</v>
      </c>
      <c r="D24">
        <v>105</v>
      </c>
      <c r="E24">
        <v>0.02</v>
      </c>
      <c r="F24">
        <v>2.67</v>
      </c>
      <c r="G24">
        <v>1.26</v>
      </c>
      <c r="H24">
        <v>5.74</v>
      </c>
      <c r="I24">
        <v>7.57</v>
      </c>
      <c r="J24">
        <v>82.65</v>
      </c>
      <c r="K24" t="str">
        <f t="array" ref="K24:T24">[1]!'1582.TW-MajorOrderDif,DXLOrderValueDiffRatio,Low,MonthReturn,QuarterReturn,HalfYearReturn,YearReturn,DLOrderOutValueRatio,DetailIndustry,CompanyNews'</f>
        <v>6147萬</v>
      </c>
      <c r="L24">
        <v>25.15</v>
      </c>
      <c r="M24">
        <v>101</v>
      </c>
      <c r="N24">
        <v>0.77</v>
      </c>
      <c r="O24">
        <v>17.78</v>
      </c>
      <c r="P24">
        <v>42.45</v>
      </c>
      <c r="Q24">
        <v>89.93</v>
      </c>
      <c r="R24">
        <v>11.62</v>
      </c>
      <c r="S24" t="str">
        <v>樞紐,電子零件元件</v>
      </c>
      <c r="T24" t="str">
        <v>--</v>
      </c>
      <c r="U24">
        <f t="array" ref="U24:AD24">[1]!'1582.TW-ChipsField17,ROE,InOutRatio,RevenueMonth,EstimatedTotalVolume,5DayAvgVol,FinanceUsedRatio,PriceChange,CashAndStockDividend,ChipsField25'</f>
        <v>0</v>
      </c>
      <c r="V24">
        <v>3.43</v>
      </c>
      <c r="W24">
        <v>63.16</v>
      </c>
      <c r="X24" t="str">
        <v>2024/06</v>
      </c>
      <c r="Y24">
        <v>3488</v>
      </c>
      <c r="Z24">
        <v>2040</v>
      </c>
      <c r="AA24">
        <v>15.18</v>
      </c>
      <c r="AB24">
        <v>5.7</v>
      </c>
      <c r="AC24">
        <v>4.03</v>
      </c>
      <c r="AD24" t="str">
        <v>2024/07/19</v>
      </c>
      <c r="AE24">
        <f t="array" ref="AE24:AN24">[1]!'1582.TW-TotalVolume,PreClose,Capital,AvgPrice,Profit,MarketValue,DateofMeetingofShareHolders,InvestorConferenceDate,ShortBalance,FinanceBalance'</f>
        <v>1798</v>
      </c>
      <c r="AF24">
        <v>99.3</v>
      </c>
      <c r="AG24">
        <v>14.34</v>
      </c>
      <c r="AH24">
        <v>104.48</v>
      </c>
      <c r="AI24">
        <v>1.73</v>
      </c>
      <c r="AJ24">
        <v>150.1</v>
      </c>
      <c r="AK24" t="str">
        <v>2024/06/21</v>
      </c>
      <c r="AL24" t="str">
        <v>2023/09/27</v>
      </c>
      <c r="AM24">
        <v>152</v>
      </c>
      <c r="AN24">
        <v>5442</v>
      </c>
    </row>
    <row r="25" spans="1:40" x14ac:dyDescent="0.25">
      <c r="A25" t="str">
        <f t="array" ref="A25:J25">[1]!'4303.TW-ID,Name,CompanyPos,Price,DIndexPtsContributionRate,VolumeRatio,TurnoverRatio,PriceChangeRatio,DLOrderValueDiffRatio,MajorOrderBidAskRatio'</f>
        <v>4303</v>
      </c>
      <c r="B25" t="str">
        <v>信立</v>
      </c>
      <c r="C25" t="str">
        <v>台灣知名PU合成皮及PVC皮廠商</v>
      </c>
      <c r="D25">
        <v>51.9</v>
      </c>
      <c r="E25">
        <v>0</v>
      </c>
      <c r="F25">
        <v>5.37</v>
      </c>
      <c r="G25">
        <v>15.93</v>
      </c>
      <c r="H25">
        <v>9.9600000000000009</v>
      </c>
      <c r="I25">
        <v>4.7</v>
      </c>
      <c r="J25">
        <v>82.2</v>
      </c>
      <c r="K25" t="str">
        <f t="array" ref="K25:T25">[1]!'4303.TW-MajorOrderDif,DXLOrderValueDiffRatio,Low,MonthReturn,QuarterReturn,HalfYearReturn,YearReturn,DLOrderOutValueRatio,DetailIndustry,CompanyNews'</f>
        <v>2.59億</v>
      </c>
      <c r="L25">
        <v>36.06</v>
      </c>
      <c r="M25">
        <v>48.5</v>
      </c>
      <c r="N25">
        <v>22.96</v>
      </c>
      <c r="O25">
        <v>-0.6</v>
      </c>
      <c r="P25">
        <v>91.99</v>
      </c>
      <c r="Q25">
        <v>189.02</v>
      </c>
      <c r="R25">
        <v>10.84</v>
      </c>
      <c r="S25" t="str">
        <v>塑膠皮布,石化業</v>
      </c>
      <c r="T25" t="str">
        <v>8/1除息1.16元</v>
      </c>
      <c r="U25">
        <f t="array" ref="U25:AD25">[1]!'4303.TW-ChipsField17,ROE,InOutRatio,RevenueMonth,EstimatedTotalVolume,5DayAvgVol,FinanceUsedRatio,PriceChange,CashAndStockDividend,ChipsField25'</f>
        <v>0</v>
      </c>
      <c r="V25">
        <v>38.9</v>
      </c>
      <c r="W25">
        <v>75.19</v>
      </c>
      <c r="X25" t="str">
        <v>2024/06</v>
      </c>
      <c r="Y25">
        <v>30023</v>
      </c>
      <c r="Z25">
        <v>4935</v>
      </c>
      <c r="AA25">
        <v>53.78</v>
      </c>
      <c r="AB25">
        <v>4.7</v>
      </c>
      <c r="AC25">
        <v>1.1599999999999999</v>
      </c>
      <c r="AD25" t="str">
        <v>2024/08/01</v>
      </c>
      <c r="AE25">
        <f t="array" ref="AE25:AN25">[1]!'4303.TW-TotalVolume,PreClose,Capital,AvgPrice,Profit,MarketValue,DateofMeetingofShareHolders,InvestorConferenceDate,ShortBalance,FinanceBalance'</f>
        <v>12535</v>
      </c>
      <c r="AF25">
        <v>47.2</v>
      </c>
      <c r="AG25">
        <v>7.88</v>
      </c>
      <c r="AH25">
        <v>50.67</v>
      </c>
      <c r="AI25">
        <v>7.35</v>
      </c>
      <c r="AJ25">
        <v>40.799999999999997</v>
      </c>
      <c r="AK25" t="str">
        <v>2024/05/27</v>
      </c>
      <c r="AL25" t="str">
        <v>2023/11/23</v>
      </c>
      <c r="AM25">
        <v>0</v>
      </c>
      <c r="AN25">
        <v>10595</v>
      </c>
    </row>
    <row r="26" spans="1:40" x14ac:dyDescent="0.25">
      <c r="A26" t="str">
        <f t="array" ref="A26:J26">[1]!'9934.TW-ID,Name,CompanyPos,Price,DIndexPtsContributionRate,VolumeRatio,TurnoverRatio,PriceChangeRatio,DLOrderValueDiffRatio,MajorOrderBidAskRatio'</f>
        <v>9934</v>
      </c>
      <c r="B26" t="str">
        <v>成霖</v>
      </c>
      <c r="C26" t="str">
        <v>亞洲最大水龍頭專業製造廠商</v>
      </c>
      <c r="D26">
        <v>19.5</v>
      </c>
      <c r="E26">
        <v>0.01</v>
      </c>
      <c r="F26">
        <v>2.02</v>
      </c>
      <c r="G26">
        <v>0.76</v>
      </c>
      <c r="H26">
        <v>3.72</v>
      </c>
      <c r="I26">
        <v>4.07</v>
      </c>
      <c r="J26">
        <v>79.349999999999994</v>
      </c>
      <c r="K26" t="str">
        <f t="array" ref="K26:T26">[1]!'9934.TW-MajorOrderDif,DXLOrderValueDiffRatio,Low,MonthReturn,QuarterReturn,HalfYearReturn,YearReturn,DLOrderOutValueRatio,DetailIndustry,CompanyNews'</f>
        <v>1017萬</v>
      </c>
      <c r="L26">
        <v>12.86</v>
      </c>
      <c r="M26">
        <v>18.95</v>
      </c>
      <c r="N26">
        <v>8.0299999999999994</v>
      </c>
      <c r="O26">
        <v>12.7</v>
      </c>
      <c r="P26">
        <v>35.9</v>
      </c>
      <c r="Q26">
        <v>53.45</v>
      </c>
      <c r="R26">
        <v>10.029999999999999</v>
      </c>
      <c r="S26" t="str">
        <v>家居用品,衛浴設備,水龍頭</v>
      </c>
      <c r="T26" t="str">
        <v>--</v>
      </c>
      <c r="U26">
        <f t="array" ref="U26:AD26">[1]!'9934.TW-ChipsField17,ROE,InOutRatio,RevenueMonth,EstimatedTotalVolume,5DayAvgVol,FinanceUsedRatio,PriceChange,CashAndStockDividend,ChipsField25'</f>
        <v>0</v>
      </c>
      <c r="V26">
        <v>2.02</v>
      </c>
      <c r="W26">
        <v>58.3</v>
      </c>
      <c r="X26" t="str">
        <v>2024/06</v>
      </c>
      <c r="Y26">
        <v>7600</v>
      </c>
      <c r="Z26">
        <v>1906</v>
      </c>
      <c r="AA26">
        <v>6.67</v>
      </c>
      <c r="AB26">
        <v>0.7</v>
      </c>
      <c r="AC26">
        <v>1.2</v>
      </c>
      <c r="AD26" t="str">
        <v>2024/07/01</v>
      </c>
      <c r="AE26">
        <f t="array" ref="AE26:AN26">[1]!'9934.TW-TotalVolume,PreClose,Capital,AvgPrice,Profit,MarketValue,DateofMeetingofShareHolders,InvestorConferenceDate,ShortBalance,FinanceBalance'</f>
        <v>3107</v>
      </c>
      <c r="AF26">
        <v>18.8</v>
      </c>
      <c r="AG26">
        <v>40.950000000000003</v>
      </c>
      <c r="AH26">
        <v>19.34</v>
      </c>
      <c r="AI26">
        <v>0.3</v>
      </c>
      <c r="AJ26">
        <v>79.8</v>
      </c>
      <c r="AK26" t="str">
        <v>2024/05/30</v>
      </c>
      <c r="AL26" t="str">
        <v>2023/12/20</v>
      </c>
      <c r="AM26">
        <v>15</v>
      </c>
      <c r="AN26">
        <v>6825</v>
      </c>
    </row>
    <row r="27" spans="1:40" x14ac:dyDescent="0.25">
      <c r="A27" t="str">
        <f t="array" ref="A27:J27">[1]!'1442.TW-ID,Name,CompanyPos,Price,DIndexPtsContributionRate,VolumeRatio,TurnoverRatio,PriceChangeRatio,DLOrderValueDiffRatio,MajorOrderBidAskRatio'</f>
        <v>1442</v>
      </c>
      <c r="B27" t="str">
        <v>名軒</v>
      </c>
      <c r="C27" t="str">
        <v>麗寶建設集團旗下成員</v>
      </c>
      <c r="D27">
        <v>67.900000000000006</v>
      </c>
      <c r="E27">
        <v>0.04</v>
      </c>
      <c r="F27">
        <v>1.88</v>
      </c>
      <c r="G27">
        <v>0.34</v>
      </c>
      <c r="H27">
        <v>0.89</v>
      </c>
      <c r="I27">
        <v>4.17</v>
      </c>
      <c r="J27">
        <v>78.569999999999993</v>
      </c>
      <c r="K27" t="str">
        <f t="array" ref="K27:T27">[1]!'1442.TW-MajorOrderDif,DXLOrderValueDiffRatio,Low,MonthReturn,QuarterReturn,HalfYearReturn,YearReturn,DLOrderOutValueRatio,DetailIndustry,CompanyNews'</f>
        <v>2004萬</v>
      </c>
      <c r="L27">
        <v>19.32</v>
      </c>
      <c r="M27">
        <v>66.7</v>
      </c>
      <c r="N27">
        <v>7.44</v>
      </c>
      <c r="O27">
        <v>17.27</v>
      </c>
      <c r="P27">
        <v>86.03</v>
      </c>
      <c r="Q27">
        <v>91</v>
      </c>
      <c r="R27">
        <v>9.33</v>
      </c>
      <c r="S27" t="str">
        <v>營建,地產</v>
      </c>
      <c r="T27" t="str">
        <v>--</v>
      </c>
      <c r="U27">
        <f t="array" ref="U27:AD27">[1]!'1442.TW-ChipsField17,ROE,InOutRatio,RevenueMonth,EstimatedTotalVolume,5DayAvgVol,FinanceUsedRatio,PriceChange,CashAndStockDividend,ChipsField25'</f>
        <v>0</v>
      </c>
      <c r="V27">
        <v>7.03</v>
      </c>
      <c r="W27">
        <v>64.52</v>
      </c>
      <c r="X27" t="str">
        <v>2024/06</v>
      </c>
      <c r="Y27">
        <v>2230</v>
      </c>
      <c r="Z27">
        <v>1604</v>
      </c>
      <c r="AA27">
        <v>3.54</v>
      </c>
      <c r="AB27">
        <v>0.6</v>
      </c>
      <c r="AC27">
        <v>3.5</v>
      </c>
      <c r="AD27" t="str">
        <v>--</v>
      </c>
      <c r="AE27">
        <f t="array" ref="AE27:AN27">[1]!'1442.TW-TotalVolume,PreClose,Capital,AvgPrice,Profit,MarketValue,DateofMeetingofShareHolders,InvestorConferenceDate,ShortBalance,FinanceBalance'</f>
        <v>1256</v>
      </c>
      <c r="AF27">
        <v>67.3</v>
      </c>
      <c r="AG27">
        <v>36.619999999999997</v>
      </c>
      <c r="AH27">
        <v>67.95</v>
      </c>
      <c r="AI27">
        <v>1.43</v>
      </c>
      <c r="AJ27">
        <v>248.7</v>
      </c>
      <c r="AK27" t="str">
        <v>2024/06/19</v>
      </c>
      <c r="AL27" t="str">
        <v>2023/11/30</v>
      </c>
      <c r="AM27">
        <v>117</v>
      </c>
      <c r="AN27">
        <v>3245</v>
      </c>
    </row>
    <row r="28" spans="1:40" x14ac:dyDescent="0.25">
      <c r="A28" t="str">
        <f t="array" ref="A28:J28">[1]!'1597.TW-ID,Name,CompanyPos,Price,DIndexPtsContributionRate,VolumeRatio,TurnoverRatio,PriceChangeRatio,DLOrderValueDiffRatio,MajorOrderBidAskRatio'</f>
        <v>1597</v>
      </c>
      <c r="B28" t="str">
        <v>直得</v>
      </c>
      <c r="C28" t="str">
        <v>全球知名的微型線性滑軌元件廠商</v>
      </c>
      <c r="D28">
        <v>101.5</v>
      </c>
      <c r="E28">
        <v>0.01</v>
      </c>
      <c r="F28">
        <v>3.65</v>
      </c>
      <c r="G28">
        <v>9.69</v>
      </c>
      <c r="H28">
        <v>8.09</v>
      </c>
      <c r="I28">
        <v>2.29</v>
      </c>
      <c r="J28">
        <v>80.069999999999993</v>
      </c>
      <c r="K28" t="str">
        <f t="array" ref="K28:T28">[1]!'1597.TW-MajorOrderDif,DXLOrderValueDiffRatio,Low,MonthReturn,QuarterReturn,HalfYearReturn,YearReturn,DLOrderOutValueRatio,DetailIndustry,CompanyNews'</f>
        <v>2.86億</v>
      </c>
      <c r="L28">
        <v>30.46</v>
      </c>
      <c r="M28">
        <v>96.1</v>
      </c>
      <c r="N28">
        <v>32.33</v>
      </c>
      <c r="O28">
        <v>48.83</v>
      </c>
      <c r="P28">
        <v>59.59</v>
      </c>
      <c r="Q28">
        <v>53.65</v>
      </c>
      <c r="R28">
        <v>4.6100000000000003</v>
      </c>
      <c r="S28" t="str">
        <v>機械零組件,軸承／滑軌,機械</v>
      </c>
      <c r="T28" t="str">
        <v>--</v>
      </c>
      <c r="U28">
        <f t="array" ref="U28:AD28">[1]!'1597.TW-ChipsField17,ROE,InOutRatio,RevenueMonth,EstimatedTotalVolume,5DayAvgVol,FinanceUsedRatio,PriceChange,CashAndStockDividend,ChipsField25'</f>
        <v>107</v>
      </c>
      <c r="V28">
        <v>1.53</v>
      </c>
      <c r="W28">
        <v>71.37</v>
      </c>
      <c r="X28" t="str">
        <v>2024/06</v>
      </c>
      <c r="Y28">
        <v>15335</v>
      </c>
      <c r="Z28">
        <v>4183</v>
      </c>
      <c r="AA28">
        <v>17.46</v>
      </c>
      <c r="AB28">
        <v>7.6</v>
      </c>
      <c r="AC28">
        <v>0.8</v>
      </c>
      <c r="AD28" t="str">
        <v>--</v>
      </c>
      <c r="AE28">
        <f t="array" ref="AE28:AN28">[1]!'1597.TW-TotalVolume,PreClose,Capital,AvgPrice,Profit,MarketValue,DateofMeetingofShareHolders,InvestorConferenceDate,ShortBalance,FinanceBalance'</f>
        <v>8645</v>
      </c>
      <c r="AF28">
        <v>93.9</v>
      </c>
      <c r="AG28">
        <v>8.93</v>
      </c>
      <c r="AH28">
        <v>101.07</v>
      </c>
      <c r="AI28">
        <v>0.41</v>
      </c>
      <c r="AJ28">
        <v>90.6</v>
      </c>
      <c r="AK28" t="str">
        <v>2024/05/30</v>
      </c>
      <c r="AL28" t="str">
        <v>--</v>
      </c>
      <c r="AM28">
        <v>58</v>
      </c>
      <c r="AN28">
        <v>3897</v>
      </c>
    </row>
    <row r="29" spans="1:40" x14ac:dyDescent="0.25">
      <c r="A29" t="str">
        <f t="array" ref="A29:J29">[1]!'5469.TW-ID,Name,CompanyPos,Price,DIndexPtsContributionRate,VolumeRatio,TurnoverRatio,PriceChangeRatio,DLOrderValueDiffRatio,MajorOrderBidAskRatio'</f>
        <v>5469</v>
      </c>
      <c r="B29" t="str">
        <v>瀚宇博</v>
      </c>
      <c r="C29" t="str">
        <v>全球前三大NB板與STB板廠之一</v>
      </c>
      <c r="D29">
        <v>52</v>
      </c>
      <c r="E29">
        <v>0.04</v>
      </c>
      <c r="F29">
        <v>4.6900000000000004</v>
      </c>
      <c r="G29">
        <v>0.9</v>
      </c>
      <c r="H29">
        <v>6.34</v>
      </c>
      <c r="I29">
        <v>4.92</v>
      </c>
      <c r="J29">
        <v>79.64</v>
      </c>
      <c r="K29" t="str">
        <f t="array" ref="K29:T29">[1]!'5469.TW-MajorOrderDif,DXLOrderValueDiffRatio,Low,MonthReturn,QuarterReturn,HalfYearReturn,YearReturn,DLOrderOutValueRatio,DetailIndustry,CompanyNews'</f>
        <v>5591萬</v>
      </c>
      <c r="L29">
        <v>17.54</v>
      </c>
      <c r="M29">
        <v>51.4</v>
      </c>
      <c r="N29">
        <v>-4.66</v>
      </c>
      <c r="O29">
        <v>-4.49</v>
      </c>
      <c r="P29">
        <v>-6.82</v>
      </c>
      <c r="Q29">
        <v>9.4600000000000009</v>
      </c>
      <c r="R29">
        <v>9.07</v>
      </c>
      <c r="S29" t="str">
        <v>印刷電路板,印刷電路板相關,電子製造服務,電腦系統業</v>
      </c>
      <c r="T29" t="str">
        <v>--</v>
      </c>
      <c r="U29">
        <f t="array" ref="U29:AD29">[1]!'5469.TW-ChipsField17,ROE,InOutRatio,RevenueMonth,EstimatedTotalVolume,5DayAvgVol,FinanceUsedRatio,PriceChange,CashAndStockDividend,ChipsField25'</f>
        <v>0</v>
      </c>
      <c r="V29">
        <v>1.9</v>
      </c>
      <c r="W29">
        <v>67.53</v>
      </c>
      <c r="X29" t="str">
        <v>2024/06</v>
      </c>
      <c r="Y29">
        <v>11431</v>
      </c>
      <c r="Z29">
        <v>2248</v>
      </c>
      <c r="AA29">
        <v>10.28</v>
      </c>
      <c r="AB29">
        <v>3.1</v>
      </c>
      <c r="AC29">
        <v>1.61</v>
      </c>
      <c r="AD29" t="str">
        <v>2024/07/09</v>
      </c>
      <c r="AE29">
        <f t="array" ref="AE29:AN29">[1]!'5469.TW-TotalVolume,PreClose,Capital,AvgPrice,Profit,MarketValue,DateofMeetingofShareHolders,InvestorConferenceDate,ShortBalance,FinanceBalance'</f>
        <v>4770</v>
      </c>
      <c r="AF29">
        <v>48.9</v>
      </c>
      <c r="AG29">
        <v>52.84</v>
      </c>
      <c r="AH29">
        <v>52.17</v>
      </c>
      <c r="AI29">
        <v>1</v>
      </c>
      <c r="AJ29">
        <v>274.8</v>
      </c>
      <c r="AK29" t="str">
        <v>2024/06/18</v>
      </c>
      <c r="AL29" t="str">
        <v>2023/05/30</v>
      </c>
      <c r="AM29">
        <v>25</v>
      </c>
      <c r="AN29">
        <v>13587</v>
      </c>
    </row>
    <row r="30" spans="1:40" x14ac:dyDescent="0.25">
      <c r="A30" t="str">
        <f t="array" ref="A30:J30">[1]!'2511.TW-ID,Name,CompanyPos,Price,DIndexPtsContributionRate,VolumeRatio,TurnoverRatio,PriceChangeRatio,DLOrderValueDiffRatio,MajorOrderBidAskRatio'</f>
        <v>2511</v>
      </c>
      <c r="B30" t="str">
        <v>太子</v>
      </c>
      <c r="C30" t="str">
        <v>統一集團旗下建商</v>
      </c>
      <c r="D30">
        <v>12.9</v>
      </c>
      <c r="E30">
        <v>0.03</v>
      </c>
      <c r="F30">
        <v>2.96</v>
      </c>
      <c r="G30">
        <v>0.36</v>
      </c>
      <c r="H30">
        <v>3.61</v>
      </c>
      <c r="I30">
        <v>8.5500000000000007</v>
      </c>
      <c r="J30">
        <v>74.3</v>
      </c>
      <c r="K30" t="str">
        <f t="array" ref="K30:T30">[1]!'2511.TW-MajorOrderDif,DXLOrderValueDiffRatio,Low,MonthReturn,QuarterReturn,HalfYearReturn,YearReturn,DLOrderOutValueRatio,DetailIndustry,CompanyNews'</f>
        <v>1853萬</v>
      </c>
      <c r="L30">
        <v>16.29</v>
      </c>
      <c r="M30">
        <v>12.45</v>
      </c>
      <c r="N30">
        <v>9.27</v>
      </c>
      <c r="O30">
        <v>4.54</v>
      </c>
      <c r="P30">
        <v>25.84</v>
      </c>
      <c r="Q30">
        <v>15.45</v>
      </c>
      <c r="R30">
        <v>16.600000000000001</v>
      </c>
      <c r="S30" t="str">
        <v>營建,住宅建設,地產,營造工程,旅館、餐飲,飯店</v>
      </c>
      <c r="T30" t="str">
        <v>--</v>
      </c>
      <c r="U30">
        <f t="array" ref="U30:AD30">[1]!'2511.TW-ChipsField17,ROE,InOutRatio,RevenueMonth,EstimatedTotalVolume,5DayAvgVol,FinanceUsedRatio,PriceChange,CashAndStockDividend,ChipsField25'</f>
        <v>0</v>
      </c>
      <c r="V30">
        <v>0.47</v>
      </c>
      <c r="W30">
        <v>64.45</v>
      </c>
      <c r="X30" t="str">
        <v>2024/06</v>
      </c>
      <c r="Y30">
        <v>10923</v>
      </c>
      <c r="Z30">
        <v>5385</v>
      </c>
      <c r="AA30">
        <v>2.66</v>
      </c>
      <c r="AB30">
        <v>0.45</v>
      </c>
      <c r="AC30">
        <v>0.36</v>
      </c>
      <c r="AD30" t="str">
        <v>2024/07/26</v>
      </c>
      <c r="AE30">
        <f t="array" ref="AE30:AN30">[1]!'2511.TW-TotalVolume,PreClose,Capital,AvgPrice,Profit,MarketValue,DateofMeetingofShareHolders,InvestorConferenceDate,ShortBalance,FinanceBalance'</f>
        <v>5795</v>
      </c>
      <c r="AF30">
        <v>12.45</v>
      </c>
      <c r="AG30">
        <v>162.33000000000001</v>
      </c>
      <c r="AH30">
        <v>12.87</v>
      </c>
      <c r="AI30">
        <v>0.08</v>
      </c>
      <c r="AJ30">
        <v>209.4</v>
      </c>
      <c r="AK30" t="str">
        <v>2024/06/19</v>
      </c>
      <c r="AL30" t="str">
        <v>2024/03/27</v>
      </c>
      <c r="AM30">
        <v>1</v>
      </c>
      <c r="AN30">
        <v>10810</v>
      </c>
    </row>
    <row r="31" spans="1:40" x14ac:dyDescent="0.25">
      <c r="A31" t="str">
        <f t="array" ref="A31:J31">[1]!'5880.TW-ID,Name,CompanyPos,Price,DIndexPtsContributionRate,VolumeRatio,TurnoverRatio,PriceChangeRatio,DLOrderValueDiffRatio,MajorOrderBidAskRatio'</f>
        <v>5880</v>
      </c>
      <c r="B31" t="str">
        <v>合庫金</v>
      </c>
      <c r="C31" t="str">
        <v>具有國營背景的金控公司，金融資產規模排名前六大</v>
      </c>
      <c r="D31">
        <v>27.1</v>
      </c>
      <c r="E31">
        <v>0.56000000000000005</v>
      </c>
      <c r="F31">
        <v>2.2799999999999998</v>
      </c>
      <c r="G31">
        <v>0.05</v>
      </c>
      <c r="H31">
        <v>0.93</v>
      </c>
      <c r="I31">
        <v>6</v>
      </c>
      <c r="J31">
        <v>77.12</v>
      </c>
      <c r="K31" t="str">
        <f t="array" ref="K31:T31">[1]!'5880.TW-MajorOrderDif,DXLOrderValueDiffRatio,Low,MonthReturn,QuarterReturn,HalfYearReturn,YearReturn,DLOrderOutValueRatio,DetailIndustry,CompanyNews'</f>
        <v>8184萬</v>
      </c>
      <c r="L31">
        <v>34.799999999999997</v>
      </c>
      <c r="M31">
        <v>26.85</v>
      </c>
      <c r="N31">
        <v>4.2300000000000004</v>
      </c>
      <c r="O31">
        <v>3.44</v>
      </c>
      <c r="P31">
        <v>4.84</v>
      </c>
      <c r="Q31">
        <v>-1.87</v>
      </c>
      <c r="R31">
        <v>7.7</v>
      </c>
      <c r="S31" t="str">
        <v>銀行,壽險,票券,證券,投信,金控,資產管理,金融業</v>
      </c>
      <c r="T31" t="str">
        <v>8/14除權0.35元，除息0.65元</v>
      </c>
      <c r="U31">
        <f t="array" ref="U31:AD31">[1]!'5880.TW-ChipsField17,ROE,InOutRatio,RevenueMonth,EstimatedTotalVolume,5DayAvgVol,FinanceUsedRatio,PriceChange,CashAndStockDividend,ChipsField25'</f>
        <v>0</v>
      </c>
      <c r="V31">
        <v>2.16</v>
      </c>
      <c r="W31">
        <v>75.61</v>
      </c>
      <c r="X31" t="str">
        <v>2024/06</v>
      </c>
      <c r="Y31">
        <v>19283</v>
      </c>
      <c r="Z31">
        <v>9973</v>
      </c>
      <c r="AA31">
        <v>0.06</v>
      </c>
      <c r="AB31">
        <v>0.25</v>
      </c>
      <c r="AC31">
        <v>1</v>
      </c>
      <c r="AD31" t="str">
        <v>2024/08/14</v>
      </c>
      <c r="AE31">
        <f t="array" ref="AE31:AN31">[1]!'5880.TW-TotalVolume,PreClose,Capital,AvgPrice,Profit,MarketValue,DateofMeetingofShareHolders,InvestorConferenceDate,ShortBalance,FinanceBalance'</f>
        <v>7427</v>
      </c>
      <c r="AF31">
        <v>26.85</v>
      </c>
      <c r="AG31">
        <v>1470.94</v>
      </c>
      <c r="AH31">
        <v>27.01</v>
      </c>
      <c r="AI31">
        <v>0.36</v>
      </c>
      <c r="AJ31">
        <v>3986.2</v>
      </c>
      <c r="AK31" t="str">
        <v>2024/06/21</v>
      </c>
      <c r="AL31" t="str">
        <v>2024/05/21</v>
      </c>
      <c r="AM31">
        <v>5</v>
      </c>
      <c r="AN31">
        <v>2173</v>
      </c>
    </row>
    <row r="32" spans="1:40" x14ac:dyDescent="0.25">
      <c r="A32" t="str">
        <f t="array" ref="A32:J32">[1]!'4533.TW-ID,Name,CompanyPos,Price,DIndexPtsContributionRate,VolumeRatio,TurnoverRatio,PriceChangeRatio,DLOrderValueDiffRatio,MajorOrderBidAskRatio'</f>
        <v>4533</v>
      </c>
      <c r="B32" t="str">
        <v>協易機</v>
      </c>
      <c r="C32" t="str">
        <v>台灣沖床大廠</v>
      </c>
      <c r="D32">
        <v>44.85</v>
      </c>
      <c r="E32">
        <v>0</v>
      </c>
      <c r="F32">
        <v>3.96</v>
      </c>
      <c r="G32">
        <v>1.89</v>
      </c>
      <c r="H32">
        <v>5.53</v>
      </c>
      <c r="I32">
        <v>5.34</v>
      </c>
      <c r="J32">
        <v>76.13</v>
      </c>
      <c r="K32" t="str">
        <f t="array" ref="K32:T32">[1]!'4533.TW-MajorOrderDif,DXLOrderValueDiffRatio,Low,MonthReturn,QuarterReturn,HalfYearReturn,YearReturn,DLOrderOutValueRatio,DetailIndustry,CompanyNews'</f>
        <v>1972萬</v>
      </c>
      <c r="L32">
        <v>9.39</v>
      </c>
      <c r="M32">
        <v>43.45</v>
      </c>
      <c r="N32">
        <v>-4.9800000000000004</v>
      </c>
      <c r="O32">
        <v>30.1</v>
      </c>
      <c r="P32">
        <v>92.03</v>
      </c>
      <c r="Q32">
        <v>51.63</v>
      </c>
      <c r="R32">
        <v>8.3699999999999992</v>
      </c>
      <c r="S32" t="str">
        <v>工具機,機械</v>
      </c>
      <c r="T32" t="str">
        <v>--</v>
      </c>
      <c r="U32">
        <f t="array" ref="U32:AD32">[1]!'4533.TW-ChipsField17,ROE,InOutRatio,RevenueMonth,EstimatedTotalVolume,5DayAvgVol,FinanceUsedRatio,PriceChange,CashAndStockDividend,ChipsField25'</f>
        <v>0</v>
      </c>
      <c r="V32">
        <v>4.7699999999999996</v>
      </c>
      <c r="W32">
        <v>61.23</v>
      </c>
      <c r="X32" t="str">
        <v>2024/06</v>
      </c>
      <c r="Y32">
        <v>6980</v>
      </c>
      <c r="Z32">
        <v>3292</v>
      </c>
      <c r="AA32">
        <v>40.68</v>
      </c>
      <c r="AB32">
        <v>2.35</v>
      </c>
      <c r="AC32">
        <v>1.1599999999999999</v>
      </c>
      <c r="AD32" t="str">
        <v>2024/07/09</v>
      </c>
      <c r="AE32">
        <f t="array" ref="AE32:AN32">[1]!'4533.TW-TotalVolume,PreClose,Capital,AvgPrice,Profit,MarketValue,DateofMeetingofShareHolders,InvestorConferenceDate,ShortBalance,FinanceBalance'</f>
        <v>2988</v>
      </c>
      <c r="AF32">
        <v>42.5</v>
      </c>
      <c r="AG32">
        <v>15.84</v>
      </c>
      <c r="AH32">
        <v>44.78</v>
      </c>
      <c r="AI32">
        <v>0.77</v>
      </c>
      <c r="AJ32">
        <v>71.099999999999994</v>
      </c>
      <c r="AK32" t="str">
        <v>2024/06/13</v>
      </c>
      <c r="AL32" t="str">
        <v>2023/09/25</v>
      </c>
      <c r="AM32">
        <v>165</v>
      </c>
      <c r="AN32">
        <v>16111</v>
      </c>
    </row>
    <row r="33" spans="1:40" x14ac:dyDescent="0.25">
      <c r="A33" t="str">
        <f t="array" ref="A33:J33">[1]!'3045.TW-ID,Name,CompanyPos,Price,DIndexPtsContributionRate,VolumeRatio,TurnoverRatio,PriceChangeRatio,DLOrderValueDiffRatio,MajorOrderBidAskRatio'</f>
        <v>3045</v>
      </c>
      <c r="B33" t="str">
        <v>台灣大</v>
      </c>
      <c r="C33" t="str">
        <v>台灣前三大電信業者之一</v>
      </c>
      <c r="D33">
        <v>106</v>
      </c>
      <c r="E33">
        <v>0.56000000000000005</v>
      </c>
      <c r="F33">
        <v>2.2000000000000002</v>
      </c>
      <c r="G33">
        <v>0.08</v>
      </c>
      <c r="H33">
        <v>0.47</v>
      </c>
      <c r="I33">
        <v>-0.2</v>
      </c>
      <c r="J33">
        <v>76.45</v>
      </c>
      <c r="K33" t="str">
        <f t="array" ref="K33:T33">[1]!'3045.TW-MajorOrderDif,DXLOrderValueDiffRatio,Low,MonthReturn,QuarterReturn,HalfYearReturn,YearReturn,DLOrderOutValueRatio,DetailIndustry,CompanyNews'</f>
        <v>1.39億</v>
      </c>
      <c r="L33">
        <v>45.79</v>
      </c>
      <c r="M33">
        <v>104.5</v>
      </c>
      <c r="N33">
        <v>0.99</v>
      </c>
      <c r="O33">
        <v>5.85</v>
      </c>
      <c r="P33">
        <v>11.53</v>
      </c>
      <c r="Q33">
        <v>16</v>
      </c>
      <c r="R33">
        <v>0.41</v>
      </c>
      <c r="S33" t="str">
        <v>無店舖販售,電視購物,傳播事業,有線電視,電信/數據服務,通訊服務,Internet應用與服務,電商平台,行動通訊</v>
      </c>
      <c r="T33" t="str">
        <v>8/6法說會</v>
      </c>
      <c r="U33">
        <f t="array" ref="U33:AD33">[1]!'3045.TW-ChipsField17,ROE,InOutRatio,RevenueMonth,EstimatedTotalVolume,5DayAvgVol,FinanceUsedRatio,PriceChange,CashAndStockDividend,ChipsField25'</f>
        <v>0</v>
      </c>
      <c r="V33">
        <v>3.66</v>
      </c>
      <c r="W33">
        <v>77.45</v>
      </c>
      <c r="X33" t="str">
        <v>2024/06</v>
      </c>
      <c r="Y33">
        <v>11754</v>
      </c>
      <c r="Z33">
        <v>7945</v>
      </c>
      <c r="AA33">
        <v>0.02</v>
      </c>
      <c r="AB33">
        <v>0.5</v>
      </c>
      <c r="AC33">
        <v>4.3</v>
      </c>
      <c r="AD33" t="str">
        <v>2024/07/08</v>
      </c>
      <c r="AE33">
        <f t="array" ref="AE33:AN33">[1]!'3045.TW-TotalVolume,PreClose,Capital,AvgPrice,Profit,MarketValue,DateofMeetingofShareHolders,InvestorConferenceDate,ShortBalance,FinanceBalance'</f>
        <v>2910</v>
      </c>
      <c r="AF33">
        <v>105.5</v>
      </c>
      <c r="AG33">
        <v>372.33</v>
      </c>
      <c r="AH33">
        <v>105.15</v>
      </c>
      <c r="AI33">
        <v>0.98</v>
      </c>
      <c r="AJ33">
        <v>3946.7</v>
      </c>
      <c r="AK33" t="str">
        <v>2024/06/21</v>
      </c>
      <c r="AL33" t="str">
        <v>2024/11/12</v>
      </c>
      <c r="AM33">
        <v>12</v>
      </c>
      <c r="AN33">
        <v>174</v>
      </c>
    </row>
    <row r="34" spans="1:40" x14ac:dyDescent="0.25">
      <c r="A34" t="str">
        <f t="array" ref="A34:J34">[1]!'2880.TW-ID,Name,CompanyPos,Price,DIndexPtsContributionRate,VolumeRatio,TurnoverRatio,PriceChangeRatio,DLOrderValueDiffRatio,MajorOrderBidAskRatio'</f>
        <v>2880</v>
      </c>
      <c r="B34" t="str">
        <v>華南金</v>
      </c>
      <c r="C34" t="str">
        <v>以銀行為主體公營金控公司，為台灣銀行界歷史悠久的三商銀之一</v>
      </c>
      <c r="D34">
        <v>28.5</v>
      </c>
      <c r="E34">
        <v>0.54</v>
      </c>
      <c r="F34">
        <v>4.28</v>
      </c>
      <c r="G34">
        <v>0.15</v>
      </c>
      <c r="H34">
        <v>2.7</v>
      </c>
      <c r="I34">
        <v>0.77</v>
      </c>
      <c r="J34">
        <v>76.290000000000006</v>
      </c>
      <c r="K34" t="str">
        <f t="array" ref="K34:T34">[1]!'2880.TW-MajorOrderDif,DXLOrderValueDiffRatio,Low,MonthReturn,QuarterReturn,HalfYearReturn,YearReturn,DLOrderOutValueRatio,DetailIndustry,CompanyNews'</f>
        <v>2.29億</v>
      </c>
      <c r="L34">
        <v>40.01</v>
      </c>
      <c r="M34">
        <v>27.95</v>
      </c>
      <c r="N34">
        <v>7.14</v>
      </c>
      <c r="O34">
        <v>20.51</v>
      </c>
      <c r="P34">
        <v>30.43</v>
      </c>
      <c r="Q34">
        <v>29.94</v>
      </c>
      <c r="R34">
        <v>3.93</v>
      </c>
      <c r="S34" t="str">
        <v>銀行,產險,證券,投信,金控,金融其他,資產管理,金融業</v>
      </c>
      <c r="T34" t="str">
        <v>8/13除權0.10元，除息1.20元</v>
      </c>
      <c r="U34">
        <f t="array" ref="U34:AD34">[1]!'2880.TW-ChipsField17,ROE,InOutRatio,RevenueMonth,EstimatedTotalVolume,5DayAvgVol,FinanceUsedRatio,PriceChange,CashAndStockDividend,ChipsField25'</f>
        <v>0</v>
      </c>
      <c r="V34">
        <v>2.65</v>
      </c>
      <c r="W34">
        <v>71.09</v>
      </c>
      <c r="X34" t="str">
        <v>2024/06</v>
      </c>
      <c r="Y34">
        <v>64595</v>
      </c>
      <c r="Z34">
        <v>14090</v>
      </c>
      <c r="AA34">
        <v>0.09</v>
      </c>
      <c r="AB34">
        <v>0.75</v>
      </c>
      <c r="AC34">
        <v>1.3</v>
      </c>
      <c r="AD34" t="str">
        <v>2024/08/13</v>
      </c>
      <c r="AE34">
        <f t="array" ref="AE34:AN34">[1]!'2880.TW-TotalVolume,PreClose,Capital,AvgPrice,Profit,MarketValue,DateofMeetingofShareHolders,InvestorConferenceDate,ShortBalance,FinanceBalance'</f>
        <v>19797</v>
      </c>
      <c r="AF34">
        <v>27.75</v>
      </c>
      <c r="AG34">
        <v>1364.27</v>
      </c>
      <c r="AH34">
        <v>28.31</v>
      </c>
      <c r="AI34">
        <v>0.41</v>
      </c>
      <c r="AJ34">
        <v>3888.2</v>
      </c>
      <c r="AK34" t="str">
        <v>2024/06/21</v>
      </c>
      <c r="AL34" t="str">
        <v>2024/05/24</v>
      </c>
      <c r="AM34">
        <v>86</v>
      </c>
      <c r="AN34">
        <v>2925</v>
      </c>
    </row>
    <row r="35" spans="1:40" x14ac:dyDescent="0.25">
      <c r="A35" t="str">
        <f t="array" ref="A35:J35">[1]!'1522.TW-ID,Name,CompanyPos,Price,DIndexPtsContributionRate,VolumeRatio,TurnoverRatio,PriceChangeRatio,DLOrderValueDiffRatio,MajorOrderBidAskRatio'</f>
        <v>1522</v>
      </c>
      <c r="B35" t="str">
        <v>堤維西</v>
      </c>
      <c r="C35" t="str">
        <v>專攻AM市場之台灣第二大車燈製造商</v>
      </c>
      <c r="D35">
        <v>69.599999999999994</v>
      </c>
      <c r="E35">
        <v>0.03</v>
      </c>
      <c r="F35">
        <v>6.47</v>
      </c>
      <c r="G35">
        <v>1.72</v>
      </c>
      <c r="H35">
        <v>6.1</v>
      </c>
      <c r="I35">
        <v>4.0599999999999996</v>
      </c>
      <c r="J35">
        <v>76.14</v>
      </c>
      <c r="K35" t="str">
        <f t="array" ref="K35:T35">[1]!'1522.TW-MajorOrderDif,DXLOrderValueDiffRatio,Low,MonthReturn,QuarterReturn,HalfYearReturn,YearReturn,DLOrderOutValueRatio,DetailIndustry,CompanyNews'</f>
        <v>8804萬</v>
      </c>
      <c r="L35">
        <v>19.46</v>
      </c>
      <c r="M35">
        <v>66.3</v>
      </c>
      <c r="N35">
        <v>0.55000000000000004</v>
      </c>
      <c r="O35">
        <v>42.61</v>
      </c>
      <c r="P35">
        <v>81.69</v>
      </c>
      <c r="Q35">
        <v>116.94</v>
      </c>
      <c r="R35">
        <v>8.23</v>
      </c>
      <c r="S35" t="str">
        <v>車燈,汽機車零組件</v>
      </c>
      <c r="T35" t="str">
        <v>--</v>
      </c>
      <c r="U35">
        <f t="array" ref="U35:AD35">[1]!'1522.TW-ChipsField17,ROE,InOutRatio,RevenueMonth,EstimatedTotalVolume,5DayAvgVol,FinanceUsedRatio,PriceChange,CashAndStockDividend,ChipsField25'</f>
        <v>154</v>
      </c>
      <c r="V35">
        <v>6.57</v>
      </c>
      <c r="W35">
        <v>64.239999999999995</v>
      </c>
      <c r="X35" t="str">
        <v>2024/06</v>
      </c>
      <c r="Y35">
        <v>12320</v>
      </c>
      <c r="Z35">
        <v>3604</v>
      </c>
      <c r="AA35">
        <v>11.27</v>
      </c>
      <c r="AB35">
        <v>4</v>
      </c>
      <c r="AC35">
        <v>2</v>
      </c>
      <c r="AD35" t="str">
        <v>2024/07/18</v>
      </c>
      <c r="AE35">
        <f t="array" ref="AE35:AN35">[1]!'1522.TW-TotalVolume,PreClose,Capital,AvgPrice,Profit,MarketValue,DateofMeetingofShareHolders,InvestorConferenceDate,ShortBalance,FinanceBalance'</f>
        <v>5380</v>
      </c>
      <c r="AF35">
        <v>65.599999999999994</v>
      </c>
      <c r="AG35">
        <v>31.29</v>
      </c>
      <c r="AH35">
        <v>69.569999999999993</v>
      </c>
      <c r="AI35">
        <v>2.0099999999999998</v>
      </c>
      <c r="AJ35">
        <v>217.8</v>
      </c>
      <c r="AK35" t="str">
        <v>2024/06/18</v>
      </c>
      <c r="AL35" t="str">
        <v>2023/11/17</v>
      </c>
      <c r="AM35">
        <v>85</v>
      </c>
      <c r="AN35">
        <v>8816</v>
      </c>
    </row>
    <row r="36" spans="1:40" x14ac:dyDescent="0.25">
      <c r="A36" t="str">
        <f t="array" ref="A36:J36">[1]!'1409.TW-ID,Name,CompanyPos,Price,DIndexPtsContributionRate,VolumeRatio,TurnoverRatio,PriceChangeRatio,DLOrderValueDiffRatio,MajorOrderBidAskRatio'</f>
        <v>1409</v>
      </c>
      <c r="B36" t="str">
        <v>新纖</v>
      </c>
      <c r="C36" t="str">
        <v>台灣知名化纖廠，為新光集團成員</v>
      </c>
      <c r="D36">
        <v>17.600000000000001</v>
      </c>
      <c r="E36">
        <v>0.04</v>
      </c>
      <c r="F36">
        <v>2.25</v>
      </c>
      <c r="G36">
        <v>0.14000000000000001</v>
      </c>
      <c r="H36">
        <v>2.62</v>
      </c>
      <c r="I36">
        <v>0.88</v>
      </c>
      <c r="J36">
        <v>75.66</v>
      </c>
      <c r="K36" t="str">
        <f t="array" ref="K36:T36">[1]!'1409.TW-MajorOrderDif,DXLOrderValueDiffRatio,Low,MonthReturn,QuarterReturn,HalfYearReturn,YearReturn,DLOrderOutValueRatio,DetailIndustry,CompanyNews'</f>
        <v>1324萬</v>
      </c>
      <c r="L36">
        <v>32.58</v>
      </c>
      <c r="M36">
        <v>17.25</v>
      </c>
      <c r="N36">
        <v>6.02</v>
      </c>
      <c r="O36">
        <v>2.92</v>
      </c>
      <c r="P36">
        <v>16.559999999999999</v>
      </c>
      <c r="Q36">
        <v>8.9</v>
      </c>
      <c r="R36">
        <v>4.55</v>
      </c>
      <c r="S36" t="str">
        <v>塑膠加工,石化業,聚酯絲,紡織用聚酯粒,化纖原料,資產股</v>
      </c>
      <c r="T36" t="str">
        <v>8/19法說會</v>
      </c>
      <c r="U36">
        <f t="array" ref="U36:AD36">[1]!'1409.TW-ChipsField17,ROE,InOutRatio,RevenueMonth,EstimatedTotalVolume,5DayAvgVol,FinanceUsedRatio,PriceChange,CashAndStockDividend,ChipsField25'</f>
        <v>0</v>
      </c>
      <c r="V36">
        <v>1.1200000000000001</v>
      </c>
      <c r="W36">
        <v>68.12</v>
      </c>
      <c r="X36" t="str">
        <v>2024/06</v>
      </c>
      <c r="Y36">
        <v>3626</v>
      </c>
      <c r="Z36">
        <v>2623</v>
      </c>
      <c r="AA36">
        <v>2.42</v>
      </c>
      <c r="AB36">
        <v>0.45</v>
      </c>
      <c r="AC36">
        <v>0.55000000000000004</v>
      </c>
      <c r="AD36" t="str">
        <v>--</v>
      </c>
      <c r="AE36">
        <f t="array" ref="AE36:AN36">[1]!'1409.TW-TotalVolume,PreClose,Capital,AvgPrice,Profit,MarketValue,DateofMeetingofShareHolders,InvestorConferenceDate,ShortBalance,FinanceBalance'</f>
        <v>2264</v>
      </c>
      <c r="AF36">
        <v>17.149999999999999</v>
      </c>
      <c r="AG36">
        <v>161.84</v>
      </c>
      <c r="AH36">
        <v>17.48</v>
      </c>
      <c r="AI36">
        <v>0.22</v>
      </c>
      <c r="AJ36">
        <v>284.8</v>
      </c>
      <c r="AK36" t="str">
        <v>2024/05/30</v>
      </c>
      <c r="AL36" t="str">
        <v>2024/08/19</v>
      </c>
      <c r="AM36">
        <v>6</v>
      </c>
      <c r="AN36">
        <v>9772</v>
      </c>
    </row>
    <row r="37" spans="1:40" x14ac:dyDescent="0.25">
      <c r="A37" t="str">
        <f t="array" ref="A37:J37">[1]!'9904.TW-ID,Name,CompanyPos,Price,DIndexPtsContributionRate,VolumeRatio,TurnoverRatio,PriceChangeRatio,DLOrderValueDiffRatio,MajorOrderBidAskRatio'</f>
        <v>9904</v>
      </c>
      <c r="B37" t="str">
        <v>寶成</v>
      </c>
      <c r="C37" t="str">
        <v>全球運動鞋及休閒鞋代工龍頭</v>
      </c>
      <c r="D37">
        <v>37.049999999999997</v>
      </c>
      <c r="E37">
        <v>0.15</v>
      </c>
      <c r="F37">
        <v>2.16</v>
      </c>
      <c r="G37">
        <v>0.25</v>
      </c>
      <c r="H37">
        <v>2.63</v>
      </c>
      <c r="I37">
        <v>1.06</v>
      </c>
      <c r="J37">
        <v>74.12</v>
      </c>
      <c r="K37" t="str">
        <f t="array" ref="K37:T37">[1]!'9904.TW-MajorOrderDif,DXLOrderValueDiffRatio,Low,MonthReturn,QuarterReturn,HalfYearReturn,YearReturn,DLOrderOutValueRatio,DetailIndustry,CompanyNews'</f>
        <v>8084萬</v>
      </c>
      <c r="L37">
        <v>28.71</v>
      </c>
      <c r="M37">
        <v>36.450000000000003</v>
      </c>
      <c r="N37">
        <v>8.49</v>
      </c>
      <c r="O37">
        <v>5.65</v>
      </c>
      <c r="P37">
        <v>20.67</v>
      </c>
      <c r="Q37">
        <v>21.63</v>
      </c>
      <c r="R37">
        <v>7.75</v>
      </c>
      <c r="S37" t="str">
        <v>控股公司,傳產其他,鞋業,鞋材</v>
      </c>
      <c r="T37" t="str">
        <v>--</v>
      </c>
      <c r="U37">
        <f t="array" ref="U37:AD37">[1]!'9904.TW-ChipsField17,ROE,InOutRatio,RevenueMonth,EstimatedTotalVolume,5DayAvgVol,FinanceUsedRatio,PriceChange,CashAndStockDividend,ChipsField25'</f>
        <v>0</v>
      </c>
      <c r="V37">
        <v>3.11</v>
      </c>
      <c r="W37">
        <v>64.430000000000007</v>
      </c>
      <c r="X37" t="str">
        <v>2024/06</v>
      </c>
      <c r="Y37">
        <v>17315</v>
      </c>
      <c r="Z37">
        <v>10939</v>
      </c>
      <c r="AA37">
        <v>2.0299999999999998</v>
      </c>
      <c r="AB37">
        <v>0.95</v>
      </c>
      <c r="AC37">
        <v>1.1000000000000001</v>
      </c>
      <c r="AD37" t="str">
        <v>2024/06/27</v>
      </c>
      <c r="AE37">
        <f t="array" ref="AE37:AN37">[1]!'9904.TW-TotalVolume,PreClose,Capital,AvgPrice,Profit,MarketValue,DateofMeetingofShareHolders,InvestorConferenceDate,ShortBalance,FinanceBalance'</f>
        <v>7353</v>
      </c>
      <c r="AF37">
        <v>36.1</v>
      </c>
      <c r="AG37">
        <v>294.68</v>
      </c>
      <c r="AH37">
        <v>36.93</v>
      </c>
      <c r="AI37">
        <v>1.58</v>
      </c>
      <c r="AJ37">
        <v>1091.8</v>
      </c>
      <c r="AK37" t="str">
        <v>2024/05/31</v>
      </c>
      <c r="AL37" t="str">
        <v>2024/06/07</v>
      </c>
      <c r="AM37">
        <v>20</v>
      </c>
      <c r="AN37">
        <v>14970</v>
      </c>
    </row>
    <row r="38" spans="1:40" x14ac:dyDescent="0.25">
      <c r="A38" t="str">
        <f t="array" ref="A38:J38">[1]!'3706.TW-ID,Name,CompanyPos,Price,DIndexPtsContributionRate,VolumeRatio,TurnoverRatio,PriceChangeRatio,DLOrderValueDiffRatio,MajorOrderBidAskRatio'</f>
        <v>3706</v>
      </c>
      <c r="B38" t="str">
        <v>神達</v>
      </c>
      <c r="C38" t="str">
        <v>控股子公司從事伺服器、儲存設備、GPS等業務</v>
      </c>
      <c r="D38">
        <v>43.5</v>
      </c>
      <c r="E38">
        <v>7.0000000000000007E-2</v>
      </c>
      <c r="F38">
        <v>1.98</v>
      </c>
      <c r="G38">
        <v>0.27</v>
      </c>
      <c r="H38">
        <v>2.96</v>
      </c>
      <c r="I38">
        <v>3.01</v>
      </c>
      <c r="J38">
        <v>75.56</v>
      </c>
      <c r="K38" t="str">
        <f t="array" ref="K38:T38">[1]!'3706.TW-MajorOrderDif,DXLOrderValueDiffRatio,Low,MonthReturn,QuarterReturn,HalfYearReturn,YearReturn,DLOrderOutValueRatio,DetailIndustry,CompanyNews'</f>
        <v>3021萬</v>
      </c>
      <c r="L38">
        <v>18.29</v>
      </c>
      <c r="M38">
        <v>43.05</v>
      </c>
      <c r="N38">
        <v>-1.36</v>
      </c>
      <c r="O38">
        <v>-4.1900000000000004</v>
      </c>
      <c r="P38">
        <v>-0.28999999999999998</v>
      </c>
      <c r="Q38">
        <v>-8.39</v>
      </c>
      <c r="R38">
        <v>7.84</v>
      </c>
      <c r="S38" t="str">
        <v>控股公司,車用電子,行車紀錄器,伺服器,通訊設備,衛星導航,週邊產品,儲存設備,工業電腦,電腦系統業</v>
      </c>
      <c r="T38" t="str">
        <v>--</v>
      </c>
      <c r="U38">
        <f t="array" ref="U38:AD38">[1]!'3706.TW-ChipsField17,ROE,InOutRatio,RevenueMonth,EstimatedTotalVolume,5DayAvgVol,FinanceUsedRatio,PriceChange,CashAndStockDividend,ChipsField25'</f>
        <v>717</v>
      </c>
      <c r="V38">
        <v>1.1399999999999999</v>
      </c>
      <c r="W38">
        <v>62.83</v>
      </c>
      <c r="X38" t="str">
        <v>2024/06</v>
      </c>
      <c r="Y38">
        <v>8303</v>
      </c>
      <c r="Z38">
        <v>7580</v>
      </c>
      <c r="AA38">
        <v>10.35</v>
      </c>
      <c r="AB38">
        <v>1.25</v>
      </c>
      <c r="AC38">
        <v>1.3</v>
      </c>
      <c r="AD38" t="str">
        <v>2024/03/28</v>
      </c>
      <c r="AE38">
        <f t="array" ref="AE38:AN38">[1]!'3706.TW-TotalVolume,PreClose,Capital,AvgPrice,Profit,MarketValue,DateofMeetingofShareHolders,InvestorConferenceDate,ShortBalance,FinanceBalance'</f>
        <v>3263</v>
      </c>
      <c r="AF38">
        <v>42.25</v>
      </c>
      <c r="AG38">
        <v>120.66</v>
      </c>
      <c r="AH38">
        <v>43.46</v>
      </c>
      <c r="AI38">
        <v>0.56999999999999995</v>
      </c>
      <c r="AJ38">
        <v>524.9</v>
      </c>
      <c r="AK38" t="str">
        <v>2024/05/28</v>
      </c>
      <c r="AL38" t="str">
        <v>2024/05/21</v>
      </c>
      <c r="AM38">
        <v>127</v>
      </c>
      <c r="AN38">
        <v>31221</v>
      </c>
    </row>
    <row r="39" spans="1:40" x14ac:dyDescent="0.25">
      <c r="A39" t="str">
        <f t="array" ref="A39:J39">[1]!'3703.TW-ID,Name,CompanyPos,Price,DIndexPtsContributionRate,VolumeRatio,TurnoverRatio,PriceChangeRatio,DLOrderValueDiffRatio,MajorOrderBidAskRatio'</f>
        <v>3703</v>
      </c>
      <c r="B39" t="str">
        <v>欣陸</v>
      </c>
      <c r="C39" t="str">
        <v>由大陸建設換股成立之建設、營造控股公司</v>
      </c>
      <c r="D39">
        <v>35.65</v>
      </c>
      <c r="E39">
        <v>0.04</v>
      </c>
      <c r="F39">
        <v>2.62</v>
      </c>
      <c r="G39">
        <v>0.27</v>
      </c>
      <c r="H39">
        <v>0.56000000000000005</v>
      </c>
      <c r="I39">
        <v>12.69</v>
      </c>
      <c r="J39">
        <v>72.150000000000006</v>
      </c>
      <c r="K39" t="str">
        <f t="array" ref="K39:T39">[1]!'3703.TW-MajorOrderDif,DXLOrderValueDiffRatio,Low,MonthReturn,QuarterReturn,HalfYearReturn,YearReturn,DLOrderOutValueRatio,DetailIndustry,CompanyNews'</f>
        <v>1503萬</v>
      </c>
      <c r="L39">
        <v>6.48</v>
      </c>
      <c r="M39">
        <v>34.799999999999997</v>
      </c>
      <c r="N39">
        <v>-0.28000000000000003</v>
      </c>
      <c r="O39">
        <v>-2.25</v>
      </c>
      <c r="P39">
        <v>36.06</v>
      </c>
      <c r="Q39">
        <v>37.32</v>
      </c>
      <c r="R39">
        <v>20.079999999999998</v>
      </c>
      <c r="S39" t="str">
        <v>控股公司,營建,住宅建設,基礎建設,地產,營造工程,環保工程</v>
      </c>
      <c r="T39" t="str">
        <v>新任財務主管及發言人名單</v>
      </c>
      <c r="U39">
        <f t="array" ref="U39:AD39">[1]!'3703.TW-ChipsField17,ROE,InOutRatio,RevenueMonth,EstimatedTotalVolume,5DayAvgVol,FinanceUsedRatio,PriceChange,CashAndStockDividend,ChipsField25'</f>
        <v>99</v>
      </c>
      <c r="V39" t="str">
        <v>--</v>
      </c>
      <c r="W39">
        <v>61.46</v>
      </c>
      <c r="X39" t="str">
        <v>2024/06</v>
      </c>
      <c r="Y39">
        <v>5157</v>
      </c>
      <c r="Z39">
        <v>2733</v>
      </c>
      <c r="AA39">
        <v>2.23</v>
      </c>
      <c r="AB39">
        <v>0.2</v>
      </c>
      <c r="AC39">
        <v>1.5</v>
      </c>
      <c r="AD39" t="str">
        <v>2024/07/04</v>
      </c>
      <c r="AE39">
        <f t="array" ref="AE39:AN39">[1]!'3703.TW-TotalVolume,PreClose,Capital,AvgPrice,Profit,MarketValue,DateofMeetingofShareHolders,InvestorConferenceDate,ShortBalance,FinanceBalance'</f>
        <v>2217</v>
      </c>
      <c r="AF39">
        <v>35.450000000000003</v>
      </c>
      <c r="AG39">
        <v>82.32</v>
      </c>
      <c r="AH39">
        <v>35.380000000000003</v>
      </c>
      <c r="AI39">
        <v>0.79</v>
      </c>
      <c r="AJ39">
        <v>293.5</v>
      </c>
      <c r="AK39" t="str">
        <v>2024/06/03</v>
      </c>
      <c r="AL39" t="str">
        <v>2024/08/01</v>
      </c>
      <c r="AM39">
        <v>31</v>
      </c>
      <c r="AN39">
        <v>4582</v>
      </c>
    </row>
    <row r="40" spans="1:40" x14ac:dyDescent="0.25">
      <c r="A40" t="str">
        <f t="array" ref="A40:J40">[1]!'2301.TW-ID,Name,CompanyPos,Price,DIndexPtsContributionRate,VolumeRatio,TurnoverRatio,PriceChangeRatio,DLOrderValueDiffRatio,MajorOrderBidAskRatio'</f>
        <v>2301</v>
      </c>
      <c r="B40" t="str">
        <v>光寶科</v>
      </c>
      <c r="C40" t="str">
        <v>台灣第一家上市電子公司，產品應用涵蓋4C領域</v>
      </c>
      <c r="D40">
        <v>107.5</v>
      </c>
      <c r="E40">
        <v>0.33</v>
      </c>
      <c r="F40">
        <v>4.51</v>
      </c>
      <c r="G40">
        <v>0.98</v>
      </c>
      <c r="H40">
        <v>8.48</v>
      </c>
      <c r="I40">
        <v>0.65</v>
      </c>
      <c r="J40">
        <v>69.77</v>
      </c>
      <c r="K40" t="str">
        <f t="array" ref="K40:T40">[1]!'2301.TW-MajorOrderDif,DXLOrderValueDiffRatio,Low,MonthReturn,QuarterReturn,HalfYearReturn,YearReturn,DLOrderOutValueRatio,DetailIndustry,CompanyNews'</f>
        <v>5.64億</v>
      </c>
      <c r="L40">
        <v>22.43</v>
      </c>
      <c r="M40">
        <v>102.5</v>
      </c>
      <c r="N40">
        <v>-2.71</v>
      </c>
      <c r="O40">
        <v>7.5</v>
      </c>
      <c r="P40">
        <v>0.72</v>
      </c>
      <c r="Q40">
        <v>-27.7</v>
      </c>
      <c r="R40">
        <v>1.84</v>
      </c>
      <c r="S40" t="str">
        <v>汽機車零組件,車用電池,車用電子,LED,LED封裝,LED照明產品,電源供應器,無線充電,機殼,電子其他,電子零件元件,鍵盤,光碟機／燒錄機,無線網路設備系統(WLAN),通訊設備,事務機器,週邊產品,光通訊,太陽能,PV Inverter,電腦系統業,光纖被動元件</v>
      </c>
      <c r="T40" t="str">
        <v>第二季股利：現金2元</v>
      </c>
      <c r="U40">
        <f t="array" ref="U40:AD40">[1]!'2301.TW-ChipsField17,ROE,InOutRatio,RevenueMonth,EstimatedTotalVolume,5DayAvgVol,FinanceUsedRatio,PriceChange,CashAndStockDividend,ChipsField25'</f>
        <v>6537</v>
      </c>
      <c r="V40">
        <v>2.83</v>
      </c>
      <c r="W40">
        <v>66.959999999999994</v>
      </c>
      <c r="X40" t="str">
        <v>2024/06</v>
      </c>
      <c r="Y40">
        <v>61010</v>
      </c>
      <c r="Z40">
        <v>16966</v>
      </c>
      <c r="AA40">
        <v>4.5999999999999996</v>
      </c>
      <c r="AB40">
        <v>8.4</v>
      </c>
      <c r="AC40">
        <v>2</v>
      </c>
      <c r="AD40" t="str">
        <v>--</v>
      </c>
      <c r="AE40">
        <f t="array" ref="AE40:AN40">[1]!'2301.TW-TotalVolume,PreClose,Capital,AvgPrice,Profit,MarketValue,DateofMeetingofShareHolders,InvestorConferenceDate,ShortBalance,FinanceBalance'</f>
        <v>23088</v>
      </c>
      <c r="AF40">
        <v>99.1</v>
      </c>
      <c r="AG40">
        <v>234.73</v>
      </c>
      <c r="AH40">
        <v>105.78</v>
      </c>
      <c r="AI40">
        <v>1.04</v>
      </c>
      <c r="AJ40">
        <v>2523.6</v>
      </c>
      <c r="AK40" t="str">
        <v>2024/05/27</v>
      </c>
      <c r="AL40" t="str">
        <v>2024/07/31</v>
      </c>
      <c r="AM40">
        <v>265</v>
      </c>
      <c r="AN40">
        <v>26981</v>
      </c>
    </row>
    <row r="41" spans="1:40" x14ac:dyDescent="0.25">
      <c r="A41" t="str">
        <f t="array" ref="A41:J41">[1]!'8011.TW-ID,Name,CompanyPos,Price,DIndexPtsContributionRate,VolumeRatio,TurnoverRatio,PriceChangeRatio,DLOrderValueDiffRatio,MajorOrderBidAskRatio'</f>
        <v>8011</v>
      </c>
      <c r="B41" t="str">
        <v>台通</v>
      </c>
      <c r="C41" t="str">
        <v>台灣光纖線纜與光纖被動元件製造商</v>
      </c>
      <c r="D41">
        <v>29.9</v>
      </c>
      <c r="E41">
        <v>0.01</v>
      </c>
      <c r="F41">
        <v>5.16</v>
      </c>
      <c r="G41">
        <v>4.07</v>
      </c>
      <c r="H41">
        <v>7.75</v>
      </c>
      <c r="I41">
        <v>1.06</v>
      </c>
      <c r="J41">
        <v>72.41</v>
      </c>
      <c r="K41" t="str">
        <f t="array" ref="K41:T41">[1]!'8011.TW-MajorOrderDif,DXLOrderValueDiffRatio,Low,MonthReturn,QuarterReturn,HalfYearReturn,YearReturn,DLOrderOutValueRatio,DetailIndustry,CompanyNews'</f>
        <v>4139萬</v>
      </c>
      <c r="L41">
        <v>19.04</v>
      </c>
      <c r="M41">
        <v>28.1</v>
      </c>
      <c r="N41">
        <v>20.56</v>
      </c>
      <c r="O41">
        <v>36.840000000000003</v>
      </c>
      <c r="P41">
        <v>32.299999999999997</v>
      </c>
      <c r="Q41">
        <v>71.84</v>
      </c>
      <c r="R41">
        <v>8.07</v>
      </c>
      <c r="S41" t="str">
        <v>光纖光纜,通訊服務,光通訊,光纖被動元件,電線電纜,通訊電纜</v>
      </c>
      <c r="T41" t="str">
        <v>--</v>
      </c>
      <c r="U41">
        <f t="array" ref="U41:AD41">[1]!'8011.TW-ChipsField17,ROE,InOutRatio,RevenueMonth,EstimatedTotalVolume,5DayAvgVol,FinanceUsedRatio,PriceChange,CashAndStockDividend,ChipsField25'</f>
        <v>0</v>
      </c>
      <c r="V41">
        <v>1.48</v>
      </c>
      <c r="W41">
        <v>59.97</v>
      </c>
      <c r="X41" t="str">
        <v>2024/06</v>
      </c>
      <c r="Y41">
        <v>14931</v>
      </c>
      <c r="Z41">
        <v>3395</v>
      </c>
      <c r="AA41">
        <v>21.06</v>
      </c>
      <c r="AB41">
        <v>2.15</v>
      </c>
      <c r="AC41">
        <v>0</v>
      </c>
      <c r="AD41" t="str">
        <v>--</v>
      </c>
      <c r="AE41">
        <f t="array" ref="AE41:AN41">[1]!'8011.TW-TotalVolume,PreClose,Capital,AvgPrice,Profit,MarketValue,DateofMeetingofShareHolders,InvestorConferenceDate,ShortBalance,FinanceBalance'</f>
        <v>6948</v>
      </c>
      <c r="AF41">
        <v>27.75</v>
      </c>
      <c r="AG41">
        <v>16.59</v>
      </c>
      <c r="AH41">
        <v>29.64</v>
      </c>
      <c r="AI41">
        <v>0.25</v>
      </c>
      <c r="AJ41">
        <v>51.1</v>
      </c>
      <c r="AK41" t="str">
        <v>2024/05/31</v>
      </c>
      <c r="AL41" t="str">
        <v>2023/12/06</v>
      </c>
      <c r="AM41">
        <v>123</v>
      </c>
      <c r="AN41">
        <v>9001</v>
      </c>
    </row>
    <row r="42" spans="1:40" x14ac:dyDescent="0.25">
      <c r="A42" t="str">
        <f t="array" ref="A42:J42">[1]!'2359.TW-ID,Name,CompanyPos,Price,DIndexPtsContributionRate,VolumeRatio,TurnoverRatio,PriceChangeRatio,DLOrderValueDiffRatio,MajorOrderBidAskRatio'</f>
        <v>2359</v>
      </c>
      <c r="B42" t="str">
        <v>所羅門</v>
      </c>
      <c r="C42" t="str">
        <v>3D機器視覺及工業用AI領導品牌</v>
      </c>
      <c r="D42">
        <v>157</v>
      </c>
      <c r="E42">
        <v>0.04</v>
      </c>
      <c r="F42">
        <v>3.83</v>
      </c>
      <c r="G42">
        <v>9.83</v>
      </c>
      <c r="H42">
        <v>9.0299999999999994</v>
      </c>
      <c r="I42">
        <v>3.03</v>
      </c>
      <c r="J42">
        <v>72.72</v>
      </c>
      <c r="K42" t="str">
        <f t="array" ref="K42:T42">[1]!'2359.TW-MajorOrderDif,DXLOrderValueDiffRatio,Low,MonthReturn,QuarterReturn,HalfYearReturn,YearReturn,DLOrderOutValueRatio,DetailIndustry,CompanyNews'</f>
        <v>7.68億</v>
      </c>
      <c r="L42">
        <v>26.24</v>
      </c>
      <c r="M42">
        <v>149</v>
      </c>
      <c r="N42">
        <v>-5</v>
      </c>
      <c r="O42">
        <v>55.54</v>
      </c>
      <c r="P42">
        <v>303.18</v>
      </c>
      <c r="Q42">
        <v>305.24</v>
      </c>
      <c r="R42">
        <v>5.51</v>
      </c>
      <c r="S42" t="str">
        <v>面板業,LCM,其他電子元件代理商,電子通路,軟體業,軟體通路／代理,電機,自動化設備,機器人,機械,電力設備</v>
      </c>
      <c r="T42" t="str">
        <v>--</v>
      </c>
      <c r="U42">
        <f t="array" ref="U42:AD42">[1]!'2359.TW-ChipsField17,ROE,InOutRatio,RevenueMonth,EstimatedTotalVolume,5DayAvgVol,FinanceUsedRatio,PriceChange,CashAndStockDividend,ChipsField25'</f>
        <v>520</v>
      </c>
      <c r="V42">
        <v>0.7</v>
      </c>
      <c r="W42">
        <v>74.63</v>
      </c>
      <c r="X42" t="str">
        <v>2024/06</v>
      </c>
      <c r="Y42">
        <v>33904</v>
      </c>
      <c r="Z42">
        <v>15416</v>
      </c>
      <c r="AA42">
        <v>29.83</v>
      </c>
      <c r="AB42">
        <v>13</v>
      </c>
      <c r="AC42">
        <v>1.7</v>
      </c>
      <c r="AD42" t="str">
        <v>2024/07/10</v>
      </c>
      <c r="AE42">
        <f t="array" ref="AE42:AN42">[1]!'2359.TW-TotalVolume,PreClose,Capital,AvgPrice,Profit,MarketValue,DateofMeetingofShareHolders,InvestorConferenceDate,ShortBalance,FinanceBalance'</f>
        <v>16853</v>
      </c>
      <c r="AF42">
        <v>144</v>
      </c>
      <c r="AG42">
        <v>17.149999999999999</v>
      </c>
      <c r="AH42">
        <v>155.69999999999999</v>
      </c>
      <c r="AI42">
        <v>0.21</v>
      </c>
      <c r="AJ42">
        <v>269.2</v>
      </c>
      <c r="AK42" t="str">
        <v>2024/06/07</v>
      </c>
      <c r="AL42" t="str">
        <v>2023/11/28</v>
      </c>
      <c r="AM42">
        <v>2025</v>
      </c>
      <c r="AN42">
        <v>12787</v>
      </c>
    </row>
    <row r="43" spans="1:40" x14ac:dyDescent="0.25">
      <c r="A43" t="str">
        <f t="array" ref="A43:J43">[1]!'2547.TW-ID,Name,CompanyPos,Price,DIndexPtsContributionRate,VolumeRatio,TurnoverRatio,PriceChangeRatio,DLOrderValueDiffRatio,MajorOrderBidAskRatio'</f>
        <v>2547</v>
      </c>
      <c r="B43" t="str">
        <v>日勝生</v>
      </c>
      <c r="C43" t="str">
        <v>以政府開發案起家，橫跨建築、百貨及觀光的中型建商</v>
      </c>
      <c r="D43">
        <v>11.8</v>
      </c>
      <c r="E43">
        <v>0.02</v>
      </c>
      <c r="F43">
        <v>2.34</v>
      </c>
      <c r="G43">
        <v>0.49</v>
      </c>
      <c r="H43">
        <v>1.29</v>
      </c>
      <c r="I43">
        <v>7.13</v>
      </c>
      <c r="J43">
        <v>67.28</v>
      </c>
      <c r="K43" t="str">
        <f t="array" ref="K43:T43">[1]!'2547.TW-MajorOrderDif,DXLOrderValueDiffRatio,Low,MonthReturn,QuarterReturn,HalfYearReturn,YearReturn,DLOrderOutValueRatio,DetailIndustry,CompanyNews'</f>
        <v>1280萬</v>
      </c>
      <c r="L43">
        <v>16.21</v>
      </c>
      <c r="M43">
        <v>11.55</v>
      </c>
      <c r="N43">
        <v>8.76</v>
      </c>
      <c r="O43">
        <v>-0.84</v>
      </c>
      <c r="P43">
        <v>25</v>
      </c>
      <c r="Q43">
        <v>29.81</v>
      </c>
      <c r="R43">
        <v>17.899999999999999</v>
      </c>
      <c r="S43" t="str">
        <v>流通業,百貨公司,營建,地產,物業投資發展</v>
      </c>
      <c r="T43" t="str">
        <v>訂8/15為除息交易日</v>
      </c>
      <c r="U43">
        <f t="array" ref="U43:AD43">[1]!'2547.TW-ChipsField17,ROE,InOutRatio,RevenueMonth,EstimatedTotalVolume,5DayAvgVol,FinanceUsedRatio,PriceChange,CashAndStockDividend,ChipsField25'</f>
        <v>0</v>
      </c>
      <c r="V43">
        <v>-0.66</v>
      </c>
      <c r="W43">
        <v>64.72</v>
      </c>
      <c r="X43" t="str">
        <v>2024/06</v>
      </c>
      <c r="Y43">
        <v>9395</v>
      </c>
      <c r="Z43">
        <v>7366</v>
      </c>
      <c r="AA43">
        <v>7.1</v>
      </c>
      <c r="AB43">
        <v>0.15</v>
      </c>
      <c r="AC43">
        <v>0.25</v>
      </c>
      <c r="AD43" t="str">
        <v>2024/08/15</v>
      </c>
      <c r="AE43">
        <f t="array" ref="AE43:AN43">[1]!'2547.TW-TotalVolume,PreClose,Capital,AvgPrice,Profit,MarketValue,DateofMeetingofShareHolders,InvestorConferenceDate,ShortBalance,FinanceBalance'</f>
        <v>4664</v>
      </c>
      <c r="AF43">
        <v>11.65</v>
      </c>
      <c r="AG43">
        <v>95.51</v>
      </c>
      <c r="AH43">
        <v>11.76</v>
      </c>
      <c r="AI43">
        <v>-0.11</v>
      </c>
      <c r="AJ43">
        <v>112.7</v>
      </c>
      <c r="AK43" t="str">
        <v>2024/05/27</v>
      </c>
      <c r="AL43" t="str">
        <v>2024/05/15</v>
      </c>
      <c r="AM43">
        <v>177</v>
      </c>
      <c r="AN43">
        <v>16953</v>
      </c>
    </row>
    <row r="44" spans="1:40" x14ac:dyDescent="0.25">
      <c r="A44" t="str">
        <f t="array" ref="A44:J44">[1]!'2543.TW-ID,Name,CompanyPos,Price,DIndexPtsContributionRate,VolumeRatio,TurnoverRatio,PriceChangeRatio,DLOrderValueDiffRatio,MajorOrderBidAskRatio'</f>
        <v>2543</v>
      </c>
      <c r="B44" t="str">
        <v>皇昌</v>
      </c>
      <c r="C44" t="str">
        <v>主要承攬公共工程之營造廠</v>
      </c>
      <c r="D44">
        <v>64.099999999999994</v>
      </c>
      <c r="E44">
        <v>0.03</v>
      </c>
      <c r="F44">
        <v>1.77</v>
      </c>
      <c r="G44">
        <v>2.33</v>
      </c>
      <c r="H44">
        <v>2.56</v>
      </c>
      <c r="I44">
        <v>1.03</v>
      </c>
      <c r="J44">
        <v>70.41</v>
      </c>
      <c r="K44" t="str">
        <f t="array" ref="K44:T44">[1]!'2543.TW-MajorOrderDif,DXLOrderValueDiffRatio,Low,MonthReturn,QuarterReturn,HalfYearReturn,YearReturn,DLOrderOutValueRatio,DetailIndustry,CompanyNews'</f>
        <v>8998萬</v>
      </c>
      <c r="L44">
        <v>17.12</v>
      </c>
      <c r="M44">
        <v>62.5</v>
      </c>
      <c r="N44">
        <v>35.520000000000003</v>
      </c>
      <c r="O44">
        <v>48.92</v>
      </c>
      <c r="P44">
        <v>169.97</v>
      </c>
      <c r="Q44">
        <v>659.48</v>
      </c>
      <c r="R44">
        <v>7.33</v>
      </c>
      <c r="S44" t="str">
        <v>基礎建設,營造工程</v>
      </c>
      <c r="T44" t="str">
        <v>--</v>
      </c>
      <c r="U44">
        <f t="array" ref="U44:AD44">[1]!'2543.TW-ChipsField17,ROE,InOutRatio,RevenueMonth,EstimatedTotalVolume,5DayAvgVol,FinanceUsedRatio,PriceChange,CashAndStockDividend,ChipsField25'</f>
        <v>1277</v>
      </c>
      <c r="V44">
        <v>3.21</v>
      </c>
      <c r="W44">
        <v>61.06</v>
      </c>
      <c r="X44" t="str">
        <v>2024/06</v>
      </c>
      <c r="Y44">
        <v>14604</v>
      </c>
      <c r="Z44">
        <v>11596</v>
      </c>
      <c r="AA44">
        <v>17.63</v>
      </c>
      <c r="AB44">
        <v>1.6</v>
      </c>
      <c r="AC44">
        <v>1.8</v>
      </c>
      <c r="AD44" t="str">
        <v>2024/05/30</v>
      </c>
      <c r="AE44">
        <f t="array" ref="AE44:AN44">[1]!'2543.TW-TotalVolume,PreClose,Capital,AvgPrice,Profit,MarketValue,DateofMeetingofShareHolders,InvestorConferenceDate,ShortBalance,FinanceBalance'</f>
        <v>7701</v>
      </c>
      <c r="AF44">
        <v>62.5</v>
      </c>
      <c r="AG44">
        <v>33.07</v>
      </c>
      <c r="AH44">
        <v>64.37</v>
      </c>
      <c r="AI44">
        <v>0.39</v>
      </c>
      <c r="AJ44">
        <v>212</v>
      </c>
      <c r="AK44" t="str">
        <v>2024/04/30</v>
      </c>
      <c r="AL44" t="str">
        <v>2023/11/21</v>
      </c>
      <c r="AM44">
        <v>1603</v>
      </c>
      <c r="AN44">
        <v>14577</v>
      </c>
    </row>
    <row r="45" spans="1:40" x14ac:dyDescent="0.25">
      <c r="A45" t="str">
        <f t="array" ref="A45:J45">[1]!'5371.TW-ID,Name,CompanyPos,Price,DIndexPtsContributionRate,VolumeRatio,TurnoverRatio,PriceChangeRatio,DLOrderValueDiffRatio,MajorOrderBidAskRatio'</f>
        <v>5371</v>
      </c>
      <c r="B45" t="str">
        <v>中光電</v>
      </c>
      <c r="C45" t="str">
        <v>背光模組及投影機製造大廠</v>
      </c>
      <c r="D45">
        <v>77.099999999999994</v>
      </c>
      <c r="E45">
        <v>0</v>
      </c>
      <c r="F45">
        <v>2.02</v>
      </c>
      <c r="G45">
        <v>0.39</v>
      </c>
      <c r="H45">
        <v>2.8</v>
      </c>
      <c r="I45">
        <v>15.67</v>
      </c>
      <c r="J45">
        <v>70.06</v>
      </c>
      <c r="K45" t="str">
        <f t="array" ref="K45:T45">[1]!'5371.TW-MajorOrderDif,DXLOrderValueDiffRatio,Low,MonthReturn,QuarterReturn,HalfYearReturn,YearReturn,DLOrderOutValueRatio,DetailIndustry,CompanyNews'</f>
        <v>1793萬</v>
      </c>
      <c r="L45">
        <v>-0.17</v>
      </c>
      <c r="M45">
        <v>75.7</v>
      </c>
      <c r="N45">
        <v>-12.21</v>
      </c>
      <c r="O45">
        <v>-22.44</v>
      </c>
      <c r="P45">
        <v>10.8</v>
      </c>
      <c r="Q45">
        <v>5.95</v>
      </c>
      <c r="R45">
        <v>20.77</v>
      </c>
      <c r="S45" t="str">
        <v>面板零組件,背光模組,顯示器,投影機</v>
      </c>
      <c r="T45" t="str">
        <v>6月營收34.87億元</v>
      </c>
      <c r="U45">
        <f t="array" ref="U45:AD45">[1]!'5371.TW-ChipsField17,ROE,InOutRatio,RevenueMonth,EstimatedTotalVolume,5DayAvgVol,FinanceUsedRatio,PriceChange,CashAndStockDividend,ChipsField25'</f>
        <v>0</v>
      </c>
      <c r="V45">
        <v>0.89</v>
      </c>
      <c r="W45">
        <v>60.71</v>
      </c>
      <c r="X45" t="str">
        <v>2024/06</v>
      </c>
      <c r="Y45">
        <v>3955</v>
      </c>
      <c r="Z45">
        <v>3243</v>
      </c>
      <c r="AA45">
        <v>11.9</v>
      </c>
      <c r="AB45">
        <v>2.1</v>
      </c>
      <c r="AC45">
        <v>3</v>
      </c>
      <c r="AD45" t="str">
        <v>2024/07/11</v>
      </c>
      <c r="AE45">
        <f t="array" ref="AE45:AN45">[1]!'5371.TW-TotalVolume,PreClose,Capital,AvgPrice,Profit,MarketValue,DateofMeetingofShareHolders,InvestorConferenceDate,ShortBalance,FinanceBalance'</f>
        <v>1508</v>
      </c>
      <c r="AF45">
        <v>75</v>
      </c>
      <c r="AG45">
        <v>39.1</v>
      </c>
      <c r="AH45">
        <v>76.7</v>
      </c>
      <c r="AI45">
        <v>0.72</v>
      </c>
      <c r="AJ45">
        <v>301.39999999999998</v>
      </c>
      <c r="AK45" t="str">
        <v>2024/06/14</v>
      </c>
      <c r="AL45" t="str">
        <v>2024/07/30</v>
      </c>
      <c r="AM45">
        <v>49</v>
      </c>
      <c r="AN45">
        <v>11635</v>
      </c>
    </row>
    <row r="46" spans="1:40" x14ac:dyDescent="0.25">
      <c r="A46" t="str">
        <f t="array" ref="A46:J46">[1]!'3665.TW-ID,Name,CompanyPos,Price,DIndexPtsContributionRate,VolumeRatio,TurnoverRatio,PriceChangeRatio,DLOrderValueDiffRatio,MajorOrderBidAskRatio'</f>
        <v>3665</v>
      </c>
      <c r="B46" t="str">
        <v>貿聯-KY</v>
      </c>
      <c r="C46" t="str">
        <v>Tesla電池線束主力供應商</v>
      </c>
      <c r="D46">
        <v>409.5</v>
      </c>
      <c r="E46">
        <v>0.09</v>
      </c>
      <c r="F46">
        <v>3.57</v>
      </c>
      <c r="G46">
        <v>2.58</v>
      </c>
      <c r="H46">
        <v>8.0500000000000007</v>
      </c>
      <c r="I46">
        <v>4.29</v>
      </c>
      <c r="J46">
        <v>68.34</v>
      </c>
      <c r="K46" t="str">
        <f t="array" ref="K46:T46">[1]!'3665.TW-MajorOrderDif,DXLOrderValueDiffRatio,Low,MonthReturn,QuarterReturn,HalfYearReturn,YearReturn,DLOrderOutValueRatio,DetailIndustry,CompanyNews'</f>
        <v>3.29億</v>
      </c>
      <c r="L46">
        <v>15</v>
      </c>
      <c r="M46">
        <v>390</v>
      </c>
      <c r="N46">
        <v>14.63</v>
      </c>
      <c r="O46">
        <v>81.77</v>
      </c>
      <c r="P46">
        <v>79.819999999999993</v>
      </c>
      <c r="Q46">
        <v>37.82</v>
      </c>
      <c r="R46">
        <v>11.59</v>
      </c>
      <c r="S46" t="str">
        <v>連接器,電子零件元件,連接線材,電線電纜,電子線</v>
      </c>
      <c r="T46" t="str">
        <v>--</v>
      </c>
      <c r="U46">
        <f t="array" ref="U46:AD46">[1]!'3665.TW-ChipsField17,ROE,InOutRatio,RevenueMonth,EstimatedTotalVolume,5DayAvgVol,FinanceUsedRatio,PriceChange,CashAndStockDividend,ChipsField25'</f>
        <v>332</v>
      </c>
      <c r="V46">
        <v>2.37</v>
      </c>
      <c r="W46">
        <v>66.13</v>
      </c>
      <c r="X46" t="str">
        <v>2024/06</v>
      </c>
      <c r="Y46">
        <v>9560</v>
      </c>
      <c r="Z46">
        <v>4125</v>
      </c>
      <c r="AA46">
        <v>12.05</v>
      </c>
      <c r="AB46">
        <v>30.5</v>
      </c>
      <c r="AC46">
        <v>8.7799999999999994</v>
      </c>
      <c r="AD46" t="str">
        <v>2024/07/23</v>
      </c>
      <c r="AE46">
        <f t="array" ref="AE46:AN46">[1]!'3665.TW-TotalVolume,PreClose,Capital,AvgPrice,Profit,MarketValue,DateofMeetingofShareHolders,InvestorConferenceDate,ShortBalance,FinanceBalance'</f>
        <v>4223</v>
      </c>
      <c r="AF46">
        <v>379</v>
      </c>
      <c r="AG46">
        <v>17.3</v>
      </c>
      <c r="AH46">
        <v>404.3</v>
      </c>
      <c r="AI46">
        <v>3.56</v>
      </c>
      <c r="AJ46">
        <v>669.2</v>
      </c>
      <c r="AK46" t="str">
        <v>2024/05/30</v>
      </c>
      <c r="AL46" t="str">
        <v>2024/05/14</v>
      </c>
      <c r="AM46">
        <v>64</v>
      </c>
      <c r="AN46">
        <v>5214</v>
      </c>
    </row>
    <row r="47" spans="1:40" x14ac:dyDescent="0.25">
      <c r="A47" t="str">
        <f t="array" ref="A47:J47">[1]!'4906.TW-ID,Name,CompanyPos,Price,DIndexPtsContributionRate,VolumeRatio,TurnoverRatio,PriceChangeRatio,DLOrderValueDiffRatio,MajorOrderBidAskRatio'</f>
        <v>4906</v>
      </c>
      <c r="B47" t="str">
        <v>正文</v>
      </c>
      <c r="C47" t="str">
        <v>台灣無線區域網路代工大廠</v>
      </c>
      <c r="D47">
        <v>43.8</v>
      </c>
      <c r="E47">
        <v>0.02</v>
      </c>
      <c r="F47">
        <v>2.08</v>
      </c>
      <c r="G47">
        <v>1.57</v>
      </c>
      <c r="H47">
        <v>2.94</v>
      </c>
      <c r="I47">
        <v>4.99</v>
      </c>
      <c r="J47">
        <v>69.510000000000005</v>
      </c>
      <c r="K47" t="str">
        <f t="array" ref="K47:T47">[1]!'4906.TW-MajorOrderDif,DXLOrderValueDiffRatio,Low,MonthReturn,QuarterReturn,HalfYearReturn,YearReturn,DLOrderOutValueRatio,DetailIndustry,CompanyNews'</f>
        <v>4141萬</v>
      </c>
      <c r="L47">
        <v>9.5299999999999994</v>
      </c>
      <c r="M47">
        <v>43.05</v>
      </c>
      <c r="N47">
        <v>18.54</v>
      </c>
      <c r="O47">
        <v>37.08</v>
      </c>
      <c r="P47">
        <v>25.91</v>
      </c>
      <c r="Q47">
        <v>42.22</v>
      </c>
      <c r="R47">
        <v>9.84</v>
      </c>
      <c r="S47" t="str">
        <v>無線網路設備系統(WLAN),通訊設備,電信設備,區域網路,通訊設備零組件</v>
      </c>
      <c r="T47" t="str">
        <v>--</v>
      </c>
      <c r="U47">
        <f t="array" ref="U47:AD47">[1]!'4906.TW-ChipsField17,ROE,InOutRatio,RevenueMonth,EstimatedTotalVolume,5DayAvgVol,FinanceUsedRatio,PriceChange,CashAndStockDividend,ChipsField25'</f>
        <v>1484</v>
      </c>
      <c r="V47">
        <v>0.56000000000000005</v>
      </c>
      <c r="W47">
        <v>61.46</v>
      </c>
      <c r="X47" t="str">
        <v>2024/06</v>
      </c>
      <c r="Y47">
        <v>13158</v>
      </c>
      <c r="Z47">
        <v>9203</v>
      </c>
      <c r="AA47">
        <v>16.97</v>
      </c>
      <c r="AB47">
        <v>1.25</v>
      </c>
      <c r="AC47">
        <v>1.48</v>
      </c>
      <c r="AD47" t="str">
        <v>2024/06/26</v>
      </c>
      <c r="AE47">
        <f t="array" ref="AE47:AN47">[1]!'4906.TW-TotalVolume,PreClose,Capital,AvgPrice,Profit,MarketValue,DateofMeetingofShareHolders,InvestorConferenceDate,ShortBalance,FinanceBalance'</f>
        <v>6487</v>
      </c>
      <c r="AF47">
        <v>42.55</v>
      </c>
      <c r="AG47">
        <v>41.57</v>
      </c>
      <c r="AH47">
        <v>43.96</v>
      </c>
      <c r="AI47">
        <v>0.18</v>
      </c>
      <c r="AJ47">
        <v>180.5</v>
      </c>
      <c r="AK47" t="str">
        <v>2024/05/29</v>
      </c>
      <c r="AL47" t="str">
        <v>2023/12/20</v>
      </c>
      <c r="AM47">
        <v>853</v>
      </c>
      <c r="AN47">
        <v>17640</v>
      </c>
    </row>
    <row r="48" spans="1:40" x14ac:dyDescent="0.25">
      <c r="A48" t="str">
        <f t="array" ref="A48:J48">[1]!'2374.TW-ID,Name,CompanyPos,Price,DIndexPtsContributionRate,VolumeRatio,TurnoverRatio,PriceChangeRatio,DLOrderValueDiffRatio,MajorOrderBidAskRatio'</f>
        <v>2374</v>
      </c>
      <c r="B48" t="str">
        <v>佳能</v>
      </c>
      <c r="C48" t="str">
        <v>以車載鏡頭及AI相機應用為主</v>
      </c>
      <c r="D48">
        <v>51.8</v>
      </c>
      <c r="E48">
        <v>0.02</v>
      </c>
      <c r="F48">
        <v>2.5099999999999998</v>
      </c>
      <c r="G48">
        <v>1.76</v>
      </c>
      <c r="H48">
        <v>5.28</v>
      </c>
      <c r="I48">
        <v>2.71</v>
      </c>
      <c r="J48">
        <v>68.06</v>
      </c>
      <c r="K48" t="str">
        <f t="array" ref="K48:T48">[1]!'2374.TW-MajorOrderDif,DXLOrderValueDiffRatio,Low,MonthReturn,QuarterReturn,HalfYearReturn,YearReturn,DLOrderOutValueRatio,DetailIndustry,CompanyNews'</f>
        <v>2728萬</v>
      </c>
      <c r="L48">
        <v>7.65</v>
      </c>
      <c r="M48">
        <v>50.2</v>
      </c>
      <c r="N48">
        <v>1.28</v>
      </c>
      <c r="O48">
        <v>29.88</v>
      </c>
      <c r="P48">
        <v>111.94</v>
      </c>
      <c r="Q48">
        <v>168.7</v>
      </c>
      <c r="R48">
        <v>5.46</v>
      </c>
      <c r="S48" t="str">
        <v>數位相機,數位相機組裝,光學鏡片/頭,手機相機模組,手機零組件</v>
      </c>
      <c r="T48" t="str">
        <v>--</v>
      </c>
      <c r="U48">
        <f t="array" ref="U48:AD48">[1]!'2374.TW-ChipsField17,ROE,InOutRatio,RevenueMonth,EstimatedTotalVolume,5DayAvgVol,FinanceUsedRatio,PriceChange,CashAndStockDividend,ChipsField25'</f>
        <v>0</v>
      </c>
      <c r="V48">
        <v>2.16</v>
      </c>
      <c r="W48">
        <v>53.67</v>
      </c>
      <c r="X48" t="str">
        <v>2024/06</v>
      </c>
      <c r="Y48">
        <v>11592</v>
      </c>
      <c r="Z48">
        <v>5077</v>
      </c>
      <c r="AA48">
        <v>18.7</v>
      </c>
      <c r="AB48">
        <v>2.6</v>
      </c>
      <c r="AC48">
        <v>0.9</v>
      </c>
      <c r="AD48" t="str">
        <v>2024/07/18</v>
      </c>
      <c r="AE48">
        <f t="array" ref="AE48:AN48">[1]!'2374.TW-TotalVolume,PreClose,Capital,AvgPrice,Profit,MarketValue,DateofMeetingofShareHolders,InvestorConferenceDate,ShortBalance,FinanceBalance'</f>
        <v>5071</v>
      </c>
      <c r="AF48">
        <v>49.2</v>
      </c>
      <c r="AG48">
        <v>28.75</v>
      </c>
      <c r="AH48">
        <v>51.95</v>
      </c>
      <c r="AI48">
        <v>0.53</v>
      </c>
      <c r="AJ48">
        <v>148.9</v>
      </c>
      <c r="AK48" t="str">
        <v>2024/06/20</v>
      </c>
      <c r="AL48" t="str">
        <v>2024/05/13</v>
      </c>
      <c r="AM48">
        <v>199</v>
      </c>
      <c r="AN48">
        <v>13444</v>
      </c>
    </row>
    <row r="49" spans="1:40" x14ac:dyDescent="0.25">
      <c r="A49" t="str">
        <f t="array" ref="A49:J49">[1]!'3689.TW-ID,Name,CompanyPos,Price,DIndexPtsContributionRate,VolumeRatio,TurnoverRatio,PriceChangeRatio,DLOrderValueDiffRatio,MajorOrderBidAskRatio'</f>
        <v>3689</v>
      </c>
      <c r="B49" t="str">
        <v>湧德</v>
      </c>
      <c r="C49" t="str">
        <v>主要生產DT、網通及消費電子用連接器</v>
      </c>
      <c r="D49">
        <v>76.900000000000006</v>
      </c>
      <c r="E49">
        <v>0</v>
      </c>
      <c r="F49">
        <v>3.61</v>
      </c>
      <c r="G49">
        <v>3.93</v>
      </c>
      <c r="H49">
        <v>8.6199999999999992</v>
      </c>
      <c r="I49">
        <v>-3.06</v>
      </c>
      <c r="J49">
        <v>67.489999999999995</v>
      </c>
      <c r="K49" t="str">
        <f t="array" ref="K49:T49">[1]!'3689.TW-MajorOrderDif,DXLOrderValueDiffRatio,Low,MonthReturn,QuarterReturn,HalfYearReturn,YearReturn,DLOrderOutValueRatio,DetailIndustry,CompanyNews'</f>
        <v>3978萬</v>
      </c>
      <c r="L49">
        <v>19.98</v>
      </c>
      <c r="M49">
        <v>73</v>
      </c>
      <c r="N49">
        <v>1.35</v>
      </c>
      <c r="O49">
        <v>25.49</v>
      </c>
      <c r="P49">
        <v>39.57</v>
      </c>
      <c r="Q49">
        <v>31.94</v>
      </c>
      <c r="R49">
        <v>8.3699999999999992</v>
      </c>
      <c r="S49" t="str">
        <v>連接器,電子零件元件</v>
      </c>
      <c r="T49" t="str">
        <v>8/1除息2.45元</v>
      </c>
      <c r="U49">
        <f t="array" ref="U49:AD49">[1]!'3689.TW-ChipsField17,ROE,InOutRatio,RevenueMonth,EstimatedTotalVolume,5DayAvgVol,FinanceUsedRatio,PriceChange,CashAndStockDividend,ChipsField25'</f>
        <v>28</v>
      </c>
      <c r="V49">
        <v>1.18</v>
      </c>
      <c r="W49">
        <v>59.6</v>
      </c>
      <c r="X49" t="str">
        <v>2024/06</v>
      </c>
      <c r="Y49">
        <v>5588</v>
      </c>
      <c r="Z49">
        <v>3900</v>
      </c>
      <c r="AA49">
        <v>72.53</v>
      </c>
      <c r="AB49">
        <v>6.1</v>
      </c>
      <c r="AC49">
        <v>2.4500000000000002</v>
      </c>
      <c r="AD49" t="str">
        <v>2024/08/01</v>
      </c>
      <c r="AE49">
        <f t="array" ref="AE49:AN49">[1]!'3689.TW-TotalVolume,PreClose,Capital,AvgPrice,Profit,MarketValue,DateofMeetingofShareHolders,InvestorConferenceDate,ShortBalance,FinanceBalance'</f>
        <v>3093</v>
      </c>
      <c r="AF49">
        <v>70.8</v>
      </c>
      <c r="AG49">
        <v>7.94</v>
      </c>
      <c r="AH49">
        <v>76.010000000000005</v>
      </c>
      <c r="AI49">
        <v>0.55000000000000004</v>
      </c>
      <c r="AJ49">
        <v>60.5</v>
      </c>
      <c r="AK49" t="str">
        <v>2024/06/18</v>
      </c>
      <c r="AL49" t="str">
        <v>2024/03/27</v>
      </c>
      <c r="AM49">
        <v>0</v>
      </c>
      <c r="AN49">
        <v>14392</v>
      </c>
    </row>
    <row r="50" spans="1:40" x14ac:dyDescent="0.25">
      <c r="A50" t="str">
        <f t="array" ref="A50:J50">[1]!'2049.TW-ID,Name,CompanyPos,Price,DIndexPtsContributionRate,VolumeRatio,TurnoverRatio,PriceChangeRatio,DLOrderValueDiffRatio,MajorOrderBidAskRatio'</f>
        <v>2049</v>
      </c>
      <c r="B50" t="str">
        <v>上銀</v>
      </c>
      <c r="C50" t="str">
        <v>全球前三大滾珠螺桿廠商</v>
      </c>
      <c r="D50">
        <v>207</v>
      </c>
      <c r="E50">
        <v>0.1</v>
      </c>
      <c r="F50">
        <v>2.02</v>
      </c>
      <c r="G50">
        <v>0.27</v>
      </c>
      <c r="H50">
        <v>3.24</v>
      </c>
      <c r="I50">
        <v>8.4499999999999993</v>
      </c>
      <c r="J50">
        <v>67.41</v>
      </c>
      <c r="K50" t="str">
        <f t="array" ref="K50:T50">[1]!'2049.TW-MajorOrderDif,DXLOrderValueDiffRatio,Low,MonthReturn,QuarterReturn,HalfYearReturn,YearReturn,DLOrderOutValueRatio,DetailIndustry,CompanyNews'</f>
        <v>2248萬</v>
      </c>
      <c r="L50">
        <v>2.82</v>
      </c>
      <c r="M50">
        <v>204.5</v>
      </c>
      <c r="N50">
        <v>0.71</v>
      </c>
      <c r="O50">
        <v>-9.51</v>
      </c>
      <c r="P50">
        <v>-5.43</v>
      </c>
      <c r="Q50">
        <v>-3.02</v>
      </c>
      <c r="R50">
        <v>16.940000000000001</v>
      </c>
      <c r="S50" t="str">
        <v>機器人,軸承／滑軌,機械</v>
      </c>
      <c r="T50" t="str">
        <v>--</v>
      </c>
      <c r="U50">
        <f t="array" ref="U50:AD50">[1]!'2049.TW-ChipsField17,ROE,InOutRatio,RevenueMonth,EstimatedTotalVolume,5DayAvgVol,FinanceUsedRatio,PriceChange,CashAndStockDividend,ChipsField25'</f>
        <v>121</v>
      </c>
      <c r="V50">
        <v>1.03</v>
      </c>
      <c r="W50">
        <v>54.33</v>
      </c>
      <c r="X50" t="str">
        <v>2024/06</v>
      </c>
      <c r="Y50">
        <v>2666</v>
      </c>
      <c r="Z50">
        <v>1712</v>
      </c>
      <c r="AA50">
        <v>3.66</v>
      </c>
      <c r="AB50">
        <v>6.5</v>
      </c>
      <c r="AC50">
        <v>2.5</v>
      </c>
      <c r="AD50" t="str">
        <v>2024/07/10</v>
      </c>
      <c r="AE50">
        <f t="array" ref="AE50:AN50">[1]!'2049.TW-TotalVolume,PreClose,Capital,AvgPrice,Profit,MarketValue,DateofMeetingofShareHolders,InvestorConferenceDate,ShortBalance,FinanceBalance'</f>
        <v>963</v>
      </c>
      <c r="AF50">
        <v>200.5</v>
      </c>
      <c r="AG50">
        <v>35.380000000000003</v>
      </c>
      <c r="AH50">
        <v>207.11</v>
      </c>
      <c r="AI50">
        <v>1.1200000000000001</v>
      </c>
      <c r="AJ50">
        <v>732.3</v>
      </c>
      <c r="AK50" t="str">
        <v>2024/05/31</v>
      </c>
      <c r="AL50" t="str">
        <v>2024/05/10</v>
      </c>
      <c r="AM50">
        <v>29</v>
      </c>
      <c r="AN50">
        <v>3235</v>
      </c>
    </row>
    <row r="51" spans="1:40" x14ac:dyDescent="0.25">
      <c r="A51" t="str">
        <f t="array" ref="A51:J51">[1]!'6191.TW-ID,Name,CompanyPos,Price,DIndexPtsContributionRate,VolumeRatio,TurnoverRatio,PriceChangeRatio,DLOrderValueDiffRatio,MajorOrderBidAskRatio'</f>
        <v>6191</v>
      </c>
      <c r="B51" t="str">
        <v>精成科</v>
      </c>
      <c r="C51" t="str">
        <v>瀚宇博轉投資印刷電路板暨組裝代工廠</v>
      </c>
      <c r="D51">
        <v>64.5</v>
      </c>
      <c r="E51">
        <v>0.04</v>
      </c>
      <c r="F51">
        <v>3.31</v>
      </c>
      <c r="G51">
        <v>0.45</v>
      </c>
      <c r="H51">
        <v>4.37</v>
      </c>
      <c r="I51">
        <v>3.63</v>
      </c>
      <c r="J51">
        <v>65.709999999999994</v>
      </c>
      <c r="K51" t="str">
        <f t="array" ref="K51:T51">[1]!'6191.TW-MajorOrderDif,DXLOrderValueDiffRatio,Low,MonthReturn,QuarterReturn,HalfYearReturn,YearReturn,DLOrderOutValueRatio,DetailIndustry,CompanyNews'</f>
        <v>1594萬</v>
      </c>
      <c r="L51">
        <v>7.83</v>
      </c>
      <c r="M51">
        <v>63.9</v>
      </c>
      <c r="N51">
        <v>-7.78</v>
      </c>
      <c r="O51">
        <v>-7.53</v>
      </c>
      <c r="P51">
        <v>4.1500000000000004</v>
      </c>
      <c r="Q51">
        <v>34.119999999999997</v>
      </c>
      <c r="R51">
        <v>10.17</v>
      </c>
      <c r="S51" t="str">
        <v>印刷電路板,印刷電路板相關,電子製造服務,電腦系統業</v>
      </c>
      <c r="T51" t="str">
        <v>上半年合併獲利14.47億元</v>
      </c>
      <c r="U51">
        <f t="array" ref="U51:AD51">[1]!'6191.TW-ChipsField17,ROE,InOutRatio,RevenueMonth,EstimatedTotalVolume,5DayAvgVol,FinanceUsedRatio,PriceChange,CashAndStockDividend,ChipsField25'</f>
        <v>20</v>
      </c>
      <c r="V51">
        <v>2.71</v>
      </c>
      <c r="W51">
        <v>57.54</v>
      </c>
      <c r="X51" t="str">
        <v>2024/06</v>
      </c>
      <c r="Y51">
        <v>6530</v>
      </c>
      <c r="Z51">
        <v>2074</v>
      </c>
      <c r="AA51">
        <v>5.04</v>
      </c>
      <c r="AB51">
        <v>2.7</v>
      </c>
      <c r="AC51">
        <v>3.3</v>
      </c>
      <c r="AD51" t="str">
        <v>2024/07/09</v>
      </c>
      <c r="AE51">
        <f t="array" ref="AE51:AN51">[1]!'6191.TW-TotalVolume,PreClose,Capital,AvgPrice,Profit,MarketValue,DateofMeetingofShareHolders,InvestorConferenceDate,ShortBalance,FinanceBalance'</f>
        <v>2157</v>
      </c>
      <c r="AF51">
        <v>61.8</v>
      </c>
      <c r="AG51">
        <v>47.43</v>
      </c>
      <c r="AH51">
        <v>64.47</v>
      </c>
      <c r="AI51">
        <v>1.24</v>
      </c>
      <c r="AJ51">
        <v>305.89999999999998</v>
      </c>
      <c r="AK51" t="str">
        <v>2024/06/18</v>
      </c>
      <c r="AL51" t="str">
        <v>2023/05/30</v>
      </c>
      <c r="AM51">
        <v>9</v>
      </c>
      <c r="AN51">
        <v>5982</v>
      </c>
    </row>
    <row r="52" spans="1:40" x14ac:dyDescent="0.25">
      <c r="A52" t="str">
        <f t="array" ref="A52:J52">[1]!'4306.TW-ID,Name,CompanyPos,Price,DIndexPtsContributionRate,VolumeRatio,TurnoverRatio,PriceChangeRatio,DLOrderValueDiffRatio,MajorOrderBidAskRatio'</f>
        <v>4306</v>
      </c>
      <c r="B52" t="str">
        <v>炎洲</v>
      </c>
      <c r="C52" t="str">
        <v>全球第一大PVC膠帶生產商</v>
      </c>
      <c r="D52">
        <v>22.45</v>
      </c>
      <c r="E52">
        <v>0.02</v>
      </c>
      <c r="F52">
        <v>1.81</v>
      </c>
      <c r="G52">
        <v>0.53</v>
      </c>
      <c r="H52">
        <v>2.0499999999999998</v>
      </c>
      <c r="I52">
        <v>-1.71</v>
      </c>
      <c r="J52">
        <v>65.41</v>
      </c>
      <c r="K52" t="str">
        <f t="array" ref="K52:T52">[1]!'4306.TW-MajorOrderDif,DXLOrderValueDiffRatio,Low,MonthReturn,QuarterReturn,HalfYearReturn,YearReturn,DLOrderOutValueRatio,DetailIndustry,CompanyNews'</f>
        <v>1198萬</v>
      </c>
      <c r="L52">
        <v>16.71</v>
      </c>
      <c r="M52">
        <v>22</v>
      </c>
      <c r="N52">
        <v>14.05</v>
      </c>
      <c r="O52">
        <v>12.42</v>
      </c>
      <c r="P52">
        <v>38.200000000000003</v>
      </c>
      <c r="Q52">
        <v>59.29</v>
      </c>
      <c r="R52">
        <v>10.65</v>
      </c>
      <c r="S52" t="str">
        <v>膠帶,化學工業,塑膠加工,石化業</v>
      </c>
      <c r="T52" t="str">
        <v>自結6月合併稅前獲利2.48億元</v>
      </c>
      <c r="U52">
        <f t="array" ref="U52:AD52">[1]!'4306.TW-ChipsField17,ROE,InOutRatio,RevenueMonth,EstimatedTotalVolume,5DayAvgVol,FinanceUsedRatio,PriceChange,CashAndStockDividend,ChipsField25'</f>
        <v>0</v>
      </c>
      <c r="V52">
        <v>1.63</v>
      </c>
      <c r="W52">
        <v>61.35</v>
      </c>
      <c r="X52" t="str">
        <v>2024/06</v>
      </c>
      <c r="Y52">
        <v>6661</v>
      </c>
      <c r="Z52">
        <v>5178</v>
      </c>
      <c r="AA52">
        <v>7.04</v>
      </c>
      <c r="AB52">
        <v>0.45</v>
      </c>
      <c r="AC52">
        <v>0.98</v>
      </c>
      <c r="AD52" t="str">
        <v>2024/07/18</v>
      </c>
      <c r="AE52">
        <f t="array" ref="AE52:AN52">[1]!'4306.TW-TotalVolume,PreClose,Capital,AvgPrice,Profit,MarketValue,DateofMeetingofShareHolders,InvestorConferenceDate,ShortBalance,FinanceBalance'</f>
        <v>3580</v>
      </c>
      <c r="AF52">
        <v>22</v>
      </c>
      <c r="AG52">
        <v>67.92</v>
      </c>
      <c r="AH52">
        <v>22.3</v>
      </c>
      <c r="AI52">
        <v>0.3</v>
      </c>
      <c r="AJ52">
        <v>152.5</v>
      </c>
      <c r="AK52" t="str">
        <v>2024/06/21</v>
      </c>
      <c r="AL52" t="str">
        <v>2023/12/26</v>
      </c>
      <c r="AM52">
        <v>19</v>
      </c>
      <c r="AN52">
        <v>11962</v>
      </c>
    </row>
    <row r="53" spans="1:40" x14ac:dyDescent="0.25">
      <c r="A53" t="str">
        <f t="array" ref="A53:J53">[1]!'1447.TW-ID,Name,CompanyPos,Price,DIndexPtsContributionRate,VolumeRatio,TurnoverRatio,PriceChangeRatio,DLOrderValueDiffRatio,MajorOrderBidAskRatio'</f>
        <v>1447</v>
      </c>
      <c r="B53" t="str">
        <v>力鵬</v>
      </c>
      <c r="C53" t="str">
        <v>台灣第一大尼龍粒廠，為力麗集團成員</v>
      </c>
      <c r="D53">
        <v>10.6</v>
      </c>
      <c r="E53">
        <v>0.01</v>
      </c>
      <c r="F53">
        <v>2.92</v>
      </c>
      <c r="G53">
        <v>0.2</v>
      </c>
      <c r="H53">
        <v>1.92</v>
      </c>
      <c r="I53">
        <v>1.9</v>
      </c>
      <c r="J53">
        <v>64.959999999999994</v>
      </c>
      <c r="K53" t="str">
        <f t="array" ref="K53:T53">[1]!'1447.TW-MajorOrderDif,DXLOrderValueDiffRatio,Low,MonthReturn,QuarterReturn,HalfYearReturn,YearReturn,DLOrderOutValueRatio,DetailIndustry,CompanyNews'</f>
        <v>315萬</v>
      </c>
      <c r="L53">
        <v>14.5</v>
      </c>
      <c r="M53">
        <v>10.4</v>
      </c>
      <c r="N53">
        <v>11.11</v>
      </c>
      <c r="O53">
        <v>30.86</v>
      </c>
      <c r="P53">
        <v>37.479999999999997</v>
      </c>
      <c r="Q53">
        <v>35.03</v>
      </c>
      <c r="R53">
        <v>13.3</v>
      </c>
      <c r="S53" t="str">
        <v>尼龍粒,尼龍絲,化纖原料,織布,紡織中游</v>
      </c>
      <c r="T53" t="str">
        <v>--</v>
      </c>
      <c r="U53">
        <f t="array" ref="U53:AD53">[1]!'1447.TW-ChipsField17,ROE,InOutRatio,RevenueMonth,EstimatedTotalVolume,5DayAvgVol,FinanceUsedRatio,PriceChange,CashAndStockDividend,ChipsField25'</f>
        <v>0</v>
      </c>
      <c r="V53">
        <v>2</v>
      </c>
      <c r="W53">
        <v>66.36</v>
      </c>
      <c r="X53" t="str">
        <v>2024/06</v>
      </c>
      <c r="Y53">
        <v>4511</v>
      </c>
      <c r="Z53">
        <v>3785</v>
      </c>
      <c r="AA53">
        <v>7.38</v>
      </c>
      <c r="AB53">
        <v>0.2</v>
      </c>
      <c r="AC53">
        <v>0</v>
      </c>
      <c r="AD53" t="str">
        <v>--</v>
      </c>
      <c r="AE53">
        <f t="array" ref="AE53:AN53">[1]!'1447.TW-TotalVolume,PreClose,Capital,AvgPrice,Profit,MarketValue,DateofMeetingofShareHolders,InvestorConferenceDate,ShortBalance,FinanceBalance'</f>
        <v>1821</v>
      </c>
      <c r="AF53">
        <v>10.4</v>
      </c>
      <c r="AG53">
        <v>91.01</v>
      </c>
      <c r="AH53">
        <v>10.53</v>
      </c>
      <c r="AI53">
        <v>0.22</v>
      </c>
      <c r="AJ53">
        <v>96.5</v>
      </c>
      <c r="AK53" t="str">
        <v>2024/06/21</v>
      </c>
      <c r="AL53" t="str">
        <v>2023/11/22</v>
      </c>
      <c r="AM53">
        <v>134</v>
      </c>
      <c r="AN53">
        <v>16781</v>
      </c>
    </row>
    <row r="54" spans="1:40" x14ac:dyDescent="0.25">
      <c r="A54" t="str">
        <f t="array" ref="A54:J54">[1]!'1718.TW-ID,Name,CompanyPos,Price,DIndexPtsContributionRate,VolumeRatio,TurnoverRatio,PriceChangeRatio,DLOrderValueDiffRatio,MajorOrderBidAskRatio'</f>
        <v>1718</v>
      </c>
      <c r="B54" t="str">
        <v>中纖</v>
      </c>
      <c r="C54" t="str">
        <v>台灣化纖及EG重要供應商</v>
      </c>
      <c r="D54">
        <v>8.69</v>
      </c>
      <c r="E54">
        <v>0.02</v>
      </c>
      <c r="F54">
        <v>1.9</v>
      </c>
      <c r="G54">
        <v>0.14000000000000001</v>
      </c>
      <c r="H54">
        <v>2</v>
      </c>
      <c r="I54">
        <v>2.87</v>
      </c>
      <c r="J54">
        <v>64.91</v>
      </c>
      <c r="K54" t="str">
        <f t="array" ref="K54:T54">[1]!'1718.TW-MajorOrderDif,DXLOrderValueDiffRatio,Low,MonthReturn,QuarterReturn,HalfYearReturn,YearReturn,DLOrderOutValueRatio,DetailIndustry,CompanyNews'</f>
        <v>148萬</v>
      </c>
      <c r="L54">
        <v>4.53</v>
      </c>
      <c r="M54">
        <v>8.5399999999999991</v>
      </c>
      <c r="N54">
        <v>7.28</v>
      </c>
      <c r="O54">
        <v>13.45</v>
      </c>
      <c r="P54">
        <v>12.13</v>
      </c>
      <c r="Q54">
        <v>6.36</v>
      </c>
      <c r="R54">
        <v>7.22</v>
      </c>
      <c r="S54" t="str">
        <v>化學工業,其他化工產品,聚酯絲,聚酯加工絲,化纖原料,EG</v>
      </c>
      <c r="T54" t="str">
        <v>--</v>
      </c>
      <c r="U54">
        <f t="array" ref="U54:AD54">[1]!'1718.TW-ChipsField17,ROE,InOutRatio,RevenueMonth,EstimatedTotalVolume,5DayAvgVol,FinanceUsedRatio,PriceChange,CashAndStockDividend,ChipsField25'</f>
        <v>0</v>
      </c>
      <c r="V54">
        <v>1.98</v>
      </c>
      <c r="W54">
        <v>63.7</v>
      </c>
      <c r="X54" t="str">
        <v>2024/06</v>
      </c>
      <c r="Y54">
        <v>4549</v>
      </c>
      <c r="Z54">
        <v>2657</v>
      </c>
      <c r="AA54">
        <v>5.38</v>
      </c>
      <c r="AB54">
        <v>0.17</v>
      </c>
      <c r="AC54">
        <v>0</v>
      </c>
      <c r="AD54" t="str">
        <v>--</v>
      </c>
      <c r="AE54">
        <f t="array" ref="AE54:AN54">[1]!'1718.TW-TotalVolume,PreClose,Capital,AvgPrice,Profit,MarketValue,DateofMeetingofShareHolders,InvestorConferenceDate,ShortBalance,FinanceBalance'</f>
        <v>2307</v>
      </c>
      <c r="AF54">
        <v>8.52</v>
      </c>
      <c r="AG54">
        <v>168.59</v>
      </c>
      <c r="AH54">
        <v>8.65</v>
      </c>
      <c r="AI54">
        <v>0.01</v>
      </c>
      <c r="AJ54">
        <v>146.5</v>
      </c>
      <c r="AK54" t="str">
        <v>2024/06/12</v>
      </c>
      <c r="AL54" t="str">
        <v>2024/06/12</v>
      </c>
      <c r="AM54">
        <v>19</v>
      </c>
      <c r="AN54">
        <v>22677</v>
      </c>
    </row>
    <row r="55" spans="1:40" x14ac:dyDescent="0.25">
      <c r="A55" t="str">
        <f t="array" ref="A55:J55">[1]!'2606.TW-ID,Name,CompanyPos,Price,DIndexPtsContributionRate,VolumeRatio,TurnoverRatio,PriceChangeRatio,DLOrderValueDiffRatio,MajorOrderBidAskRatio'</f>
        <v>2606</v>
      </c>
      <c r="B55" t="str">
        <v>裕民</v>
      </c>
      <c r="C55" t="str">
        <v>台灣最大散裝航運公司之一</v>
      </c>
      <c r="D55">
        <v>52.6</v>
      </c>
      <c r="E55">
        <v>0.06</v>
      </c>
      <c r="F55">
        <v>2.58</v>
      </c>
      <c r="G55">
        <v>0.26</v>
      </c>
      <c r="H55">
        <v>1.94</v>
      </c>
      <c r="I55">
        <v>-1.52</v>
      </c>
      <c r="J55">
        <v>64.72</v>
      </c>
      <c r="K55" t="str">
        <f t="array" ref="K55:T55">[1]!'2606.TW-MajorOrderDif,DXLOrderValueDiffRatio,Low,MonthReturn,QuarterReturn,HalfYearReturn,YearReturn,DLOrderOutValueRatio,DetailIndustry,CompanyNews'</f>
        <v>1900萬</v>
      </c>
      <c r="L55">
        <v>18.010000000000002</v>
      </c>
      <c r="M55">
        <v>51.5</v>
      </c>
      <c r="N55">
        <v>-6.9</v>
      </c>
      <c r="O55">
        <v>1.23</v>
      </c>
      <c r="P55">
        <v>12.89</v>
      </c>
      <c r="Q55">
        <v>26.28</v>
      </c>
      <c r="R55">
        <v>8.09</v>
      </c>
      <c r="S55" t="str">
        <v>散裝航運,油輪,運輸事業</v>
      </c>
      <c r="T55" t="str">
        <v>--</v>
      </c>
      <c r="U55">
        <f t="array" ref="U55:AD55">[1]!'2606.TW-ChipsField17,ROE,InOutRatio,RevenueMonth,EstimatedTotalVolume,5DayAvgVol,FinanceUsedRatio,PriceChange,CashAndStockDividend,ChipsField25'</f>
        <v>78</v>
      </c>
      <c r="V55">
        <v>2.74</v>
      </c>
      <c r="W55">
        <v>62.2</v>
      </c>
      <c r="X55" t="str">
        <v>2024/06</v>
      </c>
      <c r="Y55">
        <v>5088</v>
      </c>
      <c r="Z55">
        <v>2412</v>
      </c>
      <c r="AA55">
        <v>4.04</v>
      </c>
      <c r="AB55">
        <v>1</v>
      </c>
      <c r="AC55">
        <v>2.4</v>
      </c>
      <c r="AD55" t="str">
        <v>2024/06/27</v>
      </c>
      <c r="AE55">
        <f t="array" ref="AE55:AN55">[1]!'2606.TW-TotalVolume,PreClose,Capital,AvgPrice,Profit,MarketValue,DateofMeetingofShareHolders,InvestorConferenceDate,ShortBalance,FinanceBalance'</f>
        <v>2204</v>
      </c>
      <c r="AF55">
        <v>51.6</v>
      </c>
      <c r="AG55">
        <v>84.51</v>
      </c>
      <c r="AH55">
        <v>52.28</v>
      </c>
      <c r="AI55">
        <v>1.17</v>
      </c>
      <c r="AJ55">
        <v>444.5</v>
      </c>
      <c r="AK55" t="str">
        <v>2024/06/03</v>
      </c>
      <c r="AL55" t="str">
        <v>2023/11/16</v>
      </c>
      <c r="AM55">
        <v>19</v>
      </c>
      <c r="AN55">
        <v>8531</v>
      </c>
    </row>
    <row r="56" spans="1:40" x14ac:dyDescent="0.25">
      <c r="A56" t="str">
        <f t="array" ref="A56:J56">[1]!'2603.TW-ID,Name,CompanyPos,Price,DIndexPtsContributionRate,VolumeRatio,TurnoverRatio,PriceChangeRatio,DLOrderValueDiffRatio,MajorOrderBidAskRatio'</f>
        <v>2603</v>
      </c>
      <c r="B56" t="str">
        <v>長榮</v>
      </c>
      <c r="C56" t="str">
        <v>全球前七大貨櫃航商，且為台灣最大</v>
      </c>
      <c r="D56">
        <v>173.5</v>
      </c>
      <c r="E56">
        <v>0.52</v>
      </c>
      <c r="F56">
        <v>2.11</v>
      </c>
      <c r="G56">
        <v>0.59</v>
      </c>
      <c r="H56">
        <v>1.76</v>
      </c>
      <c r="I56">
        <v>2.4300000000000002</v>
      </c>
      <c r="J56">
        <v>64.069999999999993</v>
      </c>
      <c r="K56" t="str">
        <f t="array" ref="K56:T56">[1]!'2603.TW-MajorOrderDif,DXLOrderValueDiffRatio,Low,MonthReturn,QuarterReturn,HalfYearReturn,YearReturn,DLOrderOutValueRatio,DetailIndustry,CompanyNews'</f>
        <v>4.26億</v>
      </c>
      <c r="L56">
        <v>17.12</v>
      </c>
      <c r="M56">
        <v>170</v>
      </c>
      <c r="N56">
        <v>-9.64</v>
      </c>
      <c r="O56">
        <v>-3.64</v>
      </c>
      <c r="P56">
        <v>16.3</v>
      </c>
      <c r="Q56">
        <v>73.08</v>
      </c>
      <c r="R56">
        <v>5.81</v>
      </c>
      <c r="S56" t="str">
        <v>貨櫃航運,運輸事業</v>
      </c>
      <c r="T56" t="str">
        <v>--</v>
      </c>
      <c r="U56">
        <f t="array" ref="U56:AD56">[1]!'2603.TW-ChipsField17,ROE,InOutRatio,RevenueMonth,EstimatedTotalVolume,5DayAvgVol,FinanceUsedRatio,PriceChange,CashAndStockDividend,ChipsField25'</f>
        <v>227</v>
      </c>
      <c r="V56">
        <v>3.73</v>
      </c>
      <c r="W56">
        <v>63.77</v>
      </c>
      <c r="X56" t="str">
        <v>2024/06</v>
      </c>
      <c r="Y56">
        <v>32351</v>
      </c>
      <c r="Z56">
        <v>18331</v>
      </c>
      <c r="AA56">
        <v>6.06</v>
      </c>
      <c r="AB56">
        <v>3</v>
      </c>
      <c r="AC56">
        <v>9.9700000000000006</v>
      </c>
      <c r="AD56" t="str">
        <v>2024/06/27</v>
      </c>
      <c r="AE56">
        <f t="array" ref="AE56:AN56">[1]!'2603.TW-TotalVolume,PreClose,Capital,AvgPrice,Profit,MarketValue,DateofMeetingofShareHolders,InvestorConferenceDate,ShortBalance,FinanceBalance'</f>
        <v>12616</v>
      </c>
      <c r="AF56">
        <v>170.5</v>
      </c>
      <c r="AG56">
        <v>216.54</v>
      </c>
      <c r="AH56">
        <v>172.83</v>
      </c>
      <c r="AI56">
        <v>8.14</v>
      </c>
      <c r="AJ56">
        <v>3706.5</v>
      </c>
      <c r="AK56" t="str">
        <v>2024/05/28</v>
      </c>
      <c r="AL56" t="str">
        <v>2024/04/18</v>
      </c>
      <c r="AM56">
        <v>1165</v>
      </c>
      <c r="AN56">
        <v>32608</v>
      </c>
    </row>
    <row r="57" spans="1:40" x14ac:dyDescent="0.25">
      <c r="A57" t="str">
        <f t="array" ref="A57:J57">[1]!'2489.TW-ID,Name,CompanyPos,Price,DIndexPtsContributionRate,VolumeRatio,TurnoverRatio,PriceChangeRatio,DLOrderValueDiffRatio,MajorOrderBidAskRatio'</f>
        <v>2489</v>
      </c>
      <c r="B57" t="str">
        <v>瑞軒</v>
      </c>
      <c r="C57" t="str">
        <v>台灣知名液晶電視及顯示器代工廠</v>
      </c>
      <c r="D57">
        <v>21.85</v>
      </c>
      <c r="E57">
        <v>0.02</v>
      </c>
      <c r="F57">
        <v>1.77</v>
      </c>
      <c r="G57">
        <v>2.14</v>
      </c>
      <c r="H57">
        <v>2.58</v>
      </c>
      <c r="I57">
        <v>2.39</v>
      </c>
      <c r="J57">
        <v>62.21</v>
      </c>
      <c r="K57" t="str">
        <f t="array" ref="K57:T57">[1]!'2489.TW-MajorOrderDif,DXLOrderValueDiffRatio,Low,MonthReturn,QuarterReturn,HalfYearReturn,YearReturn,DLOrderOutValueRatio,DetailIndustry,CompanyNews'</f>
        <v>5200萬</v>
      </c>
      <c r="L57">
        <v>12.58</v>
      </c>
      <c r="M57">
        <v>21.55</v>
      </c>
      <c r="N57">
        <v>7.11</v>
      </c>
      <c r="O57">
        <v>43.28</v>
      </c>
      <c r="P57">
        <v>64.290000000000006</v>
      </c>
      <c r="Q57">
        <v>55.29</v>
      </c>
      <c r="R57">
        <v>7.93</v>
      </c>
      <c r="S57" t="str">
        <v>顯示器,LCD顯示器,週邊產品,家電,液晶電視</v>
      </c>
      <c r="T57" t="str">
        <v>--</v>
      </c>
      <c r="U57">
        <f t="array" ref="U57:AD57">[1]!'2489.TW-ChipsField17,ROE,InOutRatio,RevenueMonth,EstimatedTotalVolume,5DayAvgVol,FinanceUsedRatio,PriceChange,CashAndStockDividend,ChipsField25'</f>
        <v>3500</v>
      </c>
      <c r="V57">
        <v>4.24</v>
      </c>
      <c r="W57">
        <v>58.59</v>
      </c>
      <c r="X57" t="str">
        <v>2024/06</v>
      </c>
      <c r="Y57">
        <v>29768</v>
      </c>
      <c r="Z57">
        <v>20969</v>
      </c>
      <c r="AA57">
        <v>14.83</v>
      </c>
      <c r="AB57">
        <v>0.55000000000000004</v>
      </c>
      <c r="AC57">
        <v>0.54</v>
      </c>
      <c r="AD57" t="str">
        <v>--</v>
      </c>
      <c r="AE57">
        <f t="array" ref="AE57:AN57">[1]!'2489.TW-TotalVolume,PreClose,Capital,AvgPrice,Profit,MarketValue,DateofMeetingofShareHolders,InvestorConferenceDate,ShortBalance,FinanceBalance'</f>
        <v>15831</v>
      </c>
      <c r="AF57">
        <v>21.3</v>
      </c>
      <c r="AG57">
        <v>74.010000000000005</v>
      </c>
      <c r="AH57">
        <v>21.95</v>
      </c>
      <c r="AI57">
        <v>0.77</v>
      </c>
      <c r="AJ57">
        <v>161.69999999999999</v>
      </c>
      <c r="AK57" t="str">
        <v>2024/06/12</v>
      </c>
      <c r="AL57" t="str">
        <v>2023/12/21</v>
      </c>
      <c r="AM57">
        <v>595</v>
      </c>
      <c r="AN57">
        <v>27440</v>
      </c>
    </row>
    <row r="58" spans="1:40" x14ac:dyDescent="0.25">
      <c r="A58" t="str">
        <f t="array" ref="A58:J58">[1]!'2303.TW-ID,Name,CompanyPos,Price,DIndexPtsContributionRate,VolumeRatio,TurnoverRatio,PriceChangeRatio,DLOrderValueDiffRatio,MajorOrderBidAskRatio'</f>
        <v>2303</v>
      </c>
      <c r="B58" t="str">
        <v>聯電</v>
      </c>
      <c r="C58" t="str">
        <v>全球前十大晶圓代工廠之一</v>
      </c>
      <c r="D58">
        <v>53.2</v>
      </c>
      <c r="E58">
        <v>0.9</v>
      </c>
      <c r="F58">
        <v>5.71</v>
      </c>
      <c r="G58">
        <v>0.65</v>
      </c>
      <c r="H58">
        <v>5.56</v>
      </c>
      <c r="I58">
        <v>-0.78</v>
      </c>
      <c r="J58">
        <v>62.33</v>
      </c>
      <c r="K58" t="str">
        <f t="array" ref="K58:T58">[1]!'2303.TW-MajorOrderDif,DXLOrderValueDiffRatio,Low,MonthReturn,QuarterReturn,HalfYearReturn,YearReturn,DLOrderOutValueRatio,DetailIndustry,CompanyNews'</f>
        <v>6.77億</v>
      </c>
      <c r="L58">
        <v>16.420000000000002</v>
      </c>
      <c r="M58">
        <v>52.6</v>
      </c>
      <c r="N58">
        <v>-1.3</v>
      </c>
      <c r="O58">
        <v>10.77</v>
      </c>
      <c r="P58">
        <v>14.5</v>
      </c>
      <c r="Q58">
        <v>19.489999999999998</v>
      </c>
      <c r="R58">
        <v>2.8</v>
      </c>
      <c r="S58" t="str">
        <v>專業晶圓代工,IC製造</v>
      </c>
      <c r="T58" t="str">
        <v>6月營收175.48億元</v>
      </c>
      <c r="U58">
        <f t="array" ref="U58:AD58">[1]!'2303.TW-ChipsField17,ROE,InOutRatio,RevenueMonth,EstimatedTotalVolume,5DayAvgVol,FinanceUsedRatio,PriceChange,CashAndStockDividend,ChipsField25'</f>
        <v>8512</v>
      </c>
      <c r="V58" t="str">
        <v>--</v>
      </c>
      <c r="W58">
        <v>56.21</v>
      </c>
      <c r="X58" t="str">
        <v>2024/06</v>
      </c>
      <c r="Y58">
        <v>277286</v>
      </c>
      <c r="Z58">
        <v>60476</v>
      </c>
      <c r="AA58">
        <v>1.22</v>
      </c>
      <c r="AB58">
        <v>2.8</v>
      </c>
      <c r="AC58">
        <v>3</v>
      </c>
      <c r="AD58" t="str">
        <v>2024/07/02</v>
      </c>
      <c r="AE58">
        <f t="array" ref="AE58:AN58">[1]!'2303.TW-TotalVolume,PreClose,Capital,AvgPrice,Profit,MarketValue,DateofMeetingofShareHolders,InvestorConferenceDate,ShortBalance,FinanceBalance'</f>
        <v>81275</v>
      </c>
      <c r="AF58">
        <v>50.4</v>
      </c>
      <c r="AG58">
        <v>1252.8599999999999</v>
      </c>
      <c r="AH58">
        <v>53.25</v>
      </c>
      <c r="AI58">
        <v>1.1100000000000001</v>
      </c>
      <c r="AJ58">
        <v>6665.2</v>
      </c>
      <c r="AK58" t="str">
        <v>2024/05/30</v>
      </c>
      <c r="AL58" t="str">
        <v>2024/07/31</v>
      </c>
      <c r="AM58">
        <v>1478</v>
      </c>
      <c r="AN58">
        <v>38291</v>
      </c>
    </row>
    <row r="59" spans="1:40" x14ac:dyDescent="0.25">
      <c r="A59" t="str">
        <f t="array" ref="A59:J59">[1]!'2070.TW-ID,Name,CompanyPos,Price,DIndexPtsContributionRate,VolumeRatio,TurnoverRatio,PriceChangeRatio,DLOrderValueDiffRatio,MajorOrderBidAskRatio'</f>
        <v>2070</v>
      </c>
      <c r="B59" t="str">
        <v>精湛</v>
      </c>
      <c r="C59" t="str">
        <v>全球扣件篩選設備大廠</v>
      </c>
      <c r="D59">
        <v>65.3</v>
      </c>
      <c r="E59">
        <v>0</v>
      </c>
      <c r="F59">
        <v>2.34</v>
      </c>
      <c r="G59">
        <v>12.33</v>
      </c>
      <c r="H59">
        <v>3.98</v>
      </c>
      <c r="I59">
        <v>0.15</v>
      </c>
      <c r="J59">
        <v>62.16</v>
      </c>
      <c r="K59" t="str">
        <f t="array" ref="K59:T59">[1]!'2070.TW-MajorOrderDif,DXLOrderValueDiffRatio,Low,MonthReturn,QuarterReturn,HalfYearReturn,YearReturn,DLOrderOutValueRatio,DetailIndustry,CompanyNews'</f>
        <v>1857萬</v>
      </c>
      <c r="L59">
        <v>6.14</v>
      </c>
      <c r="M59">
        <v>64.099999999999994</v>
      </c>
      <c r="N59">
        <v>57.35</v>
      </c>
      <c r="O59">
        <v>95.8</v>
      </c>
      <c r="P59">
        <v>102.62</v>
      </c>
      <c r="Q59">
        <v>120.02</v>
      </c>
      <c r="R59">
        <v>2.1800000000000002</v>
      </c>
      <c r="S59" t="str">
        <v>設備儀器廠商</v>
      </c>
      <c r="T59" t="str">
        <v>--</v>
      </c>
      <c r="U59">
        <f t="array" ref="U59:AD59">[1]!'2070.TW-ChipsField17,ROE,InOutRatio,RevenueMonth,EstimatedTotalVolume,5DayAvgVol,FinanceUsedRatio,PriceChange,CashAndStockDividend,ChipsField25'</f>
        <v>0</v>
      </c>
      <c r="V59">
        <v>2.7</v>
      </c>
      <c r="W59">
        <v>52.26</v>
      </c>
      <c r="X59" t="str">
        <v>2024/06</v>
      </c>
      <c r="Y59">
        <v>11003</v>
      </c>
      <c r="Z59">
        <v>2278</v>
      </c>
      <c r="AA59">
        <v>38.130000000000003</v>
      </c>
      <c r="AB59">
        <v>2.5</v>
      </c>
      <c r="AC59">
        <v>1.5</v>
      </c>
      <c r="AD59" t="str">
        <v>2024/04/02</v>
      </c>
      <c r="AE59">
        <f t="array" ref="AE59:AN59">[1]!'2070.TW-TotalVolume,PreClose,Capital,AvgPrice,Profit,MarketValue,DateofMeetingofShareHolders,InvestorConferenceDate,ShortBalance,FinanceBalance'</f>
        <v>4413</v>
      </c>
      <c r="AF59">
        <v>62.8</v>
      </c>
      <c r="AG59">
        <v>3.58</v>
      </c>
      <c r="AH59">
        <v>66.959999999999994</v>
      </c>
      <c r="AI59">
        <v>0.67</v>
      </c>
      <c r="AJ59">
        <v>23.4</v>
      </c>
      <c r="AK59" t="str">
        <v>2024/06/06</v>
      </c>
      <c r="AL59" t="str">
        <v>--</v>
      </c>
      <c r="AM59">
        <v>34</v>
      </c>
      <c r="AN59">
        <v>3411</v>
      </c>
    </row>
    <row r="60" spans="1:40" x14ac:dyDescent="0.25">
      <c r="A60" t="str">
        <f t="array" ref="A60:J60">[1]!'2615.TW-ID,Name,CompanyPos,Price,DIndexPtsContributionRate,VolumeRatio,TurnoverRatio,PriceChangeRatio,DLOrderValueDiffRatio,MajorOrderBidAskRatio'</f>
        <v>2615</v>
      </c>
      <c r="B60" t="str">
        <v>萬海</v>
      </c>
      <c r="C60" t="str">
        <v>亞洲大型貨櫃輪航商</v>
      </c>
      <c r="D60">
        <v>79.8</v>
      </c>
      <c r="E60">
        <v>0.31</v>
      </c>
      <c r="F60">
        <v>1.77</v>
      </c>
      <c r="G60">
        <v>0.52</v>
      </c>
      <c r="H60">
        <v>2.44</v>
      </c>
      <c r="I60">
        <v>1.78</v>
      </c>
      <c r="J60">
        <v>61.45</v>
      </c>
      <c r="K60" t="str">
        <f t="array" ref="K60:T60">[1]!'2615.TW-MajorOrderDif,DXLOrderValueDiffRatio,Low,MonthReturn,QuarterReturn,HalfYearReturn,YearReturn,DLOrderOutValueRatio,DetailIndustry,CompanyNews'</f>
        <v>1.55億</v>
      </c>
      <c r="L60">
        <v>11.72</v>
      </c>
      <c r="M60">
        <v>77.3</v>
      </c>
      <c r="N60">
        <v>-7.21</v>
      </c>
      <c r="O60">
        <v>60.29</v>
      </c>
      <c r="P60">
        <v>63.68</v>
      </c>
      <c r="Q60">
        <v>59.04</v>
      </c>
      <c r="R60">
        <v>8.42</v>
      </c>
      <c r="S60" t="str">
        <v>貨櫃航運,運輸事業</v>
      </c>
      <c r="T60" t="str">
        <v>--</v>
      </c>
      <c r="U60">
        <f t="array" ref="U60:AD60">[1]!'2615.TW-ChipsField17,ROE,InOutRatio,RevenueMonth,EstimatedTotalVolume,5DayAvgVol,FinanceUsedRatio,PriceChange,CashAndStockDividend,ChipsField25'</f>
        <v>660</v>
      </c>
      <c r="V60">
        <v>2.1800000000000002</v>
      </c>
      <c r="W60">
        <v>58.7</v>
      </c>
      <c r="X60" t="str">
        <v>2024/06</v>
      </c>
      <c r="Y60">
        <v>32397</v>
      </c>
      <c r="Z60">
        <v>19646</v>
      </c>
      <c r="AA60">
        <v>3.24</v>
      </c>
      <c r="AB60">
        <v>1.9</v>
      </c>
      <c r="AC60">
        <v>1.5</v>
      </c>
      <c r="AD60" t="str">
        <v>2024/06/13</v>
      </c>
      <c r="AE60">
        <f t="array" ref="AE60:AN60">[1]!'2615.TW-TotalVolume,PreClose,Capital,AvgPrice,Profit,MarketValue,DateofMeetingofShareHolders,InvestorConferenceDate,ShortBalance,FinanceBalance'</f>
        <v>14567</v>
      </c>
      <c r="AF60">
        <v>77.900000000000006</v>
      </c>
      <c r="AG60">
        <v>280.61</v>
      </c>
      <c r="AH60">
        <v>79.08</v>
      </c>
      <c r="AI60">
        <v>1.65</v>
      </c>
      <c r="AJ60">
        <v>2239.3000000000002</v>
      </c>
      <c r="AK60" t="str">
        <v>2024/05/28</v>
      </c>
      <c r="AL60" t="str">
        <v>2024/05/23</v>
      </c>
      <c r="AM60">
        <v>3045</v>
      </c>
      <c r="AN60">
        <v>22716</v>
      </c>
    </row>
    <row r="61" spans="1:40" x14ac:dyDescent="0.25">
      <c r="A61" t="str">
        <f t="array" ref="A61:J61">[1]!'4566.TW-ID,Name,CompanyPos,Price,DIndexPtsContributionRate,VolumeRatio,TurnoverRatio,PriceChangeRatio,DLOrderValueDiffRatio,MajorOrderBidAskRatio'</f>
        <v>4566</v>
      </c>
      <c r="B61" t="str">
        <v>時碩工業</v>
      </c>
      <c r="C61" t="str">
        <v>台灣精密金屬零件加工廠商</v>
      </c>
      <c r="D61">
        <v>92.4</v>
      </c>
      <c r="E61">
        <v>0.01</v>
      </c>
      <c r="F61">
        <v>1.8</v>
      </c>
      <c r="G61">
        <v>6.96</v>
      </c>
      <c r="H61">
        <v>3.24</v>
      </c>
      <c r="I61">
        <v>0.56999999999999995</v>
      </c>
      <c r="J61">
        <v>61.15</v>
      </c>
      <c r="K61" t="str">
        <f t="array" ref="K61:T61">[1]!'4566.TW-MajorOrderDif,DXLOrderValueDiffRatio,Low,MonthReturn,QuarterReturn,HalfYearReturn,YearReturn,DLOrderOutValueRatio,DetailIndustry,CompanyNews'</f>
        <v>7317萬</v>
      </c>
      <c r="L61">
        <v>11.64</v>
      </c>
      <c r="M61">
        <v>91.5</v>
      </c>
      <c r="N61">
        <v>-3.14</v>
      </c>
      <c r="O61">
        <v>84.8</v>
      </c>
      <c r="P61">
        <v>84.95</v>
      </c>
      <c r="Q61">
        <v>64.180000000000007</v>
      </c>
      <c r="R61">
        <v>9.42</v>
      </c>
      <c r="S61" t="str">
        <v>汽機車零組件,傳產其他,金屬加工/製品</v>
      </c>
      <c r="T61" t="str">
        <v>--</v>
      </c>
      <c r="U61">
        <f t="array" ref="U61:AD61">[1]!'4566.TW-ChipsField17,ROE,InOutRatio,RevenueMonth,EstimatedTotalVolume,5DayAvgVol,FinanceUsedRatio,PriceChange,CashAndStockDividend,ChipsField25'</f>
        <v>0</v>
      </c>
      <c r="V61">
        <v>3.4</v>
      </c>
      <c r="W61">
        <v>53.19</v>
      </c>
      <c r="X61" t="str">
        <v>2024/06</v>
      </c>
      <c r="Y61">
        <v>9405</v>
      </c>
      <c r="Z61">
        <v>9388</v>
      </c>
      <c r="AA61">
        <v>34.47</v>
      </c>
      <c r="AB61">
        <v>2.9</v>
      </c>
      <c r="AC61">
        <v>1.43</v>
      </c>
      <c r="AD61" t="str">
        <v>2024/04/25</v>
      </c>
      <c r="AE61">
        <f t="array" ref="AE61:AN61">[1]!'4566.TW-TotalVolume,PreClose,Capital,AvgPrice,Profit,MarketValue,DateofMeetingofShareHolders,InvestorConferenceDate,ShortBalance,FinanceBalance'</f>
        <v>6355</v>
      </c>
      <c r="AF61">
        <v>89.5</v>
      </c>
      <c r="AG61">
        <v>10.25</v>
      </c>
      <c r="AH61">
        <v>94.31</v>
      </c>
      <c r="AI61">
        <v>1.47</v>
      </c>
      <c r="AJ61">
        <v>84.4</v>
      </c>
      <c r="AK61" t="str">
        <v>2024/06/27</v>
      </c>
      <c r="AL61" t="str">
        <v>2024/06/17</v>
      </c>
      <c r="AM61">
        <v>634</v>
      </c>
      <c r="AN61">
        <v>8831</v>
      </c>
    </row>
    <row r="62" spans="1:40" x14ac:dyDescent="0.25">
      <c r="A62" t="str">
        <f t="array" ref="A62:J62">[1]!'2367.TW-ID,Name,CompanyPos,Price,DIndexPtsContributionRate,VolumeRatio,TurnoverRatio,PriceChangeRatio,DLOrderValueDiffRatio,MajorOrderBidAskRatio'</f>
        <v>2367</v>
      </c>
      <c r="B62" t="str">
        <v>燿華</v>
      </c>
      <c r="C62" t="str">
        <v>台灣前三大手機印刷電路板廠之一</v>
      </c>
      <c r="D62">
        <v>36.450000000000003</v>
      </c>
      <c r="E62">
        <v>0.03</v>
      </c>
      <c r="F62">
        <v>2.79</v>
      </c>
      <c r="G62">
        <v>1.67</v>
      </c>
      <c r="H62">
        <v>2.97</v>
      </c>
      <c r="I62">
        <v>-1.19</v>
      </c>
      <c r="J62">
        <v>61.12</v>
      </c>
      <c r="K62" t="str">
        <f t="array" ref="K62:T62">[1]!'2367.TW-MajorOrderDif,DXLOrderValueDiffRatio,Low,MonthReturn,QuarterReturn,HalfYearReturn,YearReturn,DLOrderOutValueRatio,DetailIndustry,CompanyNews'</f>
        <v>4497萬</v>
      </c>
      <c r="L62">
        <v>12.21</v>
      </c>
      <c r="M62">
        <v>35.9</v>
      </c>
      <c r="N62">
        <v>0.83</v>
      </c>
      <c r="O62">
        <v>39.119999999999997</v>
      </c>
      <c r="P62">
        <v>92.35</v>
      </c>
      <c r="Q62">
        <v>110.56</v>
      </c>
      <c r="R62">
        <v>5.83</v>
      </c>
      <c r="S62" t="str">
        <v>印刷電路板,印刷電路板相關</v>
      </c>
      <c r="T62" t="str">
        <v>--</v>
      </c>
      <c r="U62">
        <f t="array" ref="U62:AD62">[1]!'2367.TW-ChipsField17,ROE,InOutRatio,RevenueMonth,EstimatedTotalVolume,5DayAvgVol,FinanceUsedRatio,PriceChange,CashAndStockDividend,ChipsField25'</f>
        <v>389</v>
      </c>
      <c r="V62">
        <v>2.74</v>
      </c>
      <c r="W62">
        <v>55.36</v>
      </c>
      <c r="X62" t="str">
        <v>2024/06</v>
      </c>
      <c r="Y62">
        <v>24993</v>
      </c>
      <c r="Z62">
        <v>18985</v>
      </c>
      <c r="AA62">
        <v>26.89</v>
      </c>
      <c r="AB62">
        <v>1.05</v>
      </c>
      <c r="AC62">
        <v>0</v>
      </c>
      <c r="AD62" t="str">
        <v>--</v>
      </c>
      <c r="AE62">
        <f t="array" ref="AE62:AN62">[1]!'2367.TW-TotalVolume,PreClose,Capital,AvgPrice,Profit,MarketValue,DateofMeetingofShareHolders,InvestorConferenceDate,ShortBalance,FinanceBalance'</f>
        <v>11199</v>
      </c>
      <c r="AF62">
        <v>35.4</v>
      </c>
      <c r="AG62">
        <v>66.94</v>
      </c>
      <c r="AH62">
        <v>36.43</v>
      </c>
      <c r="AI62">
        <v>0.41</v>
      </c>
      <c r="AJ62">
        <v>244</v>
      </c>
      <c r="AK62" t="str">
        <v>2024/06/26</v>
      </c>
      <c r="AL62" t="str">
        <v>2024/06/28</v>
      </c>
      <c r="AM62">
        <v>3222</v>
      </c>
      <c r="AN62">
        <v>45004</v>
      </c>
    </row>
    <row r="63" spans="1:40" x14ac:dyDescent="0.25">
      <c r="A63" t="str">
        <f t="array" ref="A63:J63">[1]!'2351.TW-ID,Name,CompanyPos,Price,DIndexPtsContributionRate,VolumeRatio,TurnoverRatio,PriceChangeRatio,DLOrderValueDiffRatio,MajorOrderBidAskRatio'</f>
        <v>2351</v>
      </c>
      <c r="B63" t="str">
        <v>順德</v>
      </c>
      <c r="C63" t="str">
        <v>全球導線架前五大供應商之一</v>
      </c>
      <c r="D63">
        <v>122.5</v>
      </c>
      <c r="E63">
        <v>0.03</v>
      </c>
      <c r="F63">
        <v>4.1100000000000003</v>
      </c>
      <c r="G63">
        <v>1.41</v>
      </c>
      <c r="H63">
        <v>5.15</v>
      </c>
      <c r="I63">
        <v>0.69</v>
      </c>
      <c r="J63">
        <v>60.52</v>
      </c>
      <c r="K63" t="str">
        <f t="array" ref="K63:T63">[1]!'2351.TW-MajorOrderDif,DXLOrderValueDiffRatio,Low,MonthReturn,QuarterReturn,HalfYearReturn,YearReturn,DLOrderOutValueRatio,DetailIndustry,CompanyNews'</f>
        <v>3088萬</v>
      </c>
      <c r="L63">
        <v>8.9499999999999993</v>
      </c>
      <c r="M63">
        <v>121.5</v>
      </c>
      <c r="N63">
        <v>-3.66</v>
      </c>
      <c r="O63">
        <v>18.71</v>
      </c>
      <c r="P63">
        <v>22.78</v>
      </c>
      <c r="Q63">
        <v>21.34</v>
      </c>
      <c r="R63">
        <v>5.66</v>
      </c>
      <c r="S63" t="str">
        <v>傳產其他,文具,導線架,封測服務與材料</v>
      </c>
      <c r="T63" t="str">
        <v>8/1除息2.60元</v>
      </c>
      <c r="U63">
        <f t="array" ref="U63:AD63">[1]!'2351.TW-ChipsField17,ROE,InOutRatio,RevenueMonth,EstimatedTotalVolume,5DayAvgVol,FinanceUsedRatio,PriceChange,CashAndStockDividend,ChipsField25'</f>
        <v>41</v>
      </c>
      <c r="V63">
        <v>2.4300000000000002</v>
      </c>
      <c r="W63">
        <v>44.72</v>
      </c>
      <c r="X63" t="str">
        <v>2024/06</v>
      </c>
      <c r="Y63">
        <v>6236</v>
      </c>
      <c r="Z63">
        <v>2147</v>
      </c>
      <c r="AA63">
        <v>7.77</v>
      </c>
      <c r="AB63">
        <v>6</v>
      </c>
      <c r="AC63">
        <v>2.6</v>
      </c>
      <c r="AD63" t="str">
        <v>2024/08/01</v>
      </c>
      <c r="AE63">
        <f t="array" ref="AE63:AN63">[1]!'2351.TW-TotalVolume,PreClose,Capital,AvgPrice,Profit,MarketValue,DateofMeetingofShareHolders,InvestorConferenceDate,ShortBalance,FinanceBalance'</f>
        <v>2564</v>
      </c>
      <c r="AF63">
        <v>116.5</v>
      </c>
      <c r="AG63">
        <v>18.21</v>
      </c>
      <c r="AH63">
        <v>124.79</v>
      </c>
      <c r="AI63">
        <v>0.9</v>
      </c>
      <c r="AJ63">
        <v>223.1</v>
      </c>
      <c r="AK63" t="str">
        <v>2024/05/30</v>
      </c>
      <c r="AL63" t="str">
        <v>2023/09/14</v>
      </c>
      <c r="AM63">
        <v>0</v>
      </c>
      <c r="AN63">
        <v>3539</v>
      </c>
    </row>
    <row r="64" spans="1:40" x14ac:dyDescent="0.25">
      <c r="A64" t="str">
        <f t="array" ref="A64:J64">[1]!'1536.TW-ID,Name,CompanyPos,Price,DIndexPtsContributionRate,VolumeRatio,TurnoverRatio,PriceChangeRatio,DLOrderValueDiffRatio,MajorOrderBidAskRatio'</f>
        <v>1536</v>
      </c>
      <c r="B64" t="str">
        <v>和大</v>
      </c>
      <c r="C64" t="str">
        <v>台灣最大、全球前十大車廠之傳動零組件供應商</v>
      </c>
      <c r="D64">
        <v>69.599999999999994</v>
      </c>
      <c r="E64">
        <v>0.03</v>
      </c>
      <c r="F64">
        <v>2.69</v>
      </c>
      <c r="G64">
        <v>3.17</v>
      </c>
      <c r="H64">
        <v>3.73</v>
      </c>
      <c r="I64">
        <v>2.52</v>
      </c>
      <c r="J64">
        <v>59.23</v>
      </c>
      <c r="K64" t="str">
        <f t="array" ref="K64:T64">[1]!'1536.TW-MajorOrderDif,DXLOrderValueDiffRatio,Low,MonthReturn,QuarterReturn,HalfYearReturn,YearReturn,DLOrderOutValueRatio,DetailIndustry,CompanyNews'</f>
        <v>4960萬</v>
      </c>
      <c r="L64">
        <v>5.44</v>
      </c>
      <c r="M64">
        <v>67.599999999999994</v>
      </c>
      <c r="N64">
        <v>26.78</v>
      </c>
      <c r="O64">
        <v>30.06</v>
      </c>
      <c r="P64">
        <v>34.76</v>
      </c>
      <c r="Q64">
        <v>6.43</v>
      </c>
      <c r="R64">
        <v>8.36</v>
      </c>
      <c r="S64" t="str">
        <v>汽機車零組件,傳動系統,機械零組件,機械</v>
      </c>
      <c r="T64" t="str">
        <v>--</v>
      </c>
      <c r="U64">
        <f t="array" ref="U64:AD64">[1]!'1536.TW-ChipsField17,ROE,InOutRatio,RevenueMonth,EstimatedTotalVolume,5DayAvgVol,FinanceUsedRatio,PriceChange,CashAndStockDividend,ChipsField25'</f>
        <v>169</v>
      </c>
      <c r="V64">
        <v>1</v>
      </c>
      <c r="W64">
        <v>53.75</v>
      </c>
      <c r="X64" t="str">
        <v>2024/06</v>
      </c>
      <c r="Y64">
        <v>18567</v>
      </c>
      <c r="Z64">
        <v>5514</v>
      </c>
      <c r="AA64">
        <v>14.82</v>
      </c>
      <c r="AB64">
        <v>2.5</v>
      </c>
      <c r="AC64">
        <v>1</v>
      </c>
      <c r="AD64" t="str">
        <v>2024/07/01</v>
      </c>
      <c r="AE64">
        <f t="array" ref="AE64:AN64">[1]!'1536.TW-TotalVolume,PreClose,Capital,AvgPrice,Profit,MarketValue,DateofMeetingofShareHolders,InvestorConferenceDate,ShortBalance,FinanceBalance'</f>
        <v>8848</v>
      </c>
      <c r="AF64">
        <v>67.099999999999994</v>
      </c>
      <c r="AG64">
        <v>27.95</v>
      </c>
      <c r="AH64">
        <v>70.44</v>
      </c>
      <c r="AI64">
        <v>0.32</v>
      </c>
      <c r="AJ64">
        <v>194.5</v>
      </c>
      <c r="AK64" t="str">
        <v>2024/06/13</v>
      </c>
      <c r="AL64" t="str">
        <v>--</v>
      </c>
      <c r="AM64">
        <v>528</v>
      </c>
      <c r="AN64">
        <v>10358</v>
      </c>
    </row>
    <row r="65" spans="1:40" x14ac:dyDescent="0.25">
      <c r="A65" t="str">
        <f t="array" ref="A65:J65">[1]!'2368.TW-ID,Name,CompanyPos,Price,DIndexPtsContributionRate,VolumeRatio,TurnoverRatio,PriceChangeRatio,DLOrderValueDiffRatio,MajorOrderBidAskRatio'</f>
        <v>2368</v>
      </c>
      <c r="B65" t="str">
        <v>金像電</v>
      </c>
      <c r="C65" t="str">
        <v>全球最大伺服器用板製造商</v>
      </c>
      <c r="D65">
        <v>227</v>
      </c>
      <c r="E65">
        <v>0.15</v>
      </c>
      <c r="F65">
        <v>2.21</v>
      </c>
      <c r="G65">
        <v>2</v>
      </c>
      <c r="H65">
        <v>3.42</v>
      </c>
      <c r="I65">
        <v>-1.47</v>
      </c>
      <c r="J65">
        <v>59.22</v>
      </c>
      <c r="K65" t="str">
        <f t="array" ref="K65:T65">[1]!'2368.TW-MajorOrderDif,DXLOrderValueDiffRatio,Low,MonthReturn,QuarterReturn,HalfYearReturn,YearReturn,DLOrderOutValueRatio,DetailIndustry,CompanyNews'</f>
        <v>1.92億</v>
      </c>
      <c r="L65">
        <v>10</v>
      </c>
      <c r="M65">
        <v>223</v>
      </c>
      <c r="N65">
        <v>11.55</v>
      </c>
      <c r="O65">
        <v>17.27</v>
      </c>
      <c r="P65">
        <v>-0.21</v>
      </c>
      <c r="Q65">
        <v>40.01</v>
      </c>
      <c r="R65">
        <v>5.64</v>
      </c>
      <c r="S65" t="str">
        <v>印刷電路板,印刷電路板相關</v>
      </c>
      <c r="T65" t="str">
        <v>--</v>
      </c>
      <c r="U65">
        <f t="array" ref="U65:AD65">[1]!'2368.TW-ChipsField17,ROE,InOutRatio,RevenueMonth,EstimatedTotalVolume,5DayAvgVol,FinanceUsedRatio,PriceChange,CashAndStockDividend,ChipsField25'</f>
        <v>124</v>
      </c>
      <c r="V65">
        <v>7.27</v>
      </c>
      <c r="W65">
        <v>61.64</v>
      </c>
      <c r="X65" t="str">
        <v>2024/06</v>
      </c>
      <c r="Y65">
        <v>20648</v>
      </c>
      <c r="Z65">
        <v>6352</v>
      </c>
      <c r="AA65">
        <v>6.96</v>
      </c>
      <c r="AB65">
        <v>7.5</v>
      </c>
      <c r="AC65">
        <v>3.5</v>
      </c>
      <c r="AD65" t="str">
        <v>2024/06/27</v>
      </c>
      <c r="AE65">
        <f t="array" ref="AE65:AN65">[1]!'2368.TW-TotalVolume,PreClose,Capital,AvgPrice,Profit,MarketValue,DateofMeetingofShareHolders,InvestorConferenceDate,ShortBalance,FinanceBalance'</f>
        <v>9840</v>
      </c>
      <c r="AF65">
        <v>219.5</v>
      </c>
      <c r="AG65">
        <v>49.18</v>
      </c>
      <c r="AH65">
        <v>228.6</v>
      </c>
      <c r="AI65">
        <v>2.5</v>
      </c>
      <c r="AJ65">
        <v>1116.5</v>
      </c>
      <c r="AK65" t="str">
        <v>2024/05/30</v>
      </c>
      <c r="AL65" t="str">
        <v>2024/03/28</v>
      </c>
      <c r="AM65">
        <v>464</v>
      </c>
      <c r="AN65">
        <v>8560</v>
      </c>
    </row>
    <row r="66" spans="1:40" x14ac:dyDescent="0.25">
      <c r="A66" t="str">
        <f t="array" ref="A66:J66">[1]!'2421.TW-ID,Name,CompanyPos,Price,DIndexPtsContributionRate,VolumeRatio,TurnoverRatio,PriceChangeRatio,DLOrderValueDiffRatio,MajorOrderBidAskRatio'</f>
        <v>2421</v>
      </c>
      <c r="B66" t="str">
        <v>建準</v>
      </c>
      <c r="C66" t="str">
        <v>PC散熱風扇知名廠商</v>
      </c>
      <c r="D66">
        <v>98</v>
      </c>
      <c r="E66">
        <v>0.04</v>
      </c>
      <c r="F66">
        <v>4.3899999999999997</v>
      </c>
      <c r="G66">
        <v>1.1299999999999999</v>
      </c>
      <c r="H66">
        <v>3.05</v>
      </c>
      <c r="I66">
        <v>1.19</v>
      </c>
      <c r="J66">
        <v>56.73</v>
      </c>
      <c r="K66" t="str">
        <f t="array" ref="K66:T66">[1]!'2421.TW-MajorOrderDif,DXLOrderValueDiffRatio,Low,MonthReturn,QuarterReturn,HalfYearReturn,YearReturn,DLOrderOutValueRatio,DetailIndustry,CompanyNews'</f>
        <v>2117萬</v>
      </c>
      <c r="L66">
        <v>5.72</v>
      </c>
      <c r="M66">
        <v>96.3</v>
      </c>
      <c r="N66">
        <v>-10.07</v>
      </c>
      <c r="O66">
        <v>-10.07</v>
      </c>
      <c r="P66">
        <v>-17.41</v>
      </c>
      <c r="Q66">
        <v>-22.17</v>
      </c>
      <c r="R66">
        <v>7.93</v>
      </c>
      <c r="S66" t="str">
        <v>散熱風扇馬達,電子零件元件,散熱模組</v>
      </c>
      <c r="T66" t="str">
        <v>--</v>
      </c>
      <c r="U66">
        <f t="array" ref="U66:AD66">[1]!'2421.TW-ChipsField17,ROE,InOutRatio,RevenueMonth,EstimatedTotalVolume,5DayAvgVol,FinanceUsedRatio,PriceChange,CashAndStockDividend,ChipsField25'</f>
        <v>345</v>
      </c>
      <c r="V66">
        <v>4.38</v>
      </c>
      <c r="W66">
        <v>49.19</v>
      </c>
      <c r="X66" t="str">
        <v>2024/06</v>
      </c>
      <c r="Y66">
        <v>8358</v>
      </c>
      <c r="Z66">
        <v>3317</v>
      </c>
      <c r="AA66">
        <v>24.77</v>
      </c>
      <c r="AB66">
        <v>2.9</v>
      </c>
      <c r="AC66">
        <v>3.5</v>
      </c>
      <c r="AD66" t="str">
        <v>2024/07/03</v>
      </c>
      <c r="AE66">
        <f t="array" ref="AE66:AN66">[1]!'2421.TW-TotalVolume,PreClose,Capital,AvgPrice,Profit,MarketValue,DateofMeetingofShareHolders,InvestorConferenceDate,ShortBalance,FinanceBalance'</f>
        <v>3092</v>
      </c>
      <c r="AF66">
        <v>95.1</v>
      </c>
      <c r="AG66">
        <v>27.34</v>
      </c>
      <c r="AH66">
        <v>99.21</v>
      </c>
      <c r="AI66">
        <v>1.19</v>
      </c>
      <c r="AJ66">
        <v>268</v>
      </c>
      <c r="AK66" t="str">
        <v>2024/06/14</v>
      </c>
      <c r="AL66" t="str">
        <v>2023/11/03</v>
      </c>
      <c r="AM66">
        <v>84</v>
      </c>
      <c r="AN66">
        <v>16934</v>
      </c>
    </row>
    <row r="67" spans="1:40" x14ac:dyDescent="0.25">
      <c r="A67" t="str">
        <f t="array" ref="A67:J67">[1]!'2915.TW-ID,Name,CompanyPos,Price,DIndexPtsContributionRate,VolumeRatio,TurnoverRatio,PriceChangeRatio,DLOrderValueDiffRatio,MajorOrderBidAskRatio'</f>
        <v>2915</v>
      </c>
      <c r="B67" t="str">
        <v>潤泰全</v>
      </c>
      <c r="C67" t="str">
        <v>潤泰集團旗下，經營紡織貿易、零售事業之控股公司</v>
      </c>
      <c r="D67">
        <v>81</v>
      </c>
      <c r="E67">
        <v>0.13</v>
      </c>
      <c r="F67">
        <v>1.91</v>
      </c>
      <c r="G67">
        <v>0.26</v>
      </c>
      <c r="H67">
        <v>0.87</v>
      </c>
      <c r="I67">
        <v>3.58</v>
      </c>
      <c r="J67">
        <v>57.04</v>
      </c>
      <c r="K67" t="str">
        <f t="array" ref="K67:T67">[1]!'2915.TW-MajorOrderDif,DXLOrderValueDiffRatio,Low,MonthReturn,QuarterReturn,HalfYearReturn,YearReturn,DLOrderOutValueRatio,DetailIndustry,CompanyNews'</f>
        <v>1904萬</v>
      </c>
      <c r="L67">
        <v>4.5</v>
      </c>
      <c r="M67">
        <v>79.900000000000006</v>
      </c>
      <c r="N67">
        <v>20.28</v>
      </c>
      <c r="O67">
        <v>38.86</v>
      </c>
      <c r="P67">
        <v>37.26</v>
      </c>
      <c r="Q67">
        <v>37.78</v>
      </c>
      <c r="R67">
        <v>10.54</v>
      </c>
      <c r="S67" t="str">
        <v>流通業,貿易,成衣,成衣銷售/零售,織布,紡織中游,控股公司</v>
      </c>
      <c r="T67" t="str">
        <v>--</v>
      </c>
      <c r="U67">
        <f t="array" ref="U67:AD67">[1]!'2915.TW-ChipsField17,ROE,InOutRatio,RevenueMonth,EstimatedTotalVolume,5DayAvgVol,FinanceUsedRatio,PriceChange,CashAndStockDividend,ChipsField25'</f>
        <v>359</v>
      </c>
      <c r="V67">
        <v>4.4000000000000004</v>
      </c>
      <c r="W67">
        <v>55.17</v>
      </c>
      <c r="X67" t="str">
        <v>2024/06</v>
      </c>
      <c r="Y67">
        <v>6952</v>
      </c>
      <c r="Z67">
        <v>6259</v>
      </c>
      <c r="AA67">
        <v>2.75</v>
      </c>
      <c r="AB67">
        <v>0.7</v>
      </c>
      <c r="AC67">
        <v>2.5</v>
      </c>
      <c r="AD67" t="str">
        <v>2024/07/29</v>
      </c>
      <c r="AE67">
        <f t="array" ref="AE67:AN67">[1]!'2915.TW-TotalVolume,PreClose,Capital,AvgPrice,Profit,MarketValue,DateofMeetingofShareHolders,InvestorConferenceDate,ShortBalance,FinanceBalance'</f>
        <v>2914</v>
      </c>
      <c r="AF67">
        <v>80.3</v>
      </c>
      <c r="AG67">
        <v>110.43</v>
      </c>
      <c r="AH67">
        <v>80.78</v>
      </c>
      <c r="AI67">
        <v>4.28</v>
      </c>
      <c r="AJ67">
        <v>894.5</v>
      </c>
      <c r="AK67" t="str">
        <v>2024/06/27</v>
      </c>
      <c r="AL67" t="str">
        <v>2024/07/23</v>
      </c>
      <c r="AM67">
        <v>8</v>
      </c>
      <c r="AN67">
        <v>7585</v>
      </c>
    </row>
    <row r="68" spans="1:40" x14ac:dyDescent="0.25">
      <c r="A68" t="str">
        <f t="array" ref="A68:J68">[1]!'2392.TW-ID,Name,CompanyPos,Price,DIndexPtsContributionRate,VolumeRatio,TurnoverRatio,PriceChangeRatio,DLOrderValueDiffRatio,MajorOrderBidAskRatio'</f>
        <v>2392</v>
      </c>
      <c r="B68" t="str">
        <v>正崴</v>
      </c>
      <c r="C68" t="str">
        <v>生產3C產品連接器、電池模組、電源管理模組之廠商</v>
      </c>
      <c r="D68">
        <v>72.900000000000006</v>
      </c>
      <c r="E68">
        <v>0.05</v>
      </c>
      <c r="F68">
        <v>1.88</v>
      </c>
      <c r="G68">
        <v>0.89</v>
      </c>
      <c r="H68">
        <v>3.7</v>
      </c>
      <c r="I68">
        <v>-0.76</v>
      </c>
      <c r="J68">
        <v>52.3</v>
      </c>
      <c r="K68" t="str">
        <f t="array" ref="K68:T68">[1]!'2392.TW-MajorOrderDif,DXLOrderValueDiffRatio,Low,MonthReturn,QuarterReturn,HalfYearReturn,YearReturn,DLOrderOutValueRatio,DetailIndustry,CompanyNews'</f>
        <v>693萬</v>
      </c>
      <c r="L68">
        <v>2.85</v>
      </c>
      <c r="M68">
        <v>71.5</v>
      </c>
      <c r="N68">
        <v>-4</v>
      </c>
      <c r="O68">
        <v>60.27</v>
      </c>
      <c r="P68">
        <v>69.55</v>
      </c>
      <c r="Q68">
        <v>92.99</v>
      </c>
      <c r="R68">
        <v>7.61</v>
      </c>
      <c r="S68" t="str">
        <v>汽機車零組件,車用電池,電源供應器,連接器,消費用電池,電子零件元件,3C通路商,電子通路,週邊產品,連接線材,工業用電池,電力設備</v>
      </c>
      <c r="T68" t="str">
        <v>--</v>
      </c>
      <c r="U68">
        <f t="array" ref="U68:AD68">[1]!'2392.TW-ChipsField17,ROE,InOutRatio,RevenueMonth,EstimatedTotalVolume,5DayAvgVol,FinanceUsedRatio,PriceChange,CashAndStockDividend,ChipsField25'</f>
        <v>92</v>
      </c>
      <c r="V68">
        <v>1.43</v>
      </c>
      <c r="W68">
        <v>49.72</v>
      </c>
      <c r="X68" t="str">
        <v>2024/06</v>
      </c>
      <c r="Y68">
        <v>9978</v>
      </c>
      <c r="Z68">
        <v>8009</v>
      </c>
      <c r="AA68">
        <v>16.329999999999998</v>
      </c>
      <c r="AB68">
        <v>2.6</v>
      </c>
      <c r="AC68">
        <v>2</v>
      </c>
      <c r="AD68" t="str">
        <v>2024/07/18</v>
      </c>
      <c r="AE68">
        <f t="array" ref="AE68:AN68">[1]!'2392.TW-TotalVolume,PreClose,Capital,AvgPrice,Profit,MarketValue,DateofMeetingofShareHolders,InvestorConferenceDate,ShortBalance,FinanceBalance'</f>
        <v>4540</v>
      </c>
      <c r="AF68">
        <v>70.3</v>
      </c>
      <c r="AG68">
        <v>51.23</v>
      </c>
      <c r="AH68">
        <v>72.92</v>
      </c>
      <c r="AI68">
        <v>0.83</v>
      </c>
      <c r="AJ68">
        <v>373.5</v>
      </c>
      <c r="AK68" t="str">
        <v>2024/05/30</v>
      </c>
      <c r="AL68" t="str">
        <v>2024/06/20</v>
      </c>
      <c r="AM68">
        <v>130</v>
      </c>
      <c r="AN68">
        <v>20920</v>
      </c>
    </row>
    <row r="69" spans="1:40" x14ac:dyDescent="0.25">
      <c r="A69" t="str">
        <f t="array" ref="A69:J69">[1]!'2449.TW-ID,Name,CompanyPos,Price,DIndexPtsContributionRate,VolumeRatio,TurnoverRatio,PriceChangeRatio,DLOrderValueDiffRatio,MajorOrderBidAskRatio'</f>
        <v>2449</v>
      </c>
      <c r="B69" t="str">
        <v>京元電子</v>
      </c>
      <c r="C69" t="str">
        <v>全球最大IC測試廠之一</v>
      </c>
      <c r="D69">
        <v>113.5</v>
      </c>
      <c r="E69">
        <v>0.18</v>
      </c>
      <c r="F69">
        <v>3.2</v>
      </c>
      <c r="G69">
        <v>1.75</v>
      </c>
      <c r="H69">
        <v>8.1</v>
      </c>
      <c r="I69">
        <v>2.12</v>
      </c>
      <c r="J69">
        <v>56.51</v>
      </c>
      <c r="K69" t="str">
        <f t="array" ref="K69:T69">[1]!'2449.TW-MajorOrderDif,DXLOrderValueDiffRatio,Low,MonthReturn,QuarterReturn,HalfYearReturn,YearReturn,DLOrderOutValueRatio,DetailIndustry,CompanyNews'</f>
        <v>2.01億</v>
      </c>
      <c r="L69">
        <v>6.26</v>
      </c>
      <c r="M69">
        <v>108.5</v>
      </c>
      <c r="N69">
        <v>-0.09</v>
      </c>
      <c r="O69">
        <v>21.5</v>
      </c>
      <c r="P69">
        <v>40.75</v>
      </c>
      <c r="Q69">
        <v>88.96</v>
      </c>
      <c r="R69">
        <v>3.57</v>
      </c>
      <c r="S69" t="str">
        <v>IC封裝,IC測試,IC封裝測試</v>
      </c>
      <c r="T69" t="str">
        <v>--</v>
      </c>
      <c r="U69">
        <f t="array" ref="U69:AD69">[1]!'2449.TW-ChipsField17,ROE,InOutRatio,RevenueMonth,EstimatedTotalVolume,5DayAvgVol,FinanceUsedRatio,PriceChange,CashAndStockDividend,ChipsField25'</f>
        <v>5272</v>
      </c>
      <c r="V69">
        <v>3.43</v>
      </c>
      <c r="W69">
        <v>64.09</v>
      </c>
      <c r="X69" t="str">
        <v>2024/06</v>
      </c>
      <c r="Y69">
        <v>47171</v>
      </c>
      <c r="Z69">
        <v>21186</v>
      </c>
      <c r="AA69">
        <v>8.4499999999999993</v>
      </c>
      <c r="AB69">
        <v>8.5</v>
      </c>
      <c r="AC69">
        <v>3.2</v>
      </c>
      <c r="AD69" t="str">
        <v>2024/07/16</v>
      </c>
      <c r="AE69">
        <f t="array" ref="AE69:AN69">[1]!'2449.TW-TotalVolume,PreClose,Capital,AvgPrice,Profit,MarketValue,DateofMeetingofShareHolders,InvestorConferenceDate,ShortBalance,FinanceBalance'</f>
        <v>21454</v>
      </c>
      <c r="AF69">
        <v>105</v>
      </c>
      <c r="AG69">
        <v>122.27</v>
      </c>
      <c r="AH69">
        <v>111.86</v>
      </c>
      <c r="AI69">
        <v>1.1200000000000001</v>
      </c>
      <c r="AJ69">
        <v>1387.8</v>
      </c>
      <c r="AK69" t="str">
        <v>2024/05/31</v>
      </c>
      <c r="AL69" t="str">
        <v>--</v>
      </c>
      <c r="AM69">
        <v>131</v>
      </c>
      <c r="AN69">
        <v>25821</v>
      </c>
    </row>
    <row r="70" spans="1:40" x14ac:dyDescent="0.25">
      <c r="A70" t="str">
        <f t="array" ref="A70:J70">[1]!'2464.TW-ID,Name,CompanyPos,Price,DIndexPtsContributionRate,VolumeRatio,TurnoverRatio,PriceChangeRatio,DLOrderValueDiffRatio,MajorOrderBidAskRatio'</f>
        <v>2464</v>
      </c>
      <c r="B70" t="str">
        <v>盟立</v>
      </c>
      <c r="C70" t="str">
        <v>台灣工業自動化設備廠</v>
      </c>
      <c r="D70">
        <v>83.6</v>
      </c>
      <c r="E70">
        <v>0.02</v>
      </c>
      <c r="F70">
        <v>2.34</v>
      </c>
      <c r="G70">
        <v>8.31</v>
      </c>
      <c r="H70">
        <v>7.87</v>
      </c>
      <c r="I70">
        <v>2.35</v>
      </c>
      <c r="J70">
        <v>55.98</v>
      </c>
      <c r="K70" t="str">
        <f t="array" ref="K70:T70">[1]!'2464.TW-MajorOrderDif,DXLOrderValueDiffRatio,Low,MonthReturn,QuarterReturn,HalfYearReturn,YearReturn,DLOrderOutValueRatio,DetailIndustry,CompanyNews'</f>
        <v>8396萬</v>
      </c>
      <c r="L70">
        <v>3.84</v>
      </c>
      <c r="M70">
        <v>79.2</v>
      </c>
      <c r="N70">
        <v>20.46</v>
      </c>
      <c r="O70">
        <v>73.069999999999993</v>
      </c>
      <c r="P70">
        <v>133.57</v>
      </c>
      <c r="Q70">
        <v>115.62</v>
      </c>
      <c r="R70">
        <v>7.27</v>
      </c>
      <c r="S70" t="str">
        <v>半導體設備,軟體業,軟體通路／代理,設備儀器廠商,面板設備,自動化設備,機器人,機械</v>
      </c>
      <c r="T70" t="str">
        <v>--</v>
      </c>
      <c r="U70">
        <f t="array" ref="U70:AD70">[1]!'2464.TW-ChipsField17,ROE,InOutRatio,RevenueMonth,EstimatedTotalVolume,5DayAvgVol,FinanceUsedRatio,PriceChange,CashAndStockDividend,ChipsField25'</f>
        <v>0</v>
      </c>
      <c r="V70">
        <v>0.35</v>
      </c>
      <c r="W70">
        <v>53.18</v>
      </c>
      <c r="X70" t="str">
        <v>2024/06</v>
      </c>
      <c r="Y70">
        <v>29636</v>
      </c>
      <c r="Z70">
        <v>16011</v>
      </c>
      <c r="AA70">
        <v>26.87</v>
      </c>
      <c r="AB70">
        <v>6.1</v>
      </c>
      <c r="AC70">
        <v>0.5</v>
      </c>
      <c r="AD70" t="str">
        <v>2024/07/03</v>
      </c>
      <c r="AE70">
        <f t="array" ref="AE70:AN70">[1]!'2464.TW-TotalVolume,PreClose,Capital,AvgPrice,Profit,MarketValue,DateofMeetingofShareHolders,InvestorConferenceDate,ShortBalance,FinanceBalance'</f>
        <v>16248</v>
      </c>
      <c r="AF70">
        <v>77.5</v>
      </c>
      <c r="AG70">
        <v>19.55</v>
      </c>
      <c r="AH70">
        <v>83.51</v>
      </c>
      <c r="AI70">
        <v>0.06</v>
      </c>
      <c r="AJ70">
        <v>163.5</v>
      </c>
      <c r="AK70" t="str">
        <v>2024/05/29</v>
      </c>
      <c r="AL70" t="str">
        <v>2023/12/27</v>
      </c>
      <c r="AM70">
        <v>527</v>
      </c>
      <c r="AN70">
        <v>13134</v>
      </c>
    </row>
    <row r="71" spans="1:40" x14ac:dyDescent="0.25">
      <c r="A71" t="str">
        <f t="array" ref="A71:J71">[1]!'6274.TW-ID,Name,CompanyPos,Price,DIndexPtsContributionRate,VolumeRatio,TurnoverRatio,PriceChangeRatio,DLOrderValueDiffRatio,MajorOrderBidAskRatio'</f>
        <v>6274</v>
      </c>
      <c r="B71" t="str">
        <v>台燿</v>
      </c>
      <c r="C71" t="str">
        <v>台灣前五大銅箔基板廠之一</v>
      </c>
      <c r="D71">
        <v>163</v>
      </c>
      <c r="E71">
        <v>0</v>
      </c>
      <c r="F71">
        <v>2.61</v>
      </c>
      <c r="G71">
        <v>3.22</v>
      </c>
      <c r="H71">
        <v>1.88</v>
      </c>
      <c r="I71">
        <v>-0.8</v>
      </c>
      <c r="J71">
        <v>55.22</v>
      </c>
      <c r="K71" t="str">
        <f t="array" ref="K71:T71">[1]!'6274.TW-MajorOrderDif,DXLOrderValueDiffRatio,Low,MonthReturn,QuarterReturn,HalfYearReturn,YearReturn,DLOrderOutValueRatio,DetailIndustry,CompanyNews'</f>
        <v>9436萬</v>
      </c>
      <c r="L71">
        <v>7.31</v>
      </c>
      <c r="M71">
        <v>162</v>
      </c>
      <c r="N71">
        <v>0.31</v>
      </c>
      <c r="O71">
        <v>-12.13</v>
      </c>
      <c r="P71">
        <v>20.13</v>
      </c>
      <c r="Q71">
        <v>36.31</v>
      </c>
      <c r="R71">
        <v>3.74</v>
      </c>
      <c r="S71" t="str">
        <v>銅箔基板,印刷電路板相關</v>
      </c>
      <c r="T71" t="str">
        <v>上半年合併獲利11.45億元</v>
      </c>
      <c r="U71">
        <f t="array" ref="U71:AD71">[1]!'6274.TW-ChipsField17,ROE,InOutRatio,RevenueMonth,EstimatedTotalVolume,5DayAvgVol,FinanceUsedRatio,PriceChange,CashAndStockDividend,ChipsField25'</f>
        <v>781</v>
      </c>
      <c r="V71" t="str">
        <v>--</v>
      </c>
      <c r="W71">
        <v>50.86</v>
      </c>
      <c r="X71" t="str">
        <v>2024/06</v>
      </c>
      <c r="Y71">
        <v>18673</v>
      </c>
      <c r="Z71">
        <v>5400</v>
      </c>
      <c r="AA71">
        <v>32.96</v>
      </c>
      <c r="AB71">
        <v>3</v>
      </c>
      <c r="AC71">
        <v>4.01</v>
      </c>
      <c r="AD71" t="str">
        <v>2024/04/18</v>
      </c>
      <c r="AE71">
        <f t="array" ref="AE71:AN71">[1]!'6274.TW-TotalVolume,PreClose,Capital,AvgPrice,Profit,MarketValue,DateofMeetingofShareHolders,InvestorConferenceDate,ShortBalance,FinanceBalance'</f>
        <v>8746</v>
      </c>
      <c r="AF71">
        <v>160</v>
      </c>
      <c r="AG71">
        <v>27.2</v>
      </c>
      <c r="AH71">
        <v>165.78</v>
      </c>
      <c r="AI71">
        <v>2.5499999999999998</v>
      </c>
      <c r="AJ71">
        <v>443.3</v>
      </c>
      <c r="AK71" t="str">
        <v>2024/06/19</v>
      </c>
      <c r="AL71" t="str">
        <v>2024/05/09</v>
      </c>
      <c r="AM71">
        <v>176</v>
      </c>
      <c r="AN71">
        <v>22416</v>
      </c>
    </row>
    <row r="72" spans="1:40" x14ac:dyDescent="0.25">
      <c r="A72" t="str">
        <f t="array" ref="A72:J72">[1]!'2377.TW-ID,Name,CompanyPos,Price,DIndexPtsContributionRate,VolumeRatio,TurnoverRatio,PriceChangeRatio,DLOrderValueDiffRatio,MajorOrderBidAskRatio'</f>
        <v>2377</v>
      </c>
      <c r="B72" t="str">
        <v>微星</v>
      </c>
      <c r="C72" t="str">
        <v>台灣知名主機板及電競筆電廠</v>
      </c>
      <c r="D72">
        <v>171.5</v>
      </c>
      <c r="E72">
        <v>0.2</v>
      </c>
      <c r="F72">
        <v>1.71</v>
      </c>
      <c r="G72">
        <v>0.17</v>
      </c>
      <c r="H72">
        <v>1.18</v>
      </c>
      <c r="I72">
        <v>0.64</v>
      </c>
      <c r="J72">
        <v>54.9</v>
      </c>
      <c r="K72" t="str">
        <f t="array" ref="K72:T72">[1]!'2377.TW-MajorOrderDif,DXLOrderValueDiffRatio,Low,MonthReturn,QuarterReturn,HalfYearReturn,YearReturn,DLOrderOutValueRatio,DetailIndustry,CompanyNews'</f>
        <v>1412萬</v>
      </c>
      <c r="L72">
        <v>5.09</v>
      </c>
      <c r="M72">
        <v>171</v>
      </c>
      <c r="N72">
        <v>-4.99</v>
      </c>
      <c r="O72">
        <v>7.52</v>
      </c>
      <c r="P72">
        <v>-6.79</v>
      </c>
      <c r="Q72">
        <v>-6.37</v>
      </c>
      <c r="R72">
        <v>5.74</v>
      </c>
      <c r="S72" t="str">
        <v>桌上型電腦,伺服器,筆記型電腦,主機板,週邊產品,繪圖卡,電腦系統業</v>
      </c>
      <c r="T72" t="str">
        <v>--</v>
      </c>
      <c r="U72">
        <f t="array" ref="U72:AD72">[1]!'2377.TW-ChipsField17,ROE,InOutRatio,RevenueMonth,EstimatedTotalVolume,5DayAvgVol,FinanceUsedRatio,PriceChange,CashAndStockDividend,ChipsField25'</f>
        <v>0</v>
      </c>
      <c r="V72">
        <v>5.0599999999999996</v>
      </c>
      <c r="W72">
        <v>52.45</v>
      </c>
      <c r="X72" t="str">
        <v>2024/06</v>
      </c>
      <c r="Y72">
        <v>4263</v>
      </c>
      <c r="Z72">
        <v>3636</v>
      </c>
      <c r="AA72">
        <v>2.09</v>
      </c>
      <c r="AB72">
        <v>2</v>
      </c>
      <c r="AC72">
        <v>5.4</v>
      </c>
      <c r="AD72" t="str">
        <v>--</v>
      </c>
      <c r="AE72">
        <f t="array" ref="AE72:AN72">[1]!'2377.TW-TotalVolume,PreClose,Capital,AvgPrice,Profit,MarketValue,DateofMeetingofShareHolders,InvestorConferenceDate,ShortBalance,FinanceBalance'</f>
        <v>1428</v>
      </c>
      <c r="AF72">
        <v>169.5</v>
      </c>
      <c r="AG72">
        <v>84.49</v>
      </c>
      <c r="AH72">
        <v>172.54</v>
      </c>
      <c r="AI72">
        <v>2.95</v>
      </c>
      <c r="AJ72">
        <v>1448.9</v>
      </c>
      <c r="AK72" t="str">
        <v>2024/06/14</v>
      </c>
      <c r="AL72" t="str">
        <v>2024/03/15</v>
      </c>
      <c r="AM72">
        <v>29</v>
      </c>
      <c r="AN72">
        <v>4418</v>
      </c>
    </row>
    <row r="73" spans="1:40" x14ac:dyDescent="0.25">
      <c r="A73" t="str">
        <f t="array" ref="A73:J73">[1]!'3498.TW-ID,Name,CompanyPos,Price,DIndexPtsContributionRate,VolumeRatio,TurnoverRatio,PriceChangeRatio,DLOrderValueDiffRatio,MajorOrderBidAskRatio'</f>
        <v>3498</v>
      </c>
      <c r="B73" t="str">
        <v>陽程</v>
      </c>
      <c r="C73" t="str">
        <v>台灣PCB暨CCL、環境工程及物流等自動化設備廠</v>
      </c>
      <c r="D73">
        <v>48.55</v>
      </c>
      <c r="E73">
        <v>0</v>
      </c>
      <c r="F73">
        <v>2.19</v>
      </c>
      <c r="G73">
        <v>6.22</v>
      </c>
      <c r="H73">
        <v>3.3</v>
      </c>
      <c r="I73">
        <v>0.6</v>
      </c>
      <c r="J73">
        <v>54.8</v>
      </c>
      <c r="K73" t="str">
        <f t="array" ref="K73:T73">[1]!'3498.TW-MajorOrderDif,DXLOrderValueDiffRatio,Low,MonthReturn,QuarterReturn,HalfYearReturn,YearReturn,DLOrderOutValueRatio,DetailIndustry,CompanyNews'</f>
        <v>518萬</v>
      </c>
      <c r="L73">
        <v>2.08</v>
      </c>
      <c r="M73">
        <v>47.3</v>
      </c>
      <c r="N73">
        <v>8.3699999999999992</v>
      </c>
      <c r="O73">
        <v>50.31</v>
      </c>
      <c r="P73">
        <v>58.92</v>
      </c>
      <c r="Q73">
        <v>26.93</v>
      </c>
      <c r="R73">
        <v>8.01</v>
      </c>
      <c r="S73" t="str">
        <v>PCB其他設備,設備儀器廠商,面板設備,觸控面板設備,自動化設備,機械</v>
      </c>
      <c r="T73" t="str">
        <v>--</v>
      </c>
      <c r="U73">
        <f t="array" ref="U73:AD73">[1]!'3498.TW-ChipsField17,ROE,InOutRatio,RevenueMonth,EstimatedTotalVolume,5DayAvgVol,FinanceUsedRatio,PriceChange,CashAndStockDividend,ChipsField25'</f>
        <v>0</v>
      </c>
      <c r="V73">
        <v>-4.0599999999999996</v>
      </c>
      <c r="W73">
        <v>48.76</v>
      </c>
      <c r="X73" t="str">
        <v>2024/06</v>
      </c>
      <c r="Y73">
        <v>7501</v>
      </c>
      <c r="Z73">
        <v>1890</v>
      </c>
      <c r="AA73">
        <v>24.58</v>
      </c>
      <c r="AB73">
        <v>1.55</v>
      </c>
      <c r="AC73">
        <v>0</v>
      </c>
      <c r="AD73" t="str">
        <v>--</v>
      </c>
      <c r="AE73">
        <f t="array" ref="AE73:AN73">[1]!'3498.TW-TotalVolume,PreClose,Capital,AvgPrice,Profit,MarketValue,DateofMeetingofShareHolders,InvestorConferenceDate,ShortBalance,FinanceBalance'</f>
        <v>3912</v>
      </c>
      <c r="AF73">
        <v>47</v>
      </c>
      <c r="AG73">
        <v>6.29</v>
      </c>
      <c r="AH73">
        <v>49.3</v>
      </c>
      <c r="AI73">
        <v>-1.54</v>
      </c>
      <c r="AJ73">
        <v>30.5</v>
      </c>
      <c r="AK73" t="str">
        <v>2024/06/14</v>
      </c>
      <c r="AL73" t="str">
        <v>2023/12/14</v>
      </c>
      <c r="AM73">
        <v>303</v>
      </c>
      <c r="AN73">
        <v>3261</v>
      </c>
    </row>
    <row r="74" spans="1:40" x14ac:dyDescent="0.25">
      <c r="A74" t="str">
        <f t="array" ref="A74:J74">[1]!'2357.TW-ID,Name,CompanyPos,Price,DIndexPtsContributionRate,VolumeRatio,TurnoverRatio,PriceChangeRatio,DLOrderValueDiffRatio,MajorOrderBidAskRatio'</f>
        <v>2357</v>
      </c>
      <c r="B74" t="str">
        <v>華碩</v>
      </c>
      <c r="C74" t="str">
        <v>全球最大自有品牌主機板兼NB廠</v>
      </c>
      <c r="D74">
        <v>482</v>
      </c>
      <c r="E74">
        <v>0.48</v>
      </c>
      <c r="F74">
        <v>2.33</v>
      </c>
      <c r="G74">
        <v>0.43</v>
      </c>
      <c r="H74">
        <v>5.7</v>
      </c>
      <c r="I74">
        <v>0.18</v>
      </c>
      <c r="J74">
        <v>54.09</v>
      </c>
      <c r="K74" t="str">
        <f t="array" ref="K74:T74">[1]!'2357.TW-MajorOrderDif,DXLOrderValueDiffRatio,Low,MonthReturn,QuarterReturn,HalfYearReturn,YearReturn,DLOrderOutValueRatio,DetailIndustry,CompanyNews'</f>
        <v>6389萬</v>
      </c>
      <c r="L74">
        <v>4</v>
      </c>
      <c r="M74">
        <v>469</v>
      </c>
      <c r="N74">
        <v>0.77</v>
      </c>
      <c r="O74">
        <v>16.12</v>
      </c>
      <c r="P74">
        <v>11.71</v>
      </c>
      <c r="Q74">
        <v>34.229999999999997</v>
      </c>
      <c r="R74">
        <v>5.81</v>
      </c>
      <c r="S74" t="str">
        <v>桌上型電腦,筆記型電腦,手機,主機板,智慧型手機,繪圖卡,穿戴式裝置,智慧手錶,電腦系統業</v>
      </c>
      <c r="T74" t="str">
        <v>6月營收584.12億元</v>
      </c>
      <c r="U74">
        <f t="array" ref="U74:AD74">[1]!'2357.TW-ChipsField17,ROE,InOutRatio,RevenueMonth,EstimatedTotalVolume,5DayAvgVol,FinanceUsedRatio,PriceChange,CashAndStockDividend,ChipsField25'</f>
        <v>89</v>
      </c>
      <c r="V74">
        <v>2.31</v>
      </c>
      <c r="W74">
        <v>56.55</v>
      </c>
      <c r="X74" t="str">
        <v>2024/06</v>
      </c>
      <c r="Y74">
        <v>9407</v>
      </c>
      <c r="Z74">
        <v>4099</v>
      </c>
      <c r="AA74">
        <v>1.35</v>
      </c>
      <c r="AB74">
        <v>26</v>
      </c>
      <c r="AC74">
        <v>17</v>
      </c>
      <c r="AD74" t="str">
        <v>2024/07/03</v>
      </c>
      <c r="AE74">
        <f t="array" ref="AE74:AN74">[1]!'2357.TW-TotalVolume,PreClose,Capital,AvgPrice,Profit,MarketValue,DateofMeetingofShareHolders,InvestorConferenceDate,ShortBalance,FinanceBalance'</f>
        <v>3190</v>
      </c>
      <c r="AF74">
        <v>456</v>
      </c>
      <c r="AG74">
        <v>74.28</v>
      </c>
      <c r="AH74">
        <v>478.49</v>
      </c>
      <c r="AI74">
        <v>7.33</v>
      </c>
      <c r="AJ74">
        <v>3580.1</v>
      </c>
      <c r="AK74" t="str">
        <v>2024/06/13</v>
      </c>
      <c r="AL74" t="str">
        <v>2024/05/13</v>
      </c>
      <c r="AM74">
        <v>20</v>
      </c>
      <c r="AN74">
        <v>2498</v>
      </c>
    </row>
    <row r="75" spans="1:40" x14ac:dyDescent="0.25">
      <c r="A75" t="str">
        <f t="array" ref="A75:J75">[1]!'3209.TW-ID,Name,CompanyPos,Price,DIndexPtsContributionRate,VolumeRatio,TurnoverRatio,PriceChangeRatio,DLOrderValueDiffRatio,MajorOrderBidAskRatio'</f>
        <v>3209</v>
      </c>
      <c r="B75" t="str">
        <v>全科</v>
      </c>
      <c r="C75" t="str">
        <v>為專業通訊元件設計及通路商</v>
      </c>
      <c r="D75">
        <v>34.85</v>
      </c>
      <c r="E75">
        <v>0.01</v>
      </c>
      <c r="F75">
        <v>2.13</v>
      </c>
      <c r="G75">
        <v>1.27</v>
      </c>
      <c r="H75">
        <v>1.46</v>
      </c>
      <c r="I75">
        <v>-0.17</v>
      </c>
      <c r="J75">
        <v>54.11</v>
      </c>
      <c r="K75" t="str">
        <f t="array" ref="K75:T75">[1]!'3209.TW-MajorOrderDif,DXLOrderValueDiffRatio,Low,MonthReturn,QuarterReturn,HalfYearReturn,YearReturn,DLOrderOutValueRatio,DetailIndustry,CompanyNews'</f>
        <v>82.8萬</v>
      </c>
      <c r="L75">
        <v>1.04</v>
      </c>
      <c r="M75">
        <v>34.200000000000003</v>
      </c>
      <c r="N75">
        <v>1.17</v>
      </c>
      <c r="O75">
        <v>6.88</v>
      </c>
      <c r="P75">
        <v>3.73</v>
      </c>
      <c r="Q75">
        <v>2.98</v>
      </c>
      <c r="R75">
        <v>3.24</v>
      </c>
      <c r="S75" t="str">
        <v>無線網路IC,類比IC,IC設計,網路通訊IC,IC零組件通路商,電子通路,光通訊晶片</v>
      </c>
      <c r="T75" t="str">
        <v>8/1除息2.10元</v>
      </c>
      <c r="U75">
        <f t="array" ref="U75:AD75">[1]!'3209.TW-ChipsField17,ROE,InOutRatio,RevenueMonth,EstimatedTotalVolume,5DayAvgVol,FinanceUsedRatio,PriceChange,CashAndStockDividend,ChipsField25'</f>
        <v>0</v>
      </c>
      <c r="V75">
        <v>2.5</v>
      </c>
      <c r="W75">
        <v>59.26</v>
      </c>
      <c r="X75" t="str">
        <v>2024/06</v>
      </c>
      <c r="Y75">
        <v>6371</v>
      </c>
      <c r="Z75">
        <v>1542</v>
      </c>
      <c r="AA75">
        <v>2.23</v>
      </c>
      <c r="AB75">
        <v>0.5</v>
      </c>
      <c r="AC75">
        <v>2.1</v>
      </c>
      <c r="AD75" t="str">
        <v>2024/08/01</v>
      </c>
      <c r="AE75">
        <f t="array" ref="AE75:AN75">[1]!'3209.TW-TotalVolume,PreClose,Capital,AvgPrice,Profit,MarketValue,DateofMeetingofShareHolders,InvestorConferenceDate,ShortBalance,FinanceBalance'</f>
        <v>2759</v>
      </c>
      <c r="AF75">
        <v>34.35</v>
      </c>
      <c r="AG75">
        <v>23.25</v>
      </c>
      <c r="AH75">
        <v>34.5</v>
      </c>
      <c r="AI75">
        <v>0.51</v>
      </c>
      <c r="AJ75">
        <v>75.5</v>
      </c>
      <c r="AK75" t="str">
        <v>2024/06/18</v>
      </c>
      <c r="AL75" t="str">
        <v>2024/05/08</v>
      </c>
      <c r="AM75">
        <v>0</v>
      </c>
      <c r="AN75">
        <v>1298</v>
      </c>
    </row>
    <row r="76" spans="1:40" x14ac:dyDescent="0.25">
      <c r="A76" t="str">
        <f t="array" ref="A76:J76">[1]!'6188.TW-ID,Name,CompanyPos,Price,DIndexPtsContributionRate,VolumeRatio,TurnoverRatio,PriceChangeRatio,DLOrderValueDiffRatio,MajorOrderBidAskRatio'</f>
        <v>6188</v>
      </c>
      <c r="B76" t="str">
        <v>廣明</v>
      </c>
      <c r="C76" t="str">
        <v>廣達集團旗下的硬碟產品代工廠</v>
      </c>
      <c r="D76">
        <v>102.5</v>
      </c>
      <c r="E76">
        <v>0</v>
      </c>
      <c r="F76">
        <v>5.03</v>
      </c>
      <c r="G76">
        <v>2.06</v>
      </c>
      <c r="H76">
        <v>2.6</v>
      </c>
      <c r="I76">
        <v>-0.69</v>
      </c>
      <c r="J76">
        <v>52.89</v>
      </c>
      <c r="K76" t="str">
        <f t="array" ref="K76:T76">[1]!'6188.TW-MajorOrderDif,DXLOrderValueDiffRatio,Low,MonthReturn,QuarterReturn,HalfYearReturn,YearReturn,DLOrderOutValueRatio,DetailIndustry,CompanyNews'</f>
        <v>1518萬</v>
      </c>
      <c r="L76">
        <v>3.23</v>
      </c>
      <c r="M76">
        <v>101</v>
      </c>
      <c r="N76">
        <v>-8.48</v>
      </c>
      <c r="O76">
        <v>13.76</v>
      </c>
      <c r="P76">
        <v>34.28</v>
      </c>
      <c r="Q76">
        <v>3.36</v>
      </c>
      <c r="R76">
        <v>2.38</v>
      </c>
      <c r="S76" t="str">
        <v>週邊產品,硬碟相關,機器人,機械</v>
      </c>
      <c r="T76" t="str">
        <v>上半年合併獲利3.52億元</v>
      </c>
      <c r="U76">
        <f t="array" ref="U76:AD76">[1]!'6188.TW-ChipsField17,ROE,InOutRatio,RevenueMonth,EstimatedTotalVolume,5DayAvgVol,FinanceUsedRatio,PriceChange,CashAndStockDividend,ChipsField25'</f>
        <v>408</v>
      </c>
      <c r="V76">
        <v>2.33</v>
      </c>
      <c r="W76">
        <v>53.11</v>
      </c>
      <c r="X76" t="str">
        <v>2024/06</v>
      </c>
      <c r="Y76">
        <v>11875</v>
      </c>
      <c r="Z76">
        <v>3399</v>
      </c>
      <c r="AA76">
        <v>17.91</v>
      </c>
      <c r="AB76">
        <v>2.6</v>
      </c>
      <c r="AC76">
        <v>3.2</v>
      </c>
      <c r="AD76" t="str">
        <v>2024/04/03</v>
      </c>
      <c r="AE76">
        <f t="array" ref="AE76:AN76">[1]!'6188.TW-TotalVolume,PreClose,Capital,AvgPrice,Profit,MarketValue,DateofMeetingofShareHolders,InvestorConferenceDate,ShortBalance,FinanceBalance'</f>
        <v>5728</v>
      </c>
      <c r="AF76">
        <v>99.9</v>
      </c>
      <c r="AG76">
        <v>27.84</v>
      </c>
      <c r="AH76">
        <v>104.41</v>
      </c>
      <c r="AI76">
        <v>0.78</v>
      </c>
      <c r="AJ76">
        <v>285.3</v>
      </c>
      <c r="AK76" t="str">
        <v>2024/06/07</v>
      </c>
      <c r="AL76" t="str">
        <v>2023/11/14</v>
      </c>
      <c r="AM76">
        <v>453</v>
      </c>
      <c r="AN76">
        <v>12460</v>
      </c>
    </row>
    <row r="77" spans="1:40" x14ac:dyDescent="0.25">
      <c r="A77" t="str">
        <f t="array" ref="A77:J77">[1]!'6546.TW-ID,Name,CompanyPos,Price,DIndexPtsContributionRate,VolumeRatio,TurnoverRatio,PriceChangeRatio,DLOrderValueDiffRatio,MajorOrderBidAskRatio'</f>
        <v>6546</v>
      </c>
      <c r="B77" t="str">
        <v>正基</v>
      </c>
      <c r="C77" t="str">
        <v>正文轉投資的無線通訊模組廠</v>
      </c>
      <c r="D77">
        <v>175</v>
      </c>
      <c r="E77">
        <v>0</v>
      </c>
      <c r="F77">
        <v>1.95</v>
      </c>
      <c r="G77">
        <v>2.68</v>
      </c>
      <c r="H77">
        <v>2.04</v>
      </c>
      <c r="I77">
        <v>-3.65</v>
      </c>
      <c r="J77">
        <v>52.86</v>
      </c>
      <c r="K77" t="str">
        <f t="array" ref="K77:T77">[1]!'6546.TW-MajorOrderDif,DXLOrderValueDiffRatio,Low,MonthReturn,QuarterReturn,HalfYearReturn,YearReturn,DLOrderOutValueRatio,DetailIndustry,CompanyNews'</f>
        <v>695萬</v>
      </c>
      <c r="L77">
        <v>5.84</v>
      </c>
      <c r="M77">
        <v>174.5</v>
      </c>
      <c r="N77">
        <v>26.81</v>
      </c>
      <c r="O77">
        <v>45.42</v>
      </c>
      <c r="P77">
        <v>30.56</v>
      </c>
      <c r="Q77">
        <v>80.67</v>
      </c>
      <c r="R77">
        <v>4.6100000000000003</v>
      </c>
      <c r="S77" t="str">
        <v>通訊設備,通訊設備零組件</v>
      </c>
      <c r="T77" t="str">
        <v>--</v>
      </c>
      <c r="U77">
        <f t="array" ref="U77:AD77">[1]!'6546.TW-ChipsField17,ROE,InOutRatio,RevenueMonth,EstimatedTotalVolume,5DayAvgVol,FinanceUsedRatio,PriceChange,CashAndStockDividend,ChipsField25'</f>
        <v>0</v>
      </c>
      <c r="V77">
        <v>3.46</v>
      </c>
      <c r="W77">
        <v>47.82</v>
      </c>
      <c r="X77" t="str">
        <v>2024/06</v>
      </c>
      <c r="Y77">
        <v>3718</v>
      </c>
      <c r="Z77">
        <v>2744</v>
      </c>
      <c r="AA77">
        <v>58.43</v>
      </c>
      <c r="AB77">
        <v>3.5</v>
      </c>
      <c r="AC77">
        <v>3.5</v>
      </c>
      <c r="AD77" t="str">
        <v>2024/06/13</v>
      </c>
      <c r="AE77">
        <f t="array" ref="AE77:AN77">[1]!'6546.TW-TotalVolume,PreClose,Capital,AvgPrice,Profit,MarketValue,DateofMeetingofShareHolders,InvestorConferenceDate,ShortBalance,FinanceBalance'</f>
        <v>1775</v>
      </c>
      <c r="AF77">
        <v>171.5</v>
      </c>
      <c r="AG77">
        <v>6.62</v>
      </c>
      <c r="AH77">
        <v>178.73</v>
      </c>
      <c r="AI77">
        <v>0.98</v>
      </c>
      <c r="AJ77">
        <v>115.9</v>
      </c>
      <c r="AK77" t="str">
        <v>2024/05/24</v>
      </c>
      <c r="AL77" t="str">
        <v>2024/03/19</v>
      </c>
      <c r="AM77">
        <v>228</v>
      </c>
      <c r="AN77">
        <v>9673</v>
      </c>
    </row>
    <row r="78" spans="1:40" x14ac:dyDescent="0.25">
      <c r="A78" t="str">
        <f t="array" ref="A78:J78">[1]!'2641.TW-ID,Name,CompanyPos,Price,DIndexPtsContributionRate,VolumeRatio,TurnoverRatio,PriceChangeRatio,DLOrderValueDiffRatio,MajorOrderBidAskRatio'</f>
        <v>2641</v>
      </c>
      <c r="B78" t="str">
        <v>正德</v>
      </c>
      <c r="C78" t="str">
        <v>以亞洲近洋航線為主力之散裝航運業者</v>
      </c>
      <c r="D78">
        <v>19.8</v>
      </c>
      <c r="E78">
        <v>0</v>
      </c>
      <c r="F78">
        <v>1.8</v>
      </c>
      <c r="G78">
        <v>0.28000000000000003</v>
      </c>
      <c r="H78">
        <v>1.54</v>
      </c>
      <c r="I78">
        <v>-8.08</v>
      </c>
      <c r="J78">
        <v>52.28</v>
      </c>
      <c r="K78" t="str">
        <f t="array" ref="K78:T78">[1]!'2641.TW-MajorOrderDif,DXLOrderValueDiffRatio,Low,MonthReturn,QuarterReturn,HalfYearReturn,YearReturn,DLOrderOutValueRatio,DetailIndustry,CompanyNews'</f>
        <v>33.0萬</v>
      </c>
      <c r="L78">
        <v>10.050000000000001</v>
      </c>
      <c r="M78">
        <v>19.55</v>
      </c>
      <c r="N78">
        <v>-6.16</v>
      </c>
      <c r="O78">
        <v>1.5</v>
      </c>
      <c r="P78">
        <v>3.58</v>
      </c>
      <c r="Q78">
        <v>21.61</v>
      </c>
      <c r="R78">
        <v>6.01</v>
      </c>
      <c r="S78" t="str">
        <v>散裝航運,運輸事業</v>
      </c>
      <c r="T78" t="str">
        <v>--</v>
      </c>
      <c r="U78">
        <f t="array" ref="U78:AD78">[1]!'2641.TW-ChipsField17,ROE,InOutRatio,RevenueMonth,EstimatedTotalVolume,5DayAvgVol,FinanceUsedRatio,PriceChange,CashAndStockDividend,ChipsField25'</f>
        <v>0</v>
      </c>
      <c r="V78">
        <v>2.39</v>
      </c>
      <c r="W78">
        <v>57.02</v>
      </c>
      <c r="X78" t="str">
        <v>2024/06</v>
      </c>
      <c r="Y78">
        <v>1865</v>
      </c>
      <c r="Z78">
        <v>1614</v>
      </c>
      <c r="AA78">
        <v>20.9</v>
      </c>
      <c r="AB78">
        <v>0.3</v>
      </c>
      <c r="AC78">
        <v>0.48</v>
      </c>
      <c r="AD78" t="str">
        <v>2024/06/25</v>
      </c>
      <c r="AE78">
        <f t="array" ref="AE78:AN78">[1]!'2641.TW-TotalVolume,PreClose,Capital,AvgPrice,Profit,MarketValue,DateofMeetingofShareHolders,InvestorConferenceDate,ShortBalance,FinanceBalance'</f>
        <v>850</v>
      </c>
      <c r="AF78">
        <v>19.5</v>
      </c>
      <c r="AG78">
        <v>30.39</v>
      </c>
      <c r="AH78">
        <v>19.72</v>
      </c>
      <c r="AI78">
        <v>0.52</v>
      </c>
      <c r="AJ78">
        <v>61.2</v>
      </c>
      <c r="AK78" t="str">
        <v>2024/05/30</v>
      </c>
      <c r="AL78" t="str">
        <v>2023/11/23</v>
      </c>
      <c r="AM78">
        <v>891</v>
      </c>
      <c r="AN78">
        <v>16145</v>
      </c>
    </row>
    <row r="79" spans="1:40" x14ac:dyDescent="0.25">
      <c r="A79" t="str">
        <f t="array" ref="A79:J79">[1]!'2009.TW-ID,Name,CompanyPos,Price,DIndexPtsContributionRate,VolumeRatio,TurnoverRatio,PriceChangeRatio,DLOrderValueDiffRatio,MajorOrderBidAskRatio'</f>
        <v>2009</v>
      </c>
      <c r="B79" t="str">
        <v>第一銅</v>
      </c>
      <c r="C79" t="str">
        <v>台灣銅產品線最完整的企業</v>
      </c>
      <c r="D79">
        <v>46.85</v>
      </c>
      <c r="E79">
        <v>0.02</v>
      </c>
      <c r="F79">
        <v>3.18</v>
      </c>
      <c r="G79">
        <v>0.44</v>
      </c>
      <c r="H79">
        <v>3.42</v>
      </c>
      <c r="I79">
        <v>2.1</v>
      </c>
      <c r="J79">
        <v>51.4</v>
      </c>
      <c r="K79" t="str">
        <f t="array" ref="K79:T79">[1]!'2009.TW-MajorOrderDif,DXLOrderValueDiffRatio,Low,MonthReturn,QuarterReturn,HalfYearReturn,YearReturn,DLOrderOutValueRatio,DetailIndustry,CompanyNews'</f>
        <v>72.6萬</v>
      </c>
      <c r="L79">
        <v>-1.1200000000000001</v>
      </c>
      <c r="M79">
        <v>46.1</v>
      </c>
      <c r="N79">
        <v>-5.83</v>
      </c>
      <c r="O79">
        <v>-4.97</v>
      </c>
      <c r="P79">
        <v>53.36</v>
      </c>
      <c r="Q79">
        <v>35.799999999999997</v>
      </c>
      <c r="R79">
        <v>8.26</v>
      </c>
      <c r="S79" t="str">
        <v>非鐵金屬,銅</v>
      </c>
      <c r="T79" t="str">
        <v>--</v>
      </c>
      <c r="U79">
        <f t="array" ref="U79:AD79">[1]!'2009.TW-ChipsField17,ROE,InOutRatio,RevenueMonth,EstimatedTotalVolume,5DayAvgVol,FinanceUsedRatio,PriceChange,CashAndStockDividend,ChipsField25'</f>
        <v>151</v>
      </c>
      <c r="V79">
        <v>0.01</v>
      </c>
      <c r="W79">
        <v>52.67</v>
      </c>
      <c r="X79" t="str">
        <v>2024/06</v>
      </c>
      <c r="Y79">
        <v>3191</v>
      </c>
      <c r="Z79">
        <v>1472</v>
      </c>
      <c r="AA79">
        <v>6.56</v>
      </c>
      <c r="AB79">
        <v>1.55</v>
      </c>
      <c r="AC79">
        <v>0</v>
      </c>
      <c r="AD79" t="str">
        <v>--</v>
      </c>
      <c r="AE79">
        <f t="array" ref="AE79:AN79">[1]!'2009.TW-TotalVolume,PreClose,Capital,AvgPrice,Profit,MarketValue,DateofMeetingofShareHolders,InvestorConferenceDate,ShortBalance,FinanceBalance'</f>
        <v>1590</v>
      </c>
      <c r="AF79">
        <v>45.3</v>
      </c>
      <c r="AG79">
        <v>35.96</v>
      </c>
      <c r="AH79">
        <v>46.71</v>
      </c>
      <c r="AI79">
        <v>0</v>
      </c>
      <c r="AJ79">
        <v>168.5</v>
      </c>
      <c r="AK79" t="str">
        <v>2024/06/20</v>
      </c>
      <c r="AL79" t="str">
        <v>2023/11/17</v>
      </c>
      <c r="AM79">
        <v>653</v>
      </c>
      <c r="AN79">
        <v>5901</v>
      </c>
    </row>
    <row r="80" spans="1:40" x14ac:dyDescent="0.25">
      <c r="A80" t="str">
        <f t="array" ref="A80:J80">[1]!'2360.TW-ID,Name,CompanyPos,Price,DIndexPtsContributionRate,VolumeRatio,TurnoverRatio,PriceChangeRatio,DLOrderValueDiffRatio,MajorOrderBidAskRatio'</f>
        <v>2360</v>
      </c>
      <c r="B80" t="str">
        <v>致茂</v>
      </c>
      <c r="C80" t="str">
        <v>全球知名的自動測試設備品牌大廠</v>
      </c>
      <c r="D80">
        <v>317</v>
      </c>
      <c r="E80">
        <v>0.18</v>
      </c>
      <c r="F80">
        <v>2.59</v>
      </c>
      <c r="G80">
        <v>0.53</v>
      </c>
      <c r="H80">
        <v>5.32</v>
      </c>
      <c r="I80">
        <v>3.07</v>
      </c>
      <c r="J80">
        <v>48.19</v>
      </c>
      <c r="K80" t="str">
        <f t="array" ref="K80:T80">[1]!'2360.TW-MajorOrderDif,DXLOrderValueDiffRatio,Low,MonthReturn,QuarterReturn,HalfYearReturn,YearReturn,DLOrderOutValueRatio,DetailIndustry,CompanyNews'</f>
        <v>-817萬</v>
      </c>
      <c r="L80">
        <v>-4.22</v>
      </c>
      <c r="M80">
        <v>311</v>
      </c>
      <c r="N80">
        <v>-0.16</v>
      </c>
      <c r="O80">
        <v>21.67</v>
      </c>
      <c r="P80">
        <v>65.010000000000005</v>
      </c>
      <c r="Q80">
        <v>14.98</v>
      </c>
      <c r="R80">
        <v>8.32</v>
      </c>
      <c r="S80" t="str">
        <v>設備儀器廠商,量測儀器</v>
      </c>
      <c r="T80" t="str">
        <v>上半年合併獲利23.62億元</v>
      </c>
      <c r="U80">
        <f t="array" ref="U80:AD80">[1]!'2360.TW-ChipsField17,ROE,InOutRatio,RevenueMonth,EstimatedTotalVolume,5DayAvgVol,FinanceUsedRatio,PriceChange,CashAndStockDividend,ChipsField25'</f>
        <v>1066</v>
      </c>
      <c r="V80">
        <v>4.49</v>
      </c>
      <c r="W80">
        <v>51.35</v>
      </c>
      <c r="X80" t="str">
        <v>2024/06</v>
      </c>
      <c r="Y80">
        <v>5283</v>
      </c>
      <c r="Z80">
        <v>2721</v>
      </c>
      <c r="AA80">
        <v>0.67</v>
      </c>
      <c r="AB80">
        <v>16</v>
      </c>
      <c r="AC80">
        <v>6.6</v>
      </c>
      <c r="AD80" t="str">
        <v>2024/06/12</v>
      </c>
      <c r="AE80">
        <f t="array" ref="AE80:AN80">[1]!'2360.TW-TotalVolume,PreClose,Capital,AvgPrice,Profit,MarketValue,DateofMeetingofShareHolders,InvestorConferenceDate,ShortBalance,FinanceBalance'</f>
        <v>2244</v>
      </c>
      <c r="AF80">
        <v>301</v>
      </c>
      <c r="AG80">
        <v>42.53</v>
      </c>
      <c r="AH80">
        <v>315.95</v>
      </c>
      <c r="AI80">
        <v>2.27</v>
      </c>
      <c r="AJ80">
        <v>1348.4</v>
      </c>
      <c r="AK80" t="str">
        <v>2024/06/06</v>
      </c>
      <c r="AL80" t="str">
        <v>2024/07/31</v>
      </c>
      <c r="AM80">
        <v>51</v>
      </c>
      <c r="AN80">
        <v>710</v>
      </c>
    </row>
    <row r="81" spans="1:40" x14ac:dyDescent="0.25">
      <c r="A81" t="str">
        <f t="array" ref="A81:J81">[1]!'3019.TW-ID,Name,CompanyPos,Price,DIndexPtsContributionRate,VolumeRatio,TurnoverRatio,PriceChangeRatio,DLOrderValueDiffRatio,MajorOrderBidAskRatio'</f>
        <v>3019</v>
      </c>
      <c r="B81" t="str">
        <v>亞光</v>
      </c>
      <c r="C81" t="str">
        <v>台灣光學鏡頭大廠，專注於玻璃鏡片與非球面模造玻璃</v>
      </c>
      <c r="D81">
        <v>91</v>
      </c>
      <c r="E81">
        <v>0.04</v>
      </c>
      <c r="F81">
        <v>1.76</v>
      </c>
      <c r="G81">
        <v>1.78</v>
      </c>
      <c r="H81">
        <v>1.45</v>
      </c>
      <c r="I81">
        <v>-0.23</v>
      </c>
      <c r="J81">
        <v>50.91</v>
      </c>
      <c r="K81" t="str">
        <f t="array" ref="K81:T81">[1]!'3019.TW-MajorOrderDif,DXLOrderValueDiffRatio,Low,MonthReturn,QuarterReturn,HalfYearReturn,YearReturn,DLOrderOutValueRatio,DetailIndustry,CompanyNews'</f>
        <v>303萬</v>
      </c>
      <c r="L81">
        <v>0.89</v>
      </c>
      <c r="M81">
        <v>90.7</v>
      </c>
      <c r="N81">
        <v>32.46</v>
      </c>
      <c r="O81">
        <v>45.44</v>
      </c>
      <c r="P81">
        <v>40.619999999999997</v>
      </c>
      <c r="Q81">
        <v>44.54</v>
      </c>
      <c r="R81">
        <v>8.3800000000000008</v>
      </c>
      <c r="S81" t="str">
        <v>傳產其他,光學,影像感測元件,數位相機,數位相機組裝,光學鏡片/頭</v>
      </c>
      <c r="T81" t="str">
        <v>6月營收21.10億元</v>
      </c>
      <c r="U81">
        <f t="array" ref="U81:AD81">[1]!'3019.TW-ChipsField17,ROE,InOutRatio,RevenueMonth,EstimatedTotalVolume,5DayAvgVol,FinanceUsedRatio,PriceChange,CashAndStockDividend,ChipsField25'</f>
        <v>1389</v>
      </c>
      <c r="V81">
        <v>1.3</v>
      </c>
      <c r="W81">
        <v>51.58</v>
      </c>
      <c r="X81" t="str">
        <v>2024/06</v>
      </c>
      <c r="Y81">
        <v>10387</v>
      </c>
      <c r="Z81">
        <v>6721</v>
      </c>
      <c r="AA81">
        <v>19.84</v>
      </c>
      <c r="AB81">
        <v>1.3</v>
      </c>
      <c r="AC81">
        <v>1.8</v>
      </c>
      <c r="AD81" t="str">
        <v>2024/06/20</v>
      </c>
      <c r="AE81">
        <f t="array" ref="AE81:AN81">[1]!'3019.TW-TotalVolume,PreClose,Capital,AvgPrice,Profit,MarketValue,DateofMeetingofShareHolders,InvestorConferenceDate,ShortBalance,FinanceBalance'</f>
        <v>4979</v>
      </c>
      <c r="AF81">
        <v>89.7</v>
      </c>
      <c r="AG81">
        <v>27.92</v>
      </c>
      <c r="AH81">
        <v>91.91</v>
      </c>
      <c r="AI81">
        <v>0.4</v>
      </c>
      <c r="AJ81">
        <v>254.1</v>
      </c>
      <c r="AK81" t="str">
        <v>2024/05/31</v>
      </c>
      <c r="AL81" t="str">
        <v>2024/05/08</v>
      </c>
      <c r="AM81">
        <v>289</v>
      </c>
      <c r="AN81">
        <v>13851</v>
      </c>
    </row>
    <row r="82" spans="1:40" x14ac:dyDescent="0.25">
      <c r="A82" t="str">
        <f t="array" ref="A82:J82">[1]!'1216.TW-ID,Name,CompanyPos,Price,DIndexPtsContributionRate,VolumeRatio,TurnoverRatio,PriceChangeRatio,DLOrderValueDiffRatio,MajorOrderBidAskRatio'</f>
        <v>1216</v>
      </c>
      <c r="B82" t="str">
        <v>統一</v>
      </c>
      <c r="C82" t="str">
        <v>台灣食品業龍頭廠之一</v>
      </c>
      <c r="D82">
        <v>78.900000000000006</v>
      </c>
      <c r="E82">
        <v>0.65</v>
      </c>
      <c r="F82">
        <v>5.01</v>
      </c>
      <c r="G82">
        <v>0.28000000000000003</v>
      </c>
      <c r="H82">
        <v>-2.4700000000000002</v>
      </c>
      <c r="I82">
        <v>-6.35</v>
      </c>
      <c r="J82">
        <v>49.53</v>
      </c>
      <c r="K82" t="str">
        <f t="array" ref="K82:T82">[1]!'1216.TW-MajorOrderDif,DXLOrderValueDiffRatio,Low,MonthReturn,QuarterReturn,HalfYearReturn,YearReturn,DLOrderOutValueRatio,DetailIndustry,CompanyNews'</f>
        <v>-544萬</v>
      </c>
      <c r="L82">
        <v>5.91</v>
      </c>
      <c r="M82">
        <v>78.400000000000006</v>
      </c>
      <c r="N82">
        <v>0.4</v>
      </c>
      <c r="O82">
        <v>6.96</v>
      </c>
      <c r="P82">
        <v>11.33</v>
      </c>
      <c r="Q82">
        <v>11.57</v>
      </c>
      <c r="R82">
        <v>3.13</v>
      </c>
      <c r="S82" t="str">
        <v>農林漁牧,飼料,方便麵,非酒精飲料,乳製品,調味品,食品加工,大宗物資,麵粉,油脂,肉品加工,穀類烘焙製品,飲料相關</v>
      </c>
      <c r="T82" t="str">
        <v>8/1除息3.00元</v>
      </c>
      <c r="U82">
        <f t="array" ref="U82:AD82">[1]!'1216.TW-ChipsField17,ROE,InOutRatio,RevenueMonth,EstimatedTotalVolume,5DayAvgVol,FinanceUsedRatio,PriceChange,CashAndStockDividend,ChipsField25'</f>
        <v>4316</v>
      </c>
      <c r="V82">
        <v>4.12</v>
      </c>
      <c r="W82">
        <v>37.71</v>
      </c>
      <c r="X82" t="str">
        <v>2024/06</v>
      </c>
      <c r="Y82">
        <v>64661</v>
      </c>
      <c r="Z82">
        <v>13789</v>
      </c>
      <c r="AA82">
        <v>0.02</v>
      </c>
      <c r="AB82">
        <v>-2</v>
      </c>
      <c r="AC82">
        <v>3</v>
      </c>
      <c r="AD82" t="str">
        <v>2024/08/01</v>
      </c>
      <c r="AE82">
        <f t="array" ref="AE82:AN82">[1]!'1216.TW-TotalVolume,PreClose,Capital,AvgPrice,Profit,MarketValue,DateofMeetingofShareHolders,InvestorConferenceDate,ShortBalance,FinanceBalance'</f>
        <v>15944</v>
      </c>
      <c r="AF82">
        <v>80.900000000000006</v>
      </c>
      <c r="AG82">
        <v>568.20000000000005</v>
      </c>
      <c r="AH82">
        <v>79.27</v>
      </c>
      <c r="AI82">
        <v>0.97</v>
      </c>
      <c r="AJ82">
        <v>4483.1000000000004</v>
      </c>
      <c r="AK82" t="str">
        <v>2024/06/27</v>
      </c>
      <c r="AL82" t="str">
        <v>2024/03/15</v>
      </c>
      <c r="AM82">
        <v>0</v>
      </c>
      <c r="AN82">
        <v>343</v>
      </c>
    </row>
    <row r="83" spans="1:40" x14ac:dyDescent="0.25">
      <c r="A83" t="str">
        <f t="array" ref="A83:J83">[1]!'3624.TW-ID,Name,CompanyPos,Price,DIndexPtsContributionRate,VolumeRatio,TurnoverRatio,PriceChangeRatio,DLOrderValueDiffRatio,MajorOrderBidAskRatio'</f>
        <v>3624</v>
      </c>
      <c r="B83" t="str">
        <v>光頡</v>
      </c>
      <c r="C83" t="str">
        <v>利基型薄膜電阻廠</v>
      </c>
      <c r="D83">
        <v>54.6</v>
      </c>
      <c r="E83">
        <v>0</v>
      </c>
      <c r="F83">
        <v>3.61</v>
      </c>
      <c r="G83">
        <v>2.89</v>
      </c>
      <c r="H83">
        <v>0.92</v>
      </c>
      <c r="I83">
        <v>0.91</v>
      </c>
      <c r="J83">
        <v>45.52</v>
      </c>
      <c r="K83" t="str">
        <f t="array" ref="K83:T83">[1]!'3624.TW-MajorOrderDif,DXLOrderValueDiffRatio,Low,MonthReturn,QuarterReturn,HalfYearReturn,YearReturn,DLOrderOutValueRatio,DetailIndustry,CompanyNews'</f>
        <v>-393萬</v>
      </c>
      <c r="L83">
        <v>-3.02</v>
      </c>
      <c r="M83">
        <v>53.6</v>
      </c>
      <c r="N83">
        <v>2.94</v>
      </c>
      <c r="O83">
        <v>16.73</v>
      </c>
      <c r="P83">
        <v>7.71</v>
      </c>
      <c r="Q83">
        <v>7.3</v>
      </c>
      <c r="R83">
        <v>6.51</v>
      </c>
      <c r="S83" t="str">
        <v>被動元件,晶片電阻,電阻</v>
      </c>
      <c r="T83" t="str">
        <v>--</v>
      </c>
      <c r="U83">
        <f t="array" ref="U83:AD83">[1]!'3624.TW-ChipsField17,ROE,InOutRatio,RevenueMonth,EstimatedTotalVolume,5DayAvgVol,FinanceUsedRatio,PriceChange,CashAndStockDividend,ChipsField25'</f>
        <v>0</v>
      </c>
      <c r="V83">
        <v>1.68</v>
      </c>
      <c r="W83">
        <v>48.56</v>
      </c>
      <c r="X83" t="str">
        <v>2024/06</v>
      </c>
      <c r="Y83">
        <v>7801</v>
      </c>
      <c r="Z83">
        <v>738</v>
      </c>
      <c r="AA83">
        <v>17.399999999999999</v>
      </c>
      <c r="AB83">
        <v>0.5</v>
      </c>
      <c r="AC83">
        <v>1.2</v>
      </c>
      <c r="AD83" t="str">
        <v>2024/07/12</v>
      </c>
      <c r="AE83">
        <f t="array" ref="AE83:AN83">[1]!'3624.TW-TotalVolume,PreClose,Capital,AvgPrice,Profit,MarketValue,DateofMeetingofShareHolders,InvestorConferenceDate,ShortBalance,FinanceBalance'</f>
        <v>3388</v>
      </c>
      <c r="AF83">
        <v>54.1</v>
      </c>
      <c r="AG83">
        <v>11.73</v>
      </c>
      <c r="AH83">
        <v>54.96</v>
      </c>
      <c r="AI83">
        <v>0.48</v>
      </c>
      <c r="AJ83">
        <v>64.099999999999994</v>
      </c>
      <c r="AK83" t="str">
        <v>2024/06/25</v>
      </c>
      <c r="AL83" t="str">
        <v>2023/12/13</v>
      </c>
      <c r="AM83">
        <v>55</v>
      </c>
      <c r="AN83">
        <v>5103</v>
      </c>
    </row>
    <row r="84" spans="1:40" x14ac:dyDescent="0.25">
      <c r="A84" t="str">
        <f t="array" ref="A84:J84">[1]!'8096.TW-ID,Name,CompanyPos,Price,DIndexPtsContributionRate,VolumeRatio,TurnoverRatio,PriceChangeRatio,DLOrderValueDiffRatio,MajorOrderBidAskRatio'</f>
        <v>8096</v>
      </c>
      <c r="B84" t="str">
        <v>擎亞</v>
      </c>
      <c r="C84" t="str">
        <v>為韓國三星在台之主要合作夥伴</v>
      </c>
      <c r="D84">
        <v>43.45</v>
      </c>
      <c r="E84">
        <v>0</v>
      </c>
      <c r="F84">
        <v>3.57</v>
      </c>
      <c r="G84">
        <v>14.16</v>
      </c>
      <c r="H84">
        <v>1.52</v>
      </c>
      <c r="I84">
        <v>-2.35</v>
      </c>
      <c r="J84">
        <v>45.51</v>
      </c>
      <c r="K84" t="str">
        <f t="array" ref="K84:T84">[1]!'8096.TW-MajorOrderDif,DXLOrderValueDiffRatio,Low,MonthReturn,QuarterReturn,HalfYearReturn,YearReturn,DLOrderOutValueRatio,DetailIndustry,CompanyNews'</f>
        <v>-4385萬</v>
      </c>
      <c r="L84">
        <v>-2.31</v>
      </c>
      <c r="M84">
        <v>43</v>
      </c>
      <c r="N84">
        <v>6.63</v>
      </c>
      <c r="O84">
        <v>47.79</v>
      </c>
      <c r="P84">
        <v>78.44</v>
      </c>
      <c r="Q84">
        <v>262.69</v>
      </c>
      <c r="R84">
        <v>5.12</v>
      </c>
      <c r="S84" t="str">
        <v>IC零組件通路商,其他電子元件代理商,電子通路</v>
      </c>
      <c r="T84" t="str">
        <v>--</v>
      </c>
      <c r="U84">
        <f t="array" ref="U84:AD84">[1]!'8096.TW-ChipsField17,ROE,InOutRatio,RevenueMonth,EstimatedTotalVolume,5DayAvgVol,FinanceUsedRatio,PriceChange,CashAndStockDividend,ChipsField25'</f>
        <v>59</v>
      </c>
      <c r="V84">
        <v>0.92</v>
      </c>
      <c r="W84">
        <v>48.9</v>
      </c>
      <c r="X84" t="str">
        <v>2024/06</v>
      </c>
      <c r="Y84">
        <v>43210</v>
      </c>
      <c r="Z84">
        <v>9952</v>
      </c>
      <c r="AA84">
        <v>39.08</v>
      </c>
      <c r="AB84">
        <v>0.65</v>
      </c>
      <c r="AC84">
        <v>0</v>
      </c>
      <c r="AD84" t="str">
        <v>--</v>
      </c>
      <c r="AE84">
        <f t="array" ref="AE84:AN84">[1]!'8096.TW-TotalVolume,PreClose,Capital,AvgPrice,Profit,MarketValue,DateofMeetingofShareHolders,InvestorConferenceDate,ShortBalance,FinanceBalance'</f>
        <v>21140</v>
      </c>
      <c r="AF84">
        <v>42.8</v>
      </c>
      <c r="AG84">
        <v>14.93</v>
      </c>
      <c r="AH84">
        <v>44.55</v>
      </c>
      <c r="AI84">
        <v>0.13</v>
      </c>
      <c r="AJ84">
        <v>64.900000000000006</v>
      </c>
      <c r="AK84" t="str">
        <v>2024/06/26</v>
      </c>
      <c r="AL84" t="str">
        <v>2024/06/19</v>
      </c>
      <c r="AM84">
        <v>1774</v>
      </c>
      <c r="AN84">
        <v>14591</v>
      </c>
    </row>
    <row r="85" spans="1:40" x14ac:dyDescent="0.25">
      <c r="A85" t="str">
        <f t="array" ref="A85:J85">[1]!'5392.TW-ID,Name,CompanyPos,Price,DIndexPtsContributionRate,VolumeRatio,TurnoverRatio,PriceChangeRatio,DLOrderValueDiffRatio,MajorOrderBidAskRatio'</f>
        <v>5392</v>
      </c>
      <c r="B85" t="str">
        <v>能率</v>
      </c>
      <c r="C85" t="str">
        <v>3C、手工具機、汽車等應用之零組件廠</v>
      </c>
      <c r="D85">
        <v>33.700000000000003</v>
      </c>
      <c r="E85">
        <v>0</v>
      </c>
      <c r="F85">
        <v>3.85</v>
      </c>
      <c r="G85">
        <v>1.2</v>
      </c>
      <c r="H85">
        <v>5.97</v>
      </c>
      <c r="I85">
        <v>-3.92</v>
      </c>
      <c r="J85">
        <v>44.24</v>
      </c>
      <c r="K85" t="str">
        <f t="array" ref="K85:T85">[1]!'5392.TW-MajorOrderDif,DXLOrderValueDiffRatio,Low,MonthReturn,QuarterReturn,HalfYearReturn,YearReturn,DLOrderOutValueRatio,DetailIndustry,CompanyNews'</f>
        <v>-97.5萬</v>
      </c>
      <c r="L85">
        <v>2.4900000000000002</v>
      </c>
      <c r="M85">
        <v>32.25</v>
      </c>
      <c r="N85">
        <v>-6.39</v>
      </c>
      <c r="O85">
        <v>23.44</v>
      </c>
      <c r="P85">
        <v>42.8</v>
      </c>
      <c r="Q85">
        <v>36.96</v>
      </c>
      <c r="R85">
        <v>2.99</v>
      </c>
      <c r="S85" t="str">
        <v>汽機車零組件,控股公司,其他電子零件,電子零件元件,機械零組件,機械</v>
      </c>
      <c r="T85" t="str">
        <v>--</v>
      </c>
      <c r="U85">
        <f t="array" ref="U85:AD85">[1]!'5392.TW-ChipsField17,ROE,InOutRatio,RevenueMonth,EstimatedTotalVolume,5DayAvgVol,FinanceUsedRatio,PriceChange,CashAndStockDividend,ChipsField25'</f>
        <v>0</v>
      </c>
      <c r="V85">
        <v>0.02</v>
      </c>
      <c r="W85">
        <v>46.62</v>
      </c>
      <c r="X85" t="str">
        <v>2024/06</v>
      </c>
      <c r="Y85">
        <v>4749</v>
      </c>
      <c r="Z85">
        <v>1419</v>
      </c>
      <c r="AA85">
        <v>18.739999999999998</v>
      </c>
      <c r="AB85">
        <v>1.9</v>
      </c>
      <c r="AC85">
        <v>0.3</v>
      </c>
      <c r="AD85" t="str">
        <v>--</v>
      </c>
      <c r="AE85">
        <f t="array" ref="AE85:AN85">[1]!'5392.TW-TotalVolume,PreClose,Capital,AvgPrice,Profit,MarketValue,DateofMeetingofShareHolders,InvestorConferenceDate,ShortBalance,FinanceBalance'</f>
        <v>2026</v>
      </c>
      <c r="AF85">
        <v>31.8</v>
      </c>
      <c r="AG85">
        <v>16.899999999999999</v>
      </c>
      <c r="AH85">
        <v>33.75</v>
      </c>
      <c r="AI85">
        <v>-0.04</v>
      </c>
      <c r="AJ85">
        <v>56.9</v>
      </c>
      <c r="AK85" t="str">
        <v>2024/06/21</v>
      </c>
      <c r="AL85" t="str">
        <v>2023/11/21</v>
      </c>
      <c r="AM85">
        <v>134</v>
      </c>
      <c r="AN85">
        <v>7914</v>
      </c>
    </row>
    <row r="86" spans="1:40" x14ac:dyDescent="0.25">
      <c r="A86" t="str">
        <f t="array" ref="A86:J86">[1]!'6182.TW-ID,Name,CompanyPos,Price,DIndexPtsContributionRate,VolumeRatio,TurnoverRatio,PriceChangeRatio,DLOrderValueDiffRatio,MajorOrderBidAskRatio'</f>
        <v>6182</v>
      </c>
      <c r="B86" t="str">
        <v>合晶</v>
      </c>
      <c r="C86" t="str">
        <v>台灣6吋及8吋矽晶圓製造商</v>
      </c>
      <c r="D86">
        <v>37.5</v>
      </c>
      <c r="E86">
        <v>0</v>
      </c>
      <c r="F86">
        <v>1.75</v>
      </c>
      <c r="G86">
        <v>0.16</v>
      </c>
      <c r="H86">
        <v>1.9</v>
      </c>
      <c r="I86">
        <v>2.7</v>
      </c>
      <c r="J86">
        <v>43.01</v>
      </c>
      <c r="K86" t="str">
        <f t="array" ref="K86:T86">[1]!'6182.TW-MajorOrderDif,DXLOrderValueDiffRatio,Low,MonthReturn,QuarterReturn,HalfYearReturn,YearReturn,DLOrderOutValueRatio,DetailIndustry,CompanyNews'</f>
        <v>-140萬</v>
      </c>
      <c r="L86">
        <v>-6.93</v>
      </c>
      <c r="M86">
        <v>37.4</v>
      </c>
      <c r="N86">
        <v>-1.28</v>
      </c>
      <c r="O86">
        <v>-3.41</v>
      </c>
      <c r="P86">
        <v>-6.94</v>
      </c>
      <c r="Q86">
        <v>-11.37</v>
      </c>
      <c r="R86">
        <v>8.6300000000000008</v>
      </c>
      <c r="S86" t="str">
        <v>磊晶,矽晶圓,IC製造</v>
      </c>
      <c r="T86" t="str">
        <v>--</v>
      </c>
      <c r="U86">
        <f t="array" ref="U86:AD86">[1]!'6182.TW-ChipsField17,ROE,InOutRatio,RevenueMonth,EstimatedTotalVolume,5DayAvgVol,FinanceUsedRatio,PriceChange,CashAndStockDividend,ChipsField25'</f>
        <v>99</v>
      </c>
      <c r="V86">
        <v>0.1</v>
      </c>
      <c r="W86">
        <v>46.59</v>
      </c>
      <c r="X86" t="str">
        <v>2024/06</v>
      </c>
      <c r="Y86">
        <v>2576</v>
      </c>
      <c r="Z86">
        <v>1943</v>
      </c>
      <c r="AA86">
        <v>11.62</v>
      </c>
      <c r="AB86">
        <v>0.7</v>
      </c>
      <c r="AC86">
        <v>0.65</v>
      </c>
      <c r="AD86" t="str">
        <v>2024/07/23</v>
      </c>
      <c r="AE86">
        <f t="array" ref="AE86:AN86">[1]!'6182.TW-TotalVolume,PreClose,Capital,AvgPrice,Profit,MarketValue,DateofMeetingofShareHolders,InvestorConferenceDate,ShortBalance,FinanceBalance'</f>
        <v>878</v>
      </c>
      <c r="AF86">
        <v>36.799999999999997</v>
      </c>
      <c r="AG86">
        <v>54.27</v>
      </c>
      <c r="AH86">
        <v>37.71</v>
      </c>
      <c r="AI86">
        <v>0</v>
      </c>
      <c r="AJ86">
        <v>203.5</v>
      </c>
      <c r="AK86" t="str">
        <v>2024/06/21</v>
      </c>
      <c r="AL86" t="str">
        <v>2024/07/05</v>
      </c>
      <c r="AM86">
        <v>36</v>
      </c>
      <c r="AN86">
        <v>15769</v>
      </c>
    </row>
    <row r="87" spans="1:40" x14ac:dyDescent="0.25">
      <c r="A87" t="str">
        <f t="array" ref="A87:J87">[1]!'3535.TW-ID,Name,CompanyPos,Price,DIndexPtsContributionRate,VolumeRatio,TurnoverRatio,PriceChangeRatio,DLOrderValueDiffRatio,MajorOrderBidAskRatio'</f>
        <v>3535</v>
      </c>
      <c r="B87" t="str">
        <v>晶彩科</v>
      </c>
      <c r="C87" t="str">
        <v>國內面板前段自動光學檢測設備大廠</v>
      </c>
      <c r="D87">
        <v>79.7</v>
      </c>
      <c r="E87">
        <v>0.01</v>
      </c>
      <c r="F87">
        <v>7.67</v>
      </c>
      <c r="G87">
        <v>34.75</v>
      </c>
      <c r="H87">
        <v>-2.09</v>
      </c>
      <c r="I87">
        <v>-2.19</v>
      </c>
      <c r="J87">
        <v>41.39</v>
      </c>
      <c r="K87" t="str">
        <f t="array" ref="K87:T87">[1]!'3535.TW-MajorOrderDif,DXLOrderValueDiffRatio,Low,MonthReturn,QuarterReturn,HalfYearReturn,YearReturn,DLOrderOutValueRatio,DetailIndustry,CompanyNews'</f>
        <v>-1.56億</v>
      </c>
      <c r="L87">
        <v>-4.5999999999999996</v>
      </c>
      <c r="M87">
        <v>78.3</v>
      </c>
      <c r="N87">
        <v>65.87</v>
      </c>
      <c r="O87">
        <v>245.02</v>
      </c>
      <c r="P87">
        <v>226.64</v>
      </c>
      <c r="Q87">
        <v>323.94</v>
      </c>
      <c r="R87">
        <v>7.26</v>
      </c>
      <c r="S87" t="str">
        <v>設備儀器廠商,面板設備</v>
      </c>
      <c r="T87" t="str">
        <v>--</v>
      </c>
      <c r="U87">
        <f t="array" ref="U87:AD87">[1]!'3535.TW-ChipsField17,ROE,InOutRatio,RevenueMonth,EstimatedTotalVolume,5DayAvgVol,FinanceUsedRatio,PriceChange,CashAndStockDividend,ChipsField25'</f>
        <v>35</v>
      </c>
      <c r="V87">
        <v>-0.91</v>
      </c>
      <c r="W87">
        <v>46.11</v>
      </c>
      <c r="X87" t="str">
        <v>2024/06</v>
      </c>
      <c r="Y87">
        <v>60826</v>
      </c>
      <c r="Z87">
        <v>4172</v>
      </c>
      <c r="AA87">
        <v>42.65</v>
      </c>
      <c r="AB87">
        <v>-1.7</v>
      </c>
      <c r="AC87">
        <v>0</v>
      </c>
      <c r="AD87" t="str">
        <v>--</v>
      </c>
      <c r="AE87">
        <f t="array" ref="AE87:AN87">[1]!'3535.TW-TotalVolume,PreClose,Capital,AvgPrice,Profit,MarketValue,DateofMeetingofShareHolders,InvestorConferenceDate,ShortBalance,FinanceBalance'</f>
        <v>27474</v>
      </c>
      <c r="AF87">
        <v>81.400000000000006</v>
      </c>
      <c r="AG87">
        <v>7.91</v>
      </c>
      <c r="AH87">
        <v>83.57</v>
      </c>
      <c r="AI87">
        <v>-0.13</v>
      </c>
      <c r="AJ87">
        <v>63</v>
      </c>
      <c r="AK87" t="str">
        <v>2024/05/31</v>
      </c>
      <c r="AL87" t="str">
        <v>2023/11/23</v>
      </c>
      <c r="AM87">
        <v>2337</v>
      </c>
      <c r="AN87">
        <v>8429</v>
      </c>
    </row>
    <row r="88" spans="1:40" x14ac:dyDescent="0.25">
      <c r="A88" t="str">
        <f t="array" ref="A88:J88">[1]!'9902.TW-ID,Name,CompanyPos,Price,DIndexPtsContributionRate,VolumeRatio,TurnoverRatio,PriceChangeRatio,DLOrderValueDiffRatio,MajorOrderBidAskRatio'</f>
        <v>9902</v>
      </c>
      <c r="B88" t="str">
        <v>台火</v>
      </c>
      <c r="C88" t="str">
        <v>進口轎車、垃圾車、建材貿易商，亦從事小客車租賃及建營開發</v>
      </c>
      <c r="D88">
        <v>24.5</v>
      </c>
      <c r="E88">
        <v>0</v>
      </c>
      <c r="F88">
        <v>2.88</v>
      </c>
      <c r="G88">
        <v>8.3699999999999992</v>
      </c>
      <c r="H88">
        <v>6.06</v>
      </c>
      <c r="I88">
        <v>-2.2999999999999998</v>
      </c>
      <c r="J88">
        <v>43.66</v>
      </c>
      <c r="K88" t="str">
        <f t="array" ref="K88:T88">[1]!'9902.TW-MajorOrderDif,DXLOrderValueDiffRatio,Low,MonthReturn,QuarterReturn,HalfYearReturn,YearReturn,DLOrderOutValueRatio,DetailIndustry,CompanyNews'</f>
        <v>-551萬</v>
      </c>
      <c r="L88">
        <v>-0.53</v>
      </c>
      <c r="M88">
        <v>22.85</v>
      </c>
      <c r="N88">
        <v>51.23</v>
      </c>
      <c r="O88">
        <v>50.78</v>
      </c>
      <c r="P88">
        <v>93.43</v>
      </c>
      <c r="Q88">
        <v>100.43</v>
      </c>
      <c r="R88">
        <v>5.72</v>
      </c>
      <c r="S88" t="str">
        <v>流通業,貿易,汽車服務相關,車輛整車,特種車輛相關,資產股</v>
      </c>
      <c r="T88" t="str">
        <v>--</v>
      </c>
      <c r="U88">
        <f t="array" ref="U88:AD88">[1]!'9902.TW-ChipsField17,ROE,InOutRatio,RevenueMonth,EstimatedTotalVolume,5DayAvgVol,FinanceUsedRatio,PriceChange,CashAndStockDividend,ChipsField25'</f>
        <v>0</v>
      </c>
      <c r="V88">
        <v>2.97</v>
      </c>
      <c r="W88">
        <v>49.63</v>
      </c>
      <c r="X88" t="str">
        <v>2024/06</v>
      </c>
      <c r="Y88">
        <v>22531</v>
      </c>
      <c r="Z88">
        <v>4764</v>
      </c>
      <c r="AA88">
        <v>10.26</v>
      </c>
      <c r="AB88">
        <v>1.4</v>
      </c>
      <c r="AC88">
        <v>0.3</v>
      </c>
      <c r="AD88" t="str">
        <v>2024/07/02</v>
      </c>
      <c r="AE88">
        <f t="array" ref="AE88:AN88">[1]!'9902.TW-TotalVolume,PreClose,Capital,AvgPrice,Profit,MarketValue,DateofMeetingofShareHolders,InvestorConferenceDate,ShortBalance,FinanceBalance'</f>
        <v>8209</v>
      </c>
      <c r="AF88">
        <v>23.1</v>
      </c>
      <c r="AG88">
        <v>9.8000000000000007</v>
      </c>
      <c r="AH88">
        <v>23.74</v>
      </c>
      <c r="AI88">
        <v>0.39</v>
      </c>
      <c r="AJ88">
        <v>24</v>
      </c>
      <c r="AK88" t="str">
        <v>2024/06/14</v>
      </c>
      <c r="AL88" t="str">
        <v>2024/05/22</v>
      </c>
      <c r="AM88">
        <v>132</v>
      </c>
      <c r="AN88">
        <v>2515</v>
      </c>
    </row>
    <row r="89" spans="1:40" x14ac:dyDescent="0.25">
      <c r="A89" t="str">
        <f t="array" ref="A89:J89">[1]!'2363.TW-ID,Name,CompanyPos,Price,DIndexPtsContributionRate,VolumeRatio,TurnoverRatio,PriceChangeRatio,DLOrderValueDiffRatio,MajorOrderBidAskRatio'</f>
        <v>2363</v>
      </c>
      <c r="B89" t="str">
        <v>矽統</v>
      </c>
      <c r="C89" t="str">
        <v>轉型為觸控IC設計廠商</v>
      </c>
      <c r="D89">
        <v>80.2</v>
      </c>
      <c r="E89">
        <v>0.05</v>
      </c>
      <c r="F89">
        <v>2.4300000000000002</v>
      </c>
      <c r="G89">
        <v>6.87</v>
      </c>
      <c r="H89">
        <v>2.69</v>
      </c>
      <c r="I89">
        <v>1.76</v>
      </c>
      <c r="J89">
        <v>39.299999999999997</v>
      </c>
      <c r="K89" t="str">
        <f t="array" ref="K89:T89">[1]!'2363.TW-MajorOrderDif,DXLOrderValueDiffRatio,Low,MonthReturn,QuarterReturn,HalfYearReturn,YearReturn,DLOrderOutValueRatio,DetailIndustry,CompanyNews'</f>
        <v>-2.97億</v>
      </c>
      <c r="L89">
        <v>-12.72</v>
      </c>
      <c r="M89">
        <v>79</v>
      </c>
      <c r="N89">
        <v>0.44</v>
      </c>
      <c r="O89">
        <v>-9.81</v>
      </c>
      <c r="P89">
        <v>30.53</v>
      </c>
      <c r="Q89">
        <v>173.23</v>
      </c>
      <c r="R89">
        <v>7.41</v>
      </c>
      <c r="S89" t="str">
        <v>繪圖IC,IC設計,觸控IC,MEMS</v>
      </c>
      <c r="T89" t="str">
        <v>6月營收0.18億元</v>
      </c>
      <c r="U89">
        <f t="array" ref="U89:AD89">[1]!'2363.TW-ChipsField17,ROE,InOutRatio,RevenueMonth,EstimatedTotalVolume,5DayAvgVol,FinanceUsedRatio,PriceChange,CashAndStockDividend,ChipsField25'</f>
        <v>0</v>
      </c>
      <c r="V89">
        <v>-0.43</v>
      </c>
      <c r="W89">
        <v>43.1</v>
      </c>
      <c r="X89" t="str">
        <v>2024/06</v>
      </c>
      <c r="Y89">
        <v>60306</v>
      </c>
      <c r="Z89">
        <v>22934</v>
      </c>
      <c r="AA89">
        <v>26.35</v>
      </c>
      <c r="AB89">
        <v>2.1</v>
      </c>
      <c r="AC89">
        <v>0.3</v>
      </c>
      <c r="AD89" t="str">
        <v>2024/07/01</v>
      </c>
      <c r="AE89">
        <f t="array" ref="AE89:AN89">[1]!'2363.TW-TotalVolume,PreClose,Capital,AvgPrice,Profit,MarketValue,DateofMeetingofShareHolders,InvestorConferenceDate,ShortBalance,FinanceBalance'</f>
        <v>33451</v>
      </c>
      <c r="AF89">
        <v>78.099999999999994</v>
      </c>
      <c r="AG89">
        <v>48.72</v>
      </c>
      <c r="AH89">
        <v>81.010000000000005</v>
      </c>
      <c r="AI89">
        <v>-0.1</v>
      </c>
      <c r="AJ89">
        <v>390.8</v>
      </c>
      <c r="AK89" t="str">
        <v>2024/05/27</v>
      </c>
      <c r="AL89" t="str">
        <v>2023/12/14</v>
      </c>
      <c r="AM89">
        <v>890</v>
      </c>
      <c r="AN89">
        <v>32092</v>
      </c>
    </row>
    <row r="90" spans="1:40" x14ac:dyDescent="0.25">
      <c r="A90" t="str">
        <f t="array" ref="A90:J90">[1]!'2393.TW-ID,Name,CompanyPos,Price,DIndexPtsContributionRate,VolumeRatio,TurnoverRatio,PriceChangeRatio,DLOrderValueDiffRatio,MajorOrderBidAskRatio'</f>
        <v>2393</v>
      </c>
      <c r="B90" t="str">
        <v>億光</v>
      </c>
      <c r="C90" t="str">
        <v>全球前十大LED封裝廠</v>
      </c>
      <c r="D90">
        <v>72.599999999999994</v>
      </c>
      <c r="E90">
        <v>0.05</v>
      </c>
      <c r="F90">
        <v>2.74</v>
      </c>
      <c r="G90">
        <v>1.47</v>
      </c>
      <c r="H90">
        <v>-2.94</v>
      </c>
      <c r="I90">
        <v>-1.34</v>
      </c>
      <c r="J90">
        <v>38.520000000000003</v>
      </c>
      <c r="K90" t="str">
        <f t="array" ref="K90:T90">[1]!'2393.TW-MajorOrderDif,DXLOrderValueDiffRatio,Low,MonthReturn,QuarterReturn,HalfYearReturn,YearReturn,DLOrderOutValueRatio,DetailIndustry,CompanyNews'</f>
        <v>-5970萬</v>
      </c>
      <c r="L90">
        <v>-11.1</v>
      </c>
      <c r="M90">
        <v>72.3</v>
      </c>
      <c r="N90">
        <v>-1.17</v>
      </c>
      <c r="O90">
        <v>19.98</v>
      </c>
      <c r="P90">
        <v>55.45</v>
      </c>
      <c r="Q90">
        <v>55.45</v>
      </c>
      <c r="R90">
        <v>4.26</v>
      </c>
      <c r="S90" t="str">
        <v>LED,LED封裝,紅外線傳輸模組,LED照明產品</v>
      </c>
      <c r="T90" t="str">
        <v>8/1除息3.20元</v>
      </c>
      <c r="U90">
        <f t="array" ref="U90:AD90">[1]!'2393.TW-ChipsField17,ROE,InOutRatio,RevenueMonth,EstimatedTotalVolume,5DayAvgVol,FinanceUsedRatio,PriceChange,CashAndStockDividend,ChipsField25'</f>
        <v>0</v>
      </c>
      <c r="V90">
        <v>3.93</v>
      </c>
      <c r="W90">
        <v>37.729999999999997</v>
      </c>
      <c r="X90" t="str">
        <v>2024/06</v>
      </c>
      <c r="Y90">
        <v>16324</v>
      </c>
      <c r="Z90">
        <v>5366</v>
      </c>
      <c r="AA90">
        <v>2.19</v>
      </c>
      <c r="AB90">
        <v>-2.2000000000000002</v>
      </c>
      <c r="AC90">
        <v>3.2</v>
      </c>
      <c r="AD90" t="str">
        <v>2024/08/01</v>
      </c>
      <c r="AE90">
        <f t="array" ref="AE90:AN90">[1]!'2393.TW-TotalVolume,PreClose,Capital,AvgPrice,Profit,MarketValue,DateofMeetingofShareHolders,InvestorConferenceDate,ShortBalance,FinanceBalance'</f>
        <v>6515</v>
      </c>
      <c r="AF90">
        <v>74.8</v>
      </c>
      <c r="AG90">
        <v>44.34</v>
      </c>
      <c r="AH90">
        <v>73.680000000000007</v>
      </c>
      <c r="AI90">
        <v>1.67</v>
      </c>
      <c r="AJ90">
        <v>321.89999999999998</v>
      </c>
      <c r="AK90" t="str">
        <v>2024/06/12</v>
      </c>
      <c r="AL90" t="str">
        <v>2024/05/17</v>
      </c>
      <c r="AM90">
        <v>0</v>
      </c>
      <c r="AN90">
        <v>2430</v>
      </c>
    </row>
    <row r="91" spans="1:40" x14ac:dyDescent="0.25">
      <c r="A91" t="str">
        <f t="array" ref="A91:J91">[1]!'6239.TW-ID,Name,CompanyPos,Price,DIndexPtsContributionRate,VolumeRatio,TurnoverRatio,PriceChangeRatio,DLOrderValueDiffRatio,MajorOrderBidAskRatio'</f>
        <v>6239</v>
      </c>
      <c r="B91" t="str">
        <v>力成</v>
      </c>
      <c r="C91" t="str">
        <v>全球前五大封測廠</v>
      </c>
      <c r="D91">
        <v>153.5</v>
      </c>
      <c r="E91">
        <v>0.17</v>
      </c>
      <c r="F91">
        <v>1.89</v>
      </c>
      <c r="G91">
        <v>0.76</v>
      </c>
      <c r="H91">
        <v>-1.92</v>
      </c>
      <c r="I91">
        <v>-1.07</v>
      </c>
      <c r="J91">
        <v>36.61</v>
      </c>
      <c r="K91" t="str">
        <f t="array" ref="K91:T91">[1]!'6239.TW-MajorOrderDif,DXLOrderValueDiffRatio,Low,MonthReturn,QuarterReturn,HalfYearReturn,YearReturn,DLOrderOutValueRatio,DetailIndustry,CompanyNews'</f>
        <v>-1.11億</v>
      </c>
      <c r="L91">
        <v>-11.35</v>
      </c>
      <c r="M91">
        <v>153.5</v>
      </c>
      <c r="N91">
        <v>-14.24</v>
      </c>
      <c r="O91">
        <v>-8.1</v>
      </c>
      <c r="P91">
        <v>10.220000000000001</v>
      </c>
      <c r="Q91">
        <v>65.150000000000006</v>
      </c>
      <c r="R91">
        <v>3.94</v>
      </c>
      <c r="S91" t="str">
        <v>IC封裝,IC測試,IC封裝測試</v>
      </c>
      <c r="T91" t="str">
        <v>6月營收65.30億元</v>
      </c>
      <c r="U91">
        <f t="array" ref="U91:AD91">[1]!'6239.TW-ChipsField17,ROE,InOutRatio,RevenueMonth,EstimatedTotalVolume,5DayAvgVol,FinanceUsedRatio,PriceChange,CashAndStockDividend,ChipsField25'</f>
        <v>0</v>
      </c>
      <c r="V91">
        <v>3</v>
      </c>
      <c r="W91">
        <v>41.07</v>
      </c>
      <c r="X91" t="str">
        <v>2024/06</v>
      </c>
      <c r="Y91">
        <v>20075</v>
      </c>
      <c r="Z91">
        <v>8970</v>
      </c>
      <c r="AA91">
        <v>1.46</v>
      </c>
      <c r="AB91">
        <v>-3</v>
      </c>
      <c r="AC91">
        <v>7</v>
      </c>
      <c r="AD91" t="str">
        <v>2024/08/01</v>
      </c>
      <c r="AE91">
        <f t="array" ref="AE91:AN91">[1]!'6239.TW-TotalVolume,PreClose,Capital,AvgPrice,Profit,MarketValue,DateofMeetingofShareHolders,InvestorConferenceDate,ShortBalance,FinanceBalance'</f>
        <v>5746</v>
      </c>
      <c r="AF91">
        <v>156.5</v>
      </c>
      <c r="AG91">
        <v>75.91</v>
      </c>
      <c r="AH91">
        <v>154.88999999999999</v>
      </c>
      <c r="AI91">
        <v>2.3199999999999998</v>
      </c>
      <c r="AJ91">
        <v>1165.3</v>
      </c>
      <c r="AK91" t="str">
        <v>2024/05/30</v>
      </c>
      <c r="AL91" t="str">
        <v>2024/07/30</v>
      </c>
      <c r="AM91">
        <v>0</v>
      </c>
      <c r="AN91">
        <v>2778</v>
      </c>
    </row>
    <row r="92" spans="1:40" x14ac:dyDescent="0.25">
      <c r="A92" t="str">
        <f t="array" ref="A92:J92">[1]!'6446.TW-ID,Name,CompanyPos,Price,DIndexPtsContributionRate,VolumeRatio,TurnoverRatio,PriceChangeRatio,DLOrderValueDiffRatio,MajorOrderBidAskRatio'</f>
        <v>6446</v>
      </c>
      <c r="B92" t="str">
        <v>藥華藥</v>
      </c>
      <c r="C92" t="str">
        <v>罕見真性紅血球增生症藥物研發廠商</v>
      </c>
      <c r="D92">
        <v>661</v>
      </c>
      <c r="E92">
        <v>0.28000000000000003</v>
      </c>
      <c r="F92">
        <v>1.77</v>
      </c>
      <c r="G92">
        <v>0.73</v>
      </c>
      <c r="H92">
        <v>0.76</v>
      </c>
      <c r="I92">
        <v>-3.65</v>
      </c>
      <c r="J92">
        <v>36.56</v>
      </c>
      <c r="K92" t="str">
        <f t="array" ref="K92:T92">[1]!'6446.TW-MajorOrderDif,DXLOrderValueDiffRatio,Low,MonthReturn,QuarterReturn,HalfYearReturn,YearReturn,DLOrderOutValueRatio,DetailIndustry,CompanyNews'</f>
        <v>-1.93億</v>
      </c>
      <c r="L92">
        <v>-9.85</v>
      </c>
      <c r="M92">
        <v>654</v>
      </c>
      <c r="N92">
        <v>13.57</v>
      </c>
      <c r="O92">
        <v>125.21</v>
      </c>
      <c r="P92">
        <v>110.51</v>
      </c>
      <c r="Q92">
        <v>91.59</v>
      </c>
      <c r="R92">
        <v>5.14</v>
      </c>
      <c r="S92" t="str">
        <v>醫藥產業,新藥研發,生物製劑</v>
      </c>
      <c r="T92" t="str">
        <v>--</v>
      </c>
      <c r="U92">
        <f t="array" ref="U92:AD92">[1]!'6446.TW-ChipsField17,ROE,InOutRatio,RevenueMonth,EstimatedTotalVolume,5DayAvgVol,FinanceUsedRatio,PriceChange,CashAndStockDividend,ChipsField25'</f>
        <v>623</v>
      </c>
      <c r="V92">
        <v>1.37</v>
      </c>
      <c r="W92">
        <v>41.61</v>
      </c>
      <c r="X92" t="str">
        <v>2024/06</v>
      </c>
      <c r="Y92">
        <v>4014</v>
      </c>
      <c r="Z92">
        <v>3880</v>
      </c>
      <c r="AA92">
        <v>7.6</v>
      </c>
      <c r="AB92">
        <v>5</v>
      </c>
      <c r="AC92">
        <v>0</v>
      </c>
      <c r="AD92" t="str">
        <v>--</v>
      </c>
      <c r="AE92">
        <f t="array" ref="AE92:AN92">[1]!'6446.TW-TotalVolume,PreClose,Capital,AvgPrice,Profit,MarketValue,DateofMeetingofShareHolders,InvestorConferenceDate,ShortBalance,FinanceBalance'</f>
        <v>2159</v>
      </c>
      <c r="AF92">
        <v>656</v>
      </c>
      <c r="AG92">
        <v>34.14</v>
      </c>
      <c r="AH92">
        <v>663.23</v>
      </c>
      <c r="AI92">
        <v>1</v>
      </c>
      <c r="AJ92">
        <v>1965.2</v>
      </c>
      <c r="AK92" t="str">
        <v>2024/05/27</v>
      </c>
      <c r="AL92" t="str">
        <v>2024/05/15</v>
      </c>
      <c r="AM92">
        <v>573</v>
      </c>
      <c r="AN92">
        <v>5664</v>
      </c>
    </row>
    <row r="93" spans="1:40" x14ac:dyDescent="0.25">
      <c r="A93" t="str">
        <f t="array" ref="A93:J93">[1]!'1569.TW-ID,Name,CompanyPos,Price,DIndexPtsContributionRate,VolumeRatio,TurnoverRatio,PriceChangeRatio,DLOrderValueDiffRatio,MajorOrderBidAskRatio'</f>
        <v>1569</v>
      </c>
      <c r="B93" t="str">
        <v>濱川</v>
      </c>
      <c r="C93" t="str">
        <v>全球NB鍵盤支架最大供應商</v>
      </c>
      <c r="D93">
        <v>29.35</v>
      </c>
      <c r="E93">
        <v>0</v>
      </c>
      <c r="F93">
        <v>3.83</v>
      </c>
      <c r="G93">
        <v>1.24</v>
      </c>
      <c r="H93">
        <v>2.62</v>
      </c>
      <c r="I93">
        <v>-4.8</v>
      </c>
      <c r="J93">
        <v>30</v>
      </c>
      <c r="K93" t="str">
        <f t="array" ref="K93:T93">[1]!'1569.TW-MajorOrderDif,DXLOrderValueDiffRatio,Low,MonthReturn,QuarterReturn,HalfYearReturn,YearReturn,DLOrderOutValueRatio,DetailIndustry,CompanyNews'</f>
        <v>-216萬</v>
      </c>
      <c r="L93">
        <v>0</v>
      </c>
      <c r="M93">
        <v>29</v>
      </c>
      <c r="N93">
        <v>19.8</v>
      </c>
      <c r="O93">
        <v>22.8</v>
      </c>
      <c r="P93">
        <v>21.03</v>
      </c>
      <c r="Q93">
        <v>28.14</v>
      </c>
      <c r="R93">
        <v>3.6</v>
      </c>
      <c r="S93" t="str">
        <v>機殼,模具沖壓,電子零件元件</v>
      </c>
      <c r="T93" t="str">
        <v>訂8/19為除息交易日</v>
      </c>
      <c r="U93">
        <f t="array" ref="U93:AD93">[1]!'1569.TW-ChipsField17,ROE,InOutRatio,RevenueMonth,EstimatedTotalVolume,5DayAvgVol,FinanceUsedRatio,PriceChange,CashAndStockDividend,ChipsField25'</f>
        <v>0</v>
      </c>
      <c r="V93">
        <v>0.33</v>
      </c>
      <c r="W93">
        <v>48.03</v>
      </c>
      <c r="X93" t="str">
        <v>2024/06</v>
      </c>
      <c r="Y93">
        <v>4053</v>
      </c>
      <c r="Z93">
        <v>1734</v>
      </c>
      <c r="AA93">
        <v>11.26</v>
      </c>
      <c r="AB93">
        <v>0.75</v>
      </c>
      <c r="AC93">
        <v>1</v>
      </c>
      <c r="AD93" t="str">
        <v>2024/08/19</v>
      </c>
      <c r="AE93">
        <f t="array" ref="AE93:AN93">[1]!'1569.TW-TotalVolume,PreClose,Capital,AvgPrice,Profit,MarketValue,DateofMeetingofShareHolders,InvestorConferenceDate,ShortBalance,FinanceBalance'</f>
        <v>1509</v>
      </c>
      <c r="AF93">
        <v>28.6</v>
      </c>
      <c r="AG93">
        <v>12.14</v>
      </c>
      <c r="AH93">
        <v>29.82</v>
      </c>
      <c r="AI93">
        <v>0.02</v>
      </c>
      <c r="AJ93">
        <v>35.6</v>
      </c>
      <c r="AK93" t="str">
        <v>2024/06/19</v>
      </c>
      <c r="AL93" t="str">
        <v>2023/12/21</v>
      </c>
      <c r="AM93">
        <v>181</v>
      </c>
      <c r="AN93">
        <v>3418</v>
      </c>
    </row>
    <row r="94" spans="1:40" x14ac:dyDescent="0.25">
      <c r="A94" t="str">
        <f t="array" ref="A94:J94">[1]!'5351.TW-ID,Name,CompanyPos,Price,DIndexPtsContributionRate,VolumeRatio,TurnoverRatio,PriceChangeRatio,DLOrderValueDiffRatio,MajorOrderBidAskRatio'</f>
        <v>5351</v>
      </c>
      <c r="B94" t="str">
        <v>鈺創</v>
      </c>
      <c r="C94" t="str">
        <v>台灣利基型記憶體IC設計廠商</v>
      </c>
      <c r="D94">
        <v>41.55</v>
      </c>
      <c r="E94">
        <v>0</v>
      </c>
      <c r="F94">
        <v>1.72</v>
      </c>
      <c r="G94">
        <v>0.33</v>
      </c>
      <c r="H94">
        <v>0.73</v>
      </c>
      <c r="I94">
        <v>2.62</v>
      </c>
      <c r="J94">
        <v>28.74</v>
      </c>
      <c r="K94" t="str">
        <f t="array" ref="K94:T94">[1]!'5351.TW-MajorOrderDif,DXLOrderValueDiffRatio,Low,MonthReturn,QuarterReturn,HalfYearReturn,YearReturn,DLOrderOutValueRatio,DetailIndustry,CompanyNews'</f>
        <v>-735萬</v>
      </c>
      <c r="L94">
        <v>-19.010000000000002</v>
      </c>
      <c r="M94">
        <v>41.45</v>
      </c>
      <c r="N94">
        <v>-15.55</v>
      </c>
      <c r="O94">
        <v>-13.26</v>
      </c>
      <c r="P94">
        <v>-18.21</v>
      </c>
      <c r="Q94">
        <v>-0.24</v>
      </c>
      <c r="R94">
        <v>8.3000000000000007</v>
      </c>
      <c r="S94" t="str">
        <v>DRAM記憶體IC,SRAM記憶體IC,IC設計,高速傳輸介面IC</v>
      </c>
      <c r="T94" t="str">
        <v>--</v>
      </c>
      <c r="U94">
        <f t="array" ref="U94:AD94">[1]!'5351.TW-ChipsField17,ROE,InOutRatio,RevenueMonth,EstimatedTotalVolume,5DayAvgVol,FinanceUsedRatio,PriceChange,CashAndStockDividend,ChipsField25'</f>
        <v>0</v>
      </c>
      <c r="V94">
        <v>-6.2</v>
      </c>
      <c r="W94">
        <v>41.33</v>
      </c>
      <c r="X94" t="str">
        <v>2024/06</v>
      </c>
      <c r="Y94">
        <v>2541</v>
      </c>
      <c r="Z94">
        <v>1812</v>
      </c>
      <c r="AA94">
        <v>18.72</v>
      </c>
      <c r="AB94">
        <v>0.3</v>
      </c>
      <c r="AC94">
        <v>0</v>
      </c>
      <c r="AD94" t="str">
        <v>--</v>
      </c>
      <c r="AE94">
        <f t="array" ref="AE94:AN94">[1]!'5351.TW-TotalVolume,PreClose,Capital,AvgPrice,Profit,MarketValue,DateofMeetingofShareHolders,InvestorConferenceDate,ShortBalance,FinanceBalance'</f>
        <v>1075</v>
      </c>
      <c r="AF94">
        <v>41.25</v>
      </c>
      <c r="AG94">
        <v>32.56</v>
      </c>
      <c r="AH94">
        <v>41.71</v>
      </c>
      <c r="AI94">
        <v>-0.65</v>
      </c>
      <c r="AJ94">
        <v>135.30000000000001</v>
      </c>
      <c r="AK94" t="str">
        <v>2024/06/25</v>
      </c>
      <c r="AL94" t="str">
        <v>2023/11/09</v>
      </c>
      <c r="AM94">
        <v>2453</v>
      </c>
      <c r="AN94">
        <v>13598</v>
      </c>
    </row>
    <row r="95" spans="1:40" x14ac:dyDescent="0.25">
      <c r="A95" t="str">
        <f t="array" ref="A95:J95">[1]!'2454.TW-ID,Name,CompanyPos,Price,DIndexPtsContributionRate,VolumeRatio,TurnoverRatio,PriceChangeRatio,DLOrderValueDiffRatio,MajorOrderBidAskRatio'</f>
        <v>2454</v>
      </c>
      <c r="B95" t="str">
        <v>聯發科</v>
      </c>
      <c r="C95" t="str">
        <v>全球智慧型手機晶片大廠</v>
      </c>
      <c r="D95">
        <v>1190</v>
      </c>
      <c r="E95">
        <v>2.77</v>
      </c>
      <c r="F95">
        <v>1.92</v>
      </c>
      <c r="G95">
        <v>0.36</v>
      </c>
      <c r="H95">
        <v>-2.46</v>
      </c>
      <c r="I95">
        <v>-0.87</v>
      </c>
      <c r="J95">
        <v>25.34</v>
      </c>
      <c r="K95" t="str">
        <f t="array" ref="K95:T95">[1]!'2454.TW-MajorOrderDif,DXLOrderValueDiffRatio,Low,MonthReturn,QuarterReturn,HalfYearReturn,YearReturn,DLOrderOutValueRatio,DetailIndustry,CompanyNews'</f>
        <v>-20.5億</v>
      </c>
      <c r="L95">
        <v>-28.75</v>
      </c>
      <c r="M95">
        <v>1185</v>
      </c>
      <c r="N95">
        <v>-14.04</v>
      </c>
      <c r="O95">
        <v>22.61</v>
      </c>
      <c r="P95">
        <v>30.79</v>
      </c>
      <c r="Q95">
        <v>75.11</v>
      </c>
      <c r="R95">
        <v>1.1499999999999999</v>
      </c>
      <c r="S95" t="str">
        <v>DSL晶片組,無線網路IC,衛星導航晶片組,數據機晶片組,CPU,IC設計,網路通訊IC,消費性IC,光碟機驅動IC,LCD控制IC,影音IC,數位電視IC,手機晶片相關,手機零組件</v>
      </c>
      <c r="T95" t="str">
        <v>Q3財測：單季營收變動 -3~4%；EPS 13.13~16.0</v>
      </c>
      <c r="U95">
        <f t="array" ref="U95:AD95">[1]!'2454.TW-ChipsField17,ROE,InOutRatio,RevenueMonth,EstimatedTotalVolume,5DayAvgVol,FinanceUsedRatio,PriceChange,CashAndStockDividend,ChipsField25'</f>
        <v>47</v>
      </c>
      <c r="V95">
        <v>8.4499999999999993</v>
      </c>
      <c r="W95">
        <v>33.83</v>
      </c>
      <c r="X95" t="str">
        <v>2024/06</v>
      </c>
      <c r="Y95">
        <v>14665</v>
      </c>
      <c r="Z95">
        <v>6915</v>
      </c>
      <c r="AA95">
        <v>1.36</v>
      </c>
      <c r="AB95">
        <v>-30</v>
      </c>
      <c r="AC95">
        <v>30.41</v>
      </c>
      <c r="AD95" t="str">
        <v>2024/07/04</v>
      </c>
      <c r="AE95">
        <f t="array" ref="AE95:AN95">[1]!'2454.TW-TotalVolume,PreClose,Capital,AvgPrice,Profit,MarketValue,DateofMeetingofShareHolders,InvestorConferenceDate,ShortBalance,FinanceBalance'</f>
        <v>5774</v>
      </c>
      <c r="AF95">
        <v>1220</v>
      </c>
      <c r="AG95">
        <v>159.93</v>
      </c>
      <c r="AH95">
        <v>1200.8699999999999</v>
      </c>
      <c r="AI95">
        <v>19.850000000000001</v>
      </c>
      <c r="AJ95">
        <v>19032.2</v>
      </c>
      <c r="AK95" t="str">
        <v>2024/05/27</v>
      </c>
      <c r="AL95" t="str">
        <v>2024/07/31</v>
      </c>
      <c r="AM95">
        <v>118</v>
      </c>
      <c r="AN95">
        <v>5442</v>
      </c>
    </row>
    <row r="96" spans="1:40" x14ac:dyDescent="0.25">
      <c r="A96" t="str">
        <f t="array" ref="A96:J96">[1]!'2204.TW-ID,Name,CompanyPos,Price,DIndexPtsContributionRate,VolumeRatio,TurnoverRatio,PriceChangeRatio,DLOrderValueDiffRatio,MajorOrderBidAskRatio'</f>
        <v>2204</v>
      </c>
      <c r="B96" t="str">
        <v>中華</v>
      </c>
      <c r="C96" t="str">
        <v>裕隆集團與日本三菱技術合作之汽車製造廠</v>
      </c>
      <c r="D96">
        <v>92</v>
      </c>
      <c r="E96">
        <v>0.08</v>
      </c>
      <c r="F96">
        <v>2.06</v>
      </c>
      <c r="G96">
        <v>1.54</v>
      </c>
      <c r="H96">
        <v>-5.83</v>
      </c>
      <c r="I96">
        <v>-2.86</v>
      </c>
      <c r="J96">
        <v>22.24</v>
      </c>
      <c r="K96" t="str">
        <f t="array" ref="K96:T96">[1]!'2204.TW-MajorOrderDif,DXLOrderValueDiffRatio,Low,MonthReturn,QuarterReturn,HalfYearReturn,YearReturn,DLOrderOutValueRatio,DetailIndustry,CompanyNews'</f>
        <v>-2.47億</v>
      </c>
      <c r="L96">
        <v>-27.86</v>
      </c>
      <c r="M96">
        <v>91.9</v>
      </c>
      <c r="N96">
        <v>-23.12</v>
      </c>
      <c r="O96">
        <v>-32.76</v>
      </c>
      <c r="P96">
        <v>-15.73</v>
      </c>
      <c r="Q96">
        <v>7.33</v>
      </c>
      <c r="R96">
        <v>5.16</v>
      </c>
      <c r="S96" t="str">
        <v>汽車製造,電動機車,汽車銷售,汽機車零組件,機車零組件,車輛整車,客貨車輛相關</v>
      </c>
      <c r="T96" t="str">
        <v>6月營收37.48億元</v>
      </c>
      <c r="U96">
        <f t="array" ref="U96:AD96">[1]!'2204.TW-ChipsField17,ROE,InOutRatio,RevenueMonth,EstimatedTotalVolume,5DayAvgVol,FinanceUsedRatio,PriceChange,CashAndStockDividend,ChipsField25'</f>
        <v>235</v>
      </c>
      <c r="V96">
        <v>3.38</v>
      </c>
      <c r="W96">
        <v>29.77</v>
      </c>
      <c r="X96" t="str">
        <v>2024/06</v>
      </c>
      <c r="Y96">
        <v>26833</v>
      </c>
      <c r="Z96">
        <v>5047</v>
      </c>
      <c r="AA96">
        <v>3.53</v>
      </c>
      <c r="AB96">
        <v>-5.7</v>
      </c>
      <c r="AC96">
        <v>6</v>
      </c>
      <c r="AD96" t="str">
        <v>2024/07/18</v>
      </c>
      <c r="AE96">
        <f t="array" ref="AE96:AN96">[1]!'2204.TW-TotalVolume,PreClose,Capital,AvgPrice,Profit,MarketValue,DateofMeetingofShareHolders,InvestorConferenceDate,ShortBalance,FinanceBalance'</f>
        <v>8521</v>
      </c>
      <c r="AF96">
        <v>97.7</v>
      </c>
      <c r="AG96">
        <v>55.36</v>
      </c>
      <c r="AH96">
        <v>94.3</v>
      </c>
      <c r="AI96">
        <v>2.29</v>
      </c>
      <c r="AJ96">
        <v>509.3</v>
      </c>
      <c r="AK96" t="str">
        <v>2024/05/31</v>
      </c>
      <c r="AL96" t="str">
        <v>2024/05/22</v>
      </c>
      <c r="AM96">
        <v>251</v>
      </c>
      <c r="AN96">
        <v>4889</v>
      </c>
    </row>
    <row r="97" spans="1:40" x14ac:dyDescent="0.25">
      <c r="A97" t="str">
        <f t="array" ref="A97:J97">[1]!'2383.TW-ID,Name,CompanyPos,Price,DIndexPtsContributionRate,VolumeRatio,TurnoverRatio,PriceChangeRatio,DLOrderValueDiffRatio,MajorOrderBidAskRatio'</f>
        <v>2383</v>
      </c>
      <c r="B97" t="str">
        <v>台光電</v>
      </c>
      <c r="C97" t="str">
        <v>全球第一大無鹵素板廠、台灣第二大CCL廠</v>
      </c>
      <c r="D97">
        <v>425</v>
      </c>
      <c r="E97">
        <v>0.21</v>
      </c>
      <c r="F97">
        <v>2.63</v>
      </c>
      <c r="G97">
        <v>1.71</v>
      </c>
      <c r="H97">
        <v>-2.97</v>
      </c>
      <c r="I97">
        <v>-4.3600000000000003</v>
      </c>
      <c r="J97">
        <v>21.84</v>
      </c>
      <c r="K97" t="str">
        <f t="array" ref="K97:T97">[1]!'2383.TW-MajorOrderDif,DXLOrderValueDiffRatio,Low,MonthReturn,QuarterReturn,HalfYearReturn,YearReturn,DLOrderOutValueRatio,DetailIndustry,CompanyNews'</f>
        <v>-7.95億</v>
      </c>
      <c r="L97">
        <v>-26.47</v>
      </c>
      <c r="M97">
        <v>425</v>
      </c>
      <c r="N97">
        <v>-8.8000000000000007</v>
      </c>
      <c r="O97">
        <v>3.16</v>
      </c>
      <c r="P97">
        <v>-5.56</v>
      </c>
      <c r="Q97">
        <v>7.37</v>
      </c>
      <c r="R97">
        <v>4.7</v>
      </c>
      <c r="S97" t="str">
        <v>銅箔基板,印刷電路板相關</v>
      </c>
      <c r="T97" t="str">
        <v>訂8/29為除息交易日</v>
      </c>
      <c r="U97">
        <f t="array" ref="U97:AD97">[1]!'2383.TW-ChipsField17,ROE,InOutRatio,RevenueMonth,EstimatedTotalVolume,5DayAvgVol,FinanceUsedRatio,PriceChange,CashAndStockDividend,ChipsField25'</f>
        <v>207</v>
      </c>
      <c r="V97">
        <v>7.49</v>
      </c>
      <c r="W97">
        <v>33.15</v>
      </c>
      <c r="X97" t="str">
        <v>2024/06</v>
      </c>
      <c r="Y97">
        <v>13584</v>
      </c>
      <c r="Z97">
        <v>4975</v>
      </c>
      <c r="AA97">
        <v>10.67</v>
      </c>
      <c r="AB97">
        <v>-13</v>
      </c>
      <c r="AC97">
        <v>10</v>
      </c>
      <c r="AD97" t="str">
        <v>2024/08/29</v>
      </c>
      <c r="AE97">
        <f t="array" ref="AE97:AN97">[1]!'2383.TW-TotalVolume,PreClose,Capital,AvgPrice,Profit,MarketValue,DateofMeetingofShareHolders,InvestorConferenceDate,ShortBalance,FinanceBalance'</f>
        <v>5904</v>
      </c>
      <c r="AF97">
        <v>438</v>
      </c>
      <c r="AG97">
        <v>34.46</v>
      </c>
      <c r="AH97">
        <v>436.83</v>
      </c>
      <c r="AI97">
        <v>5.76</v>
      </c>
      <c r="AJ97">
        <v>1463.2</v>
      </c>
      <c r="AK97" t="str">
        <v>2024/05/29</v>
      </c>
      <c r="AL97" t="str">
        <v>2024/05/02</v>
      </c>
      <c r="AM97">
        <v>88</v>
      </c>
      <c r="AN97">
        <v>9194</v>
      </c>
    </row>
    <row r="98" spans="1:40" x14ac:dyDescent="0.25">
      <c r="A98" t="str">
        <f t="array" ref="A98:J98">[1]!'1560.TW-ID,Name,CompanyPos,Price,DIndexPtsContributionRate,VolumeRatio,TurnoverRatio,PriceChangeRatio,DLOrderValueDiffRatio,MajorOrderBidAskRatio'</f>
        <v>1560</v>
      </c>
      <c r="B98" t="str">
        <v>中砂</v>
      </c>
      <c r="C98" t="str">
        <v>台灣從事砂輪及再生晶圓生產製造廠商</v>
      </c>
      <c r="D98">
        <v>295.5</v>
      </c>
      <c r="E98">
        <v>0.06</v>
      </c>
      <c r="F98">
        <v>5.44</v>
      </c>
      <c r="G98">
        <v>3.23</v>
      </c>
      <c r="H98">
        <v>-4.9800000000000004</v>
      </c>
      <c r="I98">
        <v>-10.15</v>
      </c>
      <c r="J98">
        <v>15.23</v>
      </c>
      <c r="K98" t="str">
        <f t="array" ref="K98:T98">[1]!'1560.TW-MajorOrderDif,DXLOrderValueDiffRatio,Low,MonthReturn,QuarterReturn,HalfYearReturn,YearReturn,DLOrderOutValueRatio,DetailIndustry,CompanyNews'</f>
        <v>-4.23億</v>
      </c>
      <c r="L98">
        <v>-19.36</v>
      </c>
      <c r="M98">
        <v>295.5</v>
      </c>
      <c r="N98">
        <v>-13.37</v>
      </c>
      <c r="O98">
        <v>17.2</v>
      </c>
      <c r="P98">
        <v>37.409999999999997</v>
      </c>
      <c r="Q98">
        <v>119.76</v>
      </c>
      <c r="R98">
        <v>5.04</v>
      </c>
      <c r="S98" t="str">
        <v>矽晶圓,IC製造,磨料磨具,機械</v>
      </c>
      <c r="T98" t="str">
        <v>上半年獲利5.10億元</v>
      </c>
      <c r="U98">
        <f t="array" ref="U98:AD98">[1]!'1560.TW-ChipsField17,ROE,InOutRatio,RevenueMonth,EstimatedTotalVolume,5DayAvgVol,FinanceUsedRatio,PriceChange,CashAndStockDividend,ChipsField25'</f>
        <v>99</v>
      </c>
      <c r="V98" t="str">
        <v>--</v>
      </c>
      <c r="W98">
        <v>27.74</v>
      </c>
      <c r="X98" t="str">
        <v>2024/06</v>
      </c>
      <c r="Y98">
        <v>9571</v>
      </c>
      <c r="Z98">
        <v>2107</v>
      </c>
      <c r="AA98">
        <v>11.48</v>
      </c>
      <c r="AB98">
        <v>-15.5</v>
      </c>
      <c r="AC98">
        <v>4</v>
      </c>
      <c r="AD98" t="str">
        <v>2024/07/11</v>
      </c>
      <c r="AE98">
        <f t="array" ref="AE98:AN98">[1]!'1560.TW-TotalVolume,PreClose,Capital,AvgPrice,Profit,MarketValue,DateofMeetingofShareHolders,InvestorConferenceDate,ShortBalance,FinanceBalance'</f>
        <v>4683</v>
      </c>
      <c r="AF98">
        <v>311</v>
      </c>
      <c r="AG98">
        <v>14.52</v>
      </c>
      <c r="AH98">
        <v>305.86</v>
      </c>
      <c r="AI98">
        <v>1.75</v>
      </c>
      <c r="AJ98">
        <v>428.7</v>
      </c>
      <c r="AK98" t="str">
        <v>2024/06/24</v>
      </c>
      <c r="AL98" t="str">
        <v>2024/07/31</v>
      </c>
      <c r="AM98">
        <v>304</v>
      </c>
      <c r="AN98">
        <v>4166</v>
      </c>
    </row>
    <row r="99" spans="1:40" x14ac:dyDescent="0.25">
      <c r="A99" t="str">
        <f t="array" ref="A99:J99">[1]!'6425.TW-ID,Name,CompanyPos,Price,DIndexPtsContributionRate,VolumeRatio,TurnoverRatio,PriceChangeRatio,DLOrderValueDiffRatio,MajorOrderBidAskRatio'</f>
        <v>6425</v>
      </c>
      <c r="B99" t="str">
        <v>易發</v>
      </c>
      <c r="C99" t="str">
        <v>深耕面板製程設備，並跨足半導體及動力電池設備之廠商</v>
      </c>
      <c r="D99">
        <v>67</v>
      </c>
      <c r="E99">
        <v>0</v>
      </c>
      <c r="F99">
        <v>1.92</v>
      </c>
      <c r="G99">
        <v>3.52</v>
      </c>
      <c r="H99">
        <v>2.6</v>
      </c>
      <c r="I99">
        <v>-4.99</v>
      </c>
      <c r="J99">
        <v>12.58</v>
      </c>
      <c r="K99" t="str">
        <f t="array" ref="K99:T99">[1]!'6425.TW-MajorOrderDif,DXLOrderValueDiffRatio,Low,MonthReturn,QuarterReturn,HalfYearReturn,YearReturn,DLOrderOutValueRatio,DetailIndustry,CompanyNews'</f>
        <v>-1275萬</v>
      </c>
      <c r="L99">
        <v>-7.28</v>
      </c>
      <c r="M99">
        <v>65.599999999999994</v>
      </c>
      <c r="N99">
        <v>-7.59</v>
      </c>
      <c r="O99">
        <v>-27.47</v>
      </c>
      <c r="P99">
        <v>53.31</v>
      </c>
      <c r="Q99">
        <v>215.21</v>
      </c>
      <c r="R99">
        <v>0.78</v>
      </c>
      <c r="S99" t="str">
        <v>半導體設備,IC檢測設備,設備儀器廠商,面板設備,其他產業機械,機械</v>
      </c>
      <c r="T99" t="str">
        <v>--</v>
      </c>
      <c r="U99">
        <f t="array" ref="U99:AD99">[1]!'6425.TW-ChipsField17,ROE,InOutRatio,RevenueMonth,EstimatedTotalVolume,5DayAvgVol,FinanceUsedRatio,PriceChange,CashAndStockDividend,ChipsField25'</f>
        <v>0</v>
      </c>
      <c r="V99">
        <v>3.37</v>
      </c>
      <c r="W99">
        <v>37.79</v>
      </c>
      <c r="X99" t="str">
        <v>2024/06</v>
      </c>
      <c r="Y99">
        <v>3465</v>
      </c>
      <c r="Z99">
        <v>889</v>
      </c>
      <c r="AA99">
        <v>25.54</v>
      </c>
      <c r="AB99">
        <v>1.7</v>
      </c>
      <c r="AC99">
        <v>0.5</v>
      </c>
      <c r="AD99" t="str">
        <v>2024/06/14</v>
      </c>
      <c r="AE99">
        <f t="array" ref="AE99:AN99">[1]!'6425.TW-TotalVolume,PreClose,Capital,AvgPrice,Profit,MarketValue,DateofMeetingofShareHolders,InvestorConferenceDate,ShortBalance,FinanceBalance'</f>
        <v>1535</v>
      </c>
      <c r="AF99">
        <v>65.3</v>
      </c>
      <c r="AG99">
        <v>4.3600000000000003</v>
      </c>
      <c r="AH99">
        <v>67.66</v>
      </c>
      <c r="AI99">
        <v>0.7</v>
      </c>
      <c r="AJ99">
        <v>29.2</v>
      </c>
      <c r="AK99" t="str">
        <v>2024/05/16</v>
      </c>
      <c r="AL99" t="str">
        <v>--</v>
      </c>
      <c r="AM99">
        <v>352</v>
      </c>
      <c r="AN99">
        <v>2784</v>
      </c>
    </row>
    <row r="100" spans="1:40" x14ac:dyDescent="0.25">
      <c r="A100" t="str">
        <f t="array" ref="A100:J100">[1]!'1210.TW-ID,Name,CompanyPos,Price,DIndexPtsContributionRate,VolumeRatio,TurnoverRatio,PriceChangeRatio,DLOrderValueDiffRatio,MajorOrderBidAskRatio'</f>
        <v>1210</v>
      </c>
      <c r="B100" t="str">
        <v>大成</v>
      </c>
      <c r="C100" t="str">
        <v>兩岸最大白肉雞電宰加工廠及飼料大廠</v>
      </c>
      <c r="D100">
        <v>54.8</v>
      </c>
      <c r="E100">
        <v>7.0000000000000007E-2</v>
      </c>
      <c r="F100">
        <v>2.78</v>
      </c>
      <c r="G100">
        <v>0.2</v>
      </c>
      <c r="H100">
        <v>-0.9</v>
      </c>
      <c r="I100">
        <v>-4.8499999999999996</v>
      </c>
      <c r="J100">
        <v>2.42</v>
      </c>
      <c r="K100" t="str">
        <f t="array" ref="K100:T100">[1]!'1210.TW-MajorOrderDif,DXLOrderValueDiffRatio,Low,MonthReturn,QuarterReturn,HalfYearReturn,YearReturn,DLOrderOutValueRatio,DetailIndustry,CompanyNews'</f>
        <v>-2806萬</v>
      </c>
      <c r="L100">
        <v>-23.68</v>
      </c>
      <c r="M100">
        <v>54.6</v>
      </c>
      <c r="N100">
        <v>-0.17</v>
      </c>
      <c r="O100">
        <v>-0.34</v>
      </c>
      <c r="P100">
        <v>-1.38</v>
      </c>
      <c r="Q100">
        <v>-8.36</v>
      </c>
      <c r="R100">
        <v>0.72</v>
      </c>
      <c r="S100" t="str">
        <v>農林漁牧,飼料,食品加工,大宗物資,肉品加工</v>
      </c>
      <c r="T100" t="str">
        <v>8/1除息2.22元</v>
      </c>
      <c r="U100">
        <f t="array" ref="U100:AD100">[1]!'1210.TW-ChipsField17,ROE,InOutRatio,RevenueMonth,EstimatedTotalVolume,5DayAvgVol,FinanceUsedRatio,PriceChange,CashAndStockDividend,ChipsField25'</f>
        <v>0</v>
      </c>
      <c r="V100">
        <v>3.53</v>
      </c>
      <c r="W100">
        <v>18.75</v>
      </c>
      <c r="X100" t="str">
        <v>2024/06</v>
      </c>
      <c r="Y100">
        <v>4803</v>
      </c>
      <c r="Z100">
        <v>1394</v>
      </c>
      <c r="AA100">
        <v>0.56000000000000005</v>
      </c>
      <c r="AB100">
        <v>-0.5</v>
      </c>
      <c r="AC100">
        <v>2.2200000000000002</v>
      </c>
      <c r="AD100" t="str">
        <v>2024/08/01</v>
      </c>
      <c r="AE100">
        <f t="array" ref="AE100:AN100">[1]!'1210.TW-TotalVolume,PreClose,Capital,AvgPrice,Profit,MarketValue,DateofMeetingofShareHolders,InvestorConferenceDate,ShortBalance,FinanceBalance'</f>
        <v>1791</v>
      </c>
      <c r="AF100">
        <v>55.3</v>
      </c>
      <c r="AG100">
        <v>89.48</v>
      </c>
      <c r="AH100">
        <v>54.91</v>
      </c>
      <c r="AI100">
        <v>1</v>
      </c>
      <c r="AJ100">
        <v>490.3</v>
      </c>
      <c r="AK100" t="str">
        <v>2024/06/07</v>
      </c>
      <c r="AL100" t="str">
        <v>2024/05/16</v>
      </c>
      <c r="AM100">
        <v>0</v>
      </c>
      <c r="AN100">
        <v>1255</v>
      </c>
    </row>
    <row r="101" spans="1:40" x14ac:dyDescent="0.25">
      <c r="A101" t="str">
        <f t="array" ref="A101:J101">[1]!'1454.TW-ID,Name,CompanyPos,Price,DIndexPtsContributionRate,VolumeRatio,TurnoverRatio,PriceChangeRatio,DLOrderValueDiffRatio,MajorOrderBidAskRatio'</f>
        <v>1454</v>
      </c>
      <c r="B101" t="str">
        <v>台富</v>
      </c>
      <c r="C101" t="str">
        <v>台灣加工絲、織布一貫廠</v>
      </c>
      <c r="D101">
        <v>19.05</v>
      </c>
      <c r="E101">
        <v>0</v>
      </c>
      <c r="F101">
        <v>2.64</v>
      </c>
      <c r="G101">
        <v>0.66</v>
      </c>
      <c r="H101">
        <v>1.06</v>
      </c>
      <c r="I101">
        <v>-8.86</v>
      </c>
      <c r="J101">
        <v>0</v>
      </c>
      <c r="K101" t="str">
        <f t="array" ref="K101:T101">[1]!'1454.TW-MajorOrderDif,DXLOrderValueDiffRatio,Low,MonthReturn,QuarterReturn,HalfYearReturn,YearReturn,DLOrderOutValueRatio,DetailIndustry,CompanyNews'</f>
        <v>-147萬</v>
      </c>
      <c r="L101">
        <v>0</v>
      </c>
      <c r="M101">
        <v>18.45</v>
      </c>
      <c r="N101">
        <v>11.73</v>
      </c>
      <c r="O101">
        <v>18.690000000000001</v>
      </c>
      <c r="P101">
        <v>13.73</v>
      </c>
      <c r="Q101">
        <v>6.16</v>
      </c>
      <c r="R101">
        <v>0</v>
      </c>
      <c r="S101" t="str">
        <v>聚酯加工絲,化纖原料,織布,紡織中游</v>
      </c>
      <c r="T101" t="str">
        <v>--</v>
      </c>
      <c r="U101">
        <f t="array" ref="U101:AD101">[1]!'1454.TW-ChipsField17,ROE,InOutRatio,RevenueMonth,EstimatedTotalVolume,5DayAvgVol,FinanceUsedRatio,PriceChange,CashAndStockDividend,ChipsField25'</f>
        <v>0</v>
      </c>
      <c r="V101">
        <v>1.2</v>
      </c>
      <c r="W101">
        <v>50.07</v>
      </c>
      <c r="X101" t="str">
        <v>2024/06</v>
      </c>
      <c r="Y101">
        <v>4429</v>
      </c>
      <c r="Z101">
        <v>411</v>
      </c>
      <c r="AA101">
        <v>8.73</v>
      </c>
      <c r="AB101">
        <v>0.2</v>
      </c>
      <c r="AC101">
        <v>0.25</v>
      </c>
      <c r="AD101" t="str">
        <v>--</v>
      </c>
      <c r="AE101">
        <f t="array" ref="AE101:AN101">[1]!'1454.TW-TotalVolume,PreClose,Capital,AvgPrice,Profit,MarketValue,DateofMeetingofShareHolders,InvestorConferenceDate,ShortBalance,FinanceBalance'</f>
        <v>861</v>
      </c>
      <c r="AF101">
        <v>18.850000000000001</v>
      </c>
      <c r="AG101">
        <v>12.98</v>
      </c>
      <c r="AH101">
        <v>19.2</v>
      </c>
      <c r="AI101">
        <v>0.16</v>
      </c>
      <c r="AJ101">
        <v>24.7</v>
      </c>
      <c r="AK101" t="str">
        <v>2024/05/29</v>
      </c>
      <c r="AL101" t="str">
        <v>2024/05/16</v>
      </c>
      <c r="AM101">
        <v>0</v>
      </c>
      <c r="AN101">
        <v>2833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Chou</dc:creator>
  <cp:lastModifiedBy>Daniel Chou</cp:lastModifiedBy>
  <dcterms:created xsi:type="dcterms:W3CDTF">2024-08-01T02:15:28Z</dcterms:created>
  <dcterms:modified xsi:type="dcterms:W3CDTF">2024-08-02T02:56:17Z</dcterms:modified>
</cp:coreProperties>
</file>