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orr\source\repos\ElectricBoat\electricBoat\src\assets\"/>
    </mc:Choice>
  </mc:AlternateContent>
  <xr:revisionPtr revIDLastSave="0" documentId="8_{586EF437-83E6-4B59-A351-5320FCC9BED8}" xr6:coauthVersionLast="46" xr6:coauthVersionMax="46" xr10:uidLastSave="{00000000-0000-0000-0000-000000000000}"/>
  <bookViews>
    <workbookView xWindow="-120" yWindow="-120" windowWidth="38640" windowHeight="21240" xr2:uid="{DC635DE3-4881-432C-9CAB-7F8EC4DAAD83}"/>
  </bookViews>
  <sheets>
    <sheet name="Sheet1" sheetId="1" r:id="rId1"/>
  </sheets>
  <definedNames>
    <definedName name="BoatName">Sheet1!$B$3</definedName>
    <definedName name="BWL">Sheet1!$B$7</definedName>
    <definedName name="CAS">Sheet1!$X$2</definedName>
    <definedName name="CSA">Sheet1!$B$8</definedName>
    <definedName name="Displacement">Sheet1!$B$5</definedName>
    <definedName name="Draft">Sheet1!$B$6</definedName>
    <definedName name="LWL">Sheet1!$B$4</definedName>
    <definedName name="PRISMATIC_COEFFICIENT">Sheet1!$B$9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9" i="1" l="1"/>
  <c r="T20" i="1"/>
  <c r="T21" i="1"/>
  <c r="T22" i="1"/>
  <c r="T23" i="1"/>
  <c r="T24" i="1"/>
  <c r="T25" i="1"/>
  <c r="T26" i="1"/>
  <c r="T27" i="1"/>
  <c r="T28" i="1"/>
  <c r="T18" i="1"/>
  <c r="U12" i="1"/>
  <c r="S22" i="1"/>
  <c r="AE23" i="1"/>
  <c r="B18" i="1"/>
  <c r="AB10" i="1"/>
  <c r="AB11" i="1" s="1"/>
  <c r="Z11" i="1"/>
  <c r="C12" i="1"/>
  <c r="B38" i="1" s="1"/>
  <c r="P12" i="1"/>
  <c r="B51" i="1" s="1"/>
  <c r="X2" i="1"/>
  <c r="B8" i="1"/>
  <c r="B9" i="1" s="1"/>
  <c r="W2" i="1"/>
  <c r="H31" i="1"/>
  <c r="H30" i="1"/>
  <c r="Q13" i="1"/>
  <c r="P13" i="1"/>
  <c r="O13" i="1"/>
  <c r="N13" i="1"/>
  <c r="M13" i="1"/>
  <c r="L13" i="1"/>
  <c r="K13" i="1"/>
  <c r="J13" i="1"/>
  <c r="Q12" i="1"/>
  <c r="B24" i="1" s="1"/>
  <c r="O12" i="1"/>
  <c r="B50" i="1" s="1"/>
  <c r="N12" i="1"/>
  <c r="B49" i="1" s="1"/>
  <c r="M12" i="1"/>
  <c r="M16" i="1" s="1"/>
  <c r="L12" i="1"/>
  <c r="B47" i="1" s="1"/>
  <c r="K12" i="1"/>
  <c r="B46" i="1" s="1"/>
  <c r="J12" i="1"/>
  <c r="B45" i="1" s="1"/>
  <c r="I12" i="1"/>
  <c r="I16" i="1" s="1"/>
  <c r="H12" i="1"/>
  <c r="B43" i="1" s="1"/>
  <c r="G12" i="1"/>
  <c r="B42" i="1" s="1"/>
  <c r="F12" i="1"/>
  <c r="B41" i="1" s="1"/>
  <c r="E12" i="1"/>
  <c r="E16" i="1" s="1"/>
  <c r="D12" i="1"/>
  <c r="B39" i="1" s="1"/>
  <c r="B12" i="1"/>
  <c r="B37" i="1" s="1"/>
  <c r="J14" i="1" l="1"/>
  <c r="C37" i="1"/>
  <c r="D37" i="1" s="1"/>
  <c r="F37" i="1" s="1"/>
  <c r="C41" i="1"/>
  <c r="D41" i="1" s="1"/>
  <c r="E41" i="1" s="1"/>
  <c r="G41" i="1" s="1"/>
  <c r="J41" i="1" s="1"/>
  <c r="C45" i="1"/>
  <c r="D45" i="1" s="1"/>
  <c r="E45" i="1" s="1"/>
  <c r="G45" i="1" s="1"/>
  <c r="J45" i="1" s="1"/>
  <c r="C49" i="1"/>
  <c r="H49" i="1" s="1"/>
  <c r="I49" i="1" s="1"/>
  <c r="C38" i="1"/>
  <c r="D38" i="1" s="1"/>
  <c r="E38" i="1" s="1"/>
  <c r="G38" i="1" s="1"/>
  <c r="J38" i="1" s="1"/>
  <c r="C42" i="1"/>
  <c r="D42" i="1" s="1"/>
  <c r="E42" i="1" s="1"/>
  <c r="G42" i="1" s="1"/>
  <c r="J42" i="1" s="1"/>
  <c r="C46" i="1"/>
  <c r="D46" i="1" s="1"/>
  <c r="E46" i="1" s="1"/>
  <c r="G46" i="1" s="1"/>
  <c r="J46" i="1" s="1"/>
  <c r="C50" i="1"/>
  <c r="H50" i="1" s="1"/>
  <c r="I50" i="1" s="1"/>
  <c r="B19" i="1"/>
  <c r="B20" i="1" s="1"/>
  <c r="F41" i="1"/>
  <c r="F45" i="1"/>
  <c r="C39" i="1"/>
  <c r="C43" i="1"/>
  <c r="C47" i="1"/>
  <c r="C51" i="1"/>
  <c r="N14" i="1"/>
  <c r="F16" i="1"/>
  <c r="N16" i="1"/>
  <c r="O14" i="1"/>
  <c r="G16" i="1"/>
  <c r="O16" i="1"/>
  <c r="B16" i="1"/>
  <c r="J16" i="1"/>
  <c r="K14" i="1"/>
  <c r="C16" i="1"/>
  <c r="K16" i="1"/>
  <c r="L14" i="1"/>
  <c r="P14" i="1"/>
  <c r="D16" i="1"/>
  <c r="H16" i="1"/>
  <c r="L16" i="1"/>
  <c r="P16" i="1"/>
  <c r="B40" i="1"/>
  <c r="C40" i="1" s="1"/>
  <c r="B44" i="1"/>
  <c r="C44" i="1" s="1"/>
  <c r="B48" i="1"/>
  <c r="C48" i="1" s="1"/>
  <c r="B52" i="1"/>
  <c r="C52" i="1" s="1"/>
  <c r="M14" i="1"/>
  <c r="Q14" i="1"/>
  <c r="Q16" i="1"/>
  <c r="H41" i="1" l="1"/>
  <c r="I41" i="1" s="1"/>
  <c r="K41" i="1" s="1"/>
  <c r="M41" i="1" s="1"/>
  <c r="N41" i="1" s="1"/>
  <c r="F38" i="1"/>
  <c r="F42" i="1"/>
  <c r="H42" i="1"/>
  <c r="I42" i="1" s="1"/>
  <c r="K42" i="1" s="1"/>
  <c r="E37" i="1"/>
  <c r="G37" i="1" s="1"/>
  <c r="J37" i="1" s="1"/>
  <c r="F46" i="1"/>
  <c r="H38" i="1"/>
  <c r="I38" i="1" s="1"/>
  <c r="K38" i="1" s="1"/>
  <c r="M38" i="1" s="1"/>
  <c r="N38" i="1" s="1"/>
  <c r="D50" i="1"/>
  <c r="E50" i="1" s="1"/>
  <c r="G50" i="1" s="1"/>
  <c r="J50" i="1" s="1"/>
  <c r="K50" i="1" s="1"/>
  <c r="H37" i="1"/>
  <c r="I37" i="1" s="1"/>
  <c r="D49" i="1"/>
  <c r="F49" i="1" s="1"/>
  <c r="H46" i="1"/>
  <c r="I46" i="1" s="1"/>
  <c r="K46" i="1" s="1"/>
  <c r="L46" i="1" s="1"/>
  <c r="H45" i="1"/>
  <c r="I45" i="1" s="1"/>
  <c r="K45" i="1" s="1"/>
  <c r="L45" i="1" s="1"/>
  <c r="H48" i="1"/>
  <c r="I48" i="1" s="1"/>
  <c r="D48" i="1"/>
  <c r="D43" i="1"/>
  <c r="H43" i="1"/>
  <c r="I43" i="1" s="1"/>
  <c r="D44" i="1"/>
  <c r="H44" i="1"/>
  <c r="I44" i="1" s="1"/>
  <c r="D39" i="1"/>
  <c r="H39" i="1"/>
  <c r="I39" i="1" s="1"/>
  <c r="D40" i="1"/>
  <c r="H40" i="1"/>
  <c r="I40" i="1" s="1"/>
  <c r="H51" i="1"/>
  <c r="I51" i="1" s="1"/>
  <c r="D51" i="1"/>
  <c r="H52" i="1"/>
  <c r="I52" i="1" s="1"/>
  <c r="D52" i="1"/>
  <c r="D47" i="1"/>
  <c r="H47" i="1"/>
  <c r="I47" i="1" s="1"/>
  <c r="K37" i="1" l="1"/>
  <c r="M37" i="1" s="1"/>
  <c r="N37" i="1" s="1"/>
  <c r="Q37" i="1" s="1"/>
  <c r="L41" i="1"/>
  <c r="F50" i="1"/>
  <c r="M46" i="1"/>
  <c r="N46" i="1" s="1"/>
  <c r="Q46" i="1" s="1"/>
  <c r="S46" i="1" s="1"/>
  <c r="L38" i="1"/>
  <c r="E49" i="1"/>
  <c r="G49" i="1" s="1"/>
  <c r="J49" i="1" s="1"/>
  <c r="K49" i="1" s="1"/>
  <c r="M49" i="1" s="1"/>
  <c r="N49" i="1" s="1"/>
  <c r="L37" i="1"/>
  <c r="M45" i="1"/>
  <c r="N45" i="1" s="1"/>
  <c r="P45" i="1" s="1"/>
  <c r="M42" i="1"/>
  <c r="N42" i="1" s="1"/>
  <c r="L42" i="1"/>
  <c r="M50" i="1"/>
  <c r="N50" i="1" s="1"/>
  <c r="L50" i="1"/>
  <c r="F51" i="1"/>
  <c r="E51" i="1"/>
  <c r="G51" i="1" s="1"/>
  <c r="J51" i="1" s="1"/>
  <c r="K51" i="1" s="1"/>
  <c r="F39" i="1"/>
  <c r="E39" i="1"/>
  <c r="G39" i="1" s="1"/>
  <c r="J39" i="1" s="1"/>
  <c r="K39" i="1" s="1"/>
  <c r="F43" i="1"/>
  <c r="E43" i="1"/>
  <c r="G43" i="1" s="1"/>
  <c r="J43" i="1" s="1"/>
  <c r="K43" i="1" s="1"/>
  <c r="F47" i="1"/>
  <c r="E47" i="1"/>
  <c r="G47" i="1" s="1"/>
  <c r="J47" i="1" s="1"/>
  <c r="K47" i="1" s="1"/>
  <c r="E52" i="1"/>
  <c r="G52" i="1" s="1"/>
  <c r="J52" i="1" s="1"/>
  <c r="K52" i="1" s="1"/>
  <c r="F52" i="1"/>
  <c r="E48" i="1"/>
  <c r="G48" i="1" s="1"/>
  <c r="J48" i="1" s="1"/>
  <c r="K48" i="1" s="1"/>
  <c r="F48" i="1"/>
  <c r="F40" i="1"/>
  <c r="E40" i="1"/>
  <c r="G40" i="1" s="1"/>
  <c r="J40" i="1" s="1"/>
  <c r="K40" i="1" s="1"/>
  <c r="O38" i="1"/>
  <c r="Q38" i="1"/>
  <c r="S38" i="1" s="1"/>
  <c r="P38" i="1"/>
  <c r="F44" i="1"/>
  <c r="E44" i="1"/>
  <c r="G44" i="1" s="1"/>
  <c r="J44" i="1" s="1"/>
  <c r="K44" i="1" s="1"/>
  <c r="O41" i="1"/>
  <c r="Q41" i="1"/>
  <c r="S41" i="1" s="1"/>
  <c r="P41" i="1"/>
  <c r="P37" i="1" l="1"/>
  <c r="O37" i="1"/>
  <c r="O46" i="1"/>
  <c r="P46" i="1"/>
  <c r="L49" i="1"/>
  <c r="Q45" i="1"/>
  <c r="S45" i="1" s="1"/>
  <c r="O45" i="1"/>
  <c r="M44" i="1"/>
  <c r="N44" i="1" s="1"/>
  <c r="L44" i="1"/>
  <c r="M43" i="1"/>
  <c r="N43" i="1" s="1"/>
  <c r="L43" i="1"/>
  <c r="M39" i="1"/>
  <c r="N39" i="1" s="1"/>
  <c r="L39" i="1"/>
  <c r="M40" i="1"/>
  <c r="N40" i="1" s="1"/>
  <c r="L40" i="1"/>
  <c r="M52" i="1"/>
  <c r="N52" i="1" s="1"/>
  <c r="L52" i="1"/>
  <c r="M47" i="1"/>
  <c r="N47" i="1" s="1"/>
  <c r="L47" i="1"/>
  <c r="M51" i="1"/>
  <c r="N51" i="1" s="1"/>
  <c r="L51" i="1"/>
  <c r="O50" i="1"/>
  <c r="Q50" i="1"/>
  <c r="S50" i="1" s="1"/>
  <c r="P50" i="1"/>
  <c r="M48" i="1"/>
  <c r="N48" i="1" s="1"/>
  <c r="L48" i="1"/>
  <c r="O49" i="1"/>
  <c r="Q49" i="1"/>
  <c r="S49" i="1" s="1"/>
  <c r="P49" i="1"/>
  <c r="O42" i="1"/>
  <c r="Q42" i="1"/>
  <c r="S42" i="1" s="1"/>
  <c r="P42" i="1"/>
  <c r="O47" i="1" l="1"/>
  <c r="Q47" i="1"/>
  <c r="S47" i="1" s="1"/>
  <c r="P47" i="1"/>
  <c r="O40" i="1"/>
  <c r="Q40" i="1"/>
  <c r="S40" i="1" s="1"/>
  <c r="P40" i="1"/>
  <c r="O43" i="1"/>
  <c r="Q43" i="1"/>
  <c r="S43" i="1" s="1"/>
  <c r="P43" i="1"/>
  <c r="O48" i="1"/>
  <c r="Q48" i="1"/>
  <c r="S48" i="1" s="1"/>
  <c r="P48" i="1"/>
  <c r="O51" i="1"/>
  <c r="Q51" i="1"/>
  <c r="S51" i="1" s="1"/>
  <c r="P51" i="1"/>
  <c r="O52" i="1"/>
  <c r="Q52" i="1"/>
  <c r="S52" i="1" s="1"/>
  <c r="P52" i="1"/>
  <c r="O39" i="1"/>
  <c r="Q39" i="1"/>
  <c r="S39" i="1" s="1"/>
  <c r="P39" i="1"/>
  <c r="O44" i="1"/>
  <c r="Q44" i="1"/>
  <c r="S44" i="1" s="1"/>
  <c r="P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dmorris</author>
  </authors>
  <commentList>
    <comment ref="T1" authorId="0" shapeId="0" xr:uid="{3D83D92D-3246-439F-BBBA-D7EC12D04481}">
      <text>
        <r>
          <rPr>
            <b/>
            <sz val="9"/>
            <color indexed="81"/>
            <rFont val="Tahoma"/>
            <family val="2"/>
          </rPr>
          <t>dmorris:</t>
        </r>
        <r>
          <rPr>
            <sz val="9"/>
            <color indexed="81"/>
            <rFont val="Tahoma"/>
            <family val="2"/>
          </rPr>
          <t xml:space="preserve">
Length at Waterline
</t>
        </r>
      </text>
    </comment>
    <comment ref="U1" authorId="0" shapeId="0" xr:uid="{0C54484E-5A34-4264-8702-9A4483DF7249}">
      <text>
        <r>
          <rPr>
            <b/>
            <sz val="9"/>
            <color indexed="81"/>
            <rFont val="Tahoma"/>
            <family val="2"/>
          </rPr>
          <t>dmorris:</t>
        </r>
        <r>
          <rPr>
            <sz val="9"/>
            <color indexed="81"/>
            <rFont val="Tahoma"/>
            <family val="2"/>
          </rPr>
          <t xml:space="preserve">
Beam at widest point
</t>
        </r>
      </text>
    </comment>
    <comment ref="X1" authorId="0" shapeId="0" xr:uid="{BBA97D55-9035-4C82-BBEF-8D053866C0DA}">
      <text>
        <r>
          <rPr>
            <b/>
            <sz val="9"/>
            <color indexed="81"/>
            <rFont val="Tahoma"/>
            <family val="2"/>
          </rPr>
          <t>dmorris:</t>
        </r>
        <r>
          <rPr>
            <sz val="9"/>
            <color indexed="81"/>
            <rFont val="Tahoma"/>
            <family val="2"/>
          </rPr>
          <t xml:space="preserve">
cross section area
  A semicircle cross section is assumed where Draft=BWL / 2 and CSA=(pi * Draft^2) / 2.</t>
        </r>
      </text>
    </comment>
  </commentList>
</comments>
</file>

<file path=xl/sharedStrings.xml><?xml version="1.0" encoding="utf-8"?>
<sst xmlns="http://schemas.openxmlformats.org/spreadsheetml/2006/main" count="111" uniqueCount="96">
  <si>
    <t>PERFORMANCE MODELING SPREADSHEET FOR ELECTRIC PROPULSION SYSTEMS IN DISPLACEMENT MONOHULL BOATS</t>
  </si>
  <si>
    <t>LWL</t>
  </si>
  <si>
    <t>BWL</t>
  </si>
  <si>
    <t>Displacement</t>
  </si>
  <si>
    <t>Draft (semicircle</t>
  </si>
  <si>
    <t>CSA</t>
  </si>
  <si>
    <t>HULL DATA</t>
  </si>
  <si>
    <t>BOAT MAKE AND MODEL</t>
  </si>
  <si>
    <t>Alden 31</t>
  </si>
  <si>
    <t>LOAD WATERLINE LENGTH IN FEET</t>
  </si>
  <si>
    <t>DISPLACEMENT IN LBS</t>
  </si>
  <si>
    <t>DEPTH OF HULL (EXCLUDE KEEL &amp; RUDDER)</t>
  </si>
  <si>
    <t>MAXIMUM WATERLINE BEAM</t>
  </si>
  <si>
    <t>PRISMATIC COEFFICIENT</t>
  </si>
  <si>
    <t xml:space="preserve"> HULL PERFORMANCE</t>
  </si>
  <si>
    <t>SPEED LENGTH RATIO</t>
  </si>
  <si>
    <t>SPEED IN KNOTS</t>
  </si>
  <si>
    <t>ESTIMATED HULL DRAG LBS.</t>
  </si>
  <si>
    <t xml:space="preserve"> HP required for 3 blade Prop </t>
  </si>
  <si>
    <t>TOWING TEST RESULTS DRAG IN LBS</t>
  </si>
  <si>
    <t xml:space="preserve"> HP required  for 3 blade Prop </t>
  </si>
  <si>
    <t>PROPELLOR  MODEL</t>
  </si>
  <si>
    <t>MOTOR  &amp; DRIVE DATA</t>
  </si>
  <si>
    <t>CONTROLLER DATA</t>
  </si>
  <si>
    <t>Recommended Prop Diameter</t>
  </si>
  <si>
    <t>Make &amp; model</t>
  </si>
  <si>
    <t>Motenergy ME1616</t>
  </si>
  <si>
    <t>Make &amp; Model</t>
  </si>
  <si>
    <t>Efficient shaft speed @ hull speed</t>
  </si>
  <si>
    <t>Max Voltage rating</t>
  </si>
  <si>
    <t>Min Voltage Rating</t>
  </si>
  <si>
    <t>Optimum pitch for 55% slip  @ hull speed</t>
  </si>
  <si>
    <t>RPM @ Max Voltage</t>
  </si>
  <si>
    <t>Max Voltage Rating</t>
  </si>
  <si>
    <t>PROPELLOR DATA</t>
  </si>
  <si>
    <t>Max. continuous Current rating</t>
  </si>
  <si>
    <t>Max Peak Current (1 min or less)</t>
  </si>
  <si>
    <r>
      <t xml:space="preserve"> </t>
    </r>
    <r>
      <rPr>
        <sz val="11"/>
        <color theme="1"/>
        <rFont val="Calibri"/>
        <family val="2"/>
        <scheme val="minor"/>
      </rPr>
      <t>Propellor Diameter</t>
    </r>
  </si>
  <si>
    <t>Max.continuous torque rating</t>
  </si>
  <si>
    <t>Max 1 Hour Current</t>
  </si>
  <si>
    <t>Shaft RPM @ Hull Speed</t>
  </si>
  <si>
    <t>Max peak Current rating</t>
  </si>
  <si>
    <t>Max Continuous Current</t>
  </si>
  <si>
    <t>Calculated Pitch for 55% slip</t>
  </si>
  <si>
    <t>Max peak torque rating</t>
  </si>
  <si>
    <t>Motor efficiency rating</t>
  </si>
  <si>
    <t>BATTERY SPECIFICATON</t>
  </si>
  <si>
    <t>Motor torque constant:lbs/ft. per amp</t>
  </si>
  <si>
    <t>Motor voltage constant: rpms per Volt</t>
  </si>
  <si>
    <t>BCI group</t>
  </si>
  <si>
    <t>Motorshaft to prop shaft reduction ratio</t>
  </si>
  <si>
    <t>Amp Hour Rating @ C/20</t>
  </si>
  <si>
    <t>TORQUE SPEC CONVERSON TABLE</t>
  </si>
  <si>
    <t>Battery voltage</t>
  </si>
  <si>
    <t>Newtons/ Meter NM</t>
  </si>
  <si>
    <t>X .738 =</t>
  </si>
  <si>
    <t>Lbs/ft.</t>
  </si>
  <si>
    <t># of batteries</t>
  </si>
  <si>
    <t>Lbs./Inch</t>
  </si>
  <si>
    <t>/ 12 =</t>
  </si>
  <si>
    <t>String voltage</t>
  </si>
  <si>
    <t>NOTE: PEUKERT VALUES  CAN  RANGE FROM 1.08 TO  2 DEPENDING ON BATTERY SPECS</t>
  </si>
  <si>
    <t>Peukert #</t>
  </si>
  <si>
    <t>CALCULATED PERFORMANCE DATA</t>
  </si>
  <si>
    <t>Speed</t>
  </si>
  <si>
    <t>Shaft</t>
  </si>
  <si>
    <t>Torque</t>
  </si>
  <si>
    <t>Static Thrust</t>
  </si>
  <si>
    <t>Motor</t>
  </si>
  <si>
    <t xml:space="preserve">String </t>
  </si>
  <si>
    <t>Battery</t>
  </si>
  <si>
    <t>Runtime in Minutes</t>
  </si>
  <si>
    <t>Knots</t>
  </si>
  <si>
    <t>RPM</t>
  </si>
  <si>
    <t>HP</t>
  </si>
  <si>
    <t xml:space="preserve"> LBS/FT</t>
  </si>
  <si>
    <t>LBS</t>
  </si>
  <si>
    <t>Volts</t>
  </si>
  <si>
    <t>Current</t>
  </si>
  <si>
    <t>KW</t>
  </si>
  <si>
    <t>50%DOD</t>
  </si>
  <si>
    <t>80%DOD</t>
  </si>
  <si>
    <t>100%DOD</t>
  </si>
  <si>
    <t>COPYRIGHT 2005 BY DAVID RASBERRY</t>
  </si>
  <si>
    <t>6.25 kWh</t>
  </si>
  <si>
    <t>Li have almost no degredation</t>
  </si>
  <si>
    <t>N/A</t>
  </si>
  <si>
    <t>2 x Chevy Bolt 10S</t>
  </si>
  <si>
    <t>https://evea-kartmasters.fr/en/synchronous-motors/1914-me1616-pmsm-brushless-water-cool-motor.html</t>
  </si>
  <si>
    <t>motor details</t>
  </si>
  <si>
    <t>?</t>
  </si>
  <si>
    <t>Sevcon G4845</t>
  </si>
  <si>
    <t>450amp</t>
  </si>
  <si>
    <t>180amp</t>
  </si>
  <si>
    <t>cinetics@acsinc.net</t>
  </si>
  <si>
    <t>taoistinsc@yahoo.com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</si>
</sst>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13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Lucida Sans Unicode"/>
      <family val="2"/>
    </font>
    <font>
      <sz val="11"/>
      <color indexed="13"/>
      <name val="Arial"/>
      <family val="2"/>
    </font>
    <font>
      <sz val="14"/>
      <color indexed="1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5"/>
      <color rgb="FF383A3B"/>
      <name val="Helvetica Neue"/>
      <family val="2"/>
    </font>
    <font>
      <b/>
      <sz val="1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80808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16"/>
        <bgColor indexed="37"/>
      </patternFill>
    </fill>
    <fill>
      <patternFill patternType="solid">
        <fgColor indexed="47"/>
        <bgColor indexed="22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14" fillId="0" borderId="0" applyNumberFormat="0" applyFill="0" applyBorder="0" applyAlignment="0" applyProtection="0"/>
  </cellStyleXfs>
  <cellXfs count="110">
    <xf numFmtId="0" fontId="0" fillId="0" borderId="0" xfId="0"/>
    <xf numFmtId="2" fontId="0" fillId="0" borderId="0" xfId="0" applyNumberFormat="1"/>
    <xf numFmtId="0" fontId="0" fillId="3" borderId="0" xfId="0" applyFill="1" applyAlignment="1" applyProtection="1">
      <alignment horizontal="left" vertical="center"/>
      <protection locked="0"/>
    </xf>
    <xf numFmtId="2" fontId="0" fillId="3" borderId="0" xfId="0" applyNumberFormat="1" applyFill="1"/>
    <xf numFmtId="1" fontId="0" fillId="0" borderId="3" xfId="0" applyNumberFormat="1" applyBorder="1" applyAlignment="1" applyProtection="1">
      <alignment horizontal="center" vertical="center"/>
      <protection locked="0"/>
    </xf>
    <xf numFmtId="2" fontId="0" fillId="3" borderId="0" xfId="0" applyNumberFormat="1" applyFill="1" applyAlignment="1" applyProtection="1">
      <alignment horizontal="center" vertical="center"/>
      <protection locked="0"/>
    </xf>
    <xf numFmtId="1" fontId="0" fillId="3" borderId="0" xfId="0" applyNumberFormat="1" applyFill="1" applyAlignment="1" applyProtection="1">
      <alignment horizontal="center" vertical="center"/>
      <protection locked="0"/>
    </xf>
    <xf numFmtId="1" fontId="0" fillId="0" borderId="2" xfId="0" applyNumberFormat="1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4" borderId="4" xfId="0" applyFill="1" applyBorder="1" applyAlignment="1">
      <alignment horizontal="right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4" borderId="3" xfId="0" applyNumberFormat="1" applyFill="1" applyBorder="1" applyAlignment="1">
      <alignment horizontal="right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4" borderId="2" xfId="0" applyNumberFormat="1" applyFill="1" applyBorder="1" applyAlignment="1">
      <alignment horizontal="right"/>
    </xf>
    <xf numFmtId="164" fontId="5" fillId="4" borderId="2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2" fontId="3" fillId="3" borderId="7" xfId="0" applyNumberFormat="1" applyFont="1" applyFill="1" applyBorder="1" applyAlignment="1">
      <alignment horizontal="left" vertical="center"/>
    </xf>
    <xf numFmtId="1" fontId="3" fillId="3" borderId="8" xfId="0" applyNumberFormat="1" applyFont="1" applyFill="1" applyBorder="1" applyAlignment="1">
      <alignment horizontal="left" vertical="center"/>
    </xf>
    <xf numFmtId="2" fontId="3" fillId="3" borderId="8" xfId="0" applyNumberFormat="1" applyFont="1" applyFill="1" applyBorder="1" applyAlignment="1">
      <alignment horizontal="left" vertical="center"/>
    </xf>
    <xf numFmtId="1" fontId="5" fillId="4" borderId="2" xfId="0" applyNumberFormat="1" applyFont="1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3" fillId="3" borderId="9" xfId="0" applyFont="1" applyFill="1" applyBorder="1"/>
    <xf numFmtId="0" fontId="3" fillId="3" borderId="7" xfId="0" applyFont="1" applyFill="1" applyBorder="1"/>
    <xf numFmtId="0" fontId="0" fillId="3" borderId="0" xfId="0" applyFill="1"/>
    <xf numFmtId="0" fontId="3" fillId="3" borderId="10" xfId="0" applyFont="1" applyFill="1" applyBorder="1"/>
    <xf numFmtId="1" fontId="3" fillId="3" borderId="2" xfId="0" applyNumberFormat="1" applyFont="1" applyFill="1" applyBorder="1"/>
    <xf numFmtId="0" fontId="0" fillId="3" borderId="11" xfId="0" applyFill="1" applyBorder="1" applyAlignment="1">
      <alignment horizontal="center" vertical="center"/>
    </xf>
    <xf numFmtId="2" fontId="0" fillId="3" borderId="10" xfId="0" applyNumberFormat="1" applyFill="1" applyBorder="1"/>
    <xf numFmtId="1" fontId="7" fillId="4" borderId="2" xfId="0" applyNumberFormat="1" applyFon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" fontId="0" fillId="3" borderId="8" xfId="0" applyNumberFormat="1" applyFill="1" applyBorder="1" applyAlignment="1">
      <alignment horizontal="right" vertical="center"/>
    </xf>
    <xf numFmtId="9" fontId="0" fillId="0" borderId="2" xfId="0" applyNumberFormat="1" applyBorder="1" applyAlignment="1" applyProtection="1">
      <alignment horizontal="center" vertical="center"/>
      <protection locked="0"/>
    </xf>
    <xf numFmtId="1" fontId="3" fillId="3" borderId="10" xfId="0" applyNumberFormat="1" applyFont="1" applyFill="1" applyBorder="1"/>
    <xf numFmtId="0" fontId="0" fillId="3" borderId="0" xfId="0" applyFill="1" applyAlignment="1">
      <alignment horizontal="right"/>
    </xf>
    <xf numFmtId="165" fontId="0" fillId="0" borderId="2" xfId="0" applyNumberFormat="1" applyBorder="1" applyAlignment="1" applyProtection="1">
      <alignment horizontal="center" vertical="center"/>
      <protection locked="0"/>
    </xf>
    <xf numFmtId="1" fontId="0" fillId="3" borderId="0" xfId="0" applyNumberFormat="1" applyFill="1"/>
    <xf numFmtId="2" fontId="5" fillId="3" borderId="0" xfId="0" applyNumberFormat="1" applyFont="1" applyFill="1" applyProtection="1">
      <protection locked="0"/>
    </xf>
    <xf numFmtId="2" fontId="0" fillId="0" borderId="6" xfId="0" applyNumberFormat="1" applyBorder="1" applyAlignment="1" applyProtection="1">
      <alignment horizontal="center" vertical="center"/>
      <protection locked="0"/>
    </xf>
    <xf numFmtId="2" fontId="3" fillId="3" borderId="10" xfId="0" applyNumberFormat="1" applyFont="1" applyFill="1" applyBorder="1"/>
    <xf numFmtId="49" fontId="0" fillId="0" borderId="2" xfId="0" applyNumberFormat="1" applyBorder="1" applyAlignment="1" applyProtection="1">
      <alignment horizontal="center" vertical="center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0" fontId="0" fillId="3" borderId="10" xfId="0" applyFill="1" applyBorder="1"/>
    <xf numFmtId="2" fontId="0" fillId="3" borderId="0" xfId="0" applyNumberFormat="1" applyFill="1" applyAlignment="1">
      <alignment horizontal="center" vertical="center"/>
    </xf>
    <xf numFmtId="0" fontId="0" fillId="0" borderId="0" xfId="0" applyAlignment="1" applyProtection="1">
      <alignment horizontal="right" vertical="center"/>
      <protection locked="0"/>
    </xf>
    <xf numFmtId="0" fontId="0" fillId="4" borderId="2" xfId="0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2" fontId="0" fillId="3" borderId="0" xfId="0" applyNumberFormat="1" applyFill="1" applyAlignment="1">
      <alignment horizontal="left" vertical="center"/>
    </xf>
    <xf numFmtId="0" fontId="0" fillId="4" borderId="6" xfId="0" applyFill="1" applyBorder="1"/>
    <xf numFmtId="0" fontId="0" fillId="4" borderId="11" xfId="0" applyFill="1" applyBorder="1"/>
    <xf numFmtId="2" fontId="0" fillId="4" borderId="11" xfId="0" applyNumberFormat="1" applyFill="1" applyBorder="1" applyProtection="1">
      <protection locked="0" hidden="1"/>
    </xf>
    <xf numFmtId="2" fontId="0" fillId="4" borderId="14" xfId="0" applyNumberFormat="1" applyFill="1" applyBorder="1"/>
    <xf numFmtId="0" fontId="0" fillId="3" borderId="5" xfId="0" applyFill="1" applyBorder="1" applyAlignment="1">
      <alignment horizontal="right" vertical="center"/>
    </xf>
    <xf numFmtId="1" fontId="3" fillId="3" borderId="2" xfId="0" applyNumberFormat="1" applyFont="1" applyFill="1" applyBorder="1" applyAlignment="1">
      <alignment horizontal="center" vertical="center"/>
    </xf>
    <xf numFmtId="1" fontId="5" fillId="4" borderId="2" xfId="0" applyNumberFormat="1" applyFont="1" applyFill="1" applyBorder="1"/>
    <xf numFmtId="2" fontId="5" fillId="4" borderId="2" xfId="0" applyNumberFormat="1" applyFont="1" applyFill="1" applyBorder="1"/>
    <xf numFmtId="164" fontId="5" fillId="4" borderId="2" xfId="0" applyNumberFormat="1" applyFont="1" applyFill="1" applyBorder="1"/>
    <xf numFmtId="2" fontId="6" fillId="0" borderId="0" xfId="0" applyNumberFormat="1" applyFont="1"/>
    <xf numFmtId="0" fontId="0" fillId="3" borderId="0" xfId="0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0" fontId="0" fillId="2" borderId="1" xfId="1" applyFont="1"/>
    <xf numFmtId="2" fontId="0" fillId="0" borderId="5" xfId="0" applyNumberFormat="1" applyBorder="1" applyAlignment="1" applyProtection="1">
      <alignment horizontal="center" vertical="center"/>
      <protection locked="0"/>
    </xf>
    <xf numFmtId="2" fontId="3" fillId="3" borderId="2" xfId="0" applyNumberFormat="1" applyFon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right"/>
    </xf>
    <xf numFmtId="2" fontId="0" fillId="0" borderId="2" xfId="0" applyNumberFormat="1" applyBorder="1" applyAlignment="1" applyProtection="1">
      <alignment horizontal="center" vertical="center"/>
      <protection locked="0"/>
    </xf>
    <xf numFmtId="2" fontId="3" fillId="3" borderId="2" xfId="0" applyNumberFormat="1" applyFont="1" applyFill="1" applyBorder="1" applyAlignment="1">
      <alignment horizontal="left" vertical="center"/>
    </xf>
    <xf numFmtId="164" fontId="0" fillId="0" borderId="0" xfId="0" applyNumberFormat="1"/>
    <xf numFmtId="166" fontId="5" fillId="4" borderId="4" xfId="0" applyNumberFormat="1" applyFont="1" applyFill="1" applyBorder="1" applyAlignment="1">
      <alignment horizontal="center" vertical="center"/>
    </xf>
    <xf numFmtId="0" fontId="12" fillId="0" borderId="0" xfId="0" applyFont="1"/>
    <xf numFmtId="2" fontId="3" fillId="3" borderId="5" xfId="0" applyNumberFormat="1" applyFont="1" applyFill="1" applyBorder="1" applyAlignment="1">
      <alignment horizontal="center" vertical="center"/>
    </xf>
    <xf numFmtId="0" fontId="13" fillId="0" borderId="0" xfId="0" applyFont="1"/>
    <xf numFmtId="1" fontId="15" fillId="0" borderId="15" xfId="0" applyNumberFormat="1" applyFont="1" applyBorder="1" applyAlignment="1" applyProtection="1">
      <alignment horizontal="center" vertical="center"/>
      <protection locked="0"/>
    </xf>
    <xf numFmtId="0" fontId="14" fillId="0" borderId="0" xfId="2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" fontId="0" fillId="0" borderId="2" xfId="0" applyNumberFormat="1" applyBorder="1" applyAlignment="1" applyProtection="1">
      <alignment horizontal="left" vertical="center"/>
      <protection locked="0"/>
    </xf>
    <xf numFmtId="0" fontId="3" fillId="3" borderId="5" xfId="0" applyFont="1" applyFill="1" applyBorder="1" applyAlignment="1">
      <alignment horizontal="left" vertical="center"/>
    </xf>
    <xf numFmtId="2" fontId="3" fillId="3" borderId="6" xfId="0" applyNumberFormat="1" applyFont="1" applyFill="1" applyBorder="1" applyAlignment="1">
      <alignment horizontal="left" vertical="center"/>
    </xf>
    <xf numFmtId="2" fontId="3" fillId="3" borderId="2" xfId="0" applyNumberFormat="1" applyFont="1" applyFill="1" applyBorder="1" applyAlignment="1">
      <alignment horizontal="left" vertical="center"/>
    </xf>
    <xf numFmtId="2" fontId="0" fillId="4" borderId="2" xfId="0" applyNumberFormat="1" applyFill="1" applyBorder="1" applyAlignment="1">
      <alignment horizontal="right" vertical="center"/>
    </xf>
    <xf numFmtId="1" fontId="0" fillId="0" borderId="3" xfId="0" applyNumberFormat="1" applyBorder="1" applyAlignment="1" applyProtection="1">
      <alignment horizontal="left" vertical="center"/>
      <protection locked="0"/>
    </xf>
    <xf numFmtId="2" fontId="0" fillId="0" borderId="2" xfId="0" applyNumberFormat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right"/>
    </xf>
    <xf numFmtId="2" fontId="3" fillId="3" borderId="11" xfId="0" applyNumberFormat="1" applyFont="1" applyFill="1" applyBorder="1" applyAlignment="1">
      <alignment horizontal="left" vertical="center"/>
    </xf>
    <xf numFmtId="0" fontId="3" fillId="3" borderId="0" xfId="0" applyFont="1" applyFill="1" applyAlignment="1" applyProtection="1">
      <alignment horizontal="center" vertical="center"/>
      <protection locked="0"/>
    </xf>
    <xf numFmtId="1" fontId="0" fillId="4" borderId="2" xfId="0" applyNumberFormat="1" applyFill="1" applyBorder="1" applyAlignment="1">
      <alignment horizontal="right" vertical="center"/>
    </xf>
    <xf numFmtId="0" fontId="0" fillId="0" borderId="3" xfId="0" applyBorder="1" applyAlignment="1" applyProtection="1">
      <alignment horizontal="left" vertical="center"/>
      <protection locked="0"/>
    </xf>
    <xf numFmtId="2" fontId="0" fillId="4" borderId="4" xfId="0" applyNumberFormat="1" applyFill="1" applyBorder="1" applyAlignment="1">
      <alignment horizontal="right" vertical="center"/>
    </xf>
    <xf numFmtId="1" fontId="9" fillId="3" borderId="11" xfId="0" applyNumberFormat="1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12" xfId="0" applyFill="1" applyBorder="1" applyAlignment="1"/>
    <xf numFmtId="1" fontId="8" fillId="3" borderId="13" xfId="0" applyNumberFormat="1" applyFont="1" applyFill="1" applyBorder="1" applyAlignment="1">
      <alignment horizontal="left" vertical="center"/>
    </xf>
    <xf numFmtId="2" fontId="0" fillId="4" borderId="14" xfId="0" applyNumberFormat="1" applyFill="1" applyBorder="1" applyAlignment="1">
      <alignment horizontal="right" vertical="center"/>
    </xf>
    <xf numFmtId="0" fontId="16" fillId="0" borderId="0" xfId="0" applyFont="1" applyAlignment="1">
      <alignment vertical="center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oistinsc@yahoo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68FCF-0B79-4A09-8942-7713B3E408B9}">
  <dimension ref="A1:AE56"/>
  <sheetViews>
    <sheetView tabSelected="1" topLeftCell="C1" workbookViewId="0">
      <selection activeCell="T18" sqref="T18:T28"/>
    </sheetView>
  </sheetViews>
  <sheetFormatPr defaultColWidth="8.85546875" defaultRowHeight="15"/>
  <cols>
    <col min="1" max="1" width="37.7109375" customWidth="1"/>
    <col min="4" max="4" width="9.140625" customWidth="1"/>
    <col min="10" max="10" width="12.7109375" bestFit="1" customWidth="1"/>
    <col min="19" max="19" width="23.140625" customWidth="1"/>
    <col min="20" max="20" width="17.42578125" customWidth="1"/>
    <col min="21" max="21" width="14.5703125" customWidth="1"/>
    <col min="22" max="22" width="18.140625" customWidth="1"/>
    <col min="23" max="23" width="21.42578125" customWidth="1"/>
    <col min="24" max="24" width="18.28515625" customWidth="1"/>
    <col min="25" max="25" width="34.140625" customWidth="1"/>
  </cols>
  <sheetData>
    <row r="1" spans="1:28" ht="15.7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T1" s="72" t="s">
        <v>1</v>
      </c>
      <c r="U1" s="72" t="s">
        <v>2</v>
      </c>
      <c r="V1" s="72" t="s">
        <v>3</v>
      </c>
      <c r="W1" s="72" t="s">
        <v>4</v>
      </c>
      <c r="X1" s="72" t="s">
        <v>5</v>
      </c>
    </row>
    <row r="2" spans="1:28">
      <c r="A2" s="88" t="s">
        <v>6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1"/>
      <c r="T2">
        <v>29</v>
      </c>
      <c r="U2">
        <v>10</v>
      </c>
      <c r="V2">
        <v>13300</v>
      </c>
      <c r="W2">
        <f>U2/2</f>
        <v>5</v>
      </c>
      <c r="X2">
        <f>(PI()*(Draft^2)/2)</f>
        <v>19.242255003237482</v>
      </c>
    </row>
    <row r="3" spans="1:28">
      <c r="A3" s="77" t="s">
        <v>7</v>
      </c>
      <c r="B3" s="89" t="s">
        <v>8</v>
      </c>
      <c r="C3" s="89"/>
      <c r="D3" s="2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1"/>
    </row>
    <row r="4" spans="1:28">
      <c r="A4" s="77" t="s">
        <v>9</v>
      </c>
      <c r="B4" s="4">
        <v>23.75</v>
      </c>
      <c r="C4" s="5"/>
      <c r="D4" s="5"/>
      <c r="E4" s="6"/>
      <c r="F4" s="6"/>
      <c r="G4" s="6"/>
      <c r="H4" s="6"/>
      <c r="I4" s="5"/>
      <c r="J4" s="3"/>
      <c r="K4" s="3"/>
      <c r="L4" s="3"/>
      <c r="M4" s="3"/>
      <c r="N4" s="3"/>
      <c r="O4" s="3"/>
      <c r="P4" s="3"/>
      <c r="Q4" s="3"/>
      <c r="R4" s="1"/>
    </row>
    <row r="5" spans="1:28">
      <c r="A5" s="77" t="s">
        <v>10</v>
      </c>
      <c r="B5" s="7">
        <v>13300</v>
      </c>
      <c r="C5" s="8"/>
      <c r="D5" s="5"/>
      <c r="E5" s="6"/>
      <c r="F5" s="6"/>
      <c r="G5" s="6"/>
      <c r="H5" s="6"/>
      <c r="I5" s="5"/>
      <c r="J5" s="3"/>
      <c r="K5" s="3"/>
      <c r="L5" s="3"/>
      <c r="M5" s="3"/>
      <c r="N5" s="3"/>
      <c r="O5" s="3"/>
      <c r="P5" s="3"/>
      <c r="Q5" s="3"/>
      <c r="R5" s="1"/>
    </row>
    <row r="6" spans="1:28">
      <c r="A6" s="77" t="s">
        <v>11</v>
      </c>
      <c r="B6" s="78">
        <v>3.5</v>
      </c>
      <c r="C6" s="8"/>
      <c r="D6" s="5"/>
      <c r="E6" s="6"/>
      <c r="F6" s="6"/>
      <c r="G6" s="6"/>
      <c r="H6" s="6"/>
      <c r="I6" s="5"/>
      <c r="J6" s="3"/>
      <c r="K6" s="3"/>
      <c r="L6" s="3"/>
      <c r="M6" s="3"/>
      <c r="N6" s="3"/>
      <c r="O6" s="3"/>
      <c r="P6" s="3"/>
      <c r="Q6" s="3"/>
      <c r="R6" s="1"/>
    </row>
    <row r="7" spans="1:28">
      <c r="A7" s="77" t="s">
        <v>12</v>
      </c>
      <c r="B7" s="78">
        <v>10.5</v>
      </c>
      <c r="C7" s="8"/>
      <c r="D7" s="5"/>
      <c r="E7" s="6"/>
      <c r="F7" s="6"/>
      <c r="G7" s="6"/>
      <c r="H7" s="6"/>
      <c r="I7" s="5"/>
      <c r="J7" s="3"/>
      <c r="K7" s="3"/>
      <c r="L7" s="3"/>
      <c r="M7" s="3"/>
      <c r="N7" s="3"/>
      <c r="O7" s="3"/>
      <c r="P7" s="3"/>
      <c r="Q7" s="3"/>
      <c r="R7" s="1"/>
      <c r="AB7">
        <v>4.9000000000000004</v>
      </c>
    </row>
    <row r="8" spans="1:28">
      <c r="A8" s="77" t="s">
        <v>5</v>
      </c>
      <c r="B8" s="10">
        <f>(PI()*(Draft^2)/2)</f>
        <v>19.242255003237482</v>
      </c>
      <c r="C8" s="8"/>
      <c r="D8" s="5"/>
      <c r="E8" s="6"/>
      <c r="F8" s="6"/>
      <c r="G8" s="6"/>
      <c r="H8" s="6"/>
      <c r="I8" s="5"/>
      <c r="J8" s="3"/>
      <c r="K8" s="3"/>
      <c r="L8" s="3"/>
      <c r="M8" s="3"/>
      <c r="N8" s="3"/>
      <c r="O8" s="3"/>
      <c r="P8" s="3"/>
      <c r="Q8" s="3"/>
      <c r="R8" s="1"/>
      <c r="AB8">
        <v>101</v>
      </c>
    </row>
    <row r="9" spans="1:28">
      <c r="A9" s="9" t="s">
        <v>13</v>
      </c>
      <c r="B9" s="73">
        <f xml:space="preserve"> (Displacement / (CSA * LWL * 64.0224))</f>
        <v>0.45456930957563524</v>
      </c>
      <c r="C9" s="8"/>
      <c r="D9" s="5"/>
      <c r="E9" s="6"/>
      <c r="F9" s="6"/>
      <c r="G9" s="6"/>
      <c r="H9" s="6"/>
      <c r="I9" s="5"/>
      <c r="J9" s="3"/>
      <c r="K9" s="3"/>
      <c r="L9" s="3"/>
      <c r="M9" s="3"/>
      <c r="N9" s="3"/>
      <c r="O9" s="3"/>
      <c r="P9" s="3"/>
      <c r="Q9" s="3"/>
      <c r="R9" s="1"/>
      <c r="AB9">
        <v>3.0999999999999999E-3</v>
      </c>
    </row>
    <row r="10" spans="1:28">
      <c r="A10" s="90" t="s">
        <v>14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1"/>
      <c r="AB10">
        <f>AB7*AB8*AB9</f>
        <v>1.5341899999999999</v>
      </c>
    </row>
    <row r="11" spans="1:28">
      <c r="A11" s="11" t="s">
        <v>15</v>
      </c>
      <c r="B11" s="12">
        <v>0.3</v>
      </c>
      <c r="C11" s="12">
        <v>0.4</v>
      </c>
      <c r="D11" s="12">
        <v>0.5</v>
      </c>
      <c r="E11" s="12">
        <v>0.6</v>
      </c>
      <c r="F11" s="12">
        <v>0.7</v>
      </c>
      <c r="G11" s="12">
        <v>0.8</v>
      </c>
      <c r="H11" s="12">
        <v>0.9</v>
      </c>
      <c r="I11" s="12">
        <v>0.95</v>
      </c>
      <c r="J11" s="12">
        <v>1</v>
      </c>
      <c r="K11" s="12">
        <v>1.05</v>
      </c>
      <c r="L11" s="12">
        <v>1.1000000000000001</v>
      </c>
      <c r="M11" s="12">
        <v>1.1499999999999999</v>
      </c>
      <c r="N11" s="12">
        <v>1.2</v>
      </c>
      <c r="O11" s="12">
        <v>1.25</v>
      </c>
      <c r="P11" s="12">
        <v>1.3</v>
      </c>
      <c r="Q11" s="12">
        <v>1.35</v>
      </c>
      <c r="R11" s="13"/>
      <c r="Z11" s="80">
        <f>(10^0.5)</f>
        <v>3.1622776601683795</v>
      </c>
      <c r="AB11">
        <f>AB10/0.55</f>
        <v>2.7894363636363635</v>
      </c>
    </row>
    <row r="12" spans="1:28">
      <c r="A12" s="14" t="s">
        <v>16</v>
      </c>
      <c r="B12" s="15">
        <f t="shared" ref="B12:Q12" si="0">($B$4^0.5)*B11</f>
        <v>1.4620191517213443</v>
      </c>
      <c r="C12" s="15">
        <f>($B$4^0.5)*C11</f>
        <v>1.9493588689617927</v>
      </c>
      <c r="D12" s="15">
        <f t="shared" si="0"/>
        <v>2.4366985862022408</v>
      </c>
      <c r="E12" s="15">
        <f t="shared" si="0"/>
        <v>2.9240383034426887</v>
      </c>
      <c r="F12" s="15">
        <f t="shared" si="0"/>
        <v>3.411378020683137</v>
      </c>
      <c r="G12" s="15">
        <f t="shared" si="0"/>
        <v>3.8987177379235853</v>
      </c>
      <c r="H12" s="15">
        <f t="shared" si="0"/>
        <v>4.3860574551640337</v>
      </c>
      <c r="I12" s="15">
        <f t="shared" si="0"/>
        <v>4.6297273137842572</v>
      </c>
      <c r="J12" s="15">
        <f t="shared" si="0"/>
        <v>4.8733971724044816</v>
      </c>
      <c r="K12" s="15">
        <f t="shared" si="0"/>
        <v>5.1170670310247059</v>
      </c>
      <c r="L12" s="15">
        <f t="shared" si="0"/>
        <v>5.3607368896449303</v>
      </c>
      <c r="M12" s="15">
        <f t="shared" si="0"/>
        <v>5.6044067482651529</v>
      </c>
      <c r="N12" s="15">
        <f t="shared" si="0"/>
        <v>5.8480766068853773</v>
      </c>
      <c r="O12" s="15">
        <f t="shared" si="0"/>
        <v>6.0917464655056017</v>
      </c>
      <c r="P12" s="15">
        <f t="shared" si="0"/>
        <v>6.3354163241258261</v>
      </c>
      <c r="Q12" s="15">
        <f t="shared" si="0"/>
        <v>6.5790861827460505</v>
      </c>
      <c r="R12" s="16"/>
      <c r="U12">
        <f>Draft</f>
        <v>3.5</v>
      </c>
    </row>
    <row r="13" spans="1:28">
      <c r="A13" s="77" t="s">
        <v>17</v>
      </c>
      <c r="B13" s="17"/>
      <c r="C13" s="17"/>
      <c r="D13" s="17"/>
      <c r="E13" s="17"/>
      <c r="F13" s="17"/>
      <c r="G13" s="17"/>
      <c r="H13" s="17"/>
      <c r="I13" s="17"/>
      <c r="J13" s="18">
        <f>($B$5/2240)*17</f>
        <v>100.9375</v>
      </c>
      <c r="K13" s="18">
        <f>($B$5/2240)*19</f>
        <v>112.8125</v>
      </c>
      <c r="L13" s="18">
        <f>($B$5/2240)*22</f>
        <v>130.625</v>
      </c>
      <c r="M13" s="18">
        <f>($B$5/2240)*27</f>
        <v>160.3125</v>
      </c>
      <c r="N13" s="18">
        <f>($B$5/2240)*33</f>
        <v>195.9375</v>
      </c>
      <c r="O13" s="18">
        <f>($B$5/2240)*42</f>
        <v>249.375</v>
      </c>
      <c r="P13" s="18">
        <f>($B$5/2240)*54</f>
        <v>320.625</v>
      </c>
      <c r="Q13" s="18">
        <f>($B$5/2240)*70</f>
        <v>415.625</v>
      </c>
      <c r="R13" s="16"/>
    </row>
    <row r="14" spans="1:28">
      <c r="A14" s="77" t="s">
        <v>18</v>
      </c>
      <c r="B14" s="17"/>
      <c r="C14" s="17"/>
      <c r="D14" s="17"/>
      <c r="E14" s="17"/>
      <c r="F14" s="17"/>
      <c r="G14" s="17"/>
      <c r="H14" s="17"/>
      <c r="I14" s="17"/>
      <c r="J14" s="81">
        <f t="shared" ref="J14:Q14" si="1">(J12*J13*0.0031)/0.55</f>
        <v>2.7725753345048902</v>
      </c>
      <c r="K14" s="19">
        <f t="shared" si="1"/>
        <v>3.2536987013748564</v>
      </c>
      <c r="L14" s="19">
        <f t="shared" si="1"/>
        <v>3.9468425350010796</v>
      </c>
      <c r="M14" s="19">
        <f t="shared" si="1"/>
        <v>5.064027302139813</v>
      </c>
      <c r="N14" s="19">
        <f t="shared" si="1"/>
        <v>6.4584696027290374</v>
      </c>
      <c r="O14" s="19">
        <f t="shared" si="1"/>
        <v>8.5623650036180443</v>
      </c>
      <c r="P14" s="19">
        <f t="shared" si="1"/>
        <v>11.44910520483784</v>
      </c>
      <c r="Q14" s="19">
        <f t="shared" si="1"/>
        <v>15.412257006512476</v>
      </c>
      <c r="R14" s="16"/>
    </row>
    <row r="15" spans="1:28">
      <c r="A15" s="14" t="s">
        <v>19</v>
      </c>
      <c r="B15" s="7">
        <v>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20"/>
    </row>
    <row r="16" spans="1:28">
      <c r="A16" s="77" t="s">
        <v>20</v>
      </c>
      <c r="B16" s="19">
        <f t="shared" ref="B16:Q16" si="2">(B15*B12*0.0031)/0.55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19">
        <f t="shared" si="2"/>
        <v>0</v>
      </c>
      <c r="L16" s="19">
        <f t="shared" si="2"/>
        <v>0</v>
      </c>
      <c r="M16" s="19">
        <f t="shared" si="2"/>
        <v>0</v>
      </c>
      <c r="N16" s="19">
        <f t="shared" si="2"/>
        <v>0</v>
      </c>
      <c r="O16" s="19">
        <f t="shared" si="2"/>
        <v>0</v>
      </c>
      <c r="P16" s="19">
        <f t="shared" si="2"/>
        <v>0</v>
      </c>
      <c r="Q16" s="19">
        <f t="shared" si="2"/>
        <v>0</v>
      </c>
      <c r="R16" s="16"/>
    </row>
    <row r="17" spans="1:31">
      <c r="A17" s="21" t="s">
        <v>21</v>
      </c>
      <c r="B17" s="22"/>
      <c r="C17" s="23"/>
      <c r="D17" s="91" t="s">
        <v>22</v>
      </c>
      <c r="E17" s="91"/>
      <c r="F17" s="91"/>
      <c r="G17" s="91"/>
      <c r="H17" s="24"/>
      <c r="I17" s="25"/>
      <c r="J17" s="23"/>
      <c r="K17" s="92" t="s">
        <v>23</v>
      </c>
      <c r="L17" s="92"/>
      <c r="M17" s="92"/>
      <c r="N17" s="92"/>
      <c r="O17" s="79"/>
      <c r="P17" s="79"/>
      <c r="Q17" s="79"/>
      <c r="R17" s="1"/>
    </row>
    <row r="18" spans="1:31">
      <c r="A18" s="76" t="s">
        <v>24</v>
      </c>
      <c r="B18" s="26">
        <f>(((B7*B6)^0.5)*4.07)</f>
        <v>24.67306375381866</v>
      </c>
      <c r="C18" s="3"/>
      <c r="D18" s="93" t="s">
        <v>25</v>
      </c>
      <c r="E18" s="93"/>
      <c r="F18" s="93"/>
      <c r="G18" s="93"/>
      <c r="H18" s="94" t="s">
        <v>26</v>
      </c>
      <c r="I18" s="94"/>
      <c r="J18" s="94"/>
      <c r="K18" s="93" t="s">
        <v>27</v>
      </c>
      <c r="L18" s="93"/>
      <c r="M18" s="93"/>
      <c r="N18" s="93"/>
      <c r="O18" s="95" t="s">
        <v>91</v>
      </c>
      <c r="P18" s="95"/>
      <c r="Q18" s="95"/>
      <c r="R18" s="1"/>
      <c r="T18" s="109" t="str">
        <f>"&lt;mat-form-field class=""mid-text""&gt;&lt;input matInput name=""" &amp; D18 &amp; """ [(ngModel)]=""motor."" placeholder=""" &amp; D18 &amp; """&gt;&lt;/mat-form-field&gt;&lt;br&gt;"</f>
        <v>&lt;mat-form-field class="mid-text"&gt;&lt;input matInput name="Make &amp; model" [(ngModel)]="motor." placeholder="Make &amp; model"&gt;&lt;/mat-form-field&gt;&lt;br&gt;</v>
      </c>
    </row>
    <row r="19" spans="1:31">
      <c r="A19" s="77" t="s">
        <v>28</v>
      </c>
      <c r="B19" s="26">
        <f>100*Q12</f>
        <v>657.90861827460503</v>
      </c>
      <c r="C19" s="3"/>
      <c r="D19" s="96" t="s">
        <v>29</v>
      </c>
      <c r="E19" s="96"/>
      <c r="F19" s="96"/>
      <c r="G19" s="96"/>
      <c r="H19" s="27">
        <v>80</v>
      </c>
      <c r="I19" s="28"/>
      <c r="J19" s="29"/>
      <c r="K19" s="93" t="s">
        <v>30</v>
      </c>
      <c r="L19" s="93"/>
      <c r="M19" s="93"/>
      <c r="N19" s="93"/>
      <c r="O19" s="27">
        <v>48</v>
      </c>
      <c r="P19" s="30"/>
      <c r="Q19" s="30"/>
      <c r="T19" s="109" t="str">
        <f t="shared" ref="T19:T29" si="3">"&lt;mat-form-field class=""mid-text""&gt;&lt;input matInput name=""" &amp; D19 &amp; """ [(ngModel)]=""motor."" placeholder=""" &amp; D19 &amp; """&gt;&lt;/mat-form-field&gt;&lt;br&gt;"</f>
        <v>&lt;mat-form-field class="mid-text"&gt;&lt;input matInput name="Max Voltage rating" [(ngModel)]="motor." placeholder="Max Voltage rating"&gt;&lt;/mat-form-field&gt;&lt;br&gt;</v>
      </c>
    </row>
    <row r="20" spans="1:31">
      <c r="A20" s="77" t="s">
        <v>31</v>
      </c>
      <c r="B20" s="26">
        <f>((($Q$12*101.3)/B19)*12)/0.55</f>
        <v>22.101818181818185</v>
      </c>
      <c r="C20" s="3"/>
      <c r="D20" s="96" t="s">
        <v>32</v>
      </c>
      <c r="E20" s="96"/>
      <c r="F20" s="96"/>
      <c r="G20" s="96"/>
      <c r="H20" s="27">
        <v>8000</v>
      </c>
      <c r="I20" s="31"/>
      <c r="J20" s="31"/>
      <c r="K20" s="93" t="s">
        <v>33</v>
      </c>
      <c r="L20" s="93"/>
      <c r="M20" s="93"/>
      <c r="N20" s="93"/>
      <c r="O20" s="27">
        <v>69.599999999999994</v>
      </c>
      <c r="P20" s="30"/>
      <c r="Q20" s="30"/>
      <c r="T20" s="109" t="str">
        <f t="shared" si="3"/>
        <v>&lt;mat-form-field class="mid-text"&gt;&lt;input matInput name="RPM @ Max Voltage" [(ngModel)]="motor." placeholder="RPM @ Max Voltage"&gt;&lt;/mat-form-field&gt;&lt;br&gt;</v>
      </c>
    </row>
    <row r="21" spans="1:31">
      <c r="A21" s="32" t="s">
        <v>34</v>
      </c>
      <c r="B21" s="33"/>
      <c r="C21" s="34"/>
      <c r="D21" s="96" t="s">
        <v>35</v>
      </c>
      <c r="E21" s="96"/>
      <c r="F21" s="96"/>
      <c r="G21" s="96"/>
      <c r="H21" s="27">
        <v>130</v>
      </c>
      <c r="I21" s="31"/>
      <c r="J21" s="31"/>
      <c r="K21" s="93" t="s">
        <v>36</v>
      </c>
      <c r="L21" s="93"/>
      <c r="M21" s="93"/>
      <c r="N21" s="93"/>
      <c r="O21" s="27" t="s">
        <v>92</v>
      </c>
      <c r="P21" s="30"/>
      <c r="Q21" s="30"/>
      <c r="T21" s="109" t="str">
        <f t="shared" si="3"/>
        <v>&lt;mat-form-field class="mid-text"&gt;&lt;input matInput name="Max. continuous Current rating" [(ngModel)]="motor." placeholder="Max. continuous Current rating"&gt;&lt;/mat-form-field&gt;&lt;br&gt;</v>
      </c>
    </row>
    <row r="22" spans="1:31" ht="24">
      <c r="A22" s="35" t="s">
        <v>37</v>
      </c>
      <c r="B22" s="78">
        <v>14</v>
      </c>
      <c r="C22" s="3"/>
      <c r="D22" s="96" t="s">
        <v>38</v>
      </c>
      <c r="E22" s="96"/>
      <c r="F22" s="96"/>
      <c r="G22" s="96"/>
      <c r="H22" s="27">
        <v>130</v>
      </c>
      <c r="I22" s="31"/>
      <c r="J22" s="36"/>
      <c r="K22" s="93" t="s">
        <v>39</v>
      </c>
      <c r="L22" s="93"/>
      <c r="M22" s="93"/>
      <c r="N22" s="93"/>
      <c r="O22" s="27"/>
      <c r="P22" s="30"/>
      <c r="Q22" s="30"/>
      <c r="S22">
        <f>50*80</f>
        <v>4000</v>
      </c>
      <c r="T22" s="109" t="str">
        <f t="shared" si="3"/>
        <v>&lt;mat-form-field class="mid-text"&gt;&lt;input matInput name="Max.continuous torque rating" [(ngModel)]="motor." placeholder="Max.continuous torque rating"&gt;&lt;/mat-form-field&gt;&lt;br&gt;</v>
      </c>
      <c r="AA22" s="84"/>
    </row>
    <row r="23" spans="1:31">
      <c r="A23" s="75" t="s">
        <v>40</v>
      </c>
      <c r="B23" s="7">
        <v>1300</v>
      </c>
      <c r="C23" s="3"/>
      <c r="D23" s="93" t="s">
        <v>41</v>
      </c>
      <c r="E23" s="93"/>
      <c r="F23" s="93"/>
      <c r="G23" s="93"/>
      <c r="H23" s="27" t="s">
        <v>90</v>
      </c>
      <c r="I23" s="31"/>
      <c r="J23" s="36"/>
      <c r="K23" s="93" t="s">
        <v>42</v>
      </c>
      <c r="L23" s="93"/>
      <c r="M23" s="93"/>
      <c r="N23" s="93"/>
      <c r="O23" s="27" t="s">
        <v>93</v>
      </c>
      <c r="P23" s="30"/>
      <c r="Q23" s="30"/>
      <c r="T23" s="109" t="str">
        <f t="shared" si="3"/>
        <v>&lt;mat-form-field class="mid-text"&gt;&lt;input matInput name="Max peak Current rating" [(ngModel)]="motor." placeholder="Max peak Current rating"&gt;&lt;/mat-form-field&gt;&lt;br&gt;</v>
      </c>
      <c r="AC23">
        <v>6250</v>
      </c>
      <c r="AD23">
        <v>36</v>
      </c>
      <c r="AE23">
        <f>AC23/AD23</f>
        <v>173.61111111111111</v>
      </c>
    </row>
    <row r="24" spans="1:31">
      <c r="A24" s="37" t="s">
        <v>43</v>
      </c>
      <c r="B24" s="26">
        <f>((($Q$12*101.3)/B23)*12)/0.55</f>
        <v>11.185366662581957</v>
      </c>
      <c r="C24" s="30"/>
      <c r="D24" s="93" t="s">
        <v>44</v>
      </c>
      <c r="E24" s="93"/>
      <c r="F24" s="93"/>
      <c r="G24" s="93"/>
      <c r="H24" s="38" t="s">
        <v>90</v>
      </c>
      <c r="I24" s="31"/>
      <c r="J24" s="31"/>
      <c r="K24" s="93"/>
      <c r="L24" s="93"/>
      <c r="M24" s="93"/>
      <c r="N24" s="93"/>
      <c r="O24" s="39"/>
      <c r="P24" s="30"/>
      <c r="Q24" s="30"/>
      <c r="T24" s="109" t="str">
        <f t="shared" si="3"/>
        <v>&lt;mat-form-field class="mid-text"&gt;&lt;input matInput name="Max peak torque rating" [(ngModel)]="motor." placeholder="Max peak torque rating"&gt;&lt;/mat-form-field&gt;&lt;br&gt;</v>
      </c>
    </row>
    <row r="25" spans="1:31">
      <c r="A25" s="40"/>
      <c r="B25" s="30"/>
      <c r="C25" s="3"/>
      <c r="D25" s="97" t="s">
        <v>45</v>
      </c>
      <c r="E25" s="97"/>
      <c r="F25" s="97"/>
      <c r="G25" s="97"/>
      <c r="H25" s="41">
        <v>0.92</v>
      </c>
      <c r="I25" s="31"/>
      <c r="J25" s="42"/>
      <c r="K25" s="98" t="s">
        <v>46</v>
      </c>
      <c r="L25" s="98"/>
      <c r="M25" s="98"/>
      <c r="N25" s="98"/>
      <c r="O25" s="99"/>
      <c r="P25" s="99"/>
      <c r="Q25" s="99"/>
      <c r="T25" s="109" t="str">
        <f t="shared" si="3"/>
        <v>&lt;mat-form-field class="mid-text"&gt;&lt;input matInput name="Motor efficiency rating" [(ngModel)]="motor." placeholder="Motor efficiency rating"&gt;&lt;/mat-form-field&gt;&lt;br&gt;</v>
      </c>
    </row>
    <row r="26" spans="1:31">
      <c r="A26" s="43"/>
      <c r="B26" s="30"/>
      <c r="C26" s="3"/>
      <c r="D26" s="100" t="s">
        <v>47</v>
      </c>
      <c r="E26" s="100"/>
      <c r="F26" s="100"/>
      <c r="G26" s="100"/>
      <c r="H26" s="44">
        <v>0.14751242989999999</v>
      </c>
      <c r="I26" s="31"/>
      <c r="J26" s="42"/>
      <c r="K26" s="93" t="s">
        <v>27</v>
      </c>
      <c r="L26" s="93"/>
      <c r="M26" s="93"/>
      <c r="N26" s="93"/>
      <c r="O26" s="101" t="s">
        <v>87</v>
      </c>
      <c r="P26" s="101"/>
      <c r="Q26" s="101"/>
      <c r="T26" s="109" t="str">
        <f t="shared" si="3"/>
        <v>&lt;mat-form-field class="mid-text"&gt;&lt;input matInput name="Motor torque constant:lbs/ft. per amp" [(ngModel)]="motor." placeholder="Motor torque constant:lbs/ft. per amp"&gt;&lt;/mat-form-field&gt;&lt;br&gt;</v>
      </c>
    </row>
    <row r="27" spans="1:31">
      <c r="A27" s="43"/>
      <c r="B27" s="45"/>
      <c r="C27" s="46"/>
      <c r="D27" s="100" t="s">
        <v>48</v>
      </c>
      <c r="E27" s="100"/>
      <c r="F27" s="100"/>
      <c r="G27" s="100"/>
      <c r="H27" s="47">
        <v>100</v>
      </c>
      <c r="I27" s="31"/>
      <c r="J27" s="48"/>
      <c r="K27" s="93" t="s">
        <v>49</v>
      </c>
      <c r="L27" s="93"/>
      <c r="M27" s="93"/>
      <c r="N27" s="93"/>
      <c r="O27" s="49" t="s">
        <v>86</v>
      </c>
      <c r="P27" s="3"/>
      <c r="Q27" s="3"/>
      <c r="R27" s="1"/>
      <c r="T27" s="109" t="str">
        <f t="shared" si="3"/>
        <v>&lt;mat-form-field class="mid-text"&gt;&lt;input matInput name="Motor voltage constant: rpms per Volt" [(ngModel)]="motor." placeholder="Motor voltage constant: rpms per Volt"&gt;&lt;/mat-form-field&gt;&lt;br&gt;</v>
      </c>
    </row>
    <row r="28" spans="1:31">
      <c r="A28" s="43"/>
      <c r="B28" s="106"/>
      <c r="C28" s="106"/>
      <c r="D28" s="100" t="s">
        <v>50</v>
      </c>
      <c r="E28" s="100"/>
      <c r="F28" s="100"/>
      <c r="G28" s="100"/>
      <c r="H28" s="50">
        <v>2</v>
      </c>
      <c r="I28" s="31"/>
      <c r="J28" s="51"/>
      <c r="K28" s="93" t="s">
        <v>51</v>
      </c>
      <c r="L28" s="93"/>
      <c r="M28" s="93"/>
      <c r="N28" s="93"/>
      <c r="O28" s="85">
        <v>173</v>
      </c>
      <c r="P28" s="3"/>
      <c r="Q28" s="3"/>
      <c r="R28" s="1"/>
      <c r="T28" s="109" t="str">
        <f t="shared" si="3"/>
        <v>&lt;mat-form-field class="mid-text"&gt;&lt;input matInput name="Motorshaft to prop shaft reduction ratio" [(ngModel)]="motor." placeholder="Motorshaft to prop shaft reduction ratio"&gt;&lt;/mat-form-field&gt;&lt;br&gt;</v>
      </c>
    </row>
    <row r="29" spans="1:31" ht="18.75">
      <c r="A29" s="43"/>
      <c r="B29" s="106"/>
      <c r="C29" s="106"/>
      <c r="D29" s="107" t="s">
        <v>52</v>
      </c>
      <c r="E29" s="107"/>
      <c r="F29" s="107"/>
      <c r="G29" s="107"/>
      <c r="H29" s="107"/>
      <c r="I29" s="107"/>
      <c r="J29" s="107"/>
      <c r="K29" s="108" t="s">
        <v>53</v>
      </c>
      <c r="L29" s="108"/>
      <c r="M29" s="108"/>
      <c r="N29" s="108"/>
      <c r="O29" s="7">
        <v>36</v>
      </c>
      <c r="P29" s="52"/>
      <c r="Q29" s="52"/>
      <c r="R29" s="1"/>
      <c r="T29" s="109"/>
      <c r="AA29" s="82" t="s">
        <v>84</v>
      </c>
    </row>
    <row r="30" spans="1:31">
      <c r="A30" s="43"/>
      <c r="B30" s="106"/>
      <c r="C30" s="106"/>
      <c r="D30" s="96" t="s">
        <v>54</v>
      </c>
      <c r="E30" s="96"/>
      <c r="F30" s="53">
        <v>130</v>
      </c>
      <c r="G30" s="54" t="s">
        <v>55</v>
      </c>
      <c r="H30" s="55">
        <f>0.738*F30</f>
        <v>95.94</v>
      </c>
      <c r="I30" s="54" t="s">
        <v>56</v>
      </c>
      <c r="J30" s="56"/>
      <c r="K30" s="93" t="s">
        <v>57</v>
      </c>
      <c r="L30" s="93"/>
      <c r="M30" s="93"/>
      <c r="N30" s="93"/>
      <c r="O30" s="7">
        <v>2</v>
      </c>
      <c r="P30" s="57"/>
      <c r="Q30" s="30"/>
      <c r="R30" s="1"/>
    </row>
    <row r="31" spans="1:31">
      <c r="A31" s="43"/>
      <c r="B31" s="106"/>
      <c r="C31" s="106"/>
      <c r="D31" s="96" t="s">
        <v>58</v>
      </c>
      <c r="E31" s="96"/>
      <c r="F31" s="53">
        <v>0</v>
      </c>
      <c r="G31" s="54" t="s">
        <v>59</v>
      </c>
      <c r="H31" s="55">
        <f>F31/12</f>
        <v>0</v>
      </c>
      <c r="I31" s="54" t="s">
        <v>56</v>
      </c>
      <c r="J31" s="58"/>
      <c r="K31" s="93" t="s">
        <v>60</v>
      </c>
      <c r="L31" s="93"/>
      <c r="M31" s="93"/>
      <c r="N31" s="93"/>
      <c r="O31" s="7">
        <v>72</v>
      </c>
      <c r="P31" s="57"/>
      <c r="Q31" s="30"/>
      <c r="R31" s="1"/>
    </row>
    <row r="32" spans="1:31">
      <c r="A32" s="43"/>
      <c r="B32" s="59" t="s">
        <v>61</v>
      </c>
      <c r="C32" s="60"/>
      <c r="D32" s="61"/>
      <c r="E32" s="60"/>
      <c r="F32" s="60"/>
      <c r="G32" s="60"/>
      <c r="H32" s="60"/>
      <c r="I32" s="60"/>
      <c r="J32" s="62"/>
      <c r="K32" s="102" t="s">
        <v>62</v>
      </c>
      <c r="L32" s="102"/>
      <c r="M32" s="102"/>
      <c r="N32" s="102"/>
      <c r="O32" s="78">
        <v>1.06</v>
      </c>
      <c r="P32" s="63"/>
      <c r="Q32" s="30"/>
      <c r="R32" s="1" t="s">
        <v>85</v>
      </c>
    </row>
    <row r="33" spans="1:19">
      <c r="A33" s="43"/>
      <c r="B33" s="103" t="s">
        <v>63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"/>
    </row>
    <row r="34" spans="1:19">
      <c r="A34" s="43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"/>
    </row>
    <row r="35" spans="1:19">
      <c r="A35" s="43"/>
      <c r="B35" s="64" t="s">
        <v>64</v>
      </c>
      <c r="C35" s="74" t="s">
        <v>65</v>
      </c>
      <c r="D35" s="74" t="s">
        <v>65</v>
      </c>
      <c r="E35" s="74" t="s">
        <v>66</v>
      </c>
      <c r="F35" s="64" t="s">
        <v>67</v>
      </c>
      <c r="G35" s="64" t="s">
        <v>68</v>
      </c>
      <c r="H35" s="64" t="s">
        <v>68</v>
      </c>
      <c r="I35" s="74" t="s">
        <v>68</v>
      </c>
      <c r="J35" s="74" t="s">
        <v>68</v>
      </c>
      <c r="K35" s="74" t="s">
        <v>68</v>
      </c>
      <c r="L35" s="74" t="s">
        <v>68</v>
      </c>
      <c r="M35" s="74" t="s">
        <v>69</v>
      </c>
      <c r="N35" s="74" t="s">
        <v>70</v>
      </c>
      <c r="O35" s="104" t="s">
        <v>71</v>
      </c>
      <c r="P35" s="104"/>
      <c r="Q35" s="104"/>
      <c r="R35" s="1"/>
    </row>
    <row r="36" spans="1:19">
      <c r="A36" s="43"/>
      <c r="B36" s="74" t="s">
        <v>72</v>
      </c>
      <c r="C36" s="64" t="s">
        <v>73</v>
      </c>
      <c r="D36" s="74" t="s">
        <v>74</v>
      </c>
      <c r="E36" s="64" t="s">
        <v>75</v>
      </c>
      <c r="F36" s="64" t="s">
        <v>76</v>
      </c>
      <c r="G36" s="64" t="s">
        <v>66</v>
      </c>
      <c r="H36" s="64" t="s">
        <v>73</v>
      </c>
      <c r="I36" s="74" t="s">
        <v>77</v>
      </c>
      <c r="J36" s="74" t="s">
        <v>78</v>
      </c>
      <c r="K36" s="74" t="s">
        <v>79</v>
      </c>
      <c r="L36" s="74" t="s">
        <v>74</v>
      </c>
      <c r="M36" s="74" t="s">
        <v>78</v>
      </c>
      <c r="N36" s="74" t="s">
        <v>78</v>
      </c>
      <c r="O36" s="74" t="s">
        <v>80</v>
      </c>
      <c r="P36" s="74" t="s">
        <v>81</v>
      </c>
      <c r="Q36" s="74" t="s">
        <v>82</v>
      </c>
      <c r="R36" s="1"/>
      <c r="S36" s="83" t="s">
        <v>89</v>
      </c>
    </row>
    <row r="37" spans="1:19">
      <c r="A37" s="43"/>
      <c r="B37" s="15">
        <f>B12</f>
        <v>1.4620191517213443</v>
      </c>
      <c r="C37" s="65">
        <f t="shared" ref="C37:C52" si="4">((((B37*6080)/60)/(0.55)*(12/$B$24)))</f>
        <v>288.98394939855939</v>
      </c>
      <c r="D37" s="66">
        <f t="shared" ref="D37:D52" si="5">((((C37^0.6)/632.7)*$B$22)^(1/0.2))</f>
        <v>0.12801833434912738</v>
      </c>
      <c r="E37" s="26">
        <f t="shared" ref="E37:E52" si="6">(D37*5252)/C37</f>
        <v>2.3266077351386931</v>
      </c>
      <c r="F37" s="65">
        <f t="shared" ref="F37:F52" si="7">(((D37*$B$22/12)^0.67)*62.72)</f>
        <v>17.544167060117115</v>
      </c>
      <c r="G37" s="67">
        <f t="shared" ref="G37:G52" si="8">E37/$H$28</f>
        <v>1.1633038675693466</v>
      </c>
      <c r="H37" s="65">
        <f t="shared" ref="H37:H52" si="9">C37*$H$28</f>
        <v>577.96789879711878</v>
      </c>
      <c r="I37" s="66">
        <f t="shared" ref="I37:I52" si="10">H37/$H$27</f>
        <v>5.7796789879711881</v>
      </c>
      <c r="J37" s="66">
        <f t="shared" ref="J37:J52" si="11">(G37/$H$26)/($H$25-0.04)</f>
        <v>8.9615242189633584</v>
      </c>
      <c r="K37" s="66">
        <f t="shared" ref="K37:K52" si="12">I37*J37/1000</f>
        <v>5.1794733228537435E-2</v>
      </c>
      <c r="L37" s="66">
        <f t="shared" ref="L37:L52" si="13">K37*1000/746</f>
        <v>6.9429937303669476E-2</v>
      </c>
      <c r="M37" s="66">
        <f t="shared" ref="M37:M52" si="14">(K37*1000)/$O$31</f>
        <v>0.71937129484079765</v>
      </c>
      <c r="N37" s="66">
        <f t="shared" ref="N37:N52" si="15">M37/(($O$30*$O$29)/$O$31)</f>
        <v>0.71937129484079765</v>
      </c>
      <c r="O37" s="26">
        <f t="shared" ref="O37:O52" si="16">(($O$28/(N37^$O$32))*0.5)*60</f>
        <v>7358.6317080495246</v>
      </c>
      <c r="P37" s="26">
        <f t="shared" ref="P37:P52" si="17">(($O$28/(N37^$O$32))*0.8)*60</f>
        <v>11773.810732879239</v>
      </c>
      <c r="Q37" s="26">
        <f t="shared" ref="Q37:Q52" si="18">(($O$28/(N37^$O$32))*60)</f>
        <v>14717.263416099049</v>
      </c>
      <c r="R37" s="68"/>
      <c r="S37" t="s">
        <v>88</v>
      </c>
    </row>
    <row r="38" spans="1:19">
      <c r="A38" s="43"/>
      <c r="B38" s="15">
        <f>C12</f>
        <v>1.9493588689617927</v>
      </c>
      <c r="C38" s="65">
        <f t="shared" si="4"/>
        <v>385.31193253141259</v>
      </c>
      <c r="D38" s="66">
        <f t="shared" si="5"/>
        <v>0.30345086660533849</v>
      </c>
      <c r="E38" s="26">
        <f t="shared" si="6"/>
        <v>4.1361915291354476</v>
      </c>
      <c r="F38" s="65">
        <f t="shared" si="7"/>
        <v>31.279486492082277</v>
      </c>
      <c r="G38" s="67">
        <f t="shared" si="8"/>
        <v>2.0680957645677238</v>
      </c>
      <c r="H38" s="65">
        <f t="shared" si="9"/>
        <v>770.62386506282519</v>
      </c>
      <c r="I38" s="66">
        <f t="shared" si="10"/>
        <v>7.7062386506282516</v>
      </c>
      <c r="J38" s="66">
        <f t="shared" si="11"/>
        <v>15.93159861149039</v>
      </c>
      <c r="K38" s="66">
        <f t="shared" si="12"/>
        <v>0.12277270098616264</v>
      </c>
      <c r="L38" s="66">
        <f t="shared" si="13"/>
        <v>0.16457466620129038</v>
      </c>
      <c r="M38" s="66">
        <f t="shared" si="14"/>
        <v>1.7051764025855922</v>
      </c>
      <c r="N38" s="66">
        <f t="shared" si="15"/>
        <v>1.7051764025855922</v>
      </c>
      <c r="O38" s="26">
        <f t="shared" si="16"/>
        <v>2947.7583962469071</v>
      </c>
      <c r="P38" s="26">
        <f t="shared" si="17"/>
        <v>4716.4134339950506</v>
      </c>
      <c r="Q38" s="26">
        <f t="shared" si="18"/>
        <v>5895.5167924938141</v>
      </c>
      <c r="R38" s="68"/>
      <c r="S38">
        <f t="shared" ref="S38:S46" si="19">Q38/60</f>
        <v>98.25861320823023</v>
      </c>
    </row>
    <row r="39" spans="1:19">
      <c r="A39" s="43"/>
      <c r="B39" s="15">
        <f>D12</f>
        <v>2.4366985862022408</v>
      </c>
      <c r="C39" s="65">
        <f t="shared" si="4"/>
        <v>481.63991566426574</v>
      </c>
      <c r="D39" s="66">
        <f t="shared" si="5"/>
        <v>0.59267747383855418</v>
      </c>
      <c r="E39" s="26">
        <f t="shared" si="6"/>
        <v>6.462799264274163</v>
      </c>
      <c r="F39" s="65">
        <f t="shared" si="7"/>
        <v>48.983379034489815</v>
      </c>
      <c r="G39" s="67">
        <f t="shared" si="8"/>
        <v>3.2313996321370815</v>
      </c>
      <c r="H39" s="65">
        <f t="shared" si="9"/>
        <v>963.27983132853149</v>
      </c>
      <c r="I39" s="66">
        <f t="shared" si="10"/>
        <v>9.6327983132853152</v>
      </c>
      <c r="J39" s="66">
        <f t="shared" si="11"/>
        <v>24.893122830453834</v>
      </c>
      <c r="K39" s="66">
        <f t="shared" si="12"/>
        <v>0.23979043161359986</v>
      </c>
      <c r="L39" s="66">
        <f t="shared" si="13"/>
        <v>0.32143489492439659</v>
      </c>
      <c r="M39" s="66">
        <f t="shared" si="14"/>
        <v>3.3304226612999979</v>
      </c>
      <c r="N39" s="66">
        <f t="shared" si="15"/>
        <v>3.3304226612999979</v>
      </c>
      <c r="O39" s="26">
        <f t="shared" si="16"/>
        <v>1449.8332106077273</v>
      </c>
      <c r="P39" s="26">
        <f t="shared" si="17"/>
        <v>2319.7331369723643</v>
      </c>
      <c r="Q39" s="26">
        <f t="shared" si="18"/>
        <v>2899.6664212154546</v>
      </c>
      <c r="R39" s="68"/>
      <c r="S39">
        <f t="shared" si="19"/>
        <v>48.327773686924246</v>
      </c>
    </row>
    <row r="40" spans="1:19">
      <c r="A40" s="43"/>
      <c r="B40" s="15">
        <f>E12</f>
        <v>2.9240383034426887</v>
      </c>
      <c r="C40" s="65">
        <f t="shared" si="4"/>
        <v>577.96789879711878</v>
      </c>
      <c r="D40" s="66">
        <f t="shared" si="5"/>
        <v>1.0241466747930206</v>
      </c>
      <c r="E40" s="26">
        <f t="shared" si="6"/>
        <v>9.3064309405547867</v>
      </c>
      <c r="F40" s="65">
        <f t="shared" si="7"/>
        <v>70.664785569228854</v>
      </c>
      <c r="G40" s="67">
        <f t="shared" si="8"/>
        <v>4.6532154702773934</v>
      </c>
      <c r="H40" s="65">
        <f t="shared" si="9"/>
        <v>1155.9357975942376</v>
      </c>
      <c r="I40" s="66">
        <f t="shared" si="10"/>
        <v>11.559357975942376</v>
      </c>
      <c r="J40" s="66">
        <f t="shared" si="11"/>
        <v>35.84609687585349</v>
      </c>
      <c r="K40" s="66">
        <f t="shared" si="12"/>
        <v>0.41435786582830014</v>
      </c>
      <c r="L40" s="66">
        <f t="shared" si="13"/>
        <v>0.5554394984293568</v>
      </c>
      <c r="M40" s="66">
        <f t="shared" si="14"/>
        <v>5.754970358726391</v>
      </c>
      <c r="N40" s="66">
        <f t="shared" si="15"/>
        <v>5.754970358726391</v>
      </c>
      <c r="O40" s="26">
        <f t="shared" si="16"/>
        <v>811.93578216184017</v>
      </c>
      <c r="P40" s="26">
        <f t="shared" si="17"/>
        <v>1299.0972514589444</v>
      </c>
      <c r="Q40" s="26">
        <f t="shared" si="18"/>
        <v>1623.8715643236803</v>
      </c>
      <c r="R40" s="68"/>
      <c r="S40">
        <f t="shared" si="19"/>
        <v>27.064526072061337</v>
      </c>
    </row>
    <row r="41" spans="1:19">
      <c r="A41" s="43"/>
      <c r="B41" s="15">
        <f>F12</f>
        <v>3.411378020683137</v>
      </c>
      <c r="C41" s="65">
        <f t="shared" si="4"/>
        <v>674.2958819299721</v>
      </c>
      <c r="D41" s="66">
        <f t="shared" si="5"/>
        <v>1.6263069882129897</v>
      </c>
      <c r="E41" s="26">
        <f t="shared" si="6"/>
        <v>12.667086557977335</v>
      </c>
      <c r="F41" s="65">
        <f t="shared" si="7"/>
        <v>96.331005307966848</v>
      </c>
      <c r="G41" s="67">
        <f t="shared" si="8"/>
        <v>6.3335432789886674</v>
      </c>
      <c r="H41" s="65">
        <f t="shared" si="9"/>
        <v>1348.5917638599442</v>
      </c>
      <c r="I41" s="66">
        <f t="shared" si="10"/>
        <v>13.485917638599442</v>
      </c>
      <c r="J41" s="66">
        <f t="shared" si="11"/>
        <v>48.790520747689428</v>
      </c>
      <c r="K41" s="66">
        <f t="shared" si="12"/>
        <v>0.65798494434771693</v>
      </c>
      <c r="L41" s="66">
        <f t="shared" si="13"/>
        <v>0.8820173516725428</v>
      </c>
      <c r="M41" s="66">
        <f t="shared" si="14"/>
        <v>9.1386797826071788</v>
      </c>
      <c r="N41" s="66">
        <f t="shared" si="15"/>
        <v>9.1386797826071788</v>
      </c>
      <c r="O41" s="26">
        <f t="shared" si="16"/>
        <v>497.31423464802003</v>
      </c>
      <c r="P41" s="26">
        <f t="shared" si="17"/>
        <v>795.7027754368321</v>
      </c>
      <c r="Q41" s="26">
        <f t="shared" si="18"/>
        <v>994.62846929604007</v>
      </c>
      <c r="R41" s="68"/>
      <c r="S41">
        <f t="shared" si="19"/>
        <v>16.577141154934001</v>
      </c>
    </row>
    <row r="42" spans="1:19">
      <c r="A42" s="43"/>
      <c r="B42" s="15">
        <f>G12</f>
        <v>3.8987177379235853</v>
      </c>
      <c r="C42" s="65">
        <f t="shared" si="4"/>
        <v>770.62386506282519</v>
      </c>
      <c r="D42" s="66">
        <f t="shared" si="5"/>
        <v>2.4276069328427079</v>
      </c>
      <c r="E42" s="26">
        <f t="shared" si="6"/>
        <v>16.544766116541791</v>
      </c>
      <c r="F42" s="65">
        <f t="shared" si="7"/>
        <v>125.9882101045057</v>
      </c>
      <c r="G42" s="67">
        <f t="shared" si="8"/>
        <v>8.2723830582708953</v>
      </c>
      <c r="H42" s="65">
        <f t="shared" si="9"/>
        <v>1541.2477301256504</v>
      </c>
      <c r="I42" s="66">
        <f t="shared" si="10"/>
        <v>15.412477301256503</v>
      </c>
      <c r="J42" s="66">
        <f t="shared" si="11"/>
        <v>63.72639444596156</v>
      </c>
      <c r="K42" s="66">
        <f t="shared" si="12"/>
        <v>0.98218160788930109</v>
      </c>
      <c r="L42" s="66">
        <f t="shared" si="13"/>
        <v>1.3165973296103231</v>
      </c>
      <c r="M42" s="66">
        <f t="shared" si="14"/>
        <v>13.641411220684738</v>
      </c>
      <c r="N42" s="66">
        <f t="shared" si="15"/>
        <v>13.641411220684738</v>
      </c>
      <c r="O42" s="26">
        <f t="shared" si="16"/>
        <v>325.24939608850991</v>
      </c>
      <c r="P42" s="26">
        <f t="shared" si="17"/>
        <v>520.39903374161588</v>
      </c>
      <c r="Q42" s="26">
        <f t="shared" si="18"/>
        <v>650.49879217701982</v>
      </c>
      <c r="R42" s="68"/>
      <c r="S42">
        <f t="shared" si="19"/>
        <v>10.841646536283664</v>
      </c>
    </row>
    <row r="43" spans="1:19">
      <c r="A43" s="43"/>
      <c r="B43" s="15">
        <f>H12</f>
        <v>4.3860574551640337</v>
      </c>
      <c r="C43" s="65">
        <f t="shared" si="4"/>
        <v>866.95184819567839</v>
      </c>
      <c r="D43" s="66">
        <f t="shared" si="5"/>
        <v>3.456495027426441</v>
      </c>
      <c r="E43" s="26">
        <f t="shared" si="6"/>
        <v>20.939469616248246</v>
      </c>
      <c r="F43" s="65">
        <f t="shared" si="7"/>
        <v>159.64174862042825</v>
      </c>
      <c r="G43" s="67">
        <f t="shared" si="8"/>
        <v>10.469734808124123</v>
      </c>
      <c r="H43" s="65">
        <f t="shared" si="9"/>
        <v>1733.9036963913568</v>
      </c>
      <c r="I43" s="66">
        <f t="shared" si="10"/>
        <v>17.339036963913568</v>
      </c>
      <c r="J43" s="66">
        <f t="shared" si="11"/>
        <v>80.653717970670272</v>
      </c>
      <c r="K43" s="66">
        <f t="shared" si="12"/>
        <v>1.3984577971705119</v>
      </c>
      <c r="L43" s="66">
        <f t="shared" si="13"/>
        <v>1.8746083071990776</v>
      </c>
      <c r="M43" s="66">
        <f t="shared" si="14"/>
        <v>19.423024960701554</v>
      </c>
      <c r="N43" s="66">
        <f t="shared" si="15"/>
        <v>19.423024960701554</v>
      </c>
      <c r="O43" s="26">
        <f t="shared" si="16"/>
        <v>223.64102675243242</v>
      </c>
      <c r="P43" s="26">
        <f t="shared" si="17"/>
        <v>357.82564280389187</v>
      </c>
      <c r="Q43" s="26">
        <f t="shared" si="18"/>
        <v>447.28205350486485</v>
      </c>
      <c r="R43" s="68"/>
      <c r="S43">
        <f t="shared" si="19"/>
        <v>7.4547008917477475</v>
      </c>
    </row>
    <row r="44" spans="1:19">
      <c r="A44" s="43"/>
      <c r="B44" s="15">
        <f>I12</f>
        <v>4.6297273137842572</v>
      </c>
      <c r="C44" s="65">
        <f t="shared" si="4"/>
        <v>915.11583976210488</v>
      </c>
      <c r="D44" s="66">
        <f t="shared" si="5"/>
        <v>4.0651747930586373</v>
      </c>
      <c r="E44" s="26">
        <f t="shared" si="6"/>
        <v>23.330705344029695</v>
      </c>
      <c r="F44" s="65">
        <f t="shared" si="7"/>
        <v>177.96863882568772</v>
      </c>
      <c r="G44" s="67">
        <f t="shared" si="8"/>
        <v>11.665352672014848</v>
      </c>
      <c r="H44" s="65">
        <f t="shared" si="9"/>
        <v>1830.2316795242098</v>
      </c>
      <c r="I44" s="66">
        <f t="shared" si="10"/>
        <v>18.302316795242099</v>
      </c>
      <c r="J44" s="66">
        <f t="shared" si="11"/>
        <v>89.864173417938218</v>
      </c>
      <c r="K44" s="66">
        <f t="shared" si="12"/>
        <v>1.6447225704376793</v>
      </c>
      <c r="L44" s="66">
        <f t="shared" si="13"/>
        <v>2.2047219442864332</v>
      </c>
      <c r="M44" s="66">
        <f t="shared" si="14"/>
        <v>22.843369033856657</v>
      </c>
      <c r="N44" s="66">
        <f t="shared" si="15"/>
        <v>22.843369033856657</v>
      </c>
      <c r="O44" s="26">
        <f t="shared" si="16"/>
        <v>188.31355958331059</v>
      </c>
      <c r="P44" s="26">
        <f t="shared" si="17"/>
        <v>301.301695333297</v>
      </c>
      <c r="Q44" s="26">
        <f t="shared" si="18"/>
        <v>376.62711916662118</v>
      </c>
      <c r="R44" s="68"/>
      <c r="S44">
        <f t="shared" si="19"/>
        <v>6.2771186527770197</v>
      </c>
    </row>
    <row r="45" spans="1:19">
      <c r="A45" s="43"/>
      <c r="B45" s="15">
        <f>J12</f>
        <v>4.8733971724044816</v>
      </c>
      <c r="C45" s="65">
        <f t="shared" si="4"/>
        <v>963.27983132853149</v>
      </c>
      <c r="D45" s="66">
        <f t="shared" si="5"/>
        <v>4.7414197907084112</v>
      </c>
      <c r="E45" s="26">
        <f t="shared" si="6"/>
        <v>25.851197057096531</v>
      </c>
      <c r="F45" s="65">
        <f t="shared" si="7"/>
        <v>197.29634151724517</v>
      </c>
      <c r="G45" s="67">
        <f t="shared" si="8"/>
        <v>12.925598528548266</v>
      </c>
      <c r="H45" s="65">
        <f t="shared" si="9"/>
        <v>1926.559662657063</v>
      </c>
      <c r="I45" s="66">
        <f t="shared" si="10"/>
        <v>19.26559662657063</v>
      </c>
      <c r="J45" s="66">
        <f t="shared" si="11"/>
        <v>99.57249132181488</v>
      </c>
      <c r="K45" s="66">
        <f t="shared" si="12"/>
        <v>1.9183234529087902</v>
      </c>
      <c r="L45" s="66">
        <f t="shared" si="13"/>
        <v>2.5714791593951611</v>
      </c>
      <c r="M45" s="66">
        <f t="shared" si="14"/>
        <v>26.643381290399862</v>
      </c>
      <c r="N45" s="66">
        <f t="shared" si="15"/>
        <v>26.643381290399862</v>
      </c>
      <c r="O45" s="26">
        <f t="shared" si="16"/>
        <v>159.97151489064333</v>
      </c>
      <c r="P45" s="26">
        <f t="shared" si="17"/>
        <v>255.95442382502932</v>
      </c>
      <c r="Q45" s="26">
        <f t="shared" si="18"/>
        <v>319.94302978128667</v>
      </c>
      <c r="R45" s="68"/>
      <c r="S45">
        <f t="shared" si="19"/>
        <v>5.3323838296881112</v>
      </c>
    </row>
    <row r="46" spans="1:19">
      <c r="A46" s="43"/>
      <c r="B46" s="15">
        <f>K12</f>
        <v>5.1170670310247059</v>
      </c>
      <c r="C46" s="65">
        <f t="shared" si="4"/>
        <v>1011.443822894958</v>
      </c>
      <c r="D46" s="66">
        <f t="shared" si="5"/>
        <v>5.4887860852188313</v>
      </c>
      <c r="E46" s="26">
        <f t="shared" si="6"/>
        <v>28.500944755448963</v>
      </c>
      <c r="F46" s="65">
        <f t="shared" si="7"/>
        <v>217.62537039982413</v>
      </c>
      <c r="G46" s="67">
        <f t="shared" si="8"/>
        <v>14.250472377724481</v>
      </c>
      <c r="H46" s="65">
        <f t="shared" si="9"/>
        <v>2022.887645789916</v>
      </c>
      <c r="I46" s="66">
        <f t="shared" si="10"/>
        <v>20.228876457899158</v>
      </c>
      <c r="J46" s="66">
        <f t="shared" si="11"/>
        <v>109.77867168230104</v>
      </c>
      <c r="K46" s="66">
        <f t="shared" si="12"/>
        <v>2.2206991871735404</v>
      </c>
      <c r="L46" s="66">
        <f t="shared" si="13"/>
        <v>2.9768085618948263</v>
      </c>
      <c r="M46" s="66">
        <f t="shared" si="14"/>
        <v>30.843044266299174</v>
      </c>
      <c r="N46" s="66">
        <f t="shared" si="15"/>
        <v>30.843044266299174</v>
      </c>
      <c r="O46" s="26">
        <f t="shared" si="16"/>
        <v>136.98111168244381</v>
      </c>
      <c r="P46" s="26">
        <f t="shared" si="17"/>
        <v>219.1697786919101</v>
      </c>
      <c r="Q46" s="26">
        <f t="shared" si="18"/>
        <v>273.96222336488762</v>
      </c>
      <c r="R46" s="68"/>
      <c r="S46">
        <f t="shared" si="19"/>
        <v>4.56603705608146</v>
      </c>
    </row>
    <row r="47" spans="1:19">
      <c r="A47" s="43"/>
      <c r="B47" s="15">
        <f>L12</f>
        <v>5.3607368896449303</v>
      </c>
      <c r="C47" s="65">
        <f t="shared" si="4"/>
        <v>1059.6078144613846</v>
      </c>
      <c r="D47" s="66">
        <f t="shared" si="5"/>
        <v>6.3108297414328973</v>
      </c>
      <c r="E47" s="26">
        <f t="shared" si="6"/>
        <v>31.279948439086812</v>
      </c>
      <c r="F47" s="65">
        <f t="shared" si="7"/>
        <v>238.95621433359938</v>
      </c>
      <c r="G47" s="67">
        <f t="shared" si="8"/>
        <v>15.639974219543406</v>
      </c>
      <c r="H47" s="65">
        <f t="shared" si="9"/>
        <v>2119.2156289227692</v>
      </c>
      <c r="I47" s="66">
        <f t="shared" si="10"/>
        <v>21.192156289227693</v>
      </c>
      <c r="J47" s="66">
        <f t="shared" si="11"/>
        <v>120.48271449939602</v>
      </c>
      <c r="K47" s="66">
        <f t="shared" si="12"/>
        <v>2.5532885158215999</v>
      </c>
      <c r="L47" s="66">
        <f t="shared" si="13"/>
        <v>3.4226387611549596</v>
      </c>
      <c r="M47" s="66">
        <f t="shared" si="14"/>
        <v>35.46234049752222</v>
      </c>
      <c r="N47" s="66">
        <f t="shared" si="15"/>
        <v>35.46234049752222</v>
      </c>
      <c r="O47" s="26">
        <f t="shared" si="16"/>
        <v>118.14461154241846</v>
      </c>
      <c r="P47" s="26">
        <f t="shared" si="17"/>
        <v>189.03137846786953</v>
      </c>
      <c r="Q47" s="26">
        <f t="shared" si="18"/>
        <v>236.28922308483692</v>
      </c>
      <c r="R47" s="68"/>
      <c r="S47">
        <f>Q47/60</f>
        <v>3.9381537180806152</v>
      </c>
    </row>
    <row r="48" spans="1:19">
      <c r="A48" s="43"/>
      <c r="B48" s="15">
        <f>M12</f>
        <v>5.6044067482651529</v>
      </c>
      <c r="C48" s="65">
        <f t="shared" si="4"/>
        <v>1107.771806027811</v>
      </c>
      <c r="D48" s="66">
        <f t="shared" si="5"/>
        <v>7.2111068241936804</v>
      </c>
      <c r="E48" s="26">
        <f t="shared" si="6"/>
        <v>34.188208108010294</v>
      </c>
      <c r="F48" s="65">
        <f t="shared" si="7"/>
        <v>261.28933963823488</v>
      </c>
      <c r="G48" s="67">
        <f t="shared" si="8"/>
        <v>17.094104054005147</v>
      </c>
      <c r="H48" s="65">
        <f t="shared" si="9"/>
        <v>2215.5436120556219</v>
      </c>
      <c r="I48" s="66">
        <f t="shared" si="10"/>
        <v>22.155436120556217</v>
      </c>
      <c r="J48" s="66">
        <f t="shared" si="11"/>
        <v>131.68461977310068</v>
      </c>
      <c r="K48" s="66">
        <f t="shared" si="12"/>
        <v>2.917530181442666</v>
      </c>
      <c r="L48" s="66">
        <f t="shared" si="13"/>
        <v>3.9108983665451289</v>
      </c>
      <c r="M48" s="66">
        <f t="shared" si="14"/>
        <v>40.521252520037031</v>
      </c>
      <c r="N48" s="66">
        <f t="shared" si="15"/>
        <v>40.521252520037031</v>
      </c>
      <c r="O48" s="26">
        <f t="shared" si="16"/>
        <v>102.57074859740986</v>
      </c>
      <c r="P48" s="26">
        <f t="shared" si="17"/>
        <v>164.11319775585579</v>
      </c>
      <c r="Q48" s="26">
        <f t="shared" si="18"/>
        <v>205.14149719481972</v>
      </c>
      <c r="R48" s="68"/>
      <c r="S48">
        <f t="shared" ref="S48:S52" si="20">Q48/60</f>
        <v>3.4190249532469954</v>
      </c>
    </row>
    <row r="49" spans="1:19">
      <c r="A49" s="43"/>
      <c r="B49" s="15">
        <f>N12</f>
        <v>5.8480766068853773</v>
      </c>
      <c r="C49" s="65">
        <f t="shared" si="4"/>
        <v>1155.9357975942376</v>
      </c>
      <c r="D49" s="66">
        <f t="shared" si="5"/>
        <v>8.1931733983441593</v>
      </c>
      <c r="E49" s="26">
        <f t="shared" si="6"/>
        <v>37.225723762219125</v>
      </c>
      <c r="F49" s="65">
        <f t="shared" si="7"/>
        <v>284.62519209001158</v>
      </c>
      <c r="G49" s="67">
        <f t="shared" si="8"/>
        <v>18.612861881109563</v>
      </c>
      <c r="H49" s="65">
        <f t="shared" si="9"/>
        <v>2311.8715951884751</v>
      </c>
      <c r="I49" s="66">
        <f t="shared" si="10"/>
        <v>23.118715951884752</v>
      </c>
      <c r="J49" s="66">
        <f t="shared" si="11"/>
        <v>143.38438750341388</v>
      </c>
      <c r="K49" s="66">
        <f t="shared" si="12"/>
        <v>3.3148629266263994</v>
      </c>
      <c r="L49" s="66">
        <f t="shared" si="13"/>
        <v>4.4435159874348518</v>
      </c>
      <c r="M49" s="66">
        <f t="shared" si="14"/>
        <v>46.039762869811099</v>
      </c>
      <c r="N49" s="66">
        <f t="shared" si="15"/>
        <v>46.039762869811099</v>
      </c>
      <c r="O49" s="26">
        <f t="shared" si="16"/>
        <v>89.587268463731633</v>
      </c>
      <c r="P49" s="26">
        <f t="shared" si="17"/>
        <v>143.33962954197062</v>
      </c>
      <c r="Q49" s="26">
        <f t="shared" si="18"/>
        <v>179.17453692746327</v>
      </c>
      <c r="R49" s="68"/>
      <c r="S49">
        <f t="shared" si="20"/>
        <v>2.9862422821243877</v>
      </c>
    </row>
    <row r="50" spans="1:19">
      <c r="A50" s="43"/>
      <c r="B50" s="15">
        <f>O12</f>
        <v>6.0917464655056017</v>
      </c>
      <c r="C50" s="65">
        <f t="shared" si="4"/>
        <v>1204.0997891606642</v>
      </c>
      <c r="D50" s="66">
        <f t="shared" si="5"/>
        <v>9.2605855287273879</v>
      </c>
      <c r="E50" s="26">
        <f t="shared" si="6"/>
        <v>40.392495401713433</v>
      </c>
      <c r="F50" s="65">
        <f t="shared" si="7"/>
        <v>308.9641986643116</v>
      </c>
      <c r="G50" s="67">
        <f t="shared" si="8"/>
        <v>20.196247700856716</v>
      </c>
      <c r="H50" s="65">
        <f t="shared" si="9"/>
        <v>2408.1995783213283</v>
      </c>
      <c r="I50" s="66">
        <f t="shared" si="10"/>
        <v>24.081995783213284</v>
      </c>
      <c r="J50" s="66">
        <f t="shared" si="11"/>
        <v>155.58201769033616</v>
      </c>
      <c r="K50" s="66">
        <f t="shared" si="12"/>
        <v>3.7467254939624901</v>
      </c>
      <c r="L50" s="66">
        <f t="shared" si="13"/>
        <v>5.022420233193686</v>
      </c>
      <c r="M50" s="66">
        <f t="shared" si="14"/>
        <v>52.037854082812359</v>
      </c>
      <c r="N50" s="66">
        <f t="shared" si="15"/>
        <v>52.037854082812359</v>
      </c>
      <c r="O50" s="26">
        <f t="shared" si="16"/>
        <v>78.680808893625823</v>
      </c>
      <c r="P50" s="26">
        <f t="shared" si="17"/>
        <v>125.88929422980132</v>
      </c>
      <c r="Q50" s="26">
        <f t="shared" si="18"/>
        <v>157.36161778725165</v>
      </c>
      <c r="R50" s="68"/>
      <c r="S50">
        <f t="shared" si="20"/>
        <v>2.6226936297875274</v>
      </c>
    </row>
    <row r="51" spans="1:19">
      <c r="A51" s="43"/>
      <c r="B51" s="15">
        <f>P12</f>
        <v>6.3354163241258261</v>
      </c>
      <c r="C51" s="65">
        <f t="shared" si="4"/>
        <v>1252.2637807270908</v>
      </c>
      <c r="D51" s="66">
        <f t="shared" si="5"/>
        <v>10.416899280186378</v>
      </c>
      <c r="E51" s="26">
        <f t="shared" si="6"/>
        <v>43.688523026493137</v>
      </c>
      <c r="F51" s="65">
        <f t="shared" si="7"/>
        <v>334.30676906501799</v>
      </c>
      <c r="G51" s="67">
        <f t="shared" si="8"/>
        <v>21.844261513246568</v>
      </c>
      <c r="H51" s="65">
        <f t="shared" si="9"/>
        <v>2504.5275614541815</v>
      </c>
      <c r="I51" s="66">
        <f t="shared" si="10"/>
        <v>25.045275614541815</v>
      </c>
      <c r="J51" s="66">
        <f t="shared" si="11"/>
        <v>168.27751033386713</v>
      </c>
      <c r="K51" s="66">
        <f t="shared" si="12"/>
        <v>4.2145566260406104</v>
      </c>
      <c r="L51" s="66">
        <f t="shared" si="13"/>
        <v>5.6495397131911664</v>
      </c>
      <c r="M51" s="66">
        <f t="shared" si="14"/>
        <v>58.535508695008474</v>
      </c>
      <c r="N51" s="66">
        <f t="shared" si="15"/>
        <v>58.535508695008474</v>
      </c>
      <c r="O51" s="26">
        <f t="shared" si="16"/>
        <v>69.454885093382458</v>
      </c>
      <c r="P51" s="26">
        <f t="shared" si="17"/>
        <v>111.12781614941194</v>
      </c>
      <c r="Q51" s="26">
        <f t="shared" si="18"/>
        <v>138.90977018676492</v>
      </c>
      <c r="R51" s="68"/>
      <c r="S51">
        <f t="shared" si="20"/>
        <v>2.3151628364460821</v>
      </c>
    </row>
    <row r="52" spans="1:19">
      <c r="A52" s="43"/>
      <c r="B52" s="15">
        <f>Q12</f>
        <v>6.5790861827460505</v>
      </c>
      <c r="C52" s="65">
        <f t="shared" si="4"/>
        <v>1300.4277722935174</v>
      </c>
      <c r="D52" s="66">
        <f t="shared" si="5"/>
        <v>11.665670717564231</v>
      </c>
      <c r="E52" s="26">
        <f t="shared" si="6"/>
        <v>47.113806636558529</v>
      </c>
      <c r="F52" s="65">
        <f t="shared" si="7"/>
        <v>360.65329707426054</v>
      </c>
      <c r="G52" s="67">
        <f t="shared" si="8"/>
        <v>23.556903318279264</v>
      </c>
      <c r="H52" s="65">
        <f t="shared" si="9"/>
        <v>2600.8555445870347</v>
      </c>
      <c r="I52" s="66">
        <f t="shared" si="10"/>
        <v>26.008555445870346</v>
      </c>
      <c r="J52" s="66">
        <f t="shared" si="11"/>
        <v>181.470865434008</v>
      </c>
      <c r="K52" s="66">
        <f t="shared" si="12"/>
        <v>4.7197950654504739</v>
      </c>
      <c r="L52" s="66">
        <f t="shared" si="13"/>
        <v>6.3268030367968819</v>
      </c>
      <c r="M52" s="66">
        <f t="shared" si="14"/>
        <v>65.552709242367698</v>
      </c>
      <c r="N52" s="66">
        <f t="shared" si="15"/>
        <v>65.552709242367698</v>
      </c>
      <c r="O52" s="26">
        <f t="shared" si="16"/>
        <v>61.600079643876143</v>
      </c>
      <c r="P52" s="26">
        <f t="shared" si="17"/>
        <v>98.560127430201831</v>
      </c>
      <c r="Q52" s="26">
        <f t="shared" si="18"/>
        <v>123.20015928775229</v>
      </c>
      <c r="R52" s="68"/>
      <c r="S52">
        <f t="shared" si="20"/>
        <v>2.0533359881292048</v>
      </c>
    </row>
    <row r="53" spans="1:19">
      <c r="A53" s="69"/>
      <c r="B53" s="17"/>
      <c r="C53" s="70"/>
      <c r="D53" s="70"/>
      <c r="E53" s="71"/>
      <c r="F53" s="17"/>
      <c r="G53" s="71"/>
      <c r="H53" s="17"/>
      <c r="I53" s="70"/>
      <c r="J53" s="70"/>
      <c r="K53" s="70"/>
      <c r="L53" s="70"/>
      <c r="M53" s="70"/>
      <c r="N53" s="70"/>
      <c r="O53" s="70"/>
      <c r="P53" s="70"/>
      <c r="Q53" s="70"/>
      <c r="R53" s="68"/>
    </row>
    <row r="54" spans="1:19">
      <c r="A54" s="105" t="s">
        <v>83</v>
      </c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68"/>
    </row>
    <row r="55" spans="1:19">
      <c r="H55" t="s">
        <v>94</v>
      </c>
    </row>
    <row r="56" spans="1:19">
      <c r="H56" s="86" t="s">
        <v>95</v>
      </c>
    </row>
  </sheetData>
  <mergeCells count="43">
    <mergeCell ref="K32:N32"/>
    <mergeCell ref="B33:Q34"/>
    <mergeCell ref="O35:Q35"/>
    <mergeCell ref="A54:Q54"/>
    <mergeCell ref="B28:C31"/>
    <mergeCell ref="D28:G28"/>
    <mergeCell ref="K28:N28"/>
    <mergeCell ref="D29:J29"/>
    <mergeCell ref="K29:N29"/>
    <mergeCell ref="D30:E30"/>
    <mergeCell ref="K30:N30"/>
    <mergeCell ref="D31:E31"/>
    <mergeCell ref="K31:N31"/>
    <mergeCell ref="O25:Q25"/>
    <mergeCell ref="D26:G26"/>
    <mergeCell ref="K26:N26"/>
    <mergeCell ref="O26:Q26"/>
    <mergeCell ref="D27:G27"/>
    <mergeCell ref="K27:N27"/>
    <mergeCell ref="D23:G23"/>
    <mergeCell ref="K23:N23"/>
    <mergeCell ref="D24:G24"/>
    <mergeCell ref="K24:N24"/>
    <mergeCell ref="D25:G25"/>
    <mergeCell ref="K25:N25"/>
    <mergeCell ref="D20:G20"/>
    <mergeCell ref="K20:N20"/>
    <mergeCell ref="D21:G21"/>
    <mergeCell ref="K21:N21"/>
    <mergeCell ref="D22:G22"/>
    <mergeCell ref="K22:N22"/>
    <mergeCell ref="D18:G18"/>
    <mergeCell ref="H18:J18"/>
    <mergeCell ref="K18:N18"/>
    <mergeCell ref="O18:Q18"/>
    <mergeCell ref="D19:G19"/>
    <mergeCell ref="K19:N19"/>
    <mergeCell ref="A1:Q1"/>
    <mergeCell ref="A2:Q2"/>
    <mergeCell ref="B3:C3"/>
    <mergeCell ref="A10:Q10"/>
    <mergeCell ref="D17:G17"/>
    <mergeCell ref="K17:N17"/>
  </mergeCells>
  <hyperlinks>
    <hyperlink ref="H56" r:id="rId1" display="mailto:taoistinsc@yahoo.com" xr:uid="{D4CBC69F-B443-2D4C-A8E8-9030364E0FCB}"/>
  </hyperlinks>
  <pageMargins left="0.7" right="0.7" top="0.75" bottom="0.75" header="0.3" footer="0.3"/>
  <pageSetup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2DEE8F0BCB9741959F7B8359826166" ma:contentTypeVersion="13" ma:contentTypeDescription="Create a new document." ma:contentTypeScope="" ma:versionID="8e78a796bd4f05bd857374b47c62836c">
  <xsd:schema xmlns:xsd="http://www.w3.org/2001/XMLSchema" xmlns:xs="http://www.w3.org/2001/XMLSchema" xmlns:p="http://schemas.microsoft.com/office/2006/metadata/properties" xmlns:ns3="3ef2271f-83f4-4606-9704-f2006ea71ca5" xmlns:ns4="5593708f-75c0-462d-85b8-2819fedcab90" targetNamespace="http://schemas.microsoft.com/office/2006/metadata/properties" ma:root="true" ma:fieldsID="2bd9c831d8142c070de1b886d08e78cb" ns3:_="" ns4:_="">
    <xsd:import namespace="3ef2271f-83f4-4606-9704-f2006ea71ca5"/>
    <xsd:import namespace="5593708f-75c0-462d-85b8-2819fedcab9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2271f-83f4-4606-9704-f2006ea71c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93708f-75c0-462d-85b8-2819fedcab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5EB5DA-B6C5-4A7F-AAAB-8BA133B23607}">
  <ds:schemaRefs>
    <ds:schemaRef ds:uri="3ef2271f-83f4-4606-9704-f2006ea71ca5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593708f-75c0-462d-85b8-2819fedcab90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82750D8-8680-4ABE-8E71-C86FA8F2E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2271f-83f4-4606-9704-f2006ea71ca5"/>
    <ds:schemaRef ds:uri="5593708f-75c0-462d-85b8-2819fedcab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DC47F7-26F2-4C73-A9FF-1170B45154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BoatName</vt:lpstr>
      <vt:lpstr>BWL</vt:lpstr>
      <vt:lpstr>CAS</vt:lpstr>
      <vt:lpstr>CSA</vt:lpstr>
      <vt:lpstr>Displacement</vt:lpstr>
      <vt:lpstr>Draft</vt:lpstr>
      <vt:lpstr>LWL</vt:lpstr>
      <vt:lpstr>PRISMATIC_COEFFICIENT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dmorris</dc:creator>
  <cp:keywords/>
  <dc:description/>
  <cp:lastModifiedBy>Daniel Morris</cp:lastModifiedBy>
  <cp:revision/>
  <dcterms:created xsi:type="dcterms:W3CDTF">2020-06-26T18:09:08Z</dcterms:created>
  <dcterms:modified xsi:type="dcterms:W3CDTF">2021-10-22T19:04:21Z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0x010100F72DEE8F0BCB9741959F7B8359826166</vt:lpwstr>
  </property>
</Properties>
</file>